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ate1904="1" saveExternalLinkValues="0" codeName="ThisWorkbook"/>
  <mc:AlternateContent xmlns:mc="http://schemas.openxmlformats.org/markup-compatibility/2006">
    <mc:Choice Requires="x15">
      <x15ac:absPath xmlns:x15ac="http://schemas.microsoft.com/office/spreadsheetml/2010/11/ac" url="https://d.docs.live.net/a043aac37ed258ad/MoranIndustriesInc/Enabl Realty/SpreadSheets/"/>
    </mc:Choice>
  </mc:AlternateContent>
  <xr:revisionPtr revIDLastSave="1031" documentId="8_{825A59A1-3D68-45A2-A953-B16D7EDABC6A}" xr6:coauthVersionLast="47" xr6:coauthVersionMax="47" xr10:uidLastSave="{4B9385E8-7996-42C2-A935-ED277AF7BEEC}"/>
  <bookViews>
    <workbookView xWindow="-120" yWindow="-120" windowWidth="29040" windowHeight="15840" activeTab="2" xr2:uid="{00000000-000D-0000-FFFF-FFFF00000000}"/>
  </bookViews>
  <sheets>
    <sheet name="datasheet1" sheetId="8" r:id="rId1"/>
    <sheet name="Refinance" sheetId="1" r:id="rId2"/>
    <sheet name="Purchase" sheetId="5" r:id="rId3"/>
    <sheet name="Sheet2" sheetId="10" r:id="rId4"/>
    <sheet name="Sheet1" sheetId="9" r:id="rId5"/>
  </sheets>
  <definedNames>
    <definedName name="_xlnm.Print_Area" localSheetId="2">Purchase!$A$1:$J$42</definedName>
    <definedName name="_xlnm.Print_Area" localSheetId="1">Refinance!$A$1:$J$58</definedName>
    <definedName name="solver_adj" localSheetId="1" hidden="1">Refinance!$F$28</definedName>
    <definedName name="solver_cvg" localSheetId="1" hidden="1">0.001</definedName>
    <definedName name="solver_drv" localSheetId="1" hidden="1">1</definedName>
    <definedName name="solver_est" localSheetId="1" hidden="1">1</definedName>
    <definedName name="solver_itr" localSheetId="1" hidden="1">100</definedName>
    <definedName name="solver_lin" localSheetId="1" hidden="1">2</definedName>
    <definedName name="solver_neg" localSheetId="1" hidden="1">2</definedName>
    <definedName name="solver_num" localSheetId="1" hidden="1">0</definedName>
    <definedName name="solver_nwt" localSheetId="1" hidden="1">1</definedName>
    <definedName name="solver_opt" localSheetId="1" hidden="1">Refinance!$F$34</definedName>
    <definedName name="solver_pre" localSheetId="1" hidden="1">0.000001</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1</definedName>
    <definedName name="solver_val" localSheetId="1" hidden="1">0</definedName>
  </definedNames>
  <calcPr calcId="191028" iterate="1"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1" l="1"/>
  <c r="B52" i="5" l="1"/>
  <c r="B45" i="5"/>
  <c r="N44" i="10"/>
  <c r="N25" i="10"/>
  <c r="N5" i="10"/>
  <c r="N7" i="10"/>
  <c r="N9" i="10"/>
  <c r="N11" i="10"/>
  <c r="N3" i="10"/>
  <c r="I10" i="5"/>
  <c r="G10" i="5"/>
  <c r="C10" i="5"/>
  <c r="N40" i="10" l="1"/>
  <c r="C31" i="5"/>
  <c r="D31" i="1" l="1"/>
  <c r="E34" i="1" l="1"/>
  <c r="I34" i="1"/>
  <c r="G34" i="1"/>
  <c r="C34" i="1"/>
  <c r="C25" i="1"/>
  <c r="C16" i="5"/>
  <c r="I16" i="5"/>
  <c r="G16" i="5"/>
  <c r="E16" i="5"/>
  <c r="E10" i="5"/>
  <c r="G25" i="1"/>
  <c r="H31" i="1" s="1"/>
  <c r="E25" i="1"/>
  <c r="I25" i="1"/>
  <c r="J31" i="1" s="1"/>
  <c r="C4" i="1"/>
  <c r="F17" i="1"/>
  <c r="J8" i="5"/>
  <c r="J11" i="5" s="1"/>
  <c r="J19" i="5"/>
  <c r="J29" i="5" s="1"/>
  <c r="I38" i="5" s="1"/>
  <c r="H8" i="5"/>
  <c r="H19" i="5"/>
  <c r="H29" i="5" s="1"/>
  <c r="G38" i="5" s="1"/>
  <c r="F8" i="5"/>
  <c r="F19" i="5"/>
  <c r="E29" i="5" s="1"/>
  <c r="D8" i="5"/>
  <c r="D19" i="5"/>
  <c r="C29" i="5" s="1"/>
  <c r="C16" i="1"/>
  <c r="C15" i="1" s="1"/>
  <c r="C23" i="1"/>
  <c r="C22" i="1" s="1"/>
  <c r="H22" i="1" s="1"/>
  <c r="H17" i="1"/>
  <c r="H24" i="1"/>
  <c r="F31" i="1"/>
  <c r="H23" i="1"/>
  <c r="G23" i="1"/>
  <c r="G19" i="1"/>
  <c r="G20" i="1"/>
  <c r="H19" i="1"/>
  <c r="H20" i="1"/>
  <c r="J11" i="1"/>
  <c r="J13" i="1"/>
  <c r="J15" i="1"/>
  <c r="J16" i="1"/>
  <c r="I16" i="1"/>
  <c r="I15" i="1"/>
  <c r="I14" i="1"/>
  <c r="J14" i="1" s="1"/>
  <c r="I13" i="1"/>
  <c r="I12" i="1"/>
  <c r="J12" i="1" s="1"/>
  <c r="C30" i="5"/>
  <c r="C40" i="5" s="1"/>
  <c r="C32" i="5"/>
  <c r="E32" i="5"/>
  <c r="E30" i="5"/>
  <c r="E40" i="5" s="1"/>
  <c r="G31" i="5"/>
  <c r="G32" i="5"/>
  <c r="G29" i="5"/>
  <c r="G30" i="5"/>
  <c r="G40" i="5" s="1"/>
  <c r="I31" i="5"/>
  <c r="I32" i="5"/>
  <c r="I29" i="5"/>
  <c r="I30" i="5"/>
  <c r="D21" i="5"/>
  <c r="D22" i="5"/>
  <c r="D15" i="5"/>
  <c r="I26" i="5"/>
  <c r="H21" i="5"/>
  <c r="H22" i="5"/>
  <c r="G26" i="5"/>
  <c r="F21" i="5"/>
  <c r="F22" i="5"/>
  <c r="J21" i="5"/>
  <c r="J22" i="5"/>
  <c r="J23" i="5"/>
  <c r="H23" i="5"/>
  <c r="F23" i="5"/>
  <c r="J15" i="5"/>
  <c r="H15" i="5"/>
  <c r="F15" i="5"/>
  <c r="I22" i="1" l="1"/>
  <c r="F47" i="1"/>
  <c r="D47" i="1"/>
  <c r="J47" i="1"/>
  <c r="H47" i="1"/>
  <c r="I40" i="5"/>
  <c r="F34" i="1"/>
  <c r="D34" i="1"/>
  <c r="N41" i="1" s="1"/>
  <c r="H11" i="5"/>
  <c r="H34" i="5"/>
  <c r="C11" i="5"/>
  <c r="D27" i="5" s="1"/>
  <c r="F29" i="5"/>
  <c r="E38" i="5" s="1"/>
  <c r="E26" i="5"/>
  <c r="H21" i="1"/>
  <c r="C26" i="5"/>
  <c r="J20" i="1"/>
  <c r="I21" i="1"/>
  <c r="J17" i="1"/>
  <c r="I19" i="1" s="1"/>
  <c r="J19" i="1" s="1"/>
  <c r="G22" i="1"/>
  <c r="G24" i="1"/>
  <c r="G21" i="1"/>
  <c r="C24" i="1"/>
  <c r="G11" i="5"/>
  <c r="C38" i="5"/>
  <c r="E11" i="5"/>
  <c r="F27" i="5" s="1"/>
  <c r="I11" i="5"/>
  <c r="J27" i="5" l="1"/>
  <c r="H27" i="5"/>
  <c r="G37" i="5" s="1"/>
  <c r="J22" i="1"/>
  <c r="J34" i="1"/>
  <c r="H34" i="1"/>
  <c r="C37" i="5"/>
  <c r="I35" i="5"/>
  <c r="I34" i="5"/>
  <c r="I28" i="5" s="1"/>
  <c r="H14" i="5"/>
  <c r="G35" i="5"/>
  <c r="G34" i="5"/>
  <c r="G28" i="5" s="1"/>
  <c r="D17" i="5"/>
  <c r="G27" i="5"/>
  <c r="J21" i="1"/>
  <c r="E37" i="5"/>
  <c r="H13" i="5"/>
  <c r="E27" i="5"/>
  <c r="F45" i="1"/>
  <c r="D45" i="1"/>
  <c r="J45" i="1"/>
  <c r="H45" i="1"/>
  <c r="H17" i="5"/>
  <c r="C27" i="5"/>
  <c r="I27" i="5"/>
  <c r="J17" i="5"/>
  <c r="J14" i="5"/>
  <c r="J13" i="5"/>
  <c r="E34" i="5"/>
  <c r="E28" i="5" s="1"/>
  <c r="F17" i="5"/>
  <c r="E35" i="5"/>
  <c r="D13" i="5"/>
  <c r="C35" i="5"/>
  <c r="C34" i="5"/>
  <c r="C28" i="5" s="1"/>
  <c r="D14" i="5"/>
  <c r="F13" i="5"/>
  <c r="F14" i="5"/>
  <c r="I37" i="5" l="1"/>
  <c r="I39" i="5"/>
  <c r="G39" i="5"/>
  <c r="G41" i="5" s="1"/>
  <c r="H18" i="5"/>
  <c r="H25" i="5"/>
  <c r="G18" i="5" s="1"/>
  <c r="D18" i="5"/>
  <c r="J25" i="5"/>
  <c r="I18" i="5" s="1"/>
  <c r="J18" i="5"/>
  <c r="F25" i="5"/>
  <c r="E18" i="5" s="1"/>
  <c r="D25" i="5"/>
  <c r="C18" i="5" s="1"/>
  <c r="F18" i="5"/>
  <c r="E39" i="5" l="1"/>
  <c r="E41" i="5" s="1"/>
  <c r="F33" i="5"/>
  <c r="I41" i="5"/>
  <c r="J33" i="5"/>
  <c r="H33" i="5"/>
  <c r="H42" i="5" s="1"/>
  <c r="C39" i="5"/>
  <c r="C41" i="5" s="1"/>
  <c r="D33" i="5"/>
  <c r="I33" i="5"/>
  <c r="I53" i="5" s="1"/>
  <c r="G33" i="5"/>
  <c r="E33" i="5"/>
  <c r="E45" i="5" s="1"/>
  <c r="C33" i="5"/>
  <c r="G42" i="5" l="1"/>
  <c r="C53" i="5"/>
  <c r="I45" i="5"/>
  <c r="F42" i="5"/>
  <c r="J42" i="5"/>
  <c r="D42" i="5"/>
  <c r="I42" i="5"/>
  <c r="G45" i="5"/>
  <c r="E42" i="5"/>
  <c r="C45" i="5"/>
  <c r="C42" i="5"/>
  <c r="D29" i="1"/>
  <c r="D30" i="1"/>
  <c r="D32" i="1"/>
  <c r="D41" i="1"/>
  <c r="D42" i="1" s="1"/>
  <c r="D44" i="1"/>
  <c r="D33" i="1" l="1"/>
  <c r="D35" i="1" l="1"/>
  <c r="D36" i="1" s="1"/>
  <c r="D37" i="1" l="1"/>
  <c r="D38" i="1"/>
  <c r="D49" i="1" s="1"/>
  <c r="D50" i="1" s="1"/>
  <c r="D51" i="1" l="1"/>
  <c r="D52" i="1"/>
  <c r="D39" i="1"/>
  <c r="F29" i="1"/>
  <c r="F30" i="1"/>
  <c r="F32" i="1"/>
  <c r="F41" i="1"/>
  <c r="F42" i="1" s="1"/>
  <c r="F44" i="1"/>
  <c r="F33" i="1" l="1"/>
  <c r="F35" i="1" s="1"/>
  <c r="F36" i="1" s="1"/>
  <c r="F38" i="1" s="1"/>
  <c r="F49" i="1" l="1"/>
  <c r="F39" i="1"/>
  <c r="F37" i="1"/>
  <c r="H29" i="1"/>
  <c r="H30" i="1"/>
  <c r="H32" i="1"/>
  <c r="H41" i="1"/>
  <c r="H42" i="1" s="1"/>
  <c r="H44" i="1"/>
  <c r="J29" i="1"/>
  <c r="J30" i="1"/>
  <c r="J32" i="1"/>
  <c r="J41" i="1"/>
  <c r="J42" i="1" s="1"/>
  <c r="J44" i="1"/>
  <c r="F52" i="1" l="1"/>
  <c r="F51" i="1"/>
  <c r="F50" i="1"/>
  <c r="H33" i="1"/>
  <c r="H35" i="1" s="1"/>
  <c r="H36" i="1" s="1"/>
  <c r="H38" i="1" s="1"/>
  <c r="J33" i="1"/>
  <c r="J35" i="1" s="1"/>
  <c r="J36" i="1" s="1"/>
  <c r="J38" i="1" s="1"/>
  <c r="H49" i="1" l="1"/>
  <c r="J39" i="1"/>
  <c r="J49" i="1"/>
  <c r="H39" i="1"/>
  <c r="H37" i="1"/>
  <c r="J37" i="1"/>
  <c r="H51" i="1" l="1"/>
  <c r="H52" i="1"/>
  <c r="H50" i="1"/>
  <c r="J50" i="1"/>
  <c r="J52" i="1"/>
  <c r="J51" i="1"/>
  <c r="E40" i="10" l="1"/>
  <c r="P40"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4" authorId="0" shapeId="0" xr:uid="{00000000-0006-0000-0200-000001000000}">
      <text>
        <r>
          <rPr>
            <b/>
            <sz val="10"/>
            <color indexed="81"/>
            <rFont val="Tahoma"/>
            <family val="2"/>
          </rPr>
          <t>Insert Borrowers Name</t>
        </r>
      </text>
    </comment>
    <comment ref="C11" authorId="0" shapeId="0" xr:uid="{00000000-0006-0000-0200-000002000000}">
      <text>
        <r>
          <rPr>
            <b/>
            <sz val="12"/>
            <color indexed="81"/>
            <rFont val="Tahoma"/>
            <family val="2"/>
          </rPr>
          <t xml:space="preserve">Enter Original Loan Balance
</t>
        </r>
        <r>
          <rPr>
            <b/>
            <sz val="8"/>
            <color indexed="81"/>
            <rFont val="Tahoma"/>
            <family val="2"/>
          </rPr>
          <t xml:space="preserve">
</t>
        </r>
      </text>
    </comment>
    <comment ref="E11" authorId="0" shapeId="0" xr:uid="{00000000-0006-0000-0200-000003000000}">
      <text>
        <r>
          <rPr>
            <b/>
            <sz val="8"/>
            <color indexed="81"/>
            <rFont val="Tahoma"/>
            <family val="2"/>
          </rPr>
          <t xml:space="preserve">Insert Creditor Name
</t>
        </r>
      </text>
    </comment>
    <comment ref="F11" authorId="0" shapeId="0" xr:uid="{00000000-0006-0000-0200-000004000000}">
      <text>
        <r>
          <rPr>
            <b/>
            <sz val="8"/>
            <color indexed="81"/>
            <rFont val="Tahoma"/>
            <family val="2"/>
          </rPr>
          <t xml:space="preserve">Insert Outstanding Balance
</t>
        </r>
      </text>
    </comment>
    <comment ref="G11" authorId="0" shapeId="0" xr:uid="{00000000-0006-0000-0200-000005000000}">
      <text>
        <r>
          <rPr>
            <b/>
            <sz val="8"/>
            <color indexed="81"/>
            <rFont val="Tahoma"/>
            <family val="2"/>
          </rPr>
          <t>Insert Current Interest Rate Borrower is now paying</t>
        </r>
      </text>
    </comment>
    <comment ref="H11" authorId="0" shapeId="0" xr:uid="{00000000-0006-0000-0200-000006000000}">
      <text>
        <r>
          <rPr>
            <b/>
            <sz val="10"/>
            <color indexed="81"/>
            <rFont val="Tahoma"/>
            <family val="2"/>
          </rPr>
          <t xml:space="preserve">Insert Current Monthly Payment borrower is making or 0 </t>
        </r>
      </text>
    </comment>
    <comment ref="C12" authorId="0" shapeId="0" xr:uid="{00000000-0006-0000-0200-000007000000}">
      <text>
        <r>
          <rPr>
            <b/>
            <sz val="12"/>
            <color indexed="81"/>
            <rFont val="Tahoma"/>
            <family val="2"/>
          </rPr>
          <t xml:space="preserve">Enter Term of Original Loan </t>
        </r>
      </text>
    </comment>
    <comment ref="E12" authorId="0" shapeId="0" xr:uid="{00000000-0006-0000-0200-000008000000}">
      <text>
        <r>
          <rPr>
            <b/>
            <sz val="8"/>
            <color indexed="81"/>
            <rFont val="Tahoma"/>
            <family val="2"/>
          </rPr>
          <t xml:space="preserve">Insert Creditor Name
</t>
        </r>
      </text>
    </comment>
    <comment ref="F12" authorId="0" shapeId="0" xr:uid="{00000000-0006-0000-0200-000009000000}">
      <text>
        <r>
          <rPr>
            <b/>
            <sz val="8"/>
            <color indexed="81"/>
            <rFont val="Tahoma"/>
            <family val="2"/>
          </rPr>
          <t xml:space="preserve">Insert Outstanding Balance
</t>
        </r>
      </text>
    </comment>
    <comment ref="G12" authorId="0" shapeId="0" xr:uid="{00000000-0006-0000-0200-00000A000000}">
      <text>
        <r>
          <rPr>
            <b/>
            <sz val="8"/>
            <color indexed="81"/>
            <rFont val="Tahoma"/>
            <family val="2"/>
          </rPr>
          <t>Insert Current Interest Rate Borrower is now paying</t>
        </r>
      </text>
    </comment>
    <comment ref="H12" authorId="0" shapeId="0" xr:uid="{00000000-0006-0000-0200-00000B000000}">
      <text>
        <r>
          <rPr>
            <b/>
            <sz val="10"/>
            <color indexed="81"/>
            <rFont val="Tahoma"/>
            <family val="2"/>
          </rPr>
          <t xml:space="preserve">Insert Current Monthly Payment borrower is making or 0 </t>
        </r>
      </text>
    </comment>
    <comment ref="C13" authorId="0" shapeId="0" xr:uid="{00000000-0006-0000-0200-00000C000000}">
      <text>
        <r>
          <rPr>
            <b/>
            <sz val="8"/>
            <color indexed="81"/>
            <rFont val="Tahoma"/>
            <family val="2"/>
          </rPr>
          <t>Enter the interesdt rate of the current loan</t>
        </r>
      </text>
    </comment>
    <comment ref="E13" authorId="0" shapeId="0" xr:uid="{00000000-0006-0000-0200-00000D000000}">
      <text>
        <r>
          <rPr>
            <b/>
            <sz val="8"/>
            <color indexed="81"/>
            <rFont val="Tahoma"/>
            <family val="2"/>
          </rPr>
          <t xml:space="preserve">Insert Creditor Name
</t>
        </r>
      </text>
    </comment>
    <comment ref="F13" authorId="0" shapeId="0" xr:uid="{00000000-0006-0000-0200-00000E000000}">
      <text>
        <r>
          <rPr>
            <b/>
            <sz val="8"/>
            <color indexed="81"/>
            <rFont val="Tahoma"/>
            <family val="2"/>
          </rPr>
          <t xml:space="preserve">Insert Outstanding Balance
</t>
        </r>
      </text>
    </comment>
    <comment ref="G13" authorId="0" shapeId="0" xr:uid="{00000000-0006-0000-0200-00000F000000}">
      <text>
        <r>
          <rPr>
            <b/>
            <sz val="8"/>
            <color indexed="81"/>
            <rFont val="Tahoma"/>
            <family val="2"/>
          </rPr>
          <t>Insert Current Interest Rate Borrower is now paying</t>
        </r>
      </text>
    </comment>
    <comment ref="H13" authorId="0" shapeId="0" xr:uid="{00000000-0006-0000-0200-000010000000}">
      <text>
        <r>
          <rPr>
            <b/>
            <sz val="10"/>
            <color indexed="81"/>
            <rFont val="Tahoma"/>
            <family val="2"/>
          </rPr>
          <t xml:space="preserve">Insert Current Monthly Payment borrower is making or 0 </t>
        </r>
      </text>
    </comment>
    <comment ref="C14" authorId="0" shapeId="0" xr:uid="{00000000-0006-0000-0200-000011000000}">
      <text>
        <r>
          <rPr>
            <b/>
            <sz val="8"/>
            <color indexed="81"/>
            <rFont val="Tahoma"/>
            <family val="2"/>
          </rPr>
          <t>Enter the number of paymnets already made to date</t>
        </r>
      </text>
    </comment>
    <comment ref="E14" authorId="0" shapeId="0" xr:uid="{00000000-0006-0000-0200-000012000000}">
      <text>
        <r>
          <rPr>
            <b/>
            <sz val="8"/>
            <color indexed="81"/>
            <rFont val="Tahoma"/>
            <family val="2"/>
          </rPr>
          <t xml:space="preserve">Insert Creditor Name
</t>
        </r>
      </text>
    </comment>
    <comment ref="F14" authorId="0" shapeId="0" xr:uid="{00000000-0006-0000-0200-000013000000}">
      <text>
        <r>
          <rPr>
            <b/>
            <sz val="8"/>
            <color indexed="81"/>
            <rFont val="Tahoma"/>
            <family val="2"/>
          </rPr>
          <t xml:space="preserve">Insert Outstanding Balance
</t>
        </r>
      </text>
    </comment>
    <comment ref="G14" authorId="0" shapeId="0" xr:uid="{00000000-0006-0000-0200-000014000000}">
      <text>
        <r>
          <rPr>
            <b/>
            <sz val="8"/>
            <color indexed="81"/>
            <rFont val="Tahoma"/>
            <family val="2"/>
          </rPr>
          <t>Insert Current Interest Rate Borrower is now paying</t>
        </r>
      </text>
    </comment>
    <comment ref="H14" authorId="0" shapeId="0" xr:uid="{00000000-0006-0000-0200-000015000000}">
      <text>
        <r>
          <rPr>
            <b/>
            <sz val="10"/>
            <color indexed="81"/>
            <rFont val="Tahoma"/>
            <family val="2"/>
          </rPr>
          <t xml:space="preserve">Insert Current Monthly Payment borrower is making or 0 </t>
        </r>
      </text>
    </comment>
    <comment ref="E15" authorId="0" shapeId="0" xr:uid="{00000000-0006-0000-0200-000016000000}">
      <text>
        <r>
          <rPr>
            <b/>
            <sz val="8"/>
            <color indexed="81"/>
            <rFont val="Tahoma"/>
            <family val="2"/>
          </rPr>
          <t xml:space="preserve">Insert Creditor Name
</t>
        </r>
      </text>
    </comment>
    <comment ref="F15" authorId="0" shapeId="0" xr:uid="{00000000-0006-0000-0200-000017000000}">
      <text>
        <r>
          <rPr>
            <b/>
            <sz val="8"/>
            <color indexed="81"/>
            <rFont val="Tahoma"/>
            <family val="2"/>
          </rPr>
          <t xml:space="preserve">Insert Outstanding Balance
</t>
        </r>
      </text>
    </comment>
    <comment ref="G15" authorId="0" shapeId="0" xr:uid="{00000000-0006-0000-0200-000018000000}">
      <text>
        <r>
          <rPr>
            <b/>
            <sz val="10"/>
            <color indexed="81"/>
            <rFont val="Tahoma"/>
            <family val="2"/>
          </rPr>
          <t>Insert Current Interest Rate Borrower is now paying</t>
        </r>
      </text>
    </comment>
    <comment ref="H15" authorId="0" shapeId="0" xr:uid="{00000000-0006-0000-0200-000019000000}">
      <text>
        <r>
          <rPr>
            <b/>
            <sz val="10"/>
            <color indexed="81"/>
            <rFont val="Tahoma"/>
            <family val="2"/>
          </rPr>
          <t xml:space="preserve">Insert Current Monthly Payment borrower is making or 0 </t>
        </r>
      </text>
    </comment>
    <comment ref="E16" authorId="0" shapeId="0" xr:uid="{00000000-0006-0000-0200-00001A000000}">
      <text>
        <r>
          <rPr>
            <b/>
            <sz val="8"/>
            <color indexed="81"/>
            <rFont val="Tahoma"/>
            <family val="2"/>
          </rPr>
          <t xml:space="preserve">Insert Creditor Name
</t>
        </r>
      </text>
    </comment>
    <comment ref="F16" authorId="0" shapeId="0" xr:uid="{00000000-0006-0000-0200-00001B000000}">
      <text>
        <r>
          <rPr>
            <b/>
            <sz val="8"/>
            <color indexed="81"/>
            <rFont val="Tahoma"/>
            <family val="2"/>
          </rPr>
          <t xml:space="preserve">Insert Outstanding Balance
</t>
        </r>
      </text>
    </comment>
    <comment ref="G16" authorId="0" shapeId="0" xr:uid="{00000000-0006-0000-0200-00001C000000}">
      <text>
        <r>
          <rPr>
            <b/>
            <sz val="10"/>
            <color indexed="81"/>
            <rFont val="Tahoma"/>
            <family val="2"/>
          </rPr>
          <t>Insert Current Interest Rate Borrower is now paying</t>
        </r>
      </text>
    </comment>
    <comment ref="H16" authorId="0" shapeId="0" xr:uid="{00000000-0006-0000-0200-00001D000000}">
      <text>
        <r>
          <rPr>
            <b/>
            <sz val="10"/>
            <color indexed="81"/>
            <rFont val="Tahoma"/>
            <family val="2"/>
          </rPr>
          <t xml:space="preserve">Insert Current Monthly Payment borrower is making or 0 </t>
        </r>
      </text>
    </comment>
    <comment ref="C18" authorId="0" shapeId="0" xr:uid="{00000000-0006-0000-0200-00001E000000}">
      <text>
        <r>
          <rPr>
            <b/>
            <sz val="10"/>
            <color indexed="81"/>
            <rFont val="Tahoma"/>
            <family val="2"/>
          </rPr>
          <t>Enter original balance of second mortgage if any</t>
        </r>
      </text>
    </comment>
    <comment ref="C19" authorId="0" shapeId="0" xr:uid="{00000000-0006-0000-0200-00001F000000}">
      <text>
        <r>
          <rPr>
            <b/>
            <sz val="10"/>
            <color indexed="81"/>
            <rFont val="Tahoma"/>
            <family val="2"/>
          </rPr>
          <t>Enter Term of second mortgage if any</t>
        </r>
      </text>
    </comment>
    <comment ref="C20" authorId="0" shapeId="0" xr:uid="{00000000-0006-0000-0200-000020000000}">
      <text>
        <r>
          <rPr>
            <b/>
            <sz val="10"/>
            <color indexed="81"/>
            <rFont val="Tahoma"/>
            <family val="2"/>
          </rPr>
          <t>Enter interest rate of second mortgage if any</t>
        </r>
      </text>
    </comment>
    <comment ref="C21" authorId="0" shapeId="0" xr:uid="{00000000-0006-0000-0200-000021000000}">
      <text>
        <r>
          <rPr>
            <b/>
            <sz val="10"/>
            <color indexed="81"/>
            <rFont val="Tahoma"/>
            <family val="2"/>
          </rPr>
          <t xml:space="preserve">Enter number of payments already made to date on second mortgage
</t>
        </r>
      </text>
    </comment>
    <comment ref="C27" authorId="0" shapeId="0" xr:uid="{00000000-0006-0000-0200-000022000000}">
      <text>
        <r>
          <rPr>
            <b/>
            <sz val="12"/>
            <color indexed="81"/>
            <rFont val="Tahoma"/>
            <family val="2"/>
          </rPr>
          <t xml:space="preserve">input proposed interest rate
</t>
        </r>
      </text>
    </comment>
    <comment ref="E27" authorId="0" shapeId="0" xr:uid="{00000000-0006-0000-0200-000023000000}">
      <text>
        <r>
          <rPr>
            <b/>
            <sz val="12"/>
            <color indexed="81"/>
            <rFont val="Tahoma"/>
            <family val="2"/>
          </rPr>
          <t xml:space="preserve">input proposed interest rate
</t>
        </r>
      </text>
    </comment>
    <comment ref="G27" authorId="0" shapeId="0" xr:uid="{00000000-0006-0000-0200-000024000000}">
      <text>
        <r>
          <rPr>
            <b/>
            <sz val="12"/>
            <color indexed="81"/>
            <rFont val="Tahoma"/>
            <family val="2"/>
          </rPr>
          <t xml:space="preserve">input proposed interest rate
</t>
        </r>
      </text>
    </comment>
    <comment ref="I27" authorId="0" shapeId="0" xr:uid="{00000000-0006-0000-0200-000025000000}">
      <text>
        <r>
          <rPr>
            <b/>
            <sz val="12"/>
            <color indexed="81"/>
            <rFont val="Tahoma"/>
            <family val="2"/>
          </rPr>
          <t xml:space="preserve">input proposed interest rate
</t>
        </r>
      </text>
    </comment>
    <comment ref="D28" authorId="0" shapeId="0" xr:uid="{00000000-0006-0000-0200-000026000000}">
      <text>
        <r>
          <rPr>
            <b/>
            <sz val="10"/>
            <color indexed="81"/>
            <rFont val="Tahoma"/>
            <family val="2"/>
          </rPr>
          <t xml:space="preserve">Enter term of new loan 5,10,20,30 etc..
i/o for interest only loans
</t>
        </r>
      </text>
    </comment>
    <comment ref="F28" authorId="0" shapeId="0" xr:uid="{00000000-0006-0000-0200-000027000000}">
      <text>
        <r>
          <rPr>
            <b/>
            <sz val="10"/>
            <color indexed="81"/>
            <rFont val="Tahoma"/>
            <family val="2"/>
          </rPr>
          <t xml:space="preserve">Enter term of new loan 5,10,20,30 etc..
i/o for interest only loans
</t>
        </r>
      </text>
    </comment>
    <comment ref="H28" authorId="0" shapeId="0" xr:uid="{00000000-0006-0000-0200-000028000000}">
      <text>
        <r>
          <rPr>
            <b/>
            <sz val="10"/>
            <color indexed="81"/>
            <rFont val="Tahoma"/>
            <family val="2"/>
          </rPr>
          <t xml:space="preserve">Enter term of new loan 5,10,20,30 etc..
i/o for interest only loans
</t>
        </r>
      </text>
    </comment>
    <comment ref="J28" authorId="0" shapeId="0" xr:uid="{00000000-0006-0000-0200-000029000000}">
      <text>
        <r>
          <rPr>
            <b/>
            <sz val="10"/>
            <color indexed="81"/>
            <rFont val="Tahoma"/>
            <family val="2"/>
          </rPr>
          <t xml:space="preserve">Enter term of new loan 5,10,20,30 etc..
i/o for interest only loans
</t>
        </r>
      </text>
    </comment>
    <comment ref="C29" authorId="0" shapeId="0" xr:uid="{00000000-0006-0000-0200-00002A000000}">
      <text>
        <r>
          <rPr>
            <b/>
            <sz val="12"/>
            <color indexed="81"/>
            <rFont val="Tahoma"/>
            <family val="2"/>
          </rPr>
          <t>Input origination fee</t>
        </r>
      </text>
    </comment>
    <comment ref="E29" authorId="0" shapeId="0" xr:uid="{00000000-0006-0000-0200-00002B000000}">
      <text>
        <r>
          <rPr>
            <b/>
            <sz val="12"/>
            <color indexed="81"/>
            <rFont val="Tahoma"/>
            <family val="2"/>
          </rPr>
          <t>Input origination fee</t>
        </r>
      </text>
    </comment>
    <comment ref="G29" authorId="0" shapeId="0" xr:uid="{00000000-0006-0000-0200-00002C000000}">
      <text>
        <r>
          <rPr>
            <b/>
            <sz val="12"/>
            <color indexed="81"/>
            <rFont val="Tahoma"/>
            <family val="2"/>
          </rPr>
          <t>Input origination fee</t>
        </r>
      </text>
    </comment>
    <comment ref="I29" authorId="0" shapeId="0" xr:uid="{00000000-0006-0000-0200-00002D000000}">
      <text>
        <r>
          <rPr>
            <b/>
            <sz val="12"/>
            <color indexed="81"/>
            <rFont val="Tahoma"/>
            <family val="2"/>
          </rPr>
          <t>Input origination fee</t>
        </r>
      </text>
    </comment>
    <comment ref="C30" authorId="0" shapeId="0" xr:uid="{00000000-0006-0000-0200-00002E000000}">
      <text>
        <r>
          <rPr>
            <b/>
            <sz val="12"/>
            <color indexed="81"/>
            <rFont val="Tahoma"/>
            <family val="2"/>
          </rPr>
          <t>Input Discount Fee</t>
        </r>
      </text>
    </comment>
    <comment ref="E30" authorId="0" shapeId="0" xr:uid="{00000000-0006-0000-0200-00002F000000}">
      <text>
        <r>
          <rPr>
            <b/>
            <sz val="12"/>
            <color indexed="81"/>
            <rFont val="Tahoma"/>
            <family val="2"/>
          </rPr>
          <t>Input Discount Fee</t>
        </r>
      </text>
    </comment>
    <comment ref="G30" authorId="0" shapeId="0" xr:uid="{00000000-0006-0000-0200-000030000000}">
      <text>
        <r>
          <rPr>
            <b/>
            <sz val="12"/>
            <color indexed="81"/>
            <rFont val="Tahoma"/>
            <family val="2"/>
          </rPr>
          <t>Input Discount Fee</t>
        </r>
      </text>
    </comment>
    <comment ref="I30" authorId="0" shapeId="0" xr:uid="{00000000-0006-0000-0200-000031000000}">
      <text>
        <r>
          <rPr>
            <b/>
            <sz val="12"/>
            <color indexed="81"/>
            <rFont val="Tahoma"/>
            <family val="2"/>
          </rPr>
          <t>Input Discount Fee</t>
        </r>
      </text>
    </comment>
    <comment ref="C31" authorId="0" shapeId="0" xr:uid="{00000000-0006-0000-0200-000032000000}">
      <text>
        <r>
          <rPr>
            <b/>
            <sz val="12"/>
            <color indexed="81"/>
            <rFont val="Tahoma"/>
            <family val="2"/>
          </rPr>
          <t>Input Title, Escrow, Lender and miscellenous fees</t>
        </r>
      </text>
    </comment>
    <comment ref="E31" authorId="0" shapeId="0" xr:uid="{00000000-0006-0000-0200-000033000000}">
      <text>
        <r>
          <rPr>
            <b/>
            <sz val="12"/>
            <color indexed="81"/>
            <rFont val="Tahoma"/>
            <family val="2"/>
          </rPr>
          <t>Input Title, Escrow, Lender and miscellenous fees</t>
        </r>
      </text>
    </comment>
    <comment ref="G31" authorId="0" shapeId="0" xr:uid="{00000000-0006-0000-0200-000034000000}">
      <text>
        <r>
          <rPr>
            <b/>
            <sz val="12"/>
            <color indexed="81"/>
            <rFont val="Tahoma"/>
            <family val="2"/>
          </rPr>
          <t>Input Title, Escrow, Lender and miscellenous fees</t>
        </r>
      </text>
    </comment>
    <comment ref="I31" authorId="0" shapeId="0" xr:uid="{00000000-0006-0000-0200-000035000000}">
      <text>
        <r>
          <rPr>
            <b/>
            <sz val="12"/>
            <color indexed="81"/>
            <rFont val="Tahoma"/>
            <family val="2"/>
          </rPr>
          <t>Input Title, Escrow, Lender and miscellenous fees</t>
        </r>
      </text>
    </comment>
    <comment ref="C32" authorId="0" shapeId="0" xr:uid="{00000000-0006-0000-0200-000036000000}">
      <text>
        <r>
          <rPr>
            <b/>
            <sz val="12"/>
            <color indexed="81"/>
            <rFont val="Tahoma"/>
            <family val="2"/>
          </rPr>
          <t xml:space="preserve">Enter any rebate that will be used to pay closing costs for borrower
</t>
        </r>
      </text>
    </comment>
    <comment ref="E32" authorId="0" shapeId="0" xr:uid="{00000000-0006-0000-0200-000037000000}">
      <text>
        <r>
          <rPr>
            <b/>
            <sz val="12"/>
            <color indexed="81"/>
            <rFont val="Tahoma"/>
            <family val="2"/>
          </rPr>
          <t>Enter any rebate that maybe used to pay for borrowers closing costs</t>
        </r>
      </text>
    </comment>
    <comment ref="G32" authorId="0" shapeId="0" xr:uid="{00000000-0006-0000-0200-000038000000}">
      <text>
        <r>
          <rPr>
            <b/>
            <sz val="12"/>
            <color indexed="81"/>
            <rFont val="Tahoma"/>
            <family val="2"/>
          </rPr>
          <t>Enter any rebate that maybe used to pay for borrowers closing costs</t>
        </r>
      </text>
    </comment>
    <comment ref="I32" authorId="0" shapeId="0" xr:uid="{00000000-0006-0000-0200-000039000000}">
      <text>
        <r>
          <rPr>
            <b/>
            <sz val="12"/>
            <color indexed="81"/>
            <rFont val="Tahoma"/>
            <family val="2"/>
          </rPr>
          <t xml:space="preserve">Enter any rebate that maybe used to pay for borrowers closing costs
</t>
        </r>
      </text>
    </comment>
    <comment ref="D48" authorId="0" shapeId="0" xr:uid="{00000000-0006-0000-0200-00003A000000}">
      <text>
        <r>
          <rPr>
            <b/>
            <sz val="10"/>
            <color indexed="81"/>
            <rFont val="Tahoma"/>
            <family val="2"/>
          </rPr>
          <t>insert projected rate of return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00000000-0006-0000-0100-000001000000}">
      <text>
        <r>
          <rPr>
            <b/>
            <sz val="8"/>
            <color indexed="81"/>
            <rFont val="Tahoma"/>
            <family val="2"/>
          </rPr>
          <t xml:space="preserve">Author:
</t>
        </r>
      </text>
    </comment>
    <comment ref="C7" authorId="0" shapeId="0" xr:uid="{00000000-0006-0000-0100-000002000000}">
      <text>
        <r>
          <rPr>
            <b/>
            <sz val="8"/>
            <color indexed="81"/>
            <rFont val="Tahoma"/>
            <family val="2"/>
          </rPr>
          <t>Input Sales Price</t>
        </r>
      </text>
    </comment>
    <comment ref="E7" authorId="0" shapeId="0" xr:uid="{00000000-0006-0000-0100-000003000000}">
      <text>
        <r>
          <rPr>
            <b/>
            <sz val="8"/>
            <color indexed="81"/>
            <rFont val="Tahoma"/>
            <family val="2"/>
          </rPr>
          <t xml:space="preserve">Input Sales Price
</t>
        </r>
      </text>
    </comment>
    <comment ref="G7" authorId="0" shapeId="0" xr:uid="{00000000-0006-0000-0100-000004000000}">
      <text>
        <r>
          <rPr>
            <b/>
            <sz val="8"/>
            <color indexed="81"/>
            <rFont val="Tahoma"/>
            <family val="2"/>
          </rPr>
          <t xml:space="preserve">Input Sales Price
</t>
        </r>
      </text>
    </comment>
    <comment ref="I7" authorId="0" shapeId="0" xr:uid="{00000000-0006-0000-0100-000005000000}">
      <text>
        <r>
          <rPr>
            <b/>
            <sz val="8"/>
            <color indexed="81"/>
            <rFont val="Tahoma"/>
            <family val="2"/>
          </rPr>
          <t xml:space="preserve">Input Sales Price
</t>
        </r>
      </text>
    </comment>
    <comment ref="C8" authorId="0" shapeId="0" xr:uid="{00000000-0006-0000-0100-000006000000}">
      <text>
        <r>
          <rPr>
            <b/>
            <sz val="8"/>
            <color indexed="81"/>
            <rFont val="Tahoma"/>
            <family val="2"/>
          </rPr>
          <t>Input Down Payment as a percentage</t>
        </r>
      </text>
    </comment>
    <comment ref="E8" authorId="0" shapeId="0" xr:uid="{00000000-0006-0000-0100-000007000000}">
      <text>
        <r>
          <rPr>
            <b/>
            <sz val="8"/>
            <color indexed="81"/>
            <rFont val="Tahoma"/>
            <family val="2"/>
          </rPr>
          <t>Input Down Payment as a percentage</t>
        </r>
      </text>
    </comment>
    <comment ref="G8" authorId="0" shapeId="0" xr:uid="{00000000-0006-0000-0100-000008000000}">
      <text>
        <r>
          <rPr>
            <b/>
            <sz val="8"/>
            <color indexed="81"/>
            <rFont val="Tahoma"/>
            <family val="2"/>
          </rPr>
          <t>Input Down Payment as a percentage</t>
        </r>
      </text>
    </comment>
    <comment ref="I8" authorId="0" shapeId="0" xr:uid="{00000000-0006-0000-0100-000009000000}">
      <text>
        <r>
          <rPr>
            <b/>
            <sz val="8"/>
            <color indexed="81"/>
            <rFont val="Tahoma"/>
            <family val="2"/>
          </rPr>
          <t>Input Down Payment as a percentage</t>
        </r>
      </text>
    </comment>
    <comment ref="C10" authorId="0" shapeId="0" xr:uid="{00000000-0006-0000-0100-00000A000000}">
      <text>
        <r>
          <rPr>
            <b/>
            <sz val="8"/>
            <color indexed="81"/>
            <rFont val="Tahoma"/>
            <family val="2"/>
          </rPr>
          <t>Enter loan program Type</t>
        </r>
      </text>
    </comment>
    <comment ref="E10" authorId="0" shapeId="0" xr:uid="{00000000-0006-0000-0100-00000B000000}">
      <text>
        <r>
          <rPr>
            <b/>
            <sz val="8"/>
            <color indexed="81"/>
            <rFont val="Tahoma"/>
            <family val="2"/>
          </rPr>
          <t>Enter loan program Type</t>
        </r>
      </text>
    </comment>
    <comment ref="G10" authorId="0" shapeId="0" xr:uid="{00000000-0006-0000-0100-00000C000000}">
      <text>
        <r>
          <rPr>
            <b/>
            <sz val="8"/>
            <color indexed="81"/>
            <rFont val="Tahoma"/>
            <family val="2"/>
          </rPr>
          <t>Enter loan program Type</t>
        </r>
      </text>
    </comment>
    <comment ref="I10" authorId="0" shapeId="0" xr:uid="{00000000-0006-0000-0100-00000D000000}">
      <text>
        <r>
          <rPr>
            <b/>
            <sz val="8"/>
            <color indexed="81"/>
            <rFont val="Tahoma"/>
            <family val="2"/>
          </rPr>
          <t>Enter loan program Type</t>
        </r>
      </text>
    </comment>
    <comment ref="C12" authorId="0" shapeId="0" xr:uid="{00000000-0006-0000-0100-00000E000000}">
      <text>
        <r>
          <rPr>
            <b/>
            <sz val="8"/>
            <color indexed="81"/>
            <rFont val="Tahoma"/>
            <family val="2"/>
          </rPr>
          <t xml:space="preserve">Author:
</t>
        </r>
      </text>
    </comment>
    <comment ref="E12" authorId="0" shapeId="0" xr:uid="{00000000-0006-0000-0100-00000F000000}">
      <text>
        <r>
          <rPr>
            <b/>
            <sz val="8"/>
            <color indexed="81"/>
            <rFont val="Tahoma"/>
            <family val="2"/>
          </rPr>
          <t xml:space="preserve">Author:
</t>
        </r>
      </text>
    </comment>
    <comment ref="G12" authorId="0" shapeId="0" xr:uid="{00000000-0006-0000-0100-000010000000}">
      <text>
        <r>
          <rPr>
            <b/>
            <sz val="8"/>
            <color indexed="81"/>
            <rFont val="Tahoma"/>
            <family val="2"/>
          </rPr>
          <t xml:space="preserve">Author:
</t>
        </r>
      </text>
    </comment>
    <comment ref="I12" authorId="0" shapeId="0" xr:uid="{00000000-0006-0000-0100-000011000000}">
      <text>
        <r>
          <rPr>
            <b/>
            <sz val="8"/>
            <color indexed="81"/>
            <rFont val="Tahoma"/>
            <family val="2"/>
          </rPr>
          <t xml:space="preserve">Author:
</t>
        </r>
      </text>
    </comment>
    <comment ref="C13" authorId="0" shapeId="0" xr:uid="{00000000-0006-0000-0100-000012000000}">
      <text>
        <r>
          <rPr>
            <b/>
            <sz val="8"/>
            <color indexed="81"/>
            <rFont val="Tahoma"/>
            <family val="2"/>
          </rPr>
          <t>Input Fee as  a percentage</t>
        </r>
      </text>
    </comment>
    <comment ref="E13" authorId="0" shapeId="0" xr:uid="{00000000-0006-0000-0100-000013000000}">
      <text>
        <r>
          <rPr>
            <b/>
            <sz val="8"/>
            <color indexed="81"/>
            <rFont val="Tahoma"/>
            <family val="2"/>
          </rPr>
          <t>Input Fee as  a percentage</t>
        </r>
      </text>
    </comment>
    <comment ref="G13" authorId="0" shapeId="0" xr:uid="{00000000-0006-0000-0100-000014000000}">
      <text>
        <r>
          <rPr>
            <b/>
            <sz val="8"/>
            <color indexed="81"/>
            <rFont val="Tahoma"/>
            <family val="2"/>
          </rPr>
          <t>Input Fee as  a percentage</t>
        </r>
      </text>
    </comment>
    <comment ref="I13" authorId="0" shapeId="0" xr:uid="{00000000-0006-0000-0100-000015000000}">
      <text>
        <r>
          <rPr>
            <b/>
            <sz val="8"/>
            <color indexed="81"/>
            <rFont val="Tahoma"/>
            <family val="2"/>
          </rPr>
          <t>Input Fee as  a percentage</t>
        </r>
      </text>
    </comment>
    <comment ref="C14" authorId="0" shapeId="0" xr:uid="{00000000-0006-0000-0100-000016000000}">
      <text>
        <r>
          <rPr>
            <b/>
            <sz val="8"/>
            <color indexed="81"/>
            <rFont val="Tahoma"/>
            <family val="2"/>
          </rPr>
          <t>Input Fee as  a percentage</t>
        </r>
      </text>
    </comment>
    <comment ref="E14" authorId="0" shapeId="0" xr:uid="{00000000-0006-0000-0100-000017000000}">
      <text>
        <r>
          <rPr>
            <b/>
            <sz val="8"/>
            <color indexed="81"/>
            <rFont val="Tahoma"/>
            <family val="2"/>
          </rPr>
          <t>Input Fee as  a percentage</t>
        </r>
      </text>
    </comment>
    <comment ref="G14" authorId="0" shapeId="0" xr:uid="{00000000-0006-0000-0100-000018000000}">
      <text>
        <r>
          <rPr>
            <b/>
            <sz val="8"/>
            <color indexed="81"/>
            <rFont val="Tahoma"/>
            <family val="2"/>
          </rPr>
          <t>Input Fee as  a percentage</t>
        </r>
      </text>
    </comment>
    <comment ref="I14" authorId="0" shapeId="0" xr:uid="{00000000-0006-0000-0100-000019000000}">
      <text>
        <r>
          <rPr>
            <b/>
            <sz val="8"/>
            <color indexed="81"/>
            <rFont val="Tahoma"/>
            <family val="2"/>
          </rPr>
          <t>Input Fee as  a percentage</t>
        </r>
      </text>
    </comment>
    <comment ref="C15" authorId="0" shapeId="0" xr:uid="{00000000-0006-0000-0100-00001A000000}">
      <text>
        <r>
          <rPr>
            <b/>
            <sz val="8"/>
            <color indexed="81"/>
            <rFont val="Tahoma"/>
            <family val="2"/>
          </rPr>
          <t>Input Estimate of Title, Appraisal Escrow and other Misc. Fees</t>
        </r>
      </text>
    </comment>
    <comment ref="E15" authorId="0" shapeId="0" xr:uid="{00000000-0006-0000-0100-00001B000000}">
      <text>
        <r>
          <rPr>
            <b/>
            <sz val="8"/>
            <color indexed="81"/>
            <rFont val="Tahoma"/>
            <family val="2"/>
          </rPr>
          <t>Input Estimate of Title, Appraisal Escrow and other Misc. Fees</t>
        </r>
      </text>
    </comment>
    <comment ref="G15" authorId="0" shapeId="0" xr:uid="{00000000-0006-0000-0100-00001C000000}">
      <text>
        <r>
          <rPr>
            <b/>
            <sz val="8"/>
            <color indexed="81"/>
            <rFont val="Tahoma"/>
            <family val="2"/>
          </rPr>
          <t>Input Estimate of Title, Appraisal Escrow and other Misc. Fees</t>
        </r>
      </text>
    </comment>
    <comment ref="I15" authorId="0" shapeId="0" xr:uid="{00000000-0006-0000-0100-00001D000000}">
      <text>
        <r>
          <rPr>
            <b/>
            <sz val="8"/>
            <color indexed="81"/>
            <rFont val="Tahoma"/>
            <family val="2"/>
          </rPr>
          <t>Input Estimate of Title, Appraisal Escrow and other Misc. Fees</t>
        </r>
      </text>
    </comment>
    <comment ref="C17" authorId="0" shapeId="0" xr:uid="{00000000-0006-0000-0100-00001E000000}">
      <text>
        <r>
          <rPr>
            <b/>
            <sz val="8"/>
            <color indexed="81"/>
            <rFont val="Tahoma"/>
            <family val="2"/>
          </rPr>
          <t>Input any credit lender is offering as a percentage amount</t>
        </r>
      </text>
    </comment>
    <comment ref="E17" authorId="0" shapeId="0" xr:uid="{00000000-0006-0000-0100-00001F000000}">
      <text>
        <r>
          <rPr>
            <b/>
            <sz val="8"/>
            <color indexed="81"/>
            <rFont val="Tahoma"/>
            <family val="2"/>
          </rPr>
          <t>Input any credit lender is offering as a percentage amount</t>
        </r>
      </text>
    </comment>
    <comment ref="G17" authorId="0" shapeId="0" xr:uid="{00000000-0006-0000-0100-000020000000}">
      <text>
        <r>
          <rPr>
            <b/>
            <sz val="8"/>
            <color indexed="81"/>
            <rFont val="Tahoma"/>
            <family val="2"/>
          </rPr>
          <t>Input any credit lender is offering as a percentage amount</t>
        </r>
      </text>
    </comment>
    <comment ref="I17" authorId="0" shapeId="0" xr:uid="{00000000-0006-0000-0100-000021000000}">
      <text>
        <r>
          <rPr>
            <b/>
            <sz val="8"/>
            <color indexed="81"/>
            <rFont val="Tahoma"/>
            <family val="2"/>
          </rPr>
          <t>Input any credit lender is offering as a percentage amount</t>
        </r>
      </text>
    </comment>
    <comment ref="C19" authorId="0" shapeId="0" xr:uid="{00000000-0006-0000-0100-000022000000}">
      <text>
        <r>
          <rPr>
            <b/>
            <sz val="8"/>
            <color indexed="81"/>
            <rFont val="Tahoma"/>
            <family val="2"/>
          </rPr>
          <t xml:space="preserve">Enter loan amount of second or leave blank if no second do not put zero just leave blank
</t>
        </r>
      </text>
    </comment>
    <comment ref="E19" authorId="0" shapeId="0" xr:uid="{00000000-0006-0000-0100-000023000000}">
      <text>
        <r>
          <rPr>
            <b/>
            <sz val="8"/>
            <color indexed="81"/>
            <rFont val="Tahoma"/>
            <family val="2"/>
          </rPr>
          <t xml:space="preserve">Enter loan amount of second or leave blank if no second do not put zero just leave blank
</t>
        </r>
      </text>
    </comment>
    <comment ref="G19" authorId="0" shapeId="0" xr:uid="{00000000-0006-0000-0100-000024000000}">
      <text>
        <r>
          <rPr>
            <b/>
            <sz val="8"/>
            <color indexed="81"/>
            <rFont val="Tahoma"/>
            <family val="2"/>
          </rPr>
          <t xml:space="preserve">Enter loan amount of second or leave blank if no second do not put zero just leave blank
</t>
        </r>
      </text>
    </comment>
    <comment ref="I19" authorId="0" shapeId="0" xr:uid="{00000000-0006-0000-0100-000025000000}">
      <text>
        <r>
          <rPr>
            <b/>
            <sz val="8"/>
            <color indexed="81"/>
            <rFont val="Tahoma"/>
            <family val="2"/>
          </rPr>
          <t xml:space="preserve">Enter loan amount of second or leave blank if no second do not put zero just leave blank
</t>
        </r>
      </text>
    </comment>
    <comment ref="C20" authorId="0" shapeId="0" xr:uid="{00000000-0006-0000-0100-000026000000}">
      <text>
        <r>
          <rPr>
            <b/>
            <sz val="8"/>
            <color indexed="81"/>
            <rFont val="Tahoma"/>
            <family val="2"/>
          </rPr>
          <t xml:space="preserve">Author:
</t>
        </r>
      </text>
    </comment>
    <comment ref="E20" authorId="0" shapeId="0" xr:uid="{00000000-0006-0000-0100-000027000000}">
      <text>
        <r>
          <rPr>
            <b/>
            <sz val="8"/>
            <color indexed="81"/>
            <rFont val="Tahoma"/>
            <family val="2"/>
          </rPr>
          <t xml:space="preserve">Author:
</t>
        </r>
      </text>
    </comment>
    <comment ref="G20" authorId="0" shapeId="0" xr:uid="{00000000-0006-0000-0100-000028000000}">
      <text>
        <r>
          <rPr>
            <b/>
            <sz val="8"/>
            <color indexed="81"/>
            <rFont val="Tahoma"/>
            <family val="2"/>
          </rPr>
          <t xml:space="preserve">Author:
</t>
        </r>
      </text>
    </comment>
    <comment ref="I20" authorId="0" shapeId="0" xr:uid="{00000000-0006-0000-0100-000029000000}">
      <text>
        <r>
          <rPr>
            <b/>
            <sz val="8"/>
            <color indexed="81"/>
            <rFont val="Tahoma"/>
            <family val="2"/>
          </rPr>
          <t xml:space="preserve">Author:
</t>
        </r>
      </text>
    </comment>
    <comment ref="C21" authorId="0" shapeId="0" xr:uid="{00000000-0006-0000-0100-00002A000000}">
      <text>
        <r>
          <rPr>
            <b/>
            <sz val="8"/>
            <color indexed="81"/>
            <rFont val="Tahoma"/>
            <family val="2"/>
          </rPr>
          <t>Insert Fee</t>
        </r>
      </text>
    </comment>
    <comment ref="E21" authorId="0" shapeId="0" xr:uid="{00000000-0006-0000-0100-00002B000000}">
      <text>
        <r>
          <rPr>
            <b/>
            <sz val="8"/>
            <color indexed="81"/>
            <rFont val="Tahoma"/>
            <family val="2"/>
          </rPr>
          <t>Insert Fee</t>
        </r>
      </text>
    </comment>
    <comment ref="G21" authorId="0" shapeId="0" xr:uid="{00000000-0006-0000-0100-00002C000000}">
      <text>
        <r>
          <rPr>
            <b/>
            <sz val="8"/>
            <color indexed="81"/>
            <rFont val="Tahoma"/>
            <family val="2"/>
          </rPr>
          <t>Insert Fee</t>
        </r>
      </text>
    </comment>
    <comment ref="I21" authorId="0" shapeId="0" xr:uid="{00000000-0006-0000-0100-00002D000000}">
      <text>
        <r>
          <rPr>
            <b/>
            <sz val="8"/>
            <color indexed="81"/>
            <rFont val="Tahoma"/>
            <family val="2"/>
          </rPr>
          <t>Insert Fee</t>
        </r>
      </text>
    </comment>
    <comment ref="C22" authorId="0" shapeId="0" xr:uid="{00000000-0006-0000-0100-00002E000000}">
      <text>
        <r>
          <rPr>
            <b/>
            <sz val="8"/>
            <color indexed="81"/>
            <rFont val="Tahoma"/>
            <family val="2"/>
          </rPr>
          <t>Insert Fee</t>
        </r>
      </text>
    </comment>
    <comment ref="E22" authorId="0" shapeId="0" xr:uid="{00000000-0006-0000-0100-00002F000000}">
      <text>
        <r>
          <rPr>
            <b/>
            <sz val="8"/>
            <color indexed="81"/>
            <rFont val="Tahoma"/>
            <family val="2"/>
          </rPr>
          <t>Insert Fee</t>
        </r>
      </text>
    </comment>
    <comment ref="G22" authorId="0" shapeId="0" xr:uid="{00000000-0006-0000-0100-000030000000}">
      <text>
        <r>
          <rPr>
            <b/>
            <sz val="8"/>
            <color indexed="81"/>
            <rFont val="Tahoma"/>
            <family val="2"/>
          </rPr>
          <t>Insert Fee</t>
        </r>
      </text>
    </comment>
    <comment ref="I22" authorId="0" shapeId="0" xr:uid="{00000000-0006-0000-0100-000031000000}">
      <text>
        <r>
          <rPr>
            <b/>
            <sz val="8"/>
            <color indexed="81"/>
            <rFont val="Tahoma"/>
            <family val="2"/>
          </rPr>
          <t>Insert Fee</t>
        </r>
      </text>
    </comment>
    <comment ref="D23" authorId="0" shapeId="0" xr:uid="{00000000-0006-0000-0100-000032000000}">
      <text>
        <r>
          <rPr>
            <b/>
            <sz val="8"/>
            <color indexed="81"/>
            <rFont val="Tahoma"/>
            <family val="2"/>
          </rPr>
          <t>Author:</t>
        </r>
        <r>
          <rPr>
            <sz val="8"/>
            <color indexed="81"/>
            <rFont val="Tahoma"/>
            <family val="2"/>
          </rPr>
          <t xml:space="preserve">
</t>
        </r>
      </text>
    </comment>
    <comment ref="F23" authorId="0" shapeId="0" xr:uid="{00000000-0006-0000-0100-000033000000}">
      <text>
        <r>
          <rPr>
            <b/>
            <sz val="8"/>
            <color indexed="81"/>
            <rFont val="Tahoma"/>
            <family val="2"/>
          </rPr>
          <t xml:space="preserve">Author:
</t>
        </r>
      </text>
    </comment>
    <comment ref="H23" authorId="0" shapeId="0" xr:uid="{00000000-0006-0000-0100-000034000000}">
      <text>
        <r>
          <rPr>
            <b/>
            <sz val="8"/>
            <color indexed="81"/>
            <rFont val="Tahoma"/>
            <family val="2"/>
          </rPr>
          <t xml:space="preserve">Author:
</t>
        </r>
      </text>
    </comment>
    <comment ref="J23" authorId="0" shapeId="0" xr:uid="{00000000-0006-0000-0100-000035000000}">
      <text>
        <r>
          <rPr>
            <b/>
            <sz val="8"/>
            <color indexed="81"/>
            <rFont val="Tahoma"/>
            <family val="2"/>
          </rPr>
          <t xml:space="preserve">Author:
</t>
        </r>
      </text>
    </comment>
    <comment ref="C24" authorId="0" shapeId="0" xr:uid="{00000000-0006-0000-0100-000036000000}">
      <text>
        <r>
          <rPr>
            <b/>
            <sz val="8"/>
            <color indexed="81"/>
            <rFont val="Tahoma"/>
            <family val="2"/>
          </rPr>
          <t xml:space="preserve">Author:
</t>
        </r>
      </text>
    </comment>
    <comment ref="E24" authorId="0" shapeId="0" xr:uid="{00000000-0006-0000-0100-000037000000}">
      <text>
        <r>
          <rPr>
            <b/>
            <sz val="8"/>
            <color indexed="81"/>
            <rFont val="Tahoma"/>
            <family val="2"/>
          </rPr>
          <t xml:space="preserve">Author:
</t>
        </r>
      </text>
    </comment>
    <comment ref="G24" authorId="0" shapeId="0" xr:uid="{00000000-0006-0000-0100-000038000000}">
      <text>
        <r>
          <rPr>
            <b/>
            <sz val="8"/>
            <color indexed="81"/>
            <rFont val="Tahoma"/>
            <family val="2"/>
          </rPr>
          <t xml:space="preserve">Author:
</t>
        </r>
      </text>
    </comment>
    <comment ref="I24" authorId="0" shapeId="0" xr:uid="{00000000-0006-0000-0100-000039000000}">
      <text>
        <r>
          <rPr>
            <b/>
            <sz val="8"/>
            <color indexed="81"/>
            <rFont val="Tahoma"/>
            <family val="2"/>
          </rPr>
          <t xml:space="preserve">Author:
</t>
        </r>
      </text>
    </comment>
    <comment ref="B31" authorId="0" shapeId="0" xr:uid="{00000000-0006-0000-0100-00003A000000}">
      <text>
        <r>
          <rPr>
            <b/>
            <sz val="8"/>
            <color indexed="81"/>
            <rFont val="Tahoma"/>
            <family val="2"/>
          </rPr>
          <t>Input monthly HOA Fee</t>
        </r>
      </text>
    </comment>
    <comment ref="B32" authorId="0" shapeId="0" xr:uid="{00000000-0006-0000-0100-00003B000000}">
      <text>
        <r>
          <rPr>
            <b/>
            <sz val="8"/>
            <color indexed="81"/>
            <rFont val="Tahoma"/>
            <family val="2"/>
          </rPr>
          <t>Enter percentage for home insurance
0 if not applicable</t>
        </r>
      </text>
    </comment>
    <comment ref="B36" authorId="0" shapeId="0" xr:uid="{00000000-0006-0000-0100-00003C000000}">
      <text>
        <r>
          <rPr>
            <b/>
            <sz val="8"/>
            <color indexed="81"/>
            <rFont val="Tahoma"/>
            <family val="2"/>
          </rPr>
          <t>Input Borrowers estimated tax bracket</t>
        </r>
      </text>
    </comment>
  </commentList>
</comments>
</file>

<file path=xl/sharedStrings.xml><?xml version="1.0" encoding="utf-8"?>
<sst xmlns="http://schemas.openxmlformats.org/spreadsheetml/2006/main" count="216" uniqueCount="164">
  <si>
    <t>10 Year Fixed</t>
  </si>
  <si>
    <t>20 Year Fixed</t>
  </si>
  <si>
    <t>25 Year Fixed</t>
  </si>
  <si>
    <t>30 Year Fixed</t>
  </si>
  <si>
    <t>15 Year Fixed</t>
  </si>
  <si>
    <t>30/5</t>
  </si>
  <si>
    <t>30/10</t>
  </si>
  <si>
    <t>30/15</t>
  </si>
  <si>
    <t>11th District ARM</t>
  </si>
  <si>
    <t>5/1 ARM</t>
  </si>
  <si>
    <t>3/1 ARM</t>
  </si>
  <si>
    <t>7/1 ARM</t>
  </si>
  <si>
    <t>1 year T Bill ARM</t>
  </si>
  <si>
    <t>6 Month CD ARM</t>
  </si>
  <si>
    <t>3/1 interest only</t>
  </si>
  <si>
    <t>i/o</t>
  </si>
  <si>
    <t>5/1 interest only</t>
  </si>
  <si>
    <t>7/1 interest only</t>
  </si>
  <si>
    <t>10/1 interest only</t>
  </si>
  <si>
    <t>30/10 interest only</t>
  </si>
  <si>
    <t>12 MAT ARM</t>
  </si>
  <si>
    <t>CALHFA 30</t>
  </si>
  <si>
    <t>CALHFA 40</t>
  </si>
  <si>
    <t>40 Year Fixed</t>
  </si>
  <si>
    <t>Secure Option ARM</t>
  </si>
  <si>
    <t>Option ARM</t>
  </si>
  <si>
    <t>2-1 Buydown</t>
  </si>
  <si>
    <t>3-2-1 Buydown</t>
  </si>
  <si>
    <t>1 year T Bill ARM i/o</t>
  </si>
  <si>
    <t>FHA 30 Year Fixed</t>
  </si>
  <si>
    <t>FHA Adjustable</t>
  </si>
  <si>
    <t>FHA 2-1 Buydown</t>
  </si>
  <si>
    <t>FHA 15 Year Fixed</t>
  </si>
  <si>
    <t>CalPers</t>
  </si>
  <si>
    <t>Cal STRS</t>
  </si>
  <si>
    <t>None</t>
  </si>
  <si>
    <t>MI Factors</t>
  </si>
  <si>
    <t>&gt;=97.00%</t>
  </si>
  <si>
    <t>&gt;=95.00%</t>
  </si>
  <si>
    <t>&gt;=90.00%</t>
  </si>
  <si>
    <t>&gt;=85.00%</t>
  </si>
  <si>
    <t>&gt;=80.01%</t>
  </si>
  <si>
    <t>MIP</t>
  </si>
  <si>
    <t>30 year</t>
  </si>
  <si>
    <t>15 year</t>
  </si>
  <si>
    <t>Monthly</t>
  </si>
  <si>
    <t>Payoff</t>
  </si>
  <si>
    <t>Upfront</t>
  </si>
  <si>
    <t>No MI</t>
  </si>
  <si>
    <t>Option4</t>
  </si>
  <si>
    <t>Bill Moran</t>
  </si>
  <si>
    <t>818-404-9783</t>
  </si>
  <si>
    <t>Loan Comparison</t>
  </si>
  <si>
    <t>Purchase Information</t>
  </si>
  <si>
    <t>Name</t>
  </si>
  <si>
    <t>Purchase Price</t>
  </si>
  <si>
    <t>Down Payment</t>
  </si>
  <si>
    <t>Type</t>
  </si>
  <si>
    <t>1st Loan</t>
  </si>
  <si>
    <t xml:space="preserve">Proposed Interest Rate </t>
  </si>
  <si>
    <t>Origination Fee</t>
  </si>
  <si>
    <t>Discount Fee</t>
  </si>
  <si>
    <t>Escrow/Title/Misc. Fees</t>
  </si>
  <si>
    <t>Term</t>
  </si>
  <si>
    <t>Credit From Lender</t>
  </si>
  <si>
    <t>APR</t>
  </si>
  <si>
    <t>2nd Mortgage</t>
  </si>
  <si>
    <t>Proposed Interest Rate</t>
  </si>
  <si>
    <t>Total Closing Cost</t>
  </si>
  <si>
    <t>P&amp;I 1st</t>
  </si>
  <si>
    <t>Mortgage Insurance/MIP</t>
  </si>
  <si>
    <t>P&amp;I 2nd</t>
  </si>
  <si>
    <t>I/0</t>
  </si>
  <si>
    <t>Property Taxes</t>
  </si>
  <si>
    <t>HOA</t>
  </si>
  <si>
    <t>Insurance</t>
  </si>
  <si>
    <t>Total PITI</t>
  </si>
  <si>
    <t>Total ITI</t>
  </si>
  <si>
    <t>LTV</t>
  </si>
  <si>
    <t>CLTV</t>
  </si>
  <si>
    <t>Tax Benefit</t>
  </si>
  <si>
    <t>1st</t>
  </si>
  <si>
    <t>2nd</t>
  </si>
  <si>
    <t>Mortgage insurance</t>
  </si>
  <si>
    <t>taxes</t>
  </si>
  <si>
    <t>Effective After Tax Pay*</t>
  </si>
  <si>
    <t>Annual Salary</t>
  </si>
  <si>
    <t>Front Ratio</t>
  </si>
  <si>
    <t>Monthly Debts</t>
  </si>
  <si>
    <t>Car</t>
  </si>
  <si>
    <t>Credit Card</t>
  </si>
  <si>
    <t>Total</t>
  </si>
  <si>
    <t xml:space="preserve"> Pacific Financial</t>
  </si>
  <si>
    <t>This is designed to show you up to 4 different options when available to help you determine which is the best debt structure for you. Based on current information we have for you.</t>
  </si>
  <si>
    <t>Prepared for:</t>
  </si>
  <si>
    <t>Castillo</t>
  </si>
  <si>
    <t>Prepared by:</t>
  </si>
  <si>
    <t>For a more customized spreadsheet tailored to your loan or individual needs please consult with the loan officer who prepared this spreadsheet</t>
  </si>
  <si>
    <t>Address:</t>
  </si>
  <si>
    <t>Existing Loan Information</t>
  </si>
  <si>
    <t>Existing Mortgages</t>
  </si>
  <si>
    <t>Other Liabilities</t>
  </si>
  <si>
    <t>Payoff years</t>
  </si>
  <si>
    <t>Creditor</t>
  </si>
  <si>
    <t>Balance</t>
  </si>
  <si>
    <t>Rate</t>
  </si>
  <si>
    <t>Payment</t>
  </si>
  <si>
    <t>Interest</t>
  </si>
  <si>
    <t>Original Loan Balance 1st</t>
  </si>
  <si>
    <t>Card</t>
  </si>
  <si>
    <t>Term(years)</t>
  </si>
  <si>
    <t>Interest Rate</t>
  </si>
  <si>
    <t>Number of payments made</t>
  </si>
  <si>
    <t>Auto</t>
  </si>
  <si>
    <t>Current Balance</t>
  </si>
  <si>
    <t>Other</t>
  </si>
  <si>
    <t>Current Payment (P&amp;I)</t>
  </si>
  <si>
    <t>Cash-Out</t>
  </si>
  <si>
    <t>Original Loan Balance 2nd</t>
  </si>
  <si>
    <t>Creditors</t>
  </si>
  <si>
    <t>Term (years)</t>
  </si>
  <si>
    <t>Total Interest</t>
  </si>
  <si>
    <t>Interest Paid</t>
  </si>
  <si>
    <t>Remaining Interest</t>
  </si>
  <si>
    <t>Remaining Principal</t>
  </si>
  <si>
    <t>Years left</t>
  </si>
  <si>
    <t>Total Mtg. Payments</t>
  </si>
  <si>
    <t>Deductible</t>
  </si>
  <si>
    <t>New Loan Proposals</t>
  </si>
  <si>
    <t>Lender Credit</t>
  </si>
  <si>
    <t>New Proposed Loan Amount</t>
  </si>
  <si>
    <t>New Payment</t>
  </si>
  <si>
    <t>Net Savings (per month)</t>
  </si>
  <si>
    <t>Term Reduction</t>
  </si>
  <si>
    <t>Apply the monthly savings towards your new loan as a principal reduction and you will be debt free in the indicated amount of years</t>
  </si>
  <si>
    <t>Total Interest you will pay on new loan</t>
  </si>
  <si>
    <t>Interest Saved/lost</t>
  </si>
  <si>
    <t>Bracket</t>
  </si>
  <si>
    <t xml:space="preserve">New </t>
  </si>
  <si>
    <t>Previous</t>
  </si>
  <si>
    <t>Asset Accumulation</t>
  </si>
  <si>
    <t>Summary:</t>
  </si>
  <si>
    <t>Small changes in the way you structure your debt can add up to hundreds or even thousands of dollars. These options may not all be available and are not exact. Your investment results may vary this is only an illustration of potential results.  Please consult with your tax advisor for individual savings.</t>
  </si>
  <si>
    <t>FHA HB 30 Year</t>
  </si>
  <si>
    <t>High Bal</t>
  </si>
  <si>
    <t>Refinance Sheet</t>
  </si>
  <si>
    <t>Inc CC</t>
  </si>
  <si>
    <t>Payoff 1st, 2nd, Debt</t>
  </si>
  <si>
    <t>Payoff 1st</t>
  </si>
  <si>
    <t>Payoff 1st &amp; 2nd</t>
  </si>
  <si>
    <t>Julia</t>
  </si>
  <si>
    <t>JPMCB</t>
  </si>
  <si>
    <t>Apple</t>
  </si>
  <si>
    <t>Discover</t>
  </si>
  <si>
    <t>Amex</t>
  </si>
  <si>
    <t>BofA</t>
  </si>
  <si>
    <t>Diana</t>
  </si>
  <si>
    <t>Dept Ed</t>
  </si>
  <si>
    <t>US Dept Ed</t>
  </si>
  <si>
    <t>Chavando</t>
  </si>
  <si>
    <t>Click Box To Invest Monthly Savings</t>
  </si>
  <si>
    <t>Benefit After Years</t>
  </si>
  <si>
    <t>Check Box To Invest CashOut</t>
  </si>
  <si>
    <t>Rate of Return on Invest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</si>
</sst>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7" formatCode="&quot;$&quot;#,##0.00_);\(&quot;$&quot;#,##0.00\)"/>
    <numFmt numFmtId="8" formatCode="&quot;$&quot;#,##0.00_);[Red]\(&quot;$&quot;#,##0.00\)"/>
    <numFmt numFmtId="44" formatCode="_(&quot;$&quot;* #,##0.00_);_(&quot;$&quot;* \(#,##0.00\);_(&quot;$&quot;* &quot;-&quot;??_);_(@_)"/>
    <numFmt numFmtId="43" formatCode="_(* #,##0.00_);_(* \(#,##0.00\);_(* &quot;-&quot;??_);_(@_)"/>
    <numFmt numFmtId="164" formatCode="0.000%"/>
    <numFmt numFmtId="165" formatCode="&quot;$&quot;#,##0.00"/>
    <numFmt numFmtId="166" formatCode="#,##0.0"/>
    <numFmt numFmtId="167" formatCode="_(* #,##0_);_(* \(#,##0\);_(* &quot;-&quot;??_);_(@_)"/>
    <numFmt numFmtId="168" formatCode="&quot;$&quot;#,##0"/>
    <numFmt numFmtId="169" formatCode="0.0%"/>
    <numFmt numFmtId="170" formatCode="#,##0.000_);\(#,##0.000\)"/>
    <numFmt numFmtId="171" formatCode="_(* #,##0.0000_);_(* \(#,##0.0000\);_(* &quot;-&quot;??_);_(@_)"/>
    <numFmt numFmtId="172" formatCode=";;;"/>
    <numFmt numFmtId="173" formatCode="#,##0.000"/>
  </numFmts>
  <fonts count="21" x14ac:knownFonts="1">
    <font>
      <sz val="10"/>
      <name val="Arial"/>
    </font>
    <font>
      <sz val="10"/>
      <name val="Arial"/>
      <family val="2"/>
    </font>
    <font>
      <b/>
      <sz val="10"/>
      <name val="Arial"/>
      <family val="2"/>
    </font>
    <font>
      <b/>
      <i/>
      <sz val="10"/>
      <name val="Arial"/>
      <family val="2"/>
    </font>
    <font>
      <i/>
      <sz val="10"/>
      <name val="Arial"/>
      <family val="2"/>
    </font>
    <font>
      <b/>
      <sz val="8"/>
      <color indexed="81"/>
      <name val="Tahoma"/>
      <family val="2"/>
    </font>
    <font>
      <b/>
      <sz val="12"/>
      <color indexed="81"/>
      <name val="Tahoma"/>
      <family val="2"/>
    </font>
    <font>
      <sz val="9"/>
      <name val="Arial"/>
      <family val="2"/>
    </font>
    <font>
      <b/>
      <sz val="9"/>
      <name val="Arial"/>
      <family val="2"/>
    </font>
    <font>
      <b/>
      <sz val="10"/>
      <color indexed="81"/>
      <name val="Tahoma"/>
      <family val="2"/>
    </font>
    <font>
      <b/>
      <i/>
      <sz val="12"/>
      <name val="Arial"/>
      <family val="2"/>
    </font>
    <font>
      <sz val="12"/>
      <name val="Arial"/>
      <family val="2"/>
    </font>
    <font>
      <b/>
      <i/>
      <sz val="16"/>
      <name val="Arial"/>
      <family val="2"/>
    </font>
    <font>
      <b/>
      <i/>
      <sz val="22"/>
      <name val="Times New Roman"/>
      <family val="1"/>
    </font>
    <font>
      <b/>
      <sz val="12"/>
      <name val="Arial"/>
      <family val="2"/>
    </font>
    <font>
      <sz val="16"/>
      <name val="Arial"/>
      <family val="2"/>
    </font>
    <font>
      <sz val="8"/>
      <name val="Arial"/>
      <family val="2"/>
    </font>
    <font>
      <sz val="8"/>
      <color indexed="81"/>
      <name val="Tahoma"/>
      <family val="2"/>
    </font>
    <font>
      <sz val="8"/>
      <name val="Arial"/>
      <family val="2"/>
    </font>
    <font>
      <b/>
      <sz val="8"/>
      <name val="Arial"/>
      <family val="2"/>
    </font>
    <font>
      <sz val="8"/>
      <color rgb="FF000000"/>
      <name val="Segoe UI"/>
      <family val="2"/>
    </font>
  </fonts>
  <fills count="3">
    <fill>
      <patternFill patternType="none"/>
    </fill>
    <fill>
      <patternFill patternType="gray125"/>
    </fill>
    <fill>
      <patternFill patternType="solid">
        <fgColor indexed="22"/>
        <bgColor indexed="64"/>
      </patternFill>
    </fill>
  </fills>
  <borders count="21">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92">
    <xf numFmtId="0" fontId="0" fillId="0" borderId="0" xfId="0"/>
    <xf numFmtId="3" fontId="0" fillId="0" borderId="0" xfId="0" applyNumberFormat="1" applyProtection="1">
      <protection locked="0"/>
    </xf>
    <xf numFmtId="164" fontId="0" fillId="0" borderId="0" xfId="0" applyNumberFormat="1" applyProtection="1">
      <protection locked="0"/>
    </xf>
    <xf numFmtId="4" fontId="0" fillId="0" borderId="0" xfId="0" applyNumberFormat="1"/>
    <xf numFmtId="0" fontId="2" fillId="0" borderId="0" xfId="0" applyFont="1"/>
    <xf numFmtId="0" fontId="0" fillId="2" borderId="0" xfId="0" applyFill="1"/>
    <xf numFmtId="0" fontId="2" fillId="0" borderId="1" xfId="0" applyFont="1" applyBorder="1"/>
    <xf numFmtId="0" fontId="2" fillId="0" borderId="2" xfId="0" applyFont="1" applyBorder="1"/>
    <xf numFmtId="0" fontId="2" fillId="0" borderId="3" xfId="0" applyFont="1" applyBorder="1"/>
    <xf numFmtId="164" fontId="0" fillId="0" borderId="1" xfId="0" applyNumberFormat="1" applyBorder="1" applyAlignment="1" applyProtection="1">
      <alignment horizontal="center"/>
      <protection locked="0"/>
    </xf>
    <xf numFmtId="164" fontId="0" fillId="0" borderId="0" xfId="0" applyNumberFormat="1" applyAlignment="1" applyProtection="1">
      <alignment horizontal="center"/>
      <protection locked="0"/>
    </xf>
    <xf numFmtId="0" fontId="13" fillId="0" borderId="0" xfId="0" applyFont="1"/>
    <xf numFmtId="0" fontId="2" fillId="2" borderId="0" xfId="0" applyFont="1" applyFill="1"/>
    <xf numFmtId="4" fontId="3" fillId="2" borderId="0" xfId="0" applyNumberFormat="1" applyFont="1" applyFill="1"/>
    <xf numFmtId="43" fontId="1" fillId="0" borderId="0" xfId="1"/>
    <xf numFmtId="0" fontId="2" fillId="0" borderId="4" xfId="0" applyFont="1" applyBorder="1"/>
    <xf numFmtId="0" fontId="2" fillId="2" borderId="5" xfId="0" applyFont="1" applyFill="1" applyBorder="1"/>
    <xf numFmtId="0" fontId="0" fillId="2" borderId="6" xfId="0" applyFill="1" applyBorder="1"/>
    <xf numFmtId="4" fontId="3" fillId="2" borderId="6" xfId="0" applyNumberFormat="1" applyFont="1" applyFill="1" applyBorder="1"/>
    <xf numFmtId="0" fontId="0" fillId="2" borderId="7" xfId="0" applyFill="1" applyBorder="1"/>
    <xf numFmtId="0" fontId="0" fillId="0" borderId="8" xfId="0" applyBorder="1"/>
    <xf numFmtId="164" fontId="8" fillId="0" borderId="4" xfId="0" applyNumberFormat="1" applyFont="1" applyBorder="1"/>
    <xf numFmtId="43" fontId="0" fillId="0" borderId="0" xfId="0" applyNumberFormat="1"/>
    <xf numFmtId="164" fontId="2" fillId="0" borderId="4" xfId="0" applyNumberFormat="1" applyFont="1" applyBorder="1" applyAlignment="1">
      <alignment horizontal="center"/>
    </xf>
    <xf numFmtId="0" fontId="0" fillId="0" borderId="1" xfId="0" applyBorder="1"/>
    <xf numFmtId="4" fontId="7" fillId="0" borderId="2" xfId="0" applyNumberFormat="1" applyFont="1" applyBorder="1"/>
    <xf numFmtId="0" fontId="2" fillId="0" borderId="5" xfId="0" applyFont="1" applyBorder="1"/>
    <xf numFmtId="0" fontId="0" fillId="0" borderId="6" xfId="0" applyBorder="1"/>
    <xf numFmtId="10" fontId="1" fillId="0" borderId="0" xfId="3" applyNumberFormat="1"/>
    <xf numFmtId="0" fontId="3" fillId="0" borderId="1" xfId="0" applyFont="1" applyBorder="1" applyAlignment="1">
      <alignment horizontal="right"/>
    </xf>
    <xf numFmtId="10" fontId="1" fillId="0" borderId="1" xfId="3" applyNumberFormat="1" applyBorder="1"/>
    <xf numFmtId="4" fontId="8" fillId="0" borderId="2" xfId="0" applyNumberFormat="1" applyFont="1" applyBorder="1"/>
    <xf numFmtId="168" fontId="0" fillId="0" borderId="0" xfId="0" applyNumberFormat="1"/>
    <xf numFmtId="168" fontId="0" fillId="0" borderId="0" xfId="0" applyNumberFormat="1" applyProtection="1">
      <protection locked="0"/>
    </xf>
    <xf numFmtId="3" fontId="0" fillId="0" borderId="0" xfId="0" applyNumberFormat="1"/>
    <xf numFmtId="168" fontId="2" fillId="0" borderId="0" xfId="0" applyNumberFormat="1" applyFont="1"/>
    <xf numFmtId="168" fontId="13" fillId="0" borderId="0" xfId="0" applyNumberFormat="1" applyFont="1"/>
    <xf numFmtId="168" fontId="15" fillId="0" borderId="0" xfId="0" applyNumberFormat="1" applyFont="1"/>
    <xf numFmtId="168" fontId="12" fillId="0" borderId="0" xfId="0" applyNumberFormat="1" applyFont="1"/>
    <xf numFmtId="168" fontId="2" fillId="0" borderId="0" xfId="0" applyNumberFormat="1" applyFont="1" applyAlignment="1">
      <alignment horizontal="center"/>
    </xf>
    <xf numFmtId="168" fontId="2" fillId="0" borderId="0" xfId="0" applyNumberFormat="1" applyFont="1" applyAlignment="1">
      <alignment horizontal="right"/>
    </xf>
    <xf numFmtId="168" fontId="0" fillId="0" borderId="0" xfId="0" applyNumberFormat="1" applyAlignment="1">
      <alignment horizontal="center"/>
    </xf>
    <xf numFmtId="168" fontId="0" fillId="0" borderId="0" xfId="1" applyNumberFormat="1" applyFont="1"/>
    <xf numFmtId="168" fontId="2" fillId="0" borderId="1" xfId="0" applyNumberFormat="1" applyFont="1" applyBorder="1"/>
    <xf numFmtId="168" fontId="0" fillId="0" borderId="0" xfId="0" applyNumberFormat="1" applyAlignment="1">
      <alignment horizontal="right"/>
    </xf>
    <xf numFmtId="168" fontId="0" fillId="0" borderId="1" xfId="0" applyNumberFormat="1" applyBorder="1" applyAlignment="1" applyProtection="1">
      <alignment horizontal="center"/>
      <protection locked="0"/>
    </xf>
    <xf numFmtId="168" fontId="0" fillId="0" borderId="1" xfId="0" applyNumberFormat="1" applyBorder="1" applyAlignment="1">
      <alignment horizontal="center"/>
    </xf>
    <xf numFmtId="168" fontId="2" fillId="0" borderId="2" xfId="0" applyNumberFormat="1" applyFont="1" applyBorder="1" applyAlignment="1">
      <alignment horizontal="right"/>
    </xf>
    <xf numFmtId="168" fontId="2" fillId="0" borderId="2" xfId="0" applyNumberFormat="1" applyFont="1" applyBorder="1" applyAlignment="1">
      <alignment horizontal="center"/>
    </xf>
    <xf numFmtId="168" fontId="2" fillId="0" borderId="3" xfId="0" applyNumberFormat="1" applyFont="1" applyBorder="1"/>
    <xf numFmtId="168" fontId="0" fillId="0" borderId="3" xfId="0" applyNumberFormat="1" applyBorder="1" applyAlignment="1">
      <alignment horizontal="center"/>
    </xf>
    <xf numFmtId="168" fontId="0" fillId="0" borderId="2" xfId="0" applyNumberFormat="1" applyBorder="1"/>
    <xf numFmtId="168" fontId="0" fillId="2" borderId="5" xfId="0" applyNumberFormat="1" applyFill="1" applyBorder="1"/>
    <xf numFmtId="168" fontId="0" fillId="2" borderId="6" xfId="0" applyNumberFormat="1" applyFill="1" applyBorder="1"/>
    <xf numFmtId="168" fontId="0" fillId="2" borderId="7" xfId="0" applyNumberFormat="1" applyFill="1" applyBorder="1"/>
    <xf numFmtId="168" fontId="0" fillId="2" borderId="1" xfId="0" applyNumberFormat="1" applyFill="1" applyBorder="1" applyAlignment="1">
      <alignment horizontal="center"/>
    </xf>
    <xf numFmtId="168" fontId="0" fillId="2" borderId="2" xfId="0" applyNumberFormat="1" applyFill="1" applyBorder="1" applyAlignment="1">
      <alignment horizontal="center"/>
    </xf>
    <xf numFmtId="168" fontId="0" fillId="2" borderId="0" xfId="0" applyNumberFormat="1" applyFill="1"/>
    <xf numFmtId="168" fontId="2" fillId="0" borderId="4" xfId="0" applyNumberFormat="1" applyFont="1" applyBorder="1"/>
    <xf numFmtId="168" fontId="0" fillId="0" borderId="1" xfId="0" applyNumberFormat="1" applyBorder="1"/>
    <xf numFmtId="168" fontId="0" fillId="0" borderId="4" xfId="0" applyNumberFormat="1" applyBorder="1"/>
    <xf numFmtId="3" fontId="0" fillId="0" borderId="4" xfId="0" applyNumberFormat="1" applyBorder="1"/>
    <xf numFmtId="168" fontId="2" fillId="0" borderId="0" xfId="2" applyNumberFormat="1" applyFont="1"/>
    <xf numFmtId="166" fontId="2" fillId="0" borderId="9" xfId="0" applyNumberFormat="1" applyFont="1" applyBorder="1" applyAlignment="1">
      <alignment horizontal="center"/>
    </xf>
    <xf numFmtId="168" fontId="2" fillId="0" borderId="8" xfId="0" applyNumberFormat="1" applyFont="1" applyBorder="1"/>
    <xf numFmtId="168" fontId="2" fillId="0" borderId="1" xfId="2" applyNumberFormat="1" applyFont="1" applyBorder="1"/>
    <xf numFmtId="168" fontId="2" fillId="0" borderId="1" xfId="0" applyNumberFormat="1" applyFont="1" applyBorder="1" applyAlignment="1">
      <alignment horizontal="left"/>
    </xf>
    <xf numFmtId="168" fontId="0" fillId="0" borderId="1" xfId="0" applyNumberFormat="1" applyBorder="1" applyAlignment="1">
      <alignment horizontal="left"/>
    </xf>
    <xf numFmtId="168" fontId="2" fillId="0" borderId="0" xfId="1" applyNumberFormat="1" applyFont="1"/>
    <xf numFmtId="9" fontId="0" fillId="0" borderId="0" xfId="0" applyNumberFormat="1"/>
    <xf numFmtId="9" fontId="0" fillId="0" borderId="0" xfId="0" applyNumberFormat="1" applyAlignment="1">
      <alignment horizontal="center"/>
    </xf>
    <xf numFmtId="168" fontId="0" fillId="0" borderId="10" xfId="0" applyNumberFormat="1" applyBorder="1" applyAlignment="1">
      <alignment horizontal="right"/>
    </xf>
    <xf numFmtId="168" fontId="0" fillId="0" borderId="2" xfId="0" applyNumberFormat="1" applyBorder="1" applyAlignment="1">
      <alignment horizontal="right"/>
    </xf>
    <xf numFmtId="168" fontId="0" fillId="0" borderId="9" xfId="0" applyNumberFormat="1" applyBorder="1" applyAlignment="1">
      <alignment horizontal="right"/>
    </xf>
    <xf numFmtId="168" fontId="0" fillId="0" borderId="9" xfId="0" applyNumberFormat="1" applyBorder="1" applyAlignment="1">
      <alignment horizontal="center"/>
    </xf>
    <xf numFmtId="168" fontId="0" fillId="0" borderId="3" xfId="0" applyNumberFormat="1" applyBorder="1"/>
    <xf numFmtId="168" fontId="0" fillId="0" borderId="9" xfId="0" applyNumberFormat="1" applyBorder="1"/>
    <xf numFmtId="168" fontId="2" fillId="0" borderId="2" xfId="0" applyNumberFormat="1" applyFont="1" applyBorder="1"/>
    <xf numFmtId="168" fontId="2" fillId="0" borderId="0" xfId="0" applyNumberFormat="1" applyFont="1" applyProtection="1">
      <protection locked="0"/>
    </xf>
    <xf numFmtId="168" fontId="11" fillId="0" borderId="0" xfId="0" applyNumberFormat="1" applyFont="1" applyProtection="1">
      <protection locked="0"/>
    </xf>
    <xf numFmtId="3" fontId="0" fillId="0" borderId="0" xfId="0" applyNumberFormat="1" applyAlignment="1">
      <alignment horizontal="center"/>
    </xf>
    <xf numFmtId="3" fontId="0" fillId="0" borderId="4" xfId="0" applyNumberFormat="1" applyBorder="1" applyAlignment="1">
      <alignment horizontal="center"/>
    </xf>
    <xf numFmtId="43" fontId="2" fillId="0" borderId="0" xfId="0" applyNumberFormat="1" applyFont="1"/>
    <xf numFmtId="0" fontId="0" fillId="0" borderId="0" xfId="0" applyAlignment="1">
      <alignment horizontal="right"/>
    </xf>
    <xf numFmtId="165" fontId="0" fillId="0" borderId="0" xfId="0" applyNumberFormat="1"/>
    <xf numFmtId="165" fontId="0" fillId="0" borderId="2" xfId="0" applyNumberFormat="1" applyBorder="1"/>
    <xf numFmtId="165" fontId="2" fillId="0" borderId="4" xfId="0" applyNumberFormat="1" applyFont="1" applyBorder="1"/>
    <xf numFmtId="165" fontId="2" fillId="0" borderId="9" xfId="0" applyNumberFormat="1" applyFont="1" applyBorder="1"/>
    <xf numFmtId="165" fontId="7" fillId="0" borderId="6" xfId="2" applyNumberFormat="1" applyFont="1" applyBorder="1"/>
    <xf numFmtId="0" fontId="14" fillId="0" borderId="0" xfId="0" applyFont="1" applyProtection="1">
      <protection locked="0"/>
    </xf>
    <xf numFmtId="43" fontId="1" fillId="0" borderId="0" xfId="1" applyProtection="1">
      <protection locked="0"/>
    </xf>
    <xf numFmtId="164" fontId="0" fillId="0" borderId="1" xfId="0" applyNumberFormat="1" applyBorder="1" applyProtection="1">
      <protection locked="0"/>
    </xf>
    <xf numFmtId="0" fontId="0" fillId="0" borderId="1" xfId="0" applyBorder="1" applyProtection="1">
      <protection locked="0"/>
    </xf>
    <xf numFmtId="0" fontId="0" fillId="0" borderId="0" xfId="0" applyProtection="1">
      <protection locked="0"/>
    </xf>
    <xf numFmtId="10" fontId="0" fillId="0" borderId="1" xfId="0" applyNumberFormat="1" applyBorder="1" applyProtection="1">
      <protection locked="0"/>
    </xf>
    <xf numFmtId="10" fontId="1" fillId="0" borderId="1" xfId="3" applyNumberFormat="1" applyBorder="1" applyProtection="1">
      <protection locked="0"/>
    </xf>
    <xf numFmtId="0" fontId="3" fillId="0" borderId="7" xfId="0" applyFont="1" applyBorder="1" applyAlignment="1">
      <alignment horizontal="right"/>
    </xf>
    <xf numFmtId="0" fontId="3" fillId="0" borderId="11" xfId="0" applyFont="1" applyBorder="1" applyAlignment="1">
      <alignment horizontal="right"/>
    </xf>
    <xf numFmtId="0" fontId="2" fillId="0" borderId="8" xfId="0" applyFont="1" applyBorder="1"/>
    <xf numFmtId="0" fontId="2" fillId="0" borderId="8" xfId="0" applyFont="1" applyBorder="1" applyAlignment="1">
      <alignment horizontal="right"/>
    </xf>
    <xf numFmtId="0" fontId="4" fillId="0" borderId="2" xfId="0" applyFont="1" applyBorder="1" applyAlignment="1">
      <alignment horizontal="center"/>
    </xf>
    <xf numFmtId="0" fontId="4" fillId="0" borderId="10" xfId="0" applyFont="1" applyBorder="1" applyAlignment="1">
      <alignment horizontal="center"/>
    </xf>
    <xf numFmtId="43" fontId="4" fillId="0" borderId="10" xfId="0" applyNumberFormat="1" applyFont="1" applyBorder="1" applyAlignment="1">
      <alignment horizontal="center"/>
    </xf>
    <xf numFmtId="43" fontId="4" fillId="0" borderId="2" xfId="0" applyNumberFormat="1" applyFont="1" applyBorder="1" applyAlignment="1">
      <alignment horizontal="center"/>
    </xf>
    <xf numFmtId="10" fontId="0" fillId="0" borderId="0" xfId="0" applyNumberFormat="1" applyProtection="1">
      <protection locked="0"/>
    </xf>
    <xf numFmtId="10" fontId="1" fillId="0" borderId="0" xfId="1" applyNumberFormat="1" applyProtection="1">
      <protection locked="0"/>
    </xf>
    <xf numFmtId="0" fontId="0" fillId="0" borderId="2" xfId="0" applyBorder="1"/>
    <xf numFmtId="4" fontId="0" fillId="0" borderId="2" xfId="0" applyNumberFormat="1" applyBorder="1"/>
    <xf numFmtId="167" fontId="7" fillId="0" borderId="2" xfId="1" applyNumberFormat="1" applyFont="1" applyBorder="1" applyAlignment="1">
      <alignment horizontal="center" vertical="center"/>
    </xf>
    <xf numFmtId="4" fontId="0" fillId="0" borderId="0" xfId="0" applyNumberFormat="1" applyProtection="1">
      <protection locked="0"/>
    </xf>
    <xf numFmtId="168" fontId="0" fillId="0" borderId="0" xfId="2" applyNumberFormat="1" applyFont="1" applyProtection="1">
      <protection locked="0"/>
    </xf>
    <xf numFmtId="0" fontId="2" fillId="0" borderId="0" xfId="0" applyFont="1" applyAlignment="1">
      <alignment horizontal="center"/>
    </xf>
    <xf numFmtId="164" fontId="3" fillId="0" borderId="2" xfId="1" applyNumberFormat="1" applyFont="1" applyBorder="1" applyAlignment="1">
      <alignment horizontal="center"/>
    </xf>
    <xf numFmtId="10" fontId="0" fillId="0" borderId="0" xfId="0" applyNumberFormat="1"/>
    <xf numFmtId="165" fontId="0" fillId="0" borderId="0" xfId="0" applyNumberFormat="1" applyProtection="1">
      <protection locked="0"/>
    </xf>
    <xf numFmtId="168" fontId="0" fillId="0" borderId="1" xfId="0" applyNumberFormat="1" applyBorder="1" applyAlignment="1" applyProtection="1">
      <alignment horizontal="right"/>
      <protection locked="0"/>
    </xf>
    <xf numFmtId="0" fontId="0" fillId="0" borderId="11" xfId="0" applyBorder="1" applyAlignment="1">
      <alignment horizontal="right"/>
    </xf>
    <xf numFmtId="0" fontId="10" fillId="0" borderId="0" xfId="0" applyFont="1"/>
    <xf numFmtId="0" fontId="2" fillId="0" borderId="12" xfId="0" applyFont="1" applyBorder="1" applyAlignment="1">
      <alignment horizontal="right"/>
    </xf>
    <xf numFmtId="0" fontId="3" fillId="0" borderId="13" xfId="0" applyFont="1" applyBorder="1" applyAlignment="1">
      <alignment horizontal="center"/>
    </xf>
    <xf numFmtId="4" fontId="2" fillId="0" borderId="14" xfId="0" applyNumberFormat="1" applyFont="1" applyBorder="1" applyAlignment="1">
      <alignment horizontal="center"/>
    </xf>
    <xf numFmtId="43" fontId="3" fillId="0" borderId="15" xfId="0" applyNumberFormat="1" applyFont="1" applyBorder="1" applyAlignment="1">
      <alignment horizontal="center"/>
    </xf>
    <xf numFmtId="43" fontId="3" fillId="0" borderId="16" xfId="0" applyNumberFormat="1" applyFont="1" applyBorder="1" applyAlignment="1">
      <alignment horizontal="center"/>
    </xf>
    <xf numFmtId="9" fontId="3" fillId="0" borderId="11" xfId="0" applyNumberFormat="1" applyFont="1" applyBorder="1" applyAlignment="1" applyProtection="1">
      <alignment horizontal="right"/>
      <protection locked="0"/>
    </xf>
    <xf numFmtId="0" fontId="0" fillId="0" borderId="17" xfId="0" applyBorder="1"/>
    <xf numFmtId="0" fontId="0" fillId="0" borderId="18" xfId="0" applyBorder="1"/>
    <xf numFmtId="7" fontId="4" fillId="0" borderId="4" xfId="0" applyNumberFormat="1" applyFont="1" applyBorder="1"/>
    <xf numFmtId="7" fontId="4" fillId="0" borderId="19" xfId="0" applyNumberFormat="1" applyFont="1" applyBorder="1"/>
    <xf numFmtId="9" fontId="1" fillId="0" borderId="6" xfId="1" applyNumberFormat="1" applyBorder="1" applyProtection="1">
      <protection locked="0"/>
    </xf>
    <xf numFmtId="2" fontId="0" fillId="0" borderId="0" xfId="0" applyNumberFormat="1"/>
    <xf numFmtId="16" fontId="0" fillId="0" borderId="0" xfId="0" applyNumberFormat="1"/>
    <xf numFmtId="2" fontId="19" fillId="0" borderId="20" xfId="2" applyNumberFormat="1" applyFont="1" applyBorder="1" applyAlignment="1">
      <alignment horizontal="centerContinuous" vertical="center" wrapText="1"/>
    </xf>
    <xf numFmtId="164" fontId="4" fillId="0" borderId="5" xfId="3" applyNumberFormat="1" applyFont="1" applyBorder="1" applyAlignment="1">
      <alignment horizontal="center"/>
    </xf>
    <xf numFmtId="4" fontId="0" fillId="0" borderId="7" xfId="0" applyNumberFormat="1" applyBorder="1" applyAlignment="1">
      <alignment horizontal="center"/>
    </xf>
    <xf numFmtId="168" fontId="2" fillId="0" borderId="0" xfId="0" applyNumberFormat="1" applyFont="1" applyAlignment="1" applyProtection="1">
      <alignment horizontal="center" vertical="center"/>
      <protection locked="0"/>
    </xf>
    <xf numFmtId="168" fontId="0" fillId="0" borderId="0" xfId="0" applyNumberFormat="1" applyAlignment="1" applyProtection="1">
      <alignment vertical="center"/>
      <protection locked="0"/>
    </xf>
    <xf numFmtId="3" fontId="0" fillId="0" borderId="2" xfId="2" applyNumberFormat="1" applyFont="1" applyBorder="1" applyAlignment="1">
      <alignment horizontal="center"/>
    </xf>
    <xf numFmtId="3" fontId="0" fillId="0" borderId="0" xfId="2" applyNumberFormat="1" applyFont="1" applyAlignment="1">
      <alignment horizontal="center"/>
    </xf>
    <xf numFmtId="165" fontId="2" fillId="0" borderId="0" xfId="0" applyNumberFormat="1" applyFont="1"/>
    <xf numFmtId="7" fontId="4" fillId="0" borderId="0" xfId="0" applyNumberFormat="1" applyFont="1"/>
    <xf numFmtId="0" fontId="0" fillId="0" borderId="0" xfId="0" applyAlignment="1">
      <alignment horizontal="center"/>
    </xf>
    <xf numFmtId="14" fontId="0" fillId="0" borderId="0" xfId="0" applyNumberFormat="1"/>
    <xf numFmtId="168" fontId="4" fillId="0" borderId="0" xfId="0" applyNumberFormat="1" applyFont="1" applyProtection="1">
      <protection locked="0"/>
    </xf>
    <xf numFmtId="168" fontId="2" fillId="0" borderId="1" xfId="0" applyNumberFormat="1" applyFont="1" applyBorder="1" applyAlignment="1">
      <alignment horizontal="right"/>
    </xf>
    <xf numFmtId="168" fontId="2" fillId="0" borderId="1" xfId="0" applyNumberFormat="1" applyFont="1" applyBorder="1" applyAlignment="1">
      <alignment horizontal="center"/>
    </xf>
    <xf numFmtId="168" fontId="0" fillId="0" borderId="2" xfId="0" applyNumberFormat="1" applyBorder="1" applyAlignment="1">
      <alignment horizontal="center"/>
    </xf>
    <xf numFmtId="0" fontId="2" fillId="0" borderId="1" xfId="0" applyFont="1" applyBorder="1" applyAlignment="1">
      <alignment horizontal="right"/>
    </xf>
    <xf numFmtId="0" fontId="0" fillId="0" borderId="2" xfId="0" applyBorder="1" applyAlignment="1">
      <alignment horizontal="center"/>
    </xf>
    <xf numFmtId="37" fontId="2" fillId="0" borderId="0" xfId="1" applyNumberFormat="1" applyFont="1"/>
    <xf numFmtId="37" fontId="2" fillId="0" borderId="0" xfId="0" applyNumberFormat="1" applyFont="1"/>
    <xf numFmtId="168" fontId="0" fillId="0" borderId="1" xfId="2" applyNumberFormat="1" applyFont="1" applyBorder="1" applyAlignment="1">
      <alignment horizontal="left"/>
    </xf>
    <xf numFmtId="9" fontId="0" fillId="0" borderId="0" xfId="3" applyFont="1"/>
    <xf numFmtId="169" fontId="0" fillId="0" borderId="0" xfId="0" applyNumberFormat="1"/>
    <xf numFmtId="39" fontId="0" fillId="0" borderId="2" xfId="0" applyNumberFormat="1" applyBorder="1" applyAlignment="1">
      <alignment horizontal="center"/>
    </xf>
    <xf numFmtId="0" fontId="1" fillId="0" borderId="0" xfId="0" applyFont="1"/>
    <xf numFmtId="168" fontId="1" fillId="0" borderId="0" xfId="0" applyNumberFormat="1" applyFont="1"/>
    <xf numFmtId="168" fontId="1" fillId="0" borderId="0" xfId="0" applyNumberFormat="1" applyFont="1" applyProtection="1">
      <protection locked="0"/>
    </xf>
    <xf numFmtId="164" fontId="1" fillId="0" borderId="0" xfId="0" applyNumberFormat="1" applyFont="1" applyProtection="1">
      <protection locked="0"/>
    </xf>
    <xf numFmtId="8" fontId="0" fillId="0" borderId="0" xfId="0" applyNumberFormat="1"/>
    <xf numFmtId="169" fontId="0" fillId="0" borderId="0" xfId="3" applyNumberFormat="1" applyFont="1"/>
    <xf numFmtId="10" fontId="0" fillId="0" borderId="0" xfId="3" applyNumberFormat="1" applyFont="1"/>
    <xf numFmtId="2" fontId="1" fillId="0" borderId="0" xfId="0" applyNumberFormat="1" applyFont="1"/>
    <xf numFmtId="10" fontId="1" fillId="0" borderId="0" xfId="3" applyNumberFormat="1" applyFont="1" applyAlignment="1">
      <alignment horizontal="center"/>
    </xf>
    <xf numFmtId="9" fontId="1" fillId="0" borderId="0" xfId="0" applyNumberFormat="1" applyFont="1"/>
    <xf numFmtId="10" fontId="1" fillId="0" borderId="0" xfId="0" applyNumberFormat="1" applyFont="1" applyAlignment="1">
      <alignment horizontal="center"/>
    </xf>
    <xf numFmtId="10" fontId="1" fillId="0" borderId="0" xfId="0" applyNumberFormat="1" applyFont="1"/>
    <xf numFmtId="164" fontId="1" fillId="0" borderId="0" xfId="0" applyNumberFormat="1" applyFont="1"/>
    <xf numFmtId="4" fontId="1" fillId="0" borderId="2" xfId="0" applyNumberFormat="1" applyFont="1" applyBorder="1"/>
    <xf numFmtId="0" fontId="1" fillId="0" borderId="2" xfId="0" applyFont="1" applyBorder="1"/>
    <xf numFmtId="4" fontId="1" fillId="0" borderId="7" xfId="0" applyNumberFormat="1" applyFont="1" applyBorder="1" applyProtection="1">
      <protection locked="0"/>
    </xf>
    <xf numFmtId="0" fontId="1" fillId="0" borderId="1" xfId="0" applyFont="1" applyBorder="1"/>
    <xf numFmtId="0" fontId="1" fillId="0" borderId="0" xfId="0" applyFont="1" applyAlignment="1">
      <alignment horizontal="right"/>
    </xf>
    <xf numFmtId="0" fontId="1" fillId="0" borderId="2" xfId="0" applyFont="1" applyBorder="1" applyAlignment="1">
      <alignment horizontal="right"/>
    </xf>
    <xf numFmtId="0" fontId="1" fillId="0" borderId="1" xfId="0" applyFont="1" applyBorder="1" applyProtection="1">
      <protection locked="0"/>
    </xf>
    <xf numFmtId="167" fontId="1" fillId="0" borderId="1" xfId="1" applyNumberFormat="1" applyFont="1" applyBorder="1" applyAlignment="1" applyProtection="1">
      <alignment horizontal="right" vertical="center"/>
      <protection locked="0"/>
    </xf>
    <xf numFmtId="167" fontId="1" fillId="0" borderId="2" xfId="1" applyNumberFormat="1" applyFont="1" applyBorder="1" applyAlignment="1">
      <alignment horizontal="center" vertical="center"/>
    </xf>
    <xf numFmtId="4" fontId="1" fillId="0" borderId="8" xfId="0" applyNumberFormat="1" applyFont="1" applyBorder="1" applyAlignment="1">
      <alignment horizontal="center"/>
    </xf>
    <xf numFmtId="39" fontId="1" fillId="0" borderId="1" xfId="3" applyNumberFormat="1" applyFont="1" applyBorder="1" applyAlignment="1">
      <alignment horizontal="center"/>
    </xf>
    <xf numFmtId="4" fontId="1" fillId="0" borderId="1" xfId="0" applyNumberFormat="1" applyFont="1" applyBorder="1" applyAlignment="1">
      <alignment horizontal="center"/>
    </xf>
    <xf numFmtId="165" fontId="1" fillId="0" borderId="6" xfId="2" applyNumberFormat="1" applyFont="1" applyBorder="1"/>
    <xf numFmtId="165" fontId="1" fillId="0" borderId="7" xfId="2" applyNumberFormat="1" applyFont="1" applyBorder="1"/>
    <xf numFmtId="165" fontId="1" fillId="0" borderId="11" xfId="0" applyNumberFormat="1" applyFont="1" applyBorder="1"/>
    <xf numFmtId="165" fontId="1" fillId="0" borderId="10" xfId="0" applyNumberFormat="1" applyFont="1" applyBorder="1"/>
    <xf numFmtId="168" fontId="1" fillId="0" borderId="1" xfId="0" applyNumberFormat="1" applyFont="1" applyBorder="1" applyAlignment="1">
      <alignment horizontal="center"/>
    </xf>
    <xf numFmtId="168" fontId="1" fillId="0" borderId="1" xfId="0" applyNumberFormat="1" applyFont="1" applyBorder="1" applyAlignment="1" applyProtection="1">
      <alignment horizontal="right"/>
      <protection locked="0"/>
    </xf>
    <xf numFmtId="168" fontId="1" fillId="0" borderId="1" xfId="0" applyNumberFormat="1" applyFont="1" applyBorder="1"/>
    <xf numFmtId="168" fontId="1" fillId="0" borderId="0" xfId="0" applyNumberFormat="1" applyFont="1" applyAlignment="1">
      <alignment horizontal="right"/>
    </xf>
    <xf numFmtId="168" fontId="1" fillId="0" borderId="2" xfId="2" applyNumberFormat="1" applyFont="1" applyBorder="1" applyAlignment="1">
      <alignment horizontal="center"/>
    </xf>
    <xf numFmtId="168" fontId="1" fillId="0" borderId="0" xfId="2" applyNumberFormat="1" applyFont="1"/>
    <xf numFmtId="168" fontId="1" fillId="0" borderId="8" xfId="2" applyNumberFormat="1" applyFont="1" applyBorder="1"/>
    <xf numFmtId="168" fontId="1" fillId="0" borderId="9" xfId="0" applyNumberFormat="1" applyFont="1" applyBorder="1" applyAlignment="1">
      <alignment horizontal="center"/>
    </xf>
    <xf numFmtId="168" fontId="1" fillId="0" borderId="4" xfId="0" applyNumberFormat="1" applyFont="1" applyBorder="1"/>
    <xf numFmtId="168" fontId="1" fillId="0" borderId="3" xfId="0" applyNumberFormat="1" applyFont="1" applyBorder="1" applyAlignment="1">
      <alignment horizontal="center"/>
    </xf>
    <xf numFmtId="168" fontId="1" fillId="0" borderId="10" xfId="2" applyNumberFormat="1" applyFont="1" applyBorder="1" applyAlignment="1">
      <alignment horizontal="center"/>
    </xf>
    <xf numFmtId="168" fontId="1" fillId="0" borderId="1" xfId="2" applyNumberFormat="1" applyFont="1" applyBorder="1"/>
    <xf numFmtId="3" fontId="0" fillId="0" borderId="0" xfId="3" applyNumberFormat="1" applyFont="1"/>
    <xf numFmtId="43" fontId="0" fillId="0" borderId="0" xfId="1" applyFont="1"/>
    <xf numFmtId="43" fontId="1" fillId="0" borderId="0" xfId="0" applyNumberFormat="1" applyFont="1"/>
    <xf numFmtId="10" fontId="1" fillId="0" borderId="0" xfId="3" applyNumberFormat="1" applyFont="1" applyAlignment="1">
      <alignment horizontal="right"/>
    </xf>
    <xf numFmtId="10" fontId="0" fillId="0" borderId="0" xfId="3" applyNumberFormat="1" applyFont="1" applyAlignment="1">
      <alignment horizontal="right"/>
    </xf>
    <xf numFmtId="170" fontId="1" fillId="0" borderId="1" xfId="3" applyNumberFormat="1" applyFont="1" applyBorder="1" applyAlignment="1">
      <alignment horizontal="center"/>
    </xf>
    <xf numFmtId="167" fontId="1" fillId="0" borderId="4" xfId="1" applyNumberFormat="1" applyFont="1" applyBorder="1" applyAlignment="1">
      <alignment horizontal="center"/>
    </xf>
    <xf numFmtId="167" fontId="1" fillId="0" borderId="2" xfId="1" applyNumberFormat="1" applyFont="1" applyBorder="1"/>
    <xf numFmtId="3" fontId="1" fillId="0" borderId="0" xfId="0" applyNumberFormat="1" applyFont="1"/>
    <xf numFmtId="171" fontId="0" fillId="0" borderId="0" xfId="0" applyNumberFormat="1"/>
    <xf numFmtId="37" fontId="0" fillId="0" borderId="0" xfId="2" applyNumberFormat="1" applyFont="1"/>
    <xf numFmtId="169" fontId="1" fillId="0" borderId="0" xfId="0" applyNumberFormat="1" applyFont="1"/>
    <xf numFmtId="167" fontId="0" fillId="0" borderId="0" xfId="1" applyNumberFormat="1" applyFont="1"/>
    <xf numFmtId="168" fontId="1" fillId="0" borderId="1" xfId="0" applyNumberFormat="1" applyFont="1" applyBorder="1" applyAlignment="1">
      <alignment vertical="top"/>
    </xf>
    <xf numFmtId="0" fontId="0" fillId="0" borderId="1" xfId="0" applyBorder="1" applyAlignment="1">
      <alignment vertical="top"/>
    </xf>
    <xf numFmtId="172" fontId="0" fillId="0" borderId="0" xfId="0" applyNumberFormat="1" applyAlignment="1">
      <alignment horizontal="right"/>
    </xf>
    <xf numFmtId="172" fontId="0" fillId="0" borderId="0" xfId="0" applyNumberFormat="1" applyAlignment="1">
      <alignment horizontal="center"/>
    </xf>
    <xf numFmtId="172" fontId="0" fillId="0" borderId="0" xfId="0" applyNumberFormat="1"/>
    <xf numFmtId="169" fontId="0" fillId="0" borderId="0" xfId="0" applyNumberFormat="1" applyAlignment="1" applyProtection="1">
      <alignment horizontal="center" vertical="center"/>
      <protection locked="0"/>
    </xf>
    <xf numFmtId="3" fontId="1" fillId="0" borderId="0" xfId="0" applyNumberFormat="1" applyFont="1" applyProtection="1">
      <protection locked="0"/>
    </xf>
    <xf numFmtId="39" fontId="0" fillId="0" borderId="0" xfId="2" applyNumberFormat="1" applyFont="1"/>
    <xf numFmtId="173" fontId="0" fillId="0" borderId="0" xfId="0" applyNumberFormat="1" applyAlignment="1">
      <alignment horizontal="center"/>
    </xf>
    <xf numFmtId="168" fontId="16" fillId="0" borderId="0" xfId="0" applyNumberFormat="1" applyFont="1" applyAlignment="1">
      <alignment vertical="top" wrapText="1"/>
    </xf>
    <xf numFmtId="0" fontId="16" fillId="0" borderId="0" xfId="0" applyFont="1" applyAlignment="1">
      <alignment vertical="top" wrapText="1"/>
    </xf>
    <xf numFmtId="0" fontId="0" fillId="0" borderId="0" xfId="0" applyAlignment="1">
      <alignment vertical="top"/>
    </xf>
    <xf numFmtId="168" fontId="2" fillId="0" borderId="0" xfId="0" applyNumberFormat="1" applyFont="1" applyAlignment="1">
      <alignment vertical="top" wrapText="1"/>
    </xf>
    <xf numFmtId="0" fontId="0" fillId="0" borderId="0" xfId="0" applyAlignment="1">
      <alignment vertical="top" wrapText="1"/>
    </xf>
    <xf numFmtId="168" fontId="16" fillId="0" borderId="0" xfId="0" applyNumberFormat="1" applyFont="1" applyAlignment="1">
      <alignment wrapText="1"/>
    </xf>
    <xf numFmtId="168" fontId="1" fillId="0" borderId="1" xfId="0" applyNumberFormat="1" applyFont="1" applyBorder="1" applyAlignment="1">
      <alignment horizontal="right"/>
    </xf>
    <xf numFmtId="168" fontId="1" fillId="0" borderId="2" xfId="0" applyNumberFormat="1" applyFont="1" applyBorder="1" applyAlignment="1">
      <alignment horizontal="right"/>
    </xf>
    <xf numFmtId="168" fontId="10" fillId="2" borderId="6" xfId="0" applyNumberFormat="1" applyFont="1" applyFill="1" applyBorder="1" applyAlignment="1">
      <alignment horizontal="center"/>
    </xf>
    <xf numFmtId="168" fontId="11" fillId="0" borderId="6" xfId="0" applyNumberFormat="1" applyFont="1" applyBorder="1"/>
    <xf numFmtId="168" fontId="0" fillId="0" borderId="6" xfId="0" applyNumberFormat="1" applyBorder="1"/>
    <xf numFmtId="168" fontId="2" fillId="0" borderId="1" xfId="0" applyNumberFormat="1" applyFont="1" applyBorder="1" applyAlignment="1">
      <alignment horizontal="right"/>
    </xf>
    <xf numFmtId="168" fontId="0" fillId="0" borderId="0" xfId="0" applyNumberFormat="1" applyAlignment="1">
      <alignment horizontal="right"/>
    </xf>
    <xf numFmtId="168" fontId="2" fillId="0" borderId="3" xfId="0" applyNumberFormat="1" applyFont="1" applyBorder="1" applyAlignment="1">
      <alignment horizontal="center"/>
    </xf>
    <xf numFmtId="168" fontId="1" fillId="0" borderId="9" xfId="0" applyNumberFormat="1" applyFont="1" applyBorder="1"/>
    <xf numFmtId="168" fontId="2" fillId="2" borderId="1" xfId="0" applyNumberFormat="1" applyFont="1" applyFill="1" applyBorder="1" applyAlignment="1">
      <alignment horizontal="center"/>
    </xf>
    <xf numFmtId="168" fontId="1" fillId="2" borderId="2" xfId="0" applyNumberFormat="1" applyFont="1" applyFill="1" applyBorder="1" applyAlignment="1">
      <alignment horizontal="center"/>
    </xf>
    <xf numFmtId="164" fontId="2" fillId="0" borderId="5" xfId="0" applyNumberFormat="1" applyFont="1" applyBorder="1" applyAlignment="1" applyProtection="1">
      <alignment horizontal="center"/>
      <protection locked="0"/>
    </xf>
    <xf numFmtId="164" fontId="0" fillId="0" borderId="7" xfId="0" applyNumberFormat="1" applyBorder="1" applyAlignment="1" applyProtection="1">
      <alignment horizontal="center"/>
      <protection locked="0"/>
    </xf>
    <xf numFmtId="164" fontId="0" fillId="0" borderId="7" xfId="0" applyNumberFormat="1" applyBorder="1" applyProtection="1">
      <protection locked="0"/>
    </xf>
    <xf numFmtId="168" fontId="16" fillId="0" borderId="5" xfId="0" applyNumberFormat="1" applyFont="1" applyBorder="1" applyAlignment="1">
      <alignment horizontal="center"/>
    </xf>
    <xf numFmtId="0" fontId="16" fillId="0" borderId="6" xfId="0" applyFont="1" applyBorder="1"/>
    <xf numFmtId="0" fontId="16" fillId="0" borderId="7" xfId="0" applyFont="1" applyBorder="1"/>
    <xf numFmtId="168" fontId="10" fillId="2" borderId="5" xfId="0" applyNumberFormat="1" applyFont="1" applyFill="1" applyBorder="1" applyAlignment="1">
      <alignment horizontal="center" vertical="center"/>
    </xf>
    <xf numFmtId="168" fontId="0" fillId="0" borderId="6" xfId="0" applyNumberFormat="1" applyBorder="1" applyAlignment="1">
      <alignment horizontal="center"/>
    </xf>
    <xf numFmtId="0" fontId="0" fillId="0" borderId="6" xfId="0" applyBorder="1"/>
    <xf numFmtId="0" fontId="0" fillId="0" borderId="7" xfId="0" applyBorder="1"/>
    <xf numFmtId="168" fontId="2" fillId="0" borderId="1" xfId="0" applyNumberFormat="1" applyFont="1" applyBorder="1" applyAlignment="1">
      <alignment horizontal="center"/>
    </xf>
    <xf numFmtId="168" fontId="0" fillId="0" borderId="2" xfId="0" applyNumberFormat="1" applyBorder="1" applyAlignment="1">
      <alignment horizontal="center"/>
    </xf>
    <xf numFmtId="168" fontId="10" fillId="2" borderId="8" xfId="0" applyNumberFormat="1" applyFont="1" applyFill="1" applyBorder="1" applyAlignment="1">
      <alignment horizontal="center" vertical="center"/>
    </xf>
    <xf numFmtId="168" fontId="11" fillId="0" borderId="10" xfId="0" applyNumberFormat="1" applyFont="1" applyBorder="1" applyAlignment="1">
      <alignment horizontal="center" vertical="center"/>
    </xf>
    <xf numFmtId="168" fontId="11" fillId="0" borderId="3" xfId="0" applyNumberFormat="1" applyFont="1" applyBorder="1" applyAlignment="1">
      <alignment horizontal="center" vertical="center"/>
    </xf>
    <xf numFmtId="168" fontId="11" fillId="0" borderId="9" xfId="0" applyNumberFormat="1" applyFont="1" applyBorder="1" applyAlignment="1">
      <alignment horizontal="center" vertical="center"/>
    </xf>
    <xf numFmtId="168" fontId="2" fillId="2" borderId="8" xfId="0" applyNumberFormat="1" applyFont="1" applyFill="1" applyBorder="1" applyAlignment="1" applyProtection="1">
      <alignment horizontal="center" vertical="center"/>
      <protection locked="0"/>
    </xf>
    <xf numFmtId="168" fontId="0" fillId="0" borderId="11" xfId="0" applyNumberFormat="1" applyBorder="1" applyAlignment="1" applyProtection="1">
      <alignment vertical="center"/>
      <protection locked="0"/>
    </xf>
    <xf numFmtId="168" fontId="0" fillId="0" borderId="3" xfId="0" applyNumberFormat="1" applyBorder="1" applyAlignment="1" applyProtection="1">
      <alignment vertical="center"/>
      <protection locked="0"/>
    </xf>
    <xf numFmtId="168" fontId="0" fillId="0" borderId="4" xfId="0" applyNumberFormat="1" applyBorder="1" applyAlignment="1" applyProtection="1">
      <alignment vertical="center"/>
      <protection locked="0"/>
    </xf>
    <xf numFmtId="168" fontId="0" fillId="0" borderId="10" xfId="0" applyNumberFormat="1" applyBorder="1" applyAlignment="1" applyProtection="1">
      <alignment vertical="center"/>
      <protection locked="0"/>
    </xf>
    <xf numFmtId="168" fontId="0" fillId="0" borderId="9" xfId="0" applyNumberFormat="1" applyBorder="1" applyAlignment="1" applyProtection="1">
      <alignment vertical="center"/>
      <protection locked="0"/>
    </xf>
    <xf numFmtId="168" fontId="0" fillId="0" borderId="1" xfId="0" applyNumberFormat="1" applyBorder="1"/>
    <xf numFmtId="0" fontId="0" fillId="0" borderId="2" xfId="0" applyBorder="1"/>
    <xf numFmtId="168" fontId="2" fillId="0" borderId="5" xfId="0" applyNumberFormat="1" applyFont="1" applyBorder="1" applyAlignment="1">
      <alignment horizontal="center"/>
    </xf>
    <xf numFmtId="168" fontId="0" fillId="0" borderId="7" xfId="0" applyNumberFormat="1" applyBorder="1" applyAlignment="1">
      <alignment horizontal="center"/>
    </xf>
    <xf numFmtId="168" fontId="0" fillId="0" borderId="1" xfId="0" applyNumberFormat="1" applyBorder="1" applyAlignment="1">
      <alignment horizontal="right"/>
    </xf>
    <xf numFmtId="168" fontId="0" fillId="0" borderId="0" xfId="0" applyNumberFormat="1"/>
    <xf numFmtId="168" fontId="2" fillId="0" borderId="11" xfId="0" applyNumberFormat="1" applyFont="1" applyBorder="1" applyAlignment="1">
      <alignment horizontal="center" wrapText="1"/>
    </xf>
    <xf numFmtId="0" fontId="0" fillId="0" borderId="0" xfId="0" applyAlignment="1">
      <alignment horizontal="center" wrapText="1"/>
    </xf>
    <xf numFmtId="168" fontId="2" fillId="0" borderId="3" xfId="0" applyNumberFormat="1" applyFont="1" applyBorder="1" applyAlignment="1">
      <alignment horizontal="right"/>
    </xf>
    <xf numFmtId="0" fontId="0" fillId="0" borderId="4" xfId="0" applyBorder="1" applyAlignment="1">
      <alignment horizontal="right"/>
    </xf>
    <xf numFmtId="164" fontId="8" fillId="0" borderId="8" xfId="3" applyNumberFormat="1" applyFont="1" applyBorder="1" applyAlignment="1" applyProtection="1">
      <alignment horizontal="center"/>
      <protection locked="0"/>
    </xf>
    <xf numFmtId="0" fontId="2" fillId="0" borderId="10" xfId="0" applyFont="1" applyBorder="1" applyAlignment="1" applyProtection="1">
      <alignment horizontal="center"/>
      <protection locked="0"/>
    </xf>
    <xf numFmtId="0" fontId="0" fillId="0" borderId="6" xfId="0" applyBorder="1" applyProtection="1">
      <protection locked="0"/>
    </xf>
    <xf numFmtId="10" fontId="4" fillId="0" borderId="5" xfId="3" applyNumberFormat="1" applyFont="1" applyBorder="1" applyAlignment="1">
      <alignment horizontal="center"/>
    </xf>
    <xf numFmtId="10" fontId="0" fillId="0" borderId="7" xfId="0" applyNumberFormat="1" applyBorder="1" applyAlignment="1">
      <alignment horizontal="center"/>
    </xf>
    <xf numFmtId="0" fontId="0" fillId="0" borderId="11" xfId="0" applyBorder="1" applyAlignment="1" applyProtection="1">
      <alignment horizontal="center"/>
      <protection locked="0"/>
    </xf>
    <xf numFmtId="0" fontId="2" fillId="0" borderId="3" xfId="0" applyFont="1" applyBorder="1" applyAlignment="1">
      <alignment horizontal="center"/>
    </xf>
    <xf numFmtId="0" fontId="0" fillId="0" borderId="4" xfId="0" applyBorder="1" applyAlignment="1">
      <alignment horizontal="center"/>
    </xf>
    <xf numFmtId="0" fontId="0" fillId="0" borderId="1" xfId="0" applyBorder="1"/>
    <xf numFmtId="0" fontId="2" fillId="0" borderId="5" xfId="0" applyFont="1" applyBorder="1" applyAlignment="1">
      <alignment horizontal="left"/>
    </xf>
    <xf numFmtId="0" fontId="0" fillId="0" borderId="7" xfId="0" applyBorder="1" applyAlignment="1">
      <alignment horizontal="left"/>
    </xf>
    <xf numFmtId="164" fontId="8" fillId="0" borderId="6" xfId="0" applyNumberFormat="1" applyFont="1" applyBorder="1" applyAlignment="1" applyProtection="1">
      <alignment horizontal="center"/>
      <protection locked="0"/>
    </xf>
    <xf numFmtId="0" fontId="0" fillId="0" borderId="7" xfId="0" applyBorder="1" applyAlignment="1" applyProtection="1">
      <alignment horizontal="center"/>
      <protection locked="0"/>
    </xf>
    <xf numFmtId="0" fontId="1" fillId="0" borderId="1" xfId="0" applyFont="1" applyBorder="1"/>
    <xf numFmtId="0" fontId="2" fillId="0" borderId="1" xfId="0" applyFont="1" applyBorder="1" applyAlignment="1">
      <alignment horizontal="right"/>
    </xf>
    <xf numFmtId="0" fontId="2" fillId="0" borderId="2" xfId="0" applyFont="1" applyBorder="1" applyAlignment="1">
      <alignment horizontal="right"/>
    </xf>
    <xf numFmtId="0" fontId="2" fillId="0" borderId="1" xfId="0" applyFont="1" applyBorder="1" applyAlignment="1">
      <alignment horizontal="center"/>
    </xf>
    <xf numFmtId="0" fontId="0" fillId="0" borderId="2" xfId="0" applyBorder="1" applyAlignment="1">
      <alignment horizontal="center"/>
    </xf>
    <xf numFmtId="0" fontId="2" fillId="0" borderId="1" xfId="0" applyFont="1" applyBorder="1"/>
    <xf numFmtId="0" fontId="2" fillId="0" borderId="5" xfId="0" applyFont="1" applyBorder="1" applyAlignment="1">
      <alignment horizontal="center"/>
    </xf>
    <xf numFmtId="0" fontId="0" fillId="0" borderId="7" xfId="0" applyBorder="1" applyAlignment="1">
      <alignment horizontal="center"/>
    </xf>
    <xf numFmtId="0" fontId="16" fillId="0" borderId="0" xfId="0" applyFont="1" applyAlignment="1">
      <alignment wrapText="1"/>
    </xf>
    <xf numFmtId="0" fontId="0" fillId="0" borderId="0" xfId="0" applyAlignment="1">
      <alignment wrapText="1"/>
    </xf>
    <xf numFmtId="4" fontId="1" fillId="0" borderId="1" xfId="0" applyNumberFormat="1" applyFont="1" applyBorder="1" applyAlignment="1">
      <alignment horizontal="center"/>
    </xf>
    <xf numFmtId="0" fontId="1" fillId="0" borderId="11" xfId="0" applyFont="1" applyBorder="1" applyAlignment="1" applyProtection="1">
      <alignment horizontal="center"/>
      <protection locked="0"/>
    </xf>
    <xf numFmtId="0" fontId="0" fillId="0" borderId="2" xfId="0" applyBorder="1" applyAlignment="1">
      <alignment horizontal="right"/>
    </xf>
  </cellXfs>
  <cellStyles count="4">
    <cellStyle name="Comma" xfId="1" builtinId="3"/>
    <cellStyle name="Currency" xfId="2" builtinId="4"/>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trlProps/ctrlProp1.xml><?xml version="1.0" encoding="utf-8"?>
<formControlPr xmlns="http://schemas.microsoft.com/office/spreadsheetml/2009/9/main" objectType="Drop" dropStyle="combo" dx="16" fmlaLink="datasheet1!$B$38" fmlaRange="datasheet1!$A$1:$A$36" noThreeD="1" sel="4" val="14"/>
</file>

<file path=xl/ctrlProps/ctrlProp10.xml><?xml version="1.0" encoding="utf-8"?>
<formControlPr xmlns="http://schemas.microsoft.com/office/spreadsheetml/2009/9/main" objectType="Drop" dropStyle="combo" dx="16" fmlaLink="datasheet1!$B$51" fmlaRange="datasheet1!$A$48:$A$50" noThreeD="1" sel="3" val="0"/>
</file>

<file path=xl/ctrlProps/ctrlProp11.xml><?xml version="1.0" encoding="utf-8"?>
<formControlPr xmlns="http://schemas.microsoft.com/office/spreadsheetml/2009/9/main" objectType="Drop" dropStyle="combo" dx="16" fmlaLink="datasheet1!$B$50" fmlaRange="datasheet1!$A$48:$A$50" noThreeD="1" sel="3" val="0"/>
</file>

<file path=xl/ctrlProps/ctrlProp12.xml><?xml version="1.0" encoding="utf-8"?>
<formControlPr xmlns="http://schemas.microsoft.com/office/spreadsheetml/2009/9/main" objectType="CheckBox" checked="Checked" fmlaLink="datasheet1!$B$56" lockText="1" noThreeD="1"/>
</file>

<file path=xl/ctrlProps/ctrlProp13.xml><?xml version="1.0" encoding="utf-8"?>
<formControlPr xmlns="http://schemas.microsoft.com/office/spreadsheetml/2009/9/main" objectType="CheckBox" checked="Checked" fmlaLink="E47" lockText="1" noThreeD="1"/>
</file>

<file path=xl/ctrlProps/ctrlProp14.xml><?xml version="1.0" encoding="utf-8"?>
<formControlPr xmlns="http://schemas.microsoft.com/office/spreadsheetml/2009/9/main" objectType="CheckBox" checked="Checked" fmlaLink="G47" lockText="1" noThreeD="1"/>
</file>

<file path=xl/ctrlProps/ctrlProp15.xml><?xml version="1.0" encoding="utf-8"?>
<formControlPr xmlns="http://schemas.microsoft.com/office/spreadsheetml/2009/9/main" objectType="CheckBox" checked="Checked" fmlaLink="I47" lockText="1" noThreeD="1"/>
</file>

<file path=xl/ctrlProps/ctrlProp16.xml><?xml version="1.0" encoding="utf-8"?>
<formControlPr xmlns="http://schemas.microsoft.com/office/spreadsheetml/2009/9/main" objectType="CheckBox" checked="Checked" fmlaLink="E49" lockText="1" noThreeD="1"/>
</file>

<file path=xl/ctrlProps/ctrlProp17.xml><?xml version="1.0" encoding="utf-8"?>
<formControlPr xmlns="http://schemas.microsoft.com/office/spreadsheetml/2009/9/main" objectType="CheckBox" checked="Checked" fmlaLink="G49" lockText="1" noThreeD="1"/>
</file>

<file path=xl/ctrlProps/ctrlProp18.xml><?xml version="1.0" encoding="utf-8"?>
<formControlPr xmlns="http://schemas.microsoft.com/office/spreadsheetml/2009/9/main" objectType="CheckBox" checked="Checked" fmlaLink="I49" lockText="1" noThreeD="1"/>
</file>

<file path=xl/ctrlProps/ctrlProp19.xml><?xml version="1.0" encoding="utf-8"?>
<formControlPr xmlns="http://schemas.microsoft.com/office/spreadsheetml/2009/9/main" objectType="CheckBox" checked="Checked" fmlaLink="C47" lockText="1" noThreeD="1"/>
</file>

<file path=xl/ctrlProps/ctrlProp2.xml><?xml version="1.0" encoding="utf-8"?>
<formControlPr xmlns="http://schemas.microsoft.com/office/spreadsheetml/2009/9/main" objectType="Drop" dropStyle="combo" dx="16" fmlaLink="datasheet1!$B$39" fmlaRange="datasheet1!$A$1:$A$36" noThreeD="1" sel="4" val="3"/>
</file>

<file path=xl/ctrlProps/ctrlProp20.xml><?xml version="1.0" encoding="utf-8"?>
<formControlPr xmlns="http://schemas.microsoft.com/office/spreadsheetml/2009/9/main" objectType="CheckBox" fmlaLink="C49" lockText="1" noThreeD="1"/>
</file>

<file path=xl/ctrlProps/ctrlProp21.xml><?xml version="1.0" encoding="utf-8"?>
<formControlPr xmlns="http://schemas.microsoft.com/office/spreadsheetml/2009/9/main" objectType="Drop" dropStyle="combo" dx="16" fmlaLink="datasheet1!$B$37" fmlaRange="datasheet1!$A$1:$A$36" noThreeD="1" sel="4" val="0"/>
</file>

<file path=xl/ctrlProps/ctrlProp22.xml><?xml version="1.0" encoding="utf-8"?>
<formControlPr xmlns="http://schemas.microsoft.com/office/spreadsheetml/2009/9/main" objectType="Drop" dropStyle="combo" dx="16" fmlaLink="datasheet1!$B$38" fmlaRange="datasheet1!$A$1:$A$36" noThreeD="1" sel="4" val="0"/>
</file>

<file path=xl/ctrlProps/ctrlProp23.xml><?xml version="1.0" encoding="utf-8"?>
<formControlPr xmlns="http://schemas.microsoft.com/office/spreadsheetml/2009/9/main" objectType="Drop" dropStyle="combo" dx="16" fmlaLink="datasheet1!$B$39" fmlaRange="datasheet1!$A$1:$A$36" noThreeD="1" sel="4" val="3"/>
</file>

<file path=xl/ctrlProps/ctrlProp24.xml><?xml version="1.0" encoding="utf-8"?>
<formControlPr xmlns="http://schemas.microsoft.com/office/spreadsheetml/2009/9/main" objectType="Drop" dropStyle="combo" dx="16" fmlaLink="datasheet1!$B$40" fmlaRange="datasheet1!$A$1:$A$36" noThreeD="1" sel="4" val="3"/>
</file>

<file path=xl/ctrlProps/ctrlProp25.xml><?xml version="1.0" encoding="utf-8"?>
<formControlPr xmlns="http://schemas.microsoft.com/office/spreadsheetml/2009/9/main" objectType="CheckBox" fmlaLink="datasheet1!$F$51" lockText="1" noThreeD="1"/>
</file>

<file path=xl/ctrlProps/ctrlProp26.xml><?xml version="1.0" encoding="utf-8"?>
<formControlPr xmlns="http://schemas.microsoft.com/office/spreadsheetml/2009/9/main" objectType="CheckBox" fmlaLink="datasheet1!$F$52" lockText="1" noThreeD="1"/>
</file>

<file path=xl/ctrlProps/ctrlProp27.xml><?xml version="1.0" encoding="utf-8"?>
<formControlPr xmlns="http://schemas.microsoft.com/office/spreadsheetml/2009/9/main" objectType="CheckBox" fmlaLink="datasheet1!$F$53" lockText="1" noThreeD="1"/>
</file>

<file path=xl/ctrlProps/ctrlProp28.xml><?xml version="1.0" encoding="utf-8"?>
<formControlPr xmlns="http://schemas.microsoft.com/office/spreadsheetml/2009/9/main" objectType="CheckBox" fmlaLink="datasheet1!$F$54" lockText="1" noThreeD="1"/>
</file>

<file path=xl/ctrlProps/ctrlProp29.xml><?xml version="1.0" encoding="utf-8"?>
<formControlPr xmlns="http://schemas.microsoft.com/office/spreadsheetml/2009/9/main" objectType="CheckBox" checked="Checked" fmlaLink="datasheet1!$A$57" lockText="1" noThreeD="1"/>
</file>

<file path=xl/ctrlProps/ctrlProp3.xml><?xml version="1.0" encoding="utf-8"?>
<formControlPr xmlns="http://schemas.microsoft.com/office/spreadsheetml/2009/9/main" objectType="Drop" dropStyle="combo" dx="16" fmlaLink="datasheet1!$B$40" fmlaRange="datasheet1!$A$1:$A$36" noThreeD="1" sel="4" val="0"/>
</file>

<file path=xl/ctrlProps/ctrlProp4.xml><?xml version="1.0" encoding="utf-8"?>
<formControlPr xmlns="http://schemas.microsoft.com/office/spreadsheetml/2009/9/main" objectType="Drop" dropStyle="combo" dx="16" fmlaLink="datasheet1!$B$37" fmlaRange="datasheet1!$A$1:$A$36" noThreeD="1" sel="4" val="3"/>
</file>

<file path=xl/ctrlProps/ctrlProp5.xml><?xml version="1.0" encoding="utf-8"?>
<formControlPr xmlns="http://schemas.microsoft.com/office/spreadsheetml/2009/9/main" objectType="Drop" dropStyle="combo" dx="16" fmlaLink="datasheet1!$B$48" fmlaRange="datasheet1!$A$48:$A$50" noThreeD="1" sel="3" val="0"/>
</file>

<file path=xl/ctrlProps/ctrlProp6.xml><?xml version="1.0" encoding="utf-8"?>
<formControlPr xmlns="http://schemas.microsoft.com/office/spreadsheetml/2009/9/main" objectType="Drop" dropStyle="combo" dx="16" fmlaLink="datasheet1!$B$49" fmlaRange="datasheet1!$A$48:$A$50" noThreeD="1" sel="3" val="0"/>
</file>

<file path=xl/ctrlProps/ctrlProp7.xml><?xml version="1.0" encoding="utf-8"?>
<formControlPr xmlns="http://schemas.microsoft.com/office/spreadsheetml/2009/9/main" objectType="CheckBox" checked="Checked" fmlaLink="datasheet1!$B$53" lockText="1" noThreeD="1"/>
</file>

<file path=xl/ctrlProps/ctrlProp8.xml><?xml version="1.0" encoding="utf-8"?>
<formControlPr xmlns="http://schemas.microsoft.com/office/spreadsheetml/2009/9/main" objectType="CheckBox" checked="Checked" fmlaLink="datasheet1!$B$54" lockText="1" noThreeD="1"/>
</file>

<file path=xl/ctrlProps/ctrlProp9.xml><?xml version="1.0" encoding="utf-8"?>
<formControlPr xmlns="http://schemas.microsoft.com/office/spreadsheetml/2009/9/main" objectType="CheckBox" checked="Checked" fmlaLink="datasheet1!$B$55"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85725</xdr:rowOff>
    </xdr:from>
    <xdr:to>
      <xdr:col>1</xdr:col>
      <xdr:colOff>85725</xdr:colOff>
      <xdr:row>2</xdr:row>
      <xdr:rowOff>142875</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6675" y="85725"/>
          <a:ext cx="885825" cy="56197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4</xdr:col>
          <xdr:colOff>19050</xdr:colOff>
          <xdr:row>24</xdr:row>
          <xdr:rowOff>19050</xdr:rowOff>
        </xdr:from>
        <xdr:to>
          <xdr:col>6</xdr:col>
          <xdr:colOff>47625</xdr:colOff>
          <xdr:row>25</xdr:row>
          <xdr:rowOff>123825</xdr:rowOff>
        </xdr:to>
        <xdr:sp macro="" textlink="">
          <xdr:nvSpPr>
            <xdr:cNvPr id="1721" name="Drop Down 697" hidden="1">
              <a:extLst>
                <a:ext uri="{63B3BB69-23CF-44E3-9099-C40C66FF867C}">
                  <a14:compatExt spid="_x0000_s1721"/>
                </a:ext>
                <a:ext uri="{FF2B5EF4-FFF2-40B4-BE49-F238E27FC236}">
                  <a16:creationId xmlns:a16="http://schemas.microsoft.com/office/drawing/2014/main" id="{00000000-0008-0000-0100-0000B9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24</xdr:row>
          <xdr:rowOff>9525</xdr:rowOff>
        </xdr:from>
        <xdr:to>
          <xdr:col>8</xdr:col>
          <xdr:colOff>19050</xdr:colOff>
          <xdr:row>25</xdr:row>
          <xdr:rowOff>142875</xdr:rowOff>
        </xdr:to>
        <xdr:sp macro="" textlink="">
          <xdr:nvSpPr>
            <xdr:cNvPr id="1722" name="Drop Down 698" hidden="1">
              <a:extLst>
                <a:ext uri="{63B3BB69-23CF-44E3-9099-C40C66FF867C}">
                  <a14:compatExt spid="_x0000_s1722"/>
                </a:ext>
                <a:ext uri="{FF2B5EF4-FFF2-40B4-BE49-F238E27FC236}">
                  <a16:creationId xmlns:a16="http://schemas.microsoft.com/office/drawing/2014/main" id="{00000000-0008-0000-0100-0000BA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24</xdr:row>
          <xdr:rowOff>19050</xdr:rowOff>
        </xdr:from>
        <xdr:to>
          <xdr:col>10</xdr:col>
          <xdr:colOff>0</xdr:colOff>
          <xdr:row>25</xdr:row>
          <xdr:rowOff>133350</xdr:rowOff>
        </xdr:to>
        <xdr:sp macro="" textlink="">
          <xdr:nvSpPr>
            <xdr:cNvPr id="1723" name="Drop Down 699" hidden="1">
              <a:extLst>
                <a:ext uri="{63B3BB69-23CF-44E3-9099-C40C66FF867C}">
                  <a14:compatExt spid="_x0000_s1723"/>
                </a:ext>
                <a:ext uri="{FF2B5EF4-FFF2-40B4-BE49-F238E27FC236}">
                  <a16:creationId xmlns:a16="http://schemas.microsoft.com/office/drawing/2014/main" id="{00000000-0008-0000-0100-0000BB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24</xdr:row>
          <xdr:rowOff>28575</xdr:rowOff>
        </xdr:from>
        <xdr:to>
          <xdr:col>4</xdr:col>
          <xdr:colOff>9525</xdr:colOff>
          <xdr:row>26</xdr:row>
          <xdr:rowOff>0</xdr:rowOff>
        </xdr:to>
        <xdr:sp macro="" textlink="">
          <xdr:nvSpPr>
            <xdr:cNvPr id="1720" name="Drop Down 696" hidden="1">
              <a:extLst>
                <a:ext uri="{63B3BB69-23CF-44E3-9099-C40C66FF867C}">
                  <a14:compatExt spid="_x0000_s1720"/>
                </a:ext>
                <a:ext uri="{FF2B5EF4-FFF2-40B4-BE49-F238E27FC236}">
                  <a16:creationId xmlns:a16="http://schemas.microsoft.com/office/drawing/2014/main" id="{00000000-0008-0000-0100-0000B8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914400</xdr:colOff>
          <xdr:row>33</xdr:row>
          <xdr:rowOff>28575</xdr:rowOff>
        </xdr:from>
        <xdr:to>
          <xdr:col>3</xdr:col>
          <xdr:colOff>628650</xdr:colOff>
          <xdr:row>34</xdr:row>
          <xdr:rowOff>9525</xdr:rowOff>
        </xdr:to>
        <xdr:sp macro="" textlink="">
          <xdr:nvSpPr>
            <xdr:cNvPr id="1726" name="Drop Down 702" hidden="1">
              <a:extLst>
                <a:ext uri="{63B3BB69-23CF-44E3-9099-C40C66FF867C}">
                  <a14:compatExt spid="_x0000_s1726"/>
                </a:ext>
                <a:ext uri="{FF2B5EF4-FFF2-40B4-BE49-F238E27FC236}">
                  <a16:creationId xmlns:a16="http://schemas.microsoft.com/office/drawing/2014/main" id="{00000000-0008-0000-0100-0000BE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33</xdr:row>
          <xdr:rowOff>38100</xdr:rowOff>
        </xdr:from>
        <xdr:to>
          <xdr:col>5</xdr:col>
          <xdr:colOff>571500</xdr:colOff>
          <xdr:row>34</xdr:row>
          <xdr:rowOff>0</xdr:rowOff>
        </xdr:to>
        <xdr:sp macro="" textlink="">
          <xdr:nvSpPr>
            <xdr:cNvPr id="1727" name="Drop Down 703" hidden="1">
              <a:extLst>
                <a:ext uri="{63B3BB69-23CF-44E3-9099-C40C66FF867C}">
                  <a14:compatExt spid="_x0000_s1727"/>
                </a:ext>
                <a:ext uri="{FF2B5EF4-FFF2-40B4-BE49-F238E27FC236}">
                  <a16:creationId xmlns:a16="http://schemas.microsoft.com/office/drawing/2014/main" id="{00000000-0008-0000-0100-0000BF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33</xdr:row>
          <xdr:rowOff>38100</xdr:rowOff>
        </xdr:from>
        <xdr:to>
          <xdr:col>8</xdr:col>
          <xdr:colOff>19050</xdr:colOff>
          <xdr:row>34</xdr:row>
          <xdr:rowOff>0</xdr:rowOff>
        </xdr:to>
        <xdr:sp macro="" textlink="">
          <xdr:nvSpPr>
            <xdr:cNvPr id="1728" name="Drop Down 704" hidden="1">
              <a:extLst>
                <a:ext uri="{63B3BB69-23CF-44E3-9099-C40C66FF867C}">
                  <a14:compatExt spid="_x0000_s1728"/>
                </a:ext>
                <a:ext uri="{FF2B5EF4-FFF2-40B4-BE49-F238E27FC236}">
                  <a16:creationId xmlns:a16="http://schemas.microsoft.com/office/drawing/2014/main" id="{00000000-0008-0000-0100-0000C0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33</xdr:row>
          <xdr:rowOff>190500</xdr:rowOff>
        </xdr:from>
        <xdr:to>
          <xdr:col>2</xdr:col>
          <xdr:colOff>390525</xdr:colOff>
          <xdr:row>35</xdr:row>
          <xdr:rowOff>28575</xdr:rowOff>
        </xdr:to>
        <xdr:sp macro="" textlink="">
          <xdr:nvSpPr>
            <xdr:cNvPr id="1731" name="Check Box 707" hidden="1">
              <a:extLst>
                <a:ext uri="{63B3BB69-23CF-44E3-9099-C40C66FF867C}">
                  <a14:compatExt spid="_x0000_s1731"/>
                </a:ext>
                <a:ext uri="{FF2B5EF4-FFF2-40B4-BE49-F238E27FC236}">
                  <a16:creationId xmlns:a16="http://schemas.microsoft.com/office/drawing/2014/main" id="{00000000-0008-0000-0100-0000C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Inc CC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190500</xdr:rowOff>
        </xdr:from>
        <xdr:to>
          <xdr:col>4</xdr:col>
          <xdr:colOff>390525</xdr:colOff>
          <xdr:row>35</xdr:row>
          <xdr:rowOff>28575</xdr:rowOff>
        </xdr:to>
        <xdr:sp macro="" textlink="">
          <xdr:nvSpPr>
            <xdr:cNvPr id="1732" name="Check Box 708" hidden="1">
              <a:extLst>
                <a:ext uri="{63B3BB69-23CF-44E3-9099-C40C66FF867C}">
                  <a14:compatExt spid="_x0000_s1732"/>
                </a:ext>
                <a:ext uri="{FF2B5EF4-FFF2-40B4-BE49-F238E27FC236}">
                  <a16:creationId xmlns:a16="http://schemas.microsoft.com/office/drawing/2014/main" id="{00000000-0008-0000-0100-0000C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Inc CC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200025</xdr:rowOff>
        </xdr:from>
        <xdr:to>
          <xdr:col>6</xdr:col>
          <xdr:colOff>390525</xdr:colOff>
          <xdr:row>35</xdr:row>
          <xdr:rowOff>38100</xdr:rowOff>
        </xdr:to>
        <xdr:sp macro="" textlink="">
          <xdr:nvSpPr>
            <xdr:cNvPr id="1733" name="Check Box 709" hidden="1">
              <a:extLst>
                <a:ext uri="{63B3BB69-23CF-44E3-9099-C40C66FF867C}">
                  <a14:compatExt spid="_x0000_s1733"/>
                </a:ext>
                <a:ext uri="{FF2B5EF4-FFF2-40B4-BE49-F238E27FC236}">
                  <a16:creationId xmlns:a16="http://schemas.microsoft.com/office/drawing/2014/main" id="{00000000-0008-0000-0100-0000C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Inc CC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628650</xdr:colOff>
          <xdr:row>33</xdr:row>
          <xdr:rowOff>190500</xdr:rowOff>
        </xdr:from>
        <xdr:to>
          <xdr:col>8</xdr:col>
          <xdr:colOff>390525</xdr:colOff>
          <xdr:row>35</xdr:row>
          <xdr:rowOff>28575</xdr:rowOff>
        </xdr:to>
        <xdr:sp macro="" textlink="">
          <xdr:nvSpPr>
            <xdr:cNvPr id="1734" name="Check Box 710" hidden="1">
              <a:extLst>
                <a:ext uri="{63B3BB69-23CF-44E3-9099-C40C66FF867C}">
                  <a14:compatExt spid="_x0000_s1734"/>
                </a:ext>
                <a:ext uri="{FF2B5EF4-FFF2-40B4-BE49-F238E27FC236}">
                  <a16:creationId xmlns:a16="http://schemas.microsoft.com/office/drawing/2014/main" id="{00000000-0008-0000-0100-0000C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Inc CC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33</xdr:row>
          <xdr:rowOff>19050</xdr:rowOff>
        </xdr:from>
        <xdr:to>
          <xdr:col>10</xdr:col>
          <xdr:colOff>0</xdr:colOff>
          <xdr:row>34</xdr:row>
          <xdr:rowOff>0</xdr:rowOff>
        </xdr:to>
        <xdr:sp macro="" textlink="">
          <xdr:nvSpPr>
            <xdr:cNvPr id="1737" name="Drop Down 713" hidden="1">
              <a:extLst>
                <a:ext uri="{63B3BB69-23CF-44E3-9099-C40C66FF867C}">
                  <a14:compatExt spid="_x0000_s1737"/>
                </a:ext>
                <a:ext uri="{FF2B5EF4-FFF2-40B4-BE49-F238E27FC236}">
                  <a16:creationId xmlns:a16="http://schemas.microsoft.com/office/drawing/2014/main" id="{00000000-0008-0000-0100-0000C9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390525</xdr:colOff>
          <xdr:row>45</xdr:row>
          <xdr:rowOff>209550</xdr:rowOff>
        </xdr:from>
        <xdr:to>
          <xdr:col>3</xdr:col>
          <xdr:colOff>190500</xdr:colOff>
          <xdr:row>47</xdr:row>
          <xdr:rowOff>66675</xdr:rowOff>
        </xdr:to>
        <xdr:sp macro="" textlink="">
          <xdr:nvSpPr>
            <xdr:cNvPr id="1740" name="Check Box 716" hidden="1">
              <a:extLst>
                <a:ext uri="{63B3BB69-23CF-44E3-9099-C40C66FF867C}">
                  <a14:compatExt spid="_x0000_s1740"/>
                </a:ext>
                <a:ext uri="{FF2B5EF4-FFF2-40B4-BE49-F238E27FC236}">
                  <a16:creationId xmlns:a16="http://schemas.microsoft.com/office/drawing/2014/main" id="{00000000-0008-0000-0100-0000C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45</xdr:row>
          <xdr:rowOff>209550</xdr:rowOff>
        </xdr:from>
        <xdr:to>
          <xdr:col>4</xdr:col>
          <xdr:colOff>590550</xdr:colOff>
          <xdr:row>47</xdr:row>
          <xdr:rowOff>66675</xdr:rowOff>
        </xdr:to>
        <xdr:sp macro="" textlink="">
          <xdr:nvSpPr>
            <xdr:cNvPr id="1743" name="Check Box 719" hidden="1">
              <a:extLst>
                <a:ext uri="{63B3BB69-23CF-44E3-9099-C40C66FF867C}">
                  <a14:compatExt spid="_x0000_s1743"/>
                </a:ext>
                <a:ext uri="{FF2B5EF4-FFF2-40B4-BE49-F238E27FC236}">
                  <a16:creationId xmlns:a16="http://schemas.microsoft.com/office/drawing/2014/main" id="{00000000-0008-0000-0100-0000C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45</xdr:row>
          <xdr:rowOff>219075</xdr:rowOff>
        </xdr:from>
        <xdr:to>
          <xdr:col>7</xdr:col>
          <xdr:colOff>57150</xdr:colOff>
          <xdr:row>47</xdr:row>
          <xdr:rowOff>76200</xdr:rowOff>
        </xdr:to>
        <xdr:sp macro="" textlink="">
          <xdr:nvSpPr>
            <xdr:cNvPr id="1744" name="Check Box 720" hidden="1">
              <a:extLst>
                <a:ext uri="{63B3BB69-23CF-44E3-9099-C40C66FF867C}">
                  <a14:compatExt spid="_x0000_s1744"/>
                </a:ext>
                <a:ext uri="{FF2B5EF4-FFF2-40B4-BE49-F238E27FC236}">
                  <a16:creationId xmlns:a16="http://schemas.microsoft.com/office/drawing/2014/main" id="{00000000-0008-0000-0100-0000D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247650</xdr:colOff>
          <xdr:row>45</xdr:row>
          <xdr:rowOff>209550</xdr:rowOff>
        </xdr:from>
        <xdr:to>
          <xdr:col>9</xdr:col>
          <xdr:colOff>19050</xdr:colOff>
          <xdr:row>47</xdr:row>
          <xdr:rowOff>66675</xdr:rowOff>
        </xdr:to>
        <xdr:sp macro="" textlink="">
          <xdr:nvSpPr>
            <xdr:cNvPr id="1745" name="Check Box 721" hidden="1">
              <a:extLst>
                <a:ext uri="{63B3BB69-23CF-44E3-9099-C40C66FF867C}">
                  <a14:compatExt spid="_x0000_s1745"/>
                </a:ext>
                <a:ext uri="{FF2B5EF4-FFF2-40B4-BE49-F238E27FC236}">
                  <a16:creationId xmlns:a16="http://schemas.microsoft.com/office/drawing/2014/main" id="{00000000-0008-0000-0100-0000D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390525</xdr:colOff>
          <xdr:row>47</xdr:row>
          <xdr:rowOff>104775</xdr:rowOff>
        </xdr:from>
        <xdr:to>
          <xdr:col>2</xdr:col>
          <xdr:colOff>581025</xdr:colOff>
          <xdr:row>49</xdr:row>
          <xdr:rowOff>66675</xdr:rowOff>
        </xdr:to>
        <xdr:sp macro="" textlink="">
          <xdr:nvSpPr>
            <xdr:cNvPr id="1746" name="Check Box 722" descr="Invest Savings" hidden="1">
              <a:extLst>
                <a:ext uri="{63B3BB69-23CF-44E3-9099-C40C66FF867C}">
                  <a14:compatExt spid="_x0000_s1746"/>
                </a:ext>
                <a:ext uri="{FF2B5EF4-FFF2-40B4-BE49-F238E27FC236}">
                  <a16:creationId xmlns:a16="http://schemas.microsoft.com/office/drawing/2014/main" id="{00000000-0008-0000-0100-0000D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285750</xdr:colOff>
          <xdr:row>47</xdr:row>
          <xdr:rowOff>95250</xdr:rowOff>
        </xdr:from>
        <xdr:to>
          <xdr:col>5</xdr:col>
          <xdr:colOff>9525</xdr:colOff>
          <xdr:row>49</xdr:row>
          <xdr:rowOff>57150</xdr:rowOff>
        </xdr:to>
        <xdr:sp macro="" textlink="">
          <xdr:nvSpPr>
            <xdr:cNvPr id="1747" name="Check Box 723" descr="Invest Savings" hidden="1">
              <a:extLst>
                <a:ext uri="{63B3BB69-23CF-44E3-9099-C40C66FF867C}">
                  <a14:compatExt spid="_x0000_s1747"/>
                </a:ext>
                <a:ext uri="{FF2B5EF4-FFF2-40B4-BE49-F238E27FC236}">
                  <a16:creationId xmlns:a16="http://schemas.microsoft.com/office/drawing/2014/main" id="{00000000-0008-0000-0100-0000D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47</xdr:row>
          <xdr:rowOff>104775</xdr:rowOff>
        </xdr:from>
        <xdr:to>
          <xdr:col>7</xdr:col>
          <xdr:colOff>38100</xdr:colOff>
          <xdr:row>49</xdr:row>
          <xdr:rowOff>66675</xdr:rowOff>
        </xdr:to>
        <xdr:sp macro="" textlink="">
          <xdr:nvSpPr>
            <xdr:cNvPr id="1748" name="Check Box 724" descr="Invest Savings" hidden="1">
              <a:extLst>
                <a:ext uri="{63B3BB69-23CF-44E3-9099-C40C66FF867C}">
                  <a14:compatExt spid="_x0000_s1748"/>
                </a:ext>
                <a:ext uri="{FF2B5EF4-FFF2-40B4-BE49-F238E27FC236}">
                  <a16:creationId xmlns:a16="http://schemas.microsoft.com/office/drawing/2014/main" id="{00000000-0008-0000-0100-0000D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228600</xdr:colOff>
          <xdr:row>47</xdr:row>
          <xdr:rowOff>85725</xdr:rowOff>
        </xdr:from>
        <xdr:to>
          <xdr:col>8</xdr:col>
          <xdr:colOff>533400</xdr:colOff>
          <xdr:row>49</xdr:row>
          <xdr:rowOff>47625</xdr:rowOff>
        </xdr:to>
        <xdr:sp macro="" textlink="">
          <xdr:nvSpPr>
            <xdr:cNvPr id="1749" name="Check Box 725" descr="Invest Savings" hidden="1">
              <a:extLst>
                <a:ext uri="{63B3BB69-23CF-44E3-9099-C40C66FF867C}">
                  <a14:compatExt spid="_x0000_s1749"/>
                </a:ext>
                <a:ext uri="{FF2B5EF4-FFF2-40B4-BE49-F238E27FC236}">
                  <a16:creationId xmlns:a16="http://schemas.microsoft.com/office/drawing/2014/main" id="{00000000-0008-0000-0100-0000D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0</xdr:row>
      <xdr:rowOff>1</xdr:rowOff>
    </xdr:from>
    <xdr:to>
      <xdr:col>4</xdr:col>
      <xdr:colOff>209550</xdr:colOff>
      <xdr:row>2</xdr:row>
      <xdr:rowOff>209551</xdr:rowOff>
    </xdr:to>
    <xdr:pic>
      <xdr:nvPicPr>
        <xdr:cNvPr id="3345" name="Picture 273" descr="Pacific Financial Logo Lettering GOOD 2">
          <a:extLst>
            <a:ext uri="{FF2B5EF4-FFF2-40B4-BE49-F238E27FC236}">
              <a16:creationId xmlns:a16="http://schemas.microsoft.com/office/drawing/2014/main" id="{00000000-0008-0000-0200-0000110D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525" y="1"/>
          <a:ext cx="3390900" cy="5334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xdr:col>
          <xdr:colOff>9525</xdr:colOff>
          <xdr:row>9</xdr:row>
          <xdr:rowOff>9525</xdr:rowOff>
        </xdr:from>
        <xdr:to>
          <xdr:col>4</xdr:col>
          <xdr:colOff>0</xdr:colOff>
          <xdr:row>10</xdr:row>
          <xdr:rowOff>9525</xdr:rowOff>
        </xdr:to>
        <xdr:sp macro="" textlink="">
          <xdr:nvSpPr>
            <xdr:cNvPr id="3359" name="Drop Down 287" hidden="1">
              <a:extLst>
                <a:ext uri="{63B3BB69-23CF-44E3-9099-C40C66FF867C}">
                  <a14:compatExt spid="_x0000_s3359"/>
                </a:ext>
                <a:ext uri="{FF2B5EF4-FFF2-40B4-BE49-F238E27FC236}">
                  <a16:creationId xmlns:a16="http://schemas.microsoft.com/office/drawing/2014/main" id="{00000000-0008-0000-0200-00001F0D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9</xdr:row>
          <xdr:rowOff>9525</xdr:rowOff>
        </xdr:from>
        <xdr:to>
          <xdr:col>6</xdr:col>
          <xdr:colOff>0</xdr:colOff>
          <xdr:row>10</xdr:row>
          <xdr:rowOff>9525</xdr:rowOff>
        </xdr:to>
        <xdr:sp macro="" textlink="">
          <xdr:nvSpPr>
            <xdr:cNvPr id="3360" name="Drop Down 288" hidden="1">
              <a:extLst>
                <a:ext uri="{63B3BB69-23CF-44E3-9099-C40C66FF867C}">
                  <a14:compatExt spid="_x0000_s3360"/>
                </a:ext>
                <a:ext uri="{FF2B5EF4-FFF2-40B4-BE49-F238E27FC236}">
                  <a16:creationId xmlns:a16="http://schemas.microsoft.com/office/drawing/2014/main" id="{00000000-0008-0000-0200-0000200D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xdr:row>
          <xdr:rowOff>9525</xdr:rowOff>
        </xdr:from>
        <xdr:to>
          <xdr:col>7</xdr:col>
          <xdr:colOff>733425</xdr:colOff>
          <xdr:row>10</xdr:row>
          <xdr:rowOff>9525</xdr:rowOff>
        </xdr:to>
        <xdr:sp macro="" textlink="">
          <xdr:nvSpPr>
            <xdr:cNvPr id="3361" name="Drop Down 289" hidden="1">
              <a:extLst>
                <a:ext uri="{63B3BB69-23CF-44E3-9099-C40C66FF867C}">
                  <a14:compatExt spid="_x0000_s3361"/>
                </a:ext>
                <a:ext uri="{FF2B5EF4-FFF2-40B4-BE49-F238E27FC236}">
                  <a16:creationId xmlns:a16="http://schemas.microsoft.com/office/drawing/2014/main" id="{00000000-0008-0000-0200-0000210D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9</xdr:row>
          <xdr:rowOff>9525</xdr:rowOff>
        </xdr:from>
        <xdr:to>
          <xdr:col>10</xdr:col>
          <xdr:colOff>0</xdr:colOff>
          <xdr:row>10</xdr:row>
          <xdr:rowOff>9525</xdr:rowOff>
        </xdr:to>
        <xdr:sp macro="" textlink="">
          <xdr:nvSpPr>
            <xdr:cNvPr id="3362" name="Drop Down 290" hidden="1">
              <a:extLst>
                <a:ext uri="{63B3BB69-23CF-44E3-9099-C40C66FF867C}">
                  <a14:compatExt spid="_x0000_s3362"/>
                </a:ext>
                <a:ext uri="{FF2B5EF4-FFF2-40B4-BE49-F238E27FC236}">
                  <a16:creationId xmlns:a16="http://schemas.microsoft.com/office/drawing/2014/main" id="{00000000-0008-0000-0200-0000220D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26</xdr:row>
          <xdr:rowOff>57150</xdr:rowOff>
        </xdr:from>
        <xdr:to>
          <xdr:col>3</xdr:col>
          <xdr:colOff>771525</xdr:colOff>
          <xdr:row>28</xdr:row>
          <xdr:rowOff>104775</xdr:rowOff>
        </xdr:to>
        <xdr:sp macro="" textlink="">
          <xdr:nvSpPr>
            <xdr:cNvPr id="3363" name="Check Box 291" hidden="1">
              <a:extLst>
                <a:ext uri="{63B3BB69-23CF-44E3-9099-C40C66FF867C}">
                  <a14:compatExt spid="_x0000_s3363"/>
                </a:ext>
                <a:ext uri="{FF2B5EF4-FFF2-40B4-BE49-F238E27FC236}">
                  <a16:creationId xmlns:a16="http://schemas.microsoft.com/office/drawing/2014/main" id="{00000000-0008-0000-0200-00002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No MI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26</xdr:row>
          <xdr:rowOff>57150</xdr:rowOff>
        </xdr:from>
        <xdr:to>
          <xdr:col>5</xdr:col>
          <xdr:colOff>800100</xdr:colOff>
          <xdr:row>28</xdr:row>
          <xdr:rowOff>104775</xdr:rowOff>
        </xdr:to>
        <xdr:sp macro="" textlink="">
          <xdr:nvSpPr>
            <xdr:cNvPr id="3364" name="Check Box 292" hidden="1">
              <a:extLst>
                <a:ext uri="{63B3BB69-23CF-44E3-9099-C40C66FF867C}">
                  <a14:compatExt spid="_x0000_s3364"/>
                </a:ext>
                <a:ext uri="{FF2B5EF4-FFF2-40B4-BE49-F238E27FC236}">
                  <a16:creationId xmlns:a16="http://schemas.microsoft.com/office/drawing/2014/main" id="{00000000-0008-0000-0200-00002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No MI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26</xdr:row>
          <xdr:rowOff>104775</xdr:rowOff>
        </xdr:from>
        <xdr:to>
          <xdr:col>8</xdr:col>
          <xdr:colOff>0</xdr:colOff>
          <xdr:row>28</xdr:row>
          <xdr:rowOff>57150</xdr:rowOff>
        </xdr:to>
        <xdr:sp macro="" textlink="">
          <xdr:nvSpPr>
            <xdr:cNvPr id="3365" name="Check Box 293" hidden="1">
              <a:extLst>
                <a:ext uri="{63B3BB69-23CF-44E3-9099-C40C66FF867C}">
                  <a14:compatExt spid="_x0000_s3365"/>
                </a:ext>
                <a:ext uri="{FF2B5EF4-FFF2-40B4-BE49-F238E27FC236}">
                  <a16:creationId xmlns:a16="http://schemas.microsoft.com/office/drawing/2014/main" id="{00000000-0008-0000-0200-00002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No MI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26</xdr:row>
          <xdr:rowOff>38100</xdr:rowOff>
        </xdr:from>
        <xdr:to>
          <xdr:col>9</xdr:col>
          <xdr:colOff>819150</xdr:colOff>
          <xdr:row>28</xdr:row>
          <xdr:rowOff>85725</xdr:rowOff>
        </xdr:to>
        <xdr:sp macro="" textlink="">
          <xdr:nvSpPr>
            <xdr:cNvPr id="3366" name="Check Box 294" hidden="1">
              <a:extLst>
                <a:ext uri="{63B3BB69-23CF-44E3-9099-C40C66FF867C}">
                  <a14:compatExt spid="_x0000_s3366"/>
                </a:ext>
                <a:ext uri="{FF2B5EF4-FFF2-40B4-BE49-F238E27FC236}">
                  <a16:creationId xmlns:a16="http://schemas.microsoft.com/office/drawing/2014/main" id="{00000000-0008-0000-0200-00002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No MI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600075</xdr:colOff>
          <xdr:row>25</xdr:row>
          <xdr:rowOff>114300</xdr:rowOff>
        </xdr:from>
        <xdr:to>
          <xdr:col>2</xdr:col>
          <xdr:colOff>38100</xdr:colOff>
          <xdr:row>27</xdr:row>
          <xdr:rowOff>66675</xdr:rowOff>
        </xdr:to>
        <xdr:sp macro="" textlink="">
          <xdr:nvSpPr>
            <xdr:cNvPr id="3367" name="Check Box 295" descr=" Show I/O " hidden="1">
              <a:extLst>
                <a:ext uri="{63B3BB69-23CF-44E3-9099-C40C66FF867C}">
                  <a14:compatExt spid="_x0000_s3367"/>
                </a:ext>
                <a:ext uri="{FF2B5EF4-FFF2-40B4-BE49-F238E27FC236}">
                  <a16:creationId xmlns:a16="http://schemas.microsoft.com/office/drawing/2014/main" id="{00000000-0008-0000-0200-00002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Show I/O </a:t>
              </a:r>
            </a:p>
          </xdr:txBody>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25.xml"/><Relationship Id="rId13" Type="http://schemas.openxmlformats.org/officeDocument/2006/relationships/comments" Target="../comments2.xml"/><Relationship Id="rId3" Type="http://schemas.openxmlformats.org/officeDocument/2006/relationships/vmlDrawing" Target="../drawings/vmlDrawing2.vml"/><Relationship Id="rId7" Type="http://schemas.openxmlformats.org/officeDocument/2006/relationships/ctrlProp" Target="../ctrlProps/ctrlProp24.xml"/><Relationship Id="rId12" Type="http://schemas.openxmlformats.org/officeDocument/2006/relationships/ctrlProp" Target="../ctrlProps/ctrlProp2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23.xml"/><Relationship Id="rId11" Type="http://schemas.openxmlformats.org/officeDocument/2006/relationships/ctrlProp" Target="../ctrlProps/ctrlProp28.xml"/><Relationship Id="rId5" Type="http://schemas.openxmlformats.org/officeDocument/2006/relationships/ctrlProp" Target="../ctrlProps/ctrlProp22.xml"/><Relationship Id="rId10" Type="http://schemas.openxmlformats.org/officeDocument/2006/relationships/ctrlProp" Target="../ctrlProps/ctrlProp27.xml"/><Relationship Id="rId4" Type="http://schemas.openxmlformats.org/officeDocument/2006/relationships/ctrlProp" Target="../ctrlProps/ctrlProp21.xml"/><Relationship Id="rId9" Type="http://schemas.openxmlformats.org/officeDocument/2006/relationships/ctrlProp" Target="../ctrlProps/ctrlProp2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H57"/>
  <sheetViews>
    <sheetView topLeftCell="A22" workbookViewId="0">
      <selection activeCell="B56" sqref="B56"/>
    </sheetView>
  </sheetViews>
  <sheetFormatPr defaultRowHeight="12.75" x14ac:dyDescent="0.2"/>
  <cols>
    <col min="1" max="1" width="13.140625" customWidth="1"/>
  </cols>
  <sheetData>
    <row r="1" spans="1:5" x14ac:dyDescent="0.2">
      <c r="A1" t="s">
        <v>0</v>
      </c>
      <c r="D1">
        <v>10</v>
      </c>
      <c r="E1" s="131"/>
    </row>
    <row r="2" spans="1:5" x14ac:dyDescent="0.2">
      <c r="A2" t="s">
        <v>1</v>
      </c>
      <c r="D2">
        <v>20</v>
      </c>
    </row>
    <row r="3" spans="1:5" x14ac:dyDescent="0.2">
      <c r="A3" t="s">
        <v>2</v>
      </c>
      <c r="D3">
        <v>25</v>
      </c>
    </row>
    <row r="4" spans="1:5" x14ac:dyDescent="0.2">
      <c r="A4" t="s">
        <v>3</v>
      </c>
      <c r="D4">
        <v>30</v>
      </c>
    </row>
    <row r="5" spans="1:5" x14ac:dyDescent="0.2">
      <c r="A5" t="s">
        <v>4</v>
      </c>
      <c r="D5">
        <v>15</v>
      </c>
    </row>
    <row r="6" spans="1:5" x14ac:dyDescent="0.2">
      <c r="A6" t="s">
        <v>5</v>
      </c>
      <c r="D6">
        <v>30</v>
      </c>
    </row>
    <row r="7" spans="1:5" x14ac:dyDescent="0.2">
      <c r="A7" s="130" t="s">
        <v>6</v>
      </c>
      <c r="D7">
        <v>30</v>
      </c>
    </row>
    <row r="8" spans="1:5" x14ac:dyDescent="0.2">
      <c r="A8" t="s">
        <v>7</v>
      </c>
      <c r="D8">
        <v>30</v>
      </c>
    </row>
    <row r="9" spans="1:5" x14ac:dyDescent="0.2">
      <c r="A9" s="154" t="s">
        <v>143</v>
      </c>
      <c r="D9">
        <v>30</v>
      </c>
    </row>
    <row r="10" spans="1:5" x14ac:dyDescent="0.2">
      <c r="A10" t="s">
        <v>8</v>
      </c>
      <c r="D10">
        <v>30</v>
      </c>
    </row>
    <row r="11" spans="1:5" x14ac:dyDescent="0.2">
      <c r="A11" t="s">
        <v>9</v>
      </c>
      <c r="D11">
        <v>30</v>
      </c>
    </row>
    <row r="12" spans="1:5" x14ac:dyDescent="0.2">
      <c r="A12" t="s">
        <v>10</v>
      </c>
      <c r="D12">
        <v>30</v>
      </c>
    </row>
    <row r="13" spans="1:5" x14ac:dyDescent="0.2">
      <c r="A13" t="s">
        <v>11</v>
      </c>
      <c r="D13">
        <v>30</v>
      </c>
    </row>
    <row r="14" spans="1:5" x14ac:dyDescent="0.2">
      <c r="A14" t="s">
        <v>12</v>
      </c>
      <c r="D14">
        <v>30</v>
      </c>
    </row>
    <row r="15" spans="1:5" x14ac:dyDescent="0.2">
      <c r="A15" t="s">
        <v>13</v>
      </c>
      <c r="D15">
        <v>30</v>
      </c>
    </row>
    <row r="16" spans="1:5" x14ac:dyDescent="0.2">
      <c r="A16" t="s">
        <v>14</v>
      </c>
      <c r="D16" t="s">
        <v>15</v>
      </c>
    </row>
    <row r="17" spans="1:4" x14ac:dyDescent="0.2">
      <c r="A17" t="s">
        <v>16</v>
      </c>
      <c r="D17" t="s">
        <v>15</v>
      </c>
    </row>
    <row r="18" spans="1:4" x14ac:dyDescent="0.2">
      <c r="A18" t="s">
        <v>17</v>
      </c>
      <c r="D18" t="s">
        <v>15</v>
      </c>
    </row>
    <row r="19" spans="1:4" x14ac:dyDescent="0.2">
      <c r="A19" t="s">
        <v>18</v>
      </c>
      <c r="D19" t="s">
        <v>15</v>
      </c>
    </row>
    <row r="20" spans="1:4" x14ac:dyDescent="0.2">
      <c r="A20" t="s">
        <v>19</v>
      </c>
      <c r="D20" t="s">
        <v>15</v>
      </c>
    </row>
    <row r="21" spans="1:4" x14ac:dyDescent="0.2">
      <c r="A21" t="s">
        <v>20</v>
      </c>
      <c r="D21" t="s">
        <v>15</v>
      </c>
    </row>
    <row r="22" spans="1:4" x14ac:dyDescent="0.2">
      <c r="A22" t="s">
        <v>21</v>
      </c>
      <c r="D22">
        <v>30</v>
      </c>
    </row>
    <row r="23" spans="1:4" x14ac:dyDescent="0.2">
      <c r="A23" t="s">
        <v>22</v>
      </c>
      <c r="D23">
        <v>40</v>
      </c>
    </row>
    <row r="24" spans="1:4" x14ac:dyDescent="0.2">
      <c r="A24" t="s">
        <v>23</v>
      </c>
      <c r="D24">
        <v>40</v>
      </c>
    </row>
    <row r="25" spans="1:4" x14ac:dyDescent="0.2">
      <c r="A25" t="s">
        <v>24</v>
      </c>
      <c r="D25" t="s">
        <v>15</v>
      </c>
    </row>
    <row r="26" spans="1:4" x14ac:dyDescent="0.2">
      <c r="A26" t="s">
        <v>25</v>
      </c>
      <c r="D26" t="s">
        <v>15</v>
      </c>
    </row>
    <row r="27" spans="1:4" x14ac:dyDescent="0.2">
      <c r="A27" t="s">
        <v>26</v>
      </c>
      <c r="D27">
        <v>30</v>
      </c>
    </row>
    <row r="28" spans="1:4" x14ac:dyDescent="0.2">
      <c r="A28" t="s">
        <v>27</v>
      </c>
      <c r="D28">
        <v>30</v>
      </c>
    </row>
    <row r="29" spans="1:4" x14ac:dyDescent="0.2">
      <c r="A29" t="s">
        <v>28</v>
      </c>
      <c r="D29" t="s">
        <v>15</v>
      </c>
    </row>
    <row r="30" spans="1:4" x14ac:dyDescent="0.2">
      <c r="A30" t="s">
        <v>29</v>
      </c>
      <c r="D30">
        <v>30</v>
      </c>
    </row>
    <row r="31" spans="1:4" x14ac:dyDescent="0.2">
      <c r="A31" t="s">
        <v>30</v>
      </c>
      <c r="D31">
        <v>30</v>
      </c>
    </row>
    <row r="32" spans="1:4" x14ac:dyDescent="0.2">
      <c r="A32" t="s">
        <v>31</v>
      </c>
      <c r="D32">
        <v>30</v>
      </c>
    </row>
    <row r="33" spans="1:8" x14ac:dyDescent="0.2">
      <c r="A33" t="s">
        <v>32</v>
      </c>
      <c r="D33">
        <v>15</v>
      </c>
    </row>
    <row r="34" spans="1:8" x14ac:dyDescent="0.2">
      <c r="A34" t="s">
        <v>33</v>
      </c>
      <c r="D34">
        <v>30</v>
      </c>
    </row>
    <row r="35" spans="1:8" x14ac:dyDescent="0.2">
      <c r="A35" t="s">
        <v>34</v>
      </c>
      <c r="D35">
        <v>30</v>
      </c>
    </row>
    <row r="36" spans="1:8" x14ac:dyDescent="0.2">
      <c r="A36" t="s">
        <v>35</v>
      </c>
      <c r="D36">
        <v>0</v>
      </c>
    </row>
    <row r="37" spans="1:8" x14ac:dyDescent="0.2">
      <c r="A37">
        <v>30</v>
      </c>
      <c r="B37">
        <v>4</v>
      </c>
      <c r="F37" s="154"/>
      <c r="G37" s="111" t="s">
        <v>36</v>
      </c>
      <c r="H37" s="154"/>
    </row>
    <row r="38" spans="1:8" x14ac:dyDescent="0.2">
      <c r="A38">
        <v>30</v>
      </c>
      <c r="B38">
        <v>4</v>
      </c>
      <c r="F38" s="161" t="s">
        <v>37</v>
      </c>
      <c r="G38" s="162">
        <v>5.7999999999999996E-3</v>
      </c>
      <c r="H38" s="154"/>
    </row>
    <row r="39" spans="1:8" x14ac:dyDescent="0.2">
      <c r="A39">
        <v>30</v>
      </c>
      <c r="B39">
        <v>4</v>
      </c>
      <c r="F39" s="163" t="s">
        <v>38</v>
      </c>
      <c r="G39" s="162">
        <v>4.1000000000000003E-3</v>
      </c>
      <c r="H39" s="154"/>
    </row>
    <row r="40" spans="1:8" x14ac:dyDescent="0.2">
      <c r="A40">
        <v>30</v>
      </c>
      <c r="B40">
        <v>4</v>
      </c>
      <c r="F40" s="154" t="s">
        <v>39</v>
      </c>
      <c r="G40" s="164">
        <v>3.8E-3</v>
      </c>
      <c r="H40" s="154"/>
    </row>
    <row r="41" spans="1:8" x14ac:dyDescent="0.2">
      <c r="F41" s="154" t="s">
        <v>40</v>
      </c>
      <c r="G41" s="164">
        <v>2.8E-3</v>
      </c>
      <c r="H41" s="154"/>
    </row>
    <row r="42" spans="1:8" x14ac:dyDescent="0.2">
      <c r="A42">
        <v>27</v>
      </c>
      <c r="F42" s="154" t="s">
        <v>41</v>
      </c>
      <c r="G42" s="164">
        <v>1.9E-3</v>
      </c>
      <c r="H42" s="154"/>
    </row>
    <row r="43" spans="1:8" x14ac:dyDescent="0.2">
      <c r="F43" s="154"/>
      <c r="G43" s="164"/>
      <c r="H43" s="154"/>
    </row>
    <row r="44" spans="1:8" x14ac:dyDescent="0.2">
      <c r="A44" s="154" t="s">
        <v>145</v>
      </c>
      <c r="F44" s="111" t="s">
        <v>42</v>
      </c>
      <c r="G44" s="164" t="s">
        <v>43</v>
      </c>
      <c r="H44" s="154" t="s">
        <v>44</v>
      </c>
    </row>
    <row r="45" spans="1:8" x14ac:dyDescent="0.2">
      <c r="F45" s="154" t="s">
        <v>45</v>
      </c>
      <c r="G45" s="198">
        <v>5.4999999999999997E-3</v>
      </c>
      <c r="H45" s="165">
        <v>2E-3</v>
      </c>
    </row>
    <row r="46" spans="1:8" x14ac:dyDescent="0.2">
      <c r="A46" s="154" t="s">
        <v>46</v>
      </c>
      <c r="F46" s="154" t="s">
        <v>47</v>
      </c>
      <c r="G46" s="198">
        <v>1.7500000000000002E-2</v>
      </c>
      <c r="H46" s="154"/>
    </row>
    <row r="47" spans="1:8" x14ac:dyDescent="0.2">
      <c r="F47" s="154" t="s">
        <v>144</v>
      </c>
      <c r="G47" s="199">
        <v>7.0000000000000001E-3</v>
      </c>
    </row>
    <row r="48" spans="1:8" x14ac:dyDescent="0.2">
      <c r="A48" s="154" t="s">
        <v>148</v>
      </c>
      <c r="B48">
        <v>3</v>
      </c>
    </row>
    <row r="49" spans="1:6" x14ac:dyDescent="0.2">
      <c r="A49" s="154" t="s">
        <v>149</v>
      </c>
      <c r="B49">
        <v>3</v>
      </c>
    </row>
    <row r="50" spans="1:6" x14ac:dyDescent="0.2">
      <c r="A50" s="154" t="s">
        <v>147</v>
      </c>
      <c r="B50">
        <v>3</v>
      </c>
      <c r="F50" s="154" t="s">
        <v>48</v>
      </c>
    </row>
    <row r="51" spans="1:6" x14ac:dyDescent="0.2">
      <c r="A51" s="154" t="s">
        <v>49</v>
      </c>
      <c r="B51">
        <v>3</v>
      </c>
      <c r="F51" t="b">
        <v>0</v>
      </c>
    </row>
    <row r="52" spans="1:6" x14ac:dyDescent="0.2">
      <c r="A52" s="154" t="s">
        <v>146</v>
      </c>
      <c r="F52" t="b">
        <v>0</v>
      </c>
    </row>
    <row r="53" spans="1:6" x14ac:dyDescent="0.2">
      <c r="B53" t="b">
        <v>1</v>
      </c>
      <c r="F53" t="b">
        <v>0</v>
      </c>
    </row>
    <row r="54" spans="1:6" x14ac:dyDescent="0.2">
      <c r="B54" t="b">
        <v>1</v>
      </c>
      <c r="F54" t="b">
        <v>0</v>
      </c>
    </row>
    <row r="55" spans="1:6" x14ac:dyDescent="0.2">
      <c r="B55" t="b">
        <v>1</v>
      </c>
    </row>
    <row r="56" spans="1:6" x14ac:dyDescent="0.2">
      <c r="B56" t="b">
        <v>1</v>
      </c>
    </row>
    <row r="57" spans="1:6" x14ac:dyDescent="0.2">
      <c r="A57" s="154" t="b">
        <v>1</v>
      </c>
    </row>
  </sheetData>
  <phoneticPr fontId="18"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2:W58"/>
  <sheetViews>
    <sheetView topLeftCell="A17" zoomScaleNormal="100" workbookViewId="0">
      <selection activeCell="F12" sqref="F12"/>
    </sheetView>
  </sheetViews>
  <sheetFormatPr defaultColWidth="9.140625" defaultRowHeight="12.75" x14ac:dyDescent="0.2"/>
  <cols>
    <col min="1" max="1" width="13" style="35" customWidth="1"/>
    <col min="2" max="2" width="14.28515625" style="32" customWidth="1"/>
    <col min="3" max="3" width="9.28515625" style="32" customWidth="1"/>
    <col min="4" max="4" width="9.5703125" style="32" customWidth="1"/>
    <col min="5" max="5" width="9.140625" style="32"/>
    <col min="6" max="6" width="9" style="32" customWidth="1"/>
    <col min="7" max="7" width="8.85546875" style="32" customWidth="1"/>
    <col min="8" max="8" width="9.140625" style="32" customWidth="1"/>
    <col min="9" max="9" width="8.7109375" style="32" customWidth="1"/>
    <col min="10" max="10" width="10.7109375" style="32" customWidth="1"/>
    <col min="11" max="11" width="9.7109375" style="32" bestFit="1" customWidth="1"/>
    <col min="12" max="12" width="12" style="32" customWidth="1"/>
    <col min="13" max="13" width="9.140625" style="32"/>
    <col min="14" max="14" width="22.140625" style="32" customWidth="1"/>
    <col min="15" max="16" width="9.140625" style="32"/>
    <col min="17" max="17" width="11.140625" style="32" bestFit="1" customWidth="1"/>
    <col min="18" max="16384" width="9.140625" style="32"/>
  </cols>
  <sheetData>
    <row r="2" spans="1:20" ht="27" x14ac:dyDescent="0.35">
      <c r="B2" s="36" t="s">
        <v>92</v>
      </c>
      <c r="G2" s="217" t="s">
        <v>93</v>
      </c>
      <c r="H2" s="218"/>
      <c r="I2" s="218"/>
      <c r="J2" s="218"/>
    </row>
    <row r="3" spans="1:20" ht="15" customHeight="1" x14ac:dyDescent="0.35">
      <c r="B3" s="36"/>
      <c r="G3" s="218"/>
      <c r="H3" s="218"/>
      <c r="I3" s="218"/>
      <c r="J3" s="218"/>
    </row>
    <row r="4" spans="1:20" ht="12.75" customHeight="1" x14ac:dyDescent="0.2">
      <c r="A4" s="35" t="s">
        <v>94</v>
      </c>
      <c r="B4" s="156" t="s">
        <v>95</v>
      </c>
      <c r="C4" s="141">
        <f ca="1">TODAY()</f>
        <v>44077</v>
      </c>
      <c r="D4" s="35" t="s">
        <v>96</v>
      </c>
      <c r="G4" s="219"/>
      <c r="H4" s="219"/>
      <c r="I4" s="219"/>
      <c r="J4" s="219"/>
    </row>
    <row r="5" spans="1:20" ht="15" customHeight="1" x14ac:dyDescent="0.2">
      <c r="D5" s="142" t="s">
        <v>50</v>
      </c>
      <c r="G5" s="222" t="s">
        <v>97</v>
      </c>
      <c r="H5" s="222"/>
      <c r="I5" s="222"/>
      <c r="J5" s="222"/>
    </row>
    <row r="6" spans="1:20" ht="20.25" customHeight="1" x14ac:dyDescent="0.3">
      <c r="A6" s="35" t="s">
        <v>98</v>
      </c>
      <c r="B6" s="156"/>
      <c r="D6" s="37"/>
      <c r="G6" s="222"/>
      <c r="H6" s="222"/>
      <c r="I6" s="222"/>
      <c r="J6" s="222"/>
    </row>
    <row r="7" spans="1:20" ht="7.5" customHeight="1" x14ac:dyDescent="0.3">
      <c r="A7" s="33"/>
      <c r="D7" s="38"/>
    </row>
    <row r="8" spans="1:20" ht="15" x14ac:dyDescent="0.2">
      <c r="A8" s="52"/>
      <c r="B8" s="53"/>
      <c r="C8" s="53"/>
      <c r="D8" s="225" t="s">
        <v>99</v>
      </c>
      <c r="E8" s="226"/>
      <c r="F8" s="227"/>
      <c r="G8" s="53"/>
      <c r="H8" s="53"/>
      <c r="I8" s="53"/>
      <c r="J8" s="54"/>
      <c r="N8" s="155"/>
      <c r="Q8" s="155"/>
      <c r="T8" s="155"/>
    </row>
    <row r="9" spans="1:20" x14ac:dyDescent="0.2">
      <c r="A9" s="183"/>
      <c r="B9" s="78" t="s">
        <v>100</v>
      </c>
      <c r="C9" s="155"/>
      <c r="E9" s="64" t="s">
        <v>101</v>
      </c>
      <c r="I9" s="262" t="s">
        <v>102</v>
      </c>
      <c r="J9" s="51"/>
    </row>
    <row r="10" spans="1:20" ht="15" x14ac:dyDescent="0.2">
      <c r="A10" s="144"/>
      <c r="B10" s="79"/>
      <c r="D10" s="39"/>
      <c r="E10" s="143" t="s">
        <v>103</v>
      </c>
      <c r="F10" s="40" t="s">
        <v>104</v>
      </c>
      <c r="G10" s="35" t="s">
        <v>105</v>
      </c>
      <c r="H10" s="35" t="s">
        <v>106</v>
      </c>
      <c r="I10" s="263"/>
      <c r="J10" s="77" t="s">
        <v>107</v>
      </c>
    </row>
    <row r="11" spans="1:20" x14ac:dyDescent="0.2">
      <c r="A11" s="43" t="s">
        <v>108</v>
      </c>
      <c r="C11" s="33">
        <v>335000</v>
      </c>
      <c r="E11" s="184" t="s">
        <v>109</v>
      </c>
      <c r="F11" s="110">
        <v>0</v>
      </c>
      <c r="G11" s="2">
        <v>0.19989999999999999</v>
      </c>
      <c r="H11" s="114">
        <v>200</v>
      </c>
      <c r="I11" s="216" t="str">
        <f>IF(F11=0,"",IF(H11=0,"",NPER(G11/12,-H11,F11,0,0)/12))</f>
        <v/>
      </c>
      <c r="J11" s="51" t="str">
        <f t="shared" ref="J11:J16" si="0">IF(F11=0,"",IF(H11=0,"",CUMIPMT(G11/12,I11*12,F11,1,I11*12,0)*-1))</f>
        <v/>
      </c>
    </row>
    <row r="12" spans="1:20" x14ac:dyDescent="0.2">
      <c r="A12" s="43"/>
      <c r="B12" s="32" t="s">
        <v>110</v>
      </c>
      <c r="C12" s="1">
        <v>30</v>
      </c>
      <c r="E12" s="184" t="s">
        <v>109</v>
      </c>
      <c r="F12" s="110">
        <v>0</v>
      </c>
      <c r="G12" s="2">
        <v>0.09</v>
      </c>
      <c r="H12" s="114">
        <v>300</v>
      </c>
      <c r="I12" s="80" t="str">
        <f>IF(F12=0,"",IF(H12=0,"",NPER(G12/12,-H12,F12,0,0)/12))</f>
        <v/>
      </c>
      <c r="J12" s="51" t="str">
        <f t="shared" si="0"/>
        <v/>
      </c>
    </row>
    <row r="13" spans="1:20" x14ac:dyDescent="0.2">
      <c r="A13" s="43"/>
      <c r="B13" s="32" t="s">
        <v>111</v>
      </c>
      <c r="C13" s="2">
        <v>2.75E-2</v>
      </c>
      <c r="E13" s="184" t="s">
        <v>109</v>
      </c>
      <c r="F13" s="110">
        <v>0</v>
      </c>
      <c r="G13" s="2">
        <v>0.19989999999999999</v>
      </c>
      <c r="H13" s="114">
        <v>0</v>
      </c>
      <c r="I13" s="80" t="str">
        <f>IF(F13=0,"",IF(H13=0,"",NPER(G13/12,-(H13),F13,0,0)/12))</f>
        <v/>
      </c>
      <c r="J13" s="51" t="str">
        <f t="shared" si="0"/>
        <v/>
      </c>
    </row>
    <row r="14" spans="1:20" x14ac:dyDescent="0.2">
      <c r="A14" s="260" t="s">
        <v>112</v>
      </c>
      <c r="B14" s="229"/>
      <c r="C14" s="1">
        <v>36</v>
      </c>
      <c r="E14" s="115" t="s">
        <v>113</v>
      </c>
      <c r="F14" s="110">
        <v>0</v>
      </c>
      <c r="G14" s="2">
        <v>0.19989999999999999</v>
      </c>
      <c r="H14" s="114">
        <v>0</v>
      </c>
      <c r="I14" s="80" t="str">
        <f>IF(F14=0,"",IF(H14=0,"",NPER(G14/12,-(H14),F14,0,0)/12))</f>
        <v/>
      </c>
      <c r="J14" s="51" t="str">
        <f t="shared" si="0"/>
        <v/>
      </c>
    </row>
    <row r="15" spans="1:20" x14ac:dyDescent="0.2">
      <c r="A15" s="228" t="s">
        <v>114</v>
      </c>
      <c r="B15" s="261"/>
      <c r="C15" s="32">
        <f>IF(C12="i/o",C11,PV(C13/12,C12*12-C14,C16)*-1)</f>
        <v>312514.58221508807</v>
      </c>
      <c r="E15" s="115" t="s">
        <v>115</v>
      </c>
      <c r="F15" s="110">
        <v>0</v>
      </c>
      <c r="G15" s="2">
        <v>0.19989999999999999</v>
      </c>
      <c r="H15" s="114">
        <v>0</v>
      </c>
      <c r="I15" s="80" t="str">
        <f>IF(F15=0,"",IF(H15=0,"",NPER(G15/12,-(H15),F15,0,0)/12))</f>
        <v/>
      </c>
      <c r="J15" s="51" t="str">
        <f t="shared" si="0"/>
        <v/>
      </c>
      <c r="P15" s="155"/>
    </row>
    <row r="16" spans="1:20" x14ac:dyDescent="0.2">
      <c r="A16" s="228" t="s">
        <v>116</v>
      </c>
      <c r="B16" s="261"/>
      <c r="C16" s="68">
        <f>IF(C12="i/o",C11*C13/12,PMT(C13/12,C12*12,C11)*-1)</f>
        <v>1367.6079563461253</v>
      </c>
      <c r="E16" s="115" t="s">
        <v>117</v>
      </c>
      <c r="F16" s="33">
        <v>200000</v>
      </c>
      <c r="G16" s="2">
        <v>0</v>
      </c>
      <c r="H16" s="114">
        <v>0</v>
      </c>
      <c r="I16" s="80" t="str">
        <f>IF(F16=0,"",IF(H16=0,"",NPER(G16/12,-(H16),F16,0,0)/12))</f>
        <v/>
      </c>
      <c r="J16" s="51" t="str">
        <f t="shared" si="0"/>
        <v/>
      </c>
      <c r="M16" s="215"/>
    </row>
    <row r="17" spans="1:17" x14ac:dyDescent="0.2">
      <c r="A17" s="43"/>
      <c r="D17" s="35"/>
      <c r="E17" s="65" t="s">
        <v>91</v>
      </c>
      <c r="F17" s="35">
        <f>SUM(F11:F16)</f>
        <v>200000</v>
      </c>
      <c r="G17" s="35"/>
      <c r="H17" s="35">
        <f>SUM(H11:H16)</f>
        <v>500</v>
      </c>
      <c r="I17" s="35"/>
      <c r="J17" s="77">
        <f>SUM(J11:J16)</f>
        <v>0</v>
      </c>
      <c r="Q17" s="155"/>
    </row>
    <row r="18" spans="1:17" x14ac:dyDescent="0.2">
      <c r="A18" s="43" t="s">
        <v>118</v>
      </c>
      <c r="C18" s="33">
        <v>0</v>
      </c>
      <c r="E18" s="66"/>
      <c r="F18" s="41"/>
      <c r="G18" s="39" t="s">
        <v>81</v>
      </c>
      <c r="H18" s="39" t="s">
        <v>82</v>
      </c>
      <c r="I18" s="35" t="s">
        <v>119</v>
      </c>
      <c r="J18" s="51" t="s">
        <v>91</v>
      </c>
      <c r="L18" s="34"/>
    </row>
    <row r="19" spans="1:17" x14ac:dyDescent="0.2">
      <c r="A19" s="43"/>
      <c r="B19" s="32" t="s">
        <v>120</v>
      </c>
      <c r="C19" s="214" t="s">
        <v>15</v>
      </c>
      <c r="E19" s="67" t="s">
        <v>121</v>
      </c>
      <c r="F19" s="41"/>
      <c r="G19" s="32">
        <f>IF(C12="i/o",CUMIPMT(C13/12,30*12,C11,1,30*12,0)*-1,CUMIPMT(C13/12,C12*12,C11,1,C12*12,0)*-1)</f>
        <v>157338.86428460514</v>
      </c>
      <c r="H19" s="32">
        <f>IF(C18=0,0,IF(C19="i/o",CUMIPMT(C20/12,30*12,C18,1,30*12,0)*-1,CUMIPMT(C20/12,C19*12,C18,1,C19*12,0)*-1))</f>
        <v>0</v>
      </c>
      <c r="I19" s="32">
        <f>J17</f>
        <v>0</v>
      </c>
      <c r="J19" s="51">
        <f>SUM(G19:I19)</f>
        <v>157338.86428460514</v>
      </c>
      <c r="Q19" s="84"/>
    </row>
    <row r="20" spans="1:17" x14ac:dyDescent="0.2">
      <c r="A20" s="43"/>
      <c r="B20" s="32" t="s">
        <v>111</v>
      </c>
      <c r="C20" s="2">
        <v>8.5000000000000006E-2</v>
      </c>
      <c r="E20" s="59" t="s">
        <v>122</v>
      </c>
      <c r="G20" s="32">
        <f>IF(C12="i/o",0,CUMIPMT(C13/12,C12*12,C11,1,C14,0)*-1)</f>
        <v>26748.468643555982</v>
      </c>
      <c r="H20" s="32">
        <f>IF(C18=0,0,IF(C19="i/o",0,CUMIPMT(C20/12,C19*12,C18,1,C21,0)*-1))</f>
        <v>0</v>
      </c>
      <c r="J20" s="51">
        <f>SUM(G20:I20)</f>
        <v>26748.468643555982</v>
      </c>
    </row>
    <row r="21" spans="1:17" x14ac:dyDescent="0.2">
      <c r="A21" s="43"/>
      <c r="B21" s="32" t="s">
        <v>112</v>
      </c>
      <c r="C21" s="1">
        <v>120</v>
      </c>
      <c r="E21" s="59" t="s">
        <v>123</v>
      </c>
      <c r="G21" s="32">
        <f>G19-G20</f>
        <v>130590.39564104915</v>
      </c>
      <c r="H21" s="32">
        <f>H19-H20</f>
        <v>0</v>
      </c>
      <c r="I21" s="32">
        <f>SUM(J11:J15)</f>
        <v>0</v>
      </c>
      <c r="J21" s="51">
        <f>SUM(G21:I21)</f>
        <v>130590.39564104915</v>
      </c>
      <c r="L21" s="62"/>
    </row>
    <row r="22" spans="1:17" x14ac:dyDescent="0.2">
      <c r="A22" s="228" t="s">
        <v>114</v>
      </c>
      <c r="B22" s="229"/>
      <c r="C22" s="42">
        <f>IF(C19="i/o",C18,PV(C20/12,(C19*12)-C21,C23,0)*-1)</f>
        <v>0</v>
      </c>
      <c r="E22" s="59" t="s">
        <v>124</v>
      </c>
      <c r="G22" s="32">
        <f>C15</f>
        <v>312514.58221508807</v>
      </c>
      <c r="H22" s="32">
        <f>C22</f>
        <v>0</v>
      </c>
      <c r="I22" s="32">
        <f>F17</f>
        <v>200000</v>
      </c>
      <c r="J22" s="51">
        <f>SUM(G22:I22)</f>
        <v>512514.58221508807</v>
      </c>
      <c r="Q22" s="155"/>
    </row>
    <row r="23" spans="1:17" x14ac:dyDescent="0.2">
      <c r="A23" s="43" t="s">
        <v>106</v>
      </c>
      <c r="C23" s="32">
        <f>IF(C19=0,0,IF(C19="i/o",C18*C20/12,PMT(C20/12,C19*12,C18)*-1))</f>
        <v>0</v>
      </c>
      <c r="E23" s="43" t="s">
        <v>125</v>
      </c>
      <c r="G23" s="34">
        <f>IF(C12="i/o",30,C12-(C14/12))</f>
        <v>27</v>
      </c>
      <c r="H23" s="34">
        <f>IF(C19="i/o",30,C19-(C21/12))</f>
        <v>30</v>
      </c>
      <c r="J23" s="51"/>
      <c r="O23" s="3"/>
    </row>
    <row r="24" spans="1:17" x14ac:dyDescent="0.2">
      <c r="A24" s="264" t="s">
        <v>126</v>
      </c>
      <c r="B24" s="265"/>
      <c r="C24" s="35">
        <f>C16+C23</f>
        <v>1367.6079563461253</v>
      </c>
      <c r="D24" s="76"/>
      <c r="E24" s="32" t="s">
        <v>127</v>
      </c>
      <c r="F24" s="69">
        <v>0.35</v>
      </c>
      <c r="G24" s="32">
        <f>(C15*C13*F24)/12</f>
        <v>250.66273781835187</v>
      </c>
      <c r="H24" s="32">
        <f>C18*C20*F24/12</f>
        <v>0</v>
      </c>
      <c r="I24" s="32">
        <v>0</v>
      </c>
      <c r="J24" s="76"/>
      <c r="M24" s="35"/>
      <c r="N24" s="35"/>
    </row>
    <row r="25" spans="1:17" x14ac:dyDescent="0.2">
      <c r="A25" s="246" t="s">
        <v>128</v>
      </c>
      <c r="B25" s="247"/>
      <c r="C25" s="250" t="str">
        <f>INDEX(datasheet1!A1:A37,datasheet1!B37,1)</f>
        <v>30 Year Fixed</v>
      </c>
      <c r="D25" s="251"/>
      <c r="E25" s="250" t="str">
        <f>INDEX(datasheet1!A1:A35,datasheet1!B38,1)</f>
        <v>30 Year Fixed</v>
      </c>
      <c r="F25" s="251"/>
      <c r="G25" s="250" t="str">
        <f>INDEX(datasheet1!A1:A36,datasheet1!B39,1)</f>
        <v>30 Year Fixed</v>
      </c>
      <c r="H25" s="251"/>
      <c r="I25" s="250" t="str">
        <f>INDEX(datasheet1!A1:A36,datasheet1!B40,1)</f>
        <v>30 Year Fixed</v>
      </c>
      <c r="J25" s="254"/>
      <c r="K25" s="59"/>
    </row>
    <row r="26" spans="1:17" ht="12" customHeight="1" x14ac:dyDescent="0.2">
      <c r="A26" s="248"/>
      <c r="B26" s="249"/>
      <c r="C26" s="252"/>
      <c r="D26" s="253"/>
      <c r="E26" s="252"/>
      <c r="F26" s="253"/>
      <c r="G26" s="252"/>
      <c r="H26" s="253"/>
      <c r="I26" s="252"/>
      <c r="J26" s="255"/>
    </row>
    <row r="27" spans="1:17" x14ac:dyDescent="0.2">
      <c r="A27" s="258" t="s">
        <v>67</v>
      </c>
      <c r="B27" s="259"/>
      <c r="C27" s="234">
        <v>0.05</v>
      </c>
      <c r="D27" s="236"/>
      <c r="E27" s="234">
        <v>0.05</v>
      </c>
      <c r="F27" s="236"/>
      <c r="G27" s="234">
        <v>0.02</v>
      </c>
      <c r="H27" s="236"/>
      <c r="I27" s="234">
        <v>0.02</v>
      </c>
      <c r="J27" s="235"/>
    </row>
    <row r="28" spans="1:17" x14ac:dyDescent="0.2">
      <c r="A28" s="185"/>
      <c r="B28" s="44" t="s">
        <v>120</v>
      </c>
      <c r="C28" s="45"/>
      <c r="D28" s="136">
        <v>30</v>
      </c>
      <c r="E28" s="1"/>
      <c r="F28" s="136">
        <v>30</v>
      </c>
      <c r="G28" s="1"/>
      <c r="H28" s="136">
        <v>30</v>
      </c>
      <c r="I28" s="1"/>
      <c r="J28" s="136">
        <v>30</v>
      </c>
    </row>
    <row r="29" spans="1:17" x14ac:dyDescent="0.2">
      <c r="A29" s="43"/>
      <c r="B29" s="32" t="s">
        <v>60</v>
      </c>
      <c r="C29" s="9">
        <v>0.01</v>
      </c>
      <c r="D29" s="145">
        <f>D34*C29</f>
        <v>5125.145822150881</v>
      </c>
      <c r="E29" s="2">
        <v>0.01</v>
      </c>
      <c r="F29" s="145">
        <f>F34*E29</f>
        <v>5125.145822150881</v>
      </c>
      <c r="G29" s="10">
        <v>0.01</v>
      </c>
      <c r="H29" s="145">
        <f>IF(G25="None",0,H34*G29)</f>
        <v>5125.145822150881</v>
      </c>
      <c r="I29" s="10">
        <v>0.01</v>
      </c>
      <c r="J29" s="145">
        <f>IF(I25="None",0,J34*I29)</f>
        <v>5125.145822150881</v>
      </c>
      <c r="L29" s="34"/>
    </row>
    <row r="30" spans="1:17" x14ac:dyDescent="0.2">
      <c r="A30" s="43"/>
      <c r="B30" s="32" t="s">
        <v>61</v>
      </c>
      <c r="C30" s="9">
        <v>0</v>
      </c>
      <c r="D30" s="145">
        <f>C30*D34</f>
        <v>0</v>
      </c>
      <c r="E30" s="157"/>
      <c r="F30" s="145">
        <f>F34*E30</f>
        <v>0</v>
      </c>
      <c r="G30" s="10">
        <v>0</v>
      </c>
      <c r="H30" s="145">
        <f>IF(G25="None",0,G30*H34)</f>
        <v>0</v>
      </c>
      <c r="I30" s="10">
        <v>0</v>
      </c>
      <c r="J30" s="145">
        <f>I30*J34</f>
        <v>0</v>
      </c>
      <c r="L30" s="134"/>
      <c r="M30" s="155"/>
    </row>
    <row r="31" spans="1:17" x14ac:dyDescent="0.2">
      <c r="A31" s="256" t="s">
        <v>62</v>
      </c>
      <c r="B31" s="257"/>
      <c r="C31" s="45">
        <v>3500</v>
      </c>
      <c r="D31" s="145">
        <f>C31</f>
        <v>3500</v>
      </c>
      <c r="E31" s="45">
        <v>3500</v>
      </c>
      <c r="F31" s="145">
        <f>E31</f>
        <v>3500</v>
      </c>
      <c r="G31" s="45">
        <v>3500</v>
      </c>
      <c r="H31" s="145">
        <f>IF(G25="none",0,G31)</f>
        <v>3500</v>
      </c>
      <c r="I31" s="45">
        <v>3500</v>
      </c>
      <c r="J31" s="145">
        <f>IF(I25="None",0,I31)</f>
        <v>3500</v>
      </c>
      <c r="L31" s="135"/>
    </row>
    <row r="32" spans="1:17" x14ac:dyDescent="0.2">
      <c r="A32" s="223" t="s">
        <v>129</v>
      </c>
      <c r="B32" s="224"/>
      <c r="C32" s="9">
        <v>0</v>
      </c>
      <c r="D32" s="145">
        <f>D34*C32*-1</f>
        <v>0</v>
      </c>
      <c r="E32" s="2">
        <v>0</v>
      </c>
      <c r="F32" s="145">
        <f>F34*E32*-1</f>
        <v>0</v>
      </c>
      <c r="G32" s="10">
        <v>0</v>
      </c>
      <c r="H32" s="145">
        <f>IF(G25="None",0,H34*G32*-1)</f>
        <v>0</v>
      </c>
      <c r="I32" s="10">
        <v>0</v>
      </c>
      <c r="J32" s="145">
        <f>IF(I25="None",0,J34*I32*-1)</f>
        <v>0</v>
      </c>
    </row>
    <row r="33" spans="1:23" x14ac:dyDescent="0.2">
      <c r="A33" s="43"/>
      <c r="B33" s="186" t="s">
        <v>91</v>
      </c>
      <c r="C33" s="46"/>
      <c r="D33" s="145">
        <f>SUM(D29:D32)</f>
        <v>8625.1458221508801</v>
      </c>
      <c r="F33" s="145">
        <f>SUM(F29:F32)</f>
        <v>8625.1458221508801</v>
      </c>
      <c r="G33" s="46"/>
      <c r="H33" s="145">
        <f>SUM(H29:H32)</f>
        <v>8625.1458221508801</v>
      </c>
      <c r="I33" s="46"/>
      <c r="J33" s="145">
        <f>SUM(J29:J32)</f>
        <v>8625.1458221508801</v>
      </c>
    </row>
    <row r="34" spans="1:23" ht="17.25" customHeight="1" x14ac:dyDescent="0.2">
      <c r="A34" s="43"/>
      <c r="B34" s="186"/>
      <c r="C34" s="150" t="str">
        <f>INDEX(datasheet1!A48:A50,datasheet1!B48)</f>
        <v>Payoff 1st, 2nd, Debt</v>
      </c>
      <c r="D34" s="145">
        <f>IF(datasheet1!$B48=1,$C15,IF(datasheet1!$B48=2,C15+$C22,IF(datasheet1!$B48=3,$C15+$H22+$F17,0)))</f>
        <v>512514.58221508807</v>
      </c>
      <c r="E34" s="67" t="str">
        <f>INDEX(datasheet1!A48:A50,datasheet1!B49)</f>
        <v>Payoff 1st, 2nd, Debt</v>
      </c>
      <c r="F34" s="145">
        <f>IF(datasheet1!$B49=1,$C15,IF(datasheet1!$B49=2,C15+$C22,IF(datasheet1!$B49=3,C15+$C22+$F17,0)))</f>
        <v>512514.58221508807</v>
      </c>
      <c r="G34" s="67" t="str">
        <f>INDEX(datasheet1!A48:A50,datasheet1!B48)</f>
        <v>Payoff 1st, 2nd, Debt</v>
      </c>
      <c r="H34" s="145">
        <f>IF(datasheet1!$B50=1,$G22,IF(datasheet1!$B50=2,$G22+$H22,IF(datasheet1!$B50=3,$G22+$H22+$I22,0)))</f>
        <v>512514.58221508807</v>
      </c>
      <c r="I34" s="67" t="str">
        <f>INDEX(datasheet1!A48:A50,datasheet1!B48)</f>
        <v>Payoff 1st, 2nd, Debt</v>
      </c>
      <c r="J34" s="145">
        <f>IF(datasheet1!$B51=1,$G22,IF(datasheet1!$B51=2,$G22+$H22,IF(datasheet1!$B51=3,$G22+$H22+$I22,0)))</f>
        <v>512514.58221508807</v>
      </c>
      <c r="M34" s="155"/>
    </row>
    <row r="35" spans="1:23" x14ac:dyDescent="0.2">
      <c r="A35" s="244" t="s">
        <v>130</v>
      </c>
      <c r="B35" s="245"/>
      <c r="C35" s="46"/>
      <c r="D35" s="41">
        <f>IF(datasheet1!B53=TRUE,D33+D34,D34)</f>
        <v>521139.72803723894</v>
      </c>
      <c r="F35" s="32">
        <f>IF(datasheet1!B54=TRUE,Refinance!F33+Refinance!F34,Refinance!F34)</f>
        <v>521139.72803723894</v>
      </c>
      <c r="H35" s="32">
        <f>IF(datasheet1!B55=TRUE,Refinance!H33+Refinance!H34,Refinance!H34)</f>
        <v>521139.72803723894</v>
      </c>
      <c r="J35" s="32">
        <f>IF(datasheet1!B56=TRUE,Refinance!J33+Refinance!J34,Refinance!J34)</f>
        <v>521139.72803723894</v>
      </c>
    </row>
    <row r="36" spans="1:23" x14ac:dyDescent="0.2">
      <c r="A36" s="59"/>
      <c r="B36" s="47" t="s">
        <v>131</v>
      </c>
      <c r="C36" s="46"/>
      <c r="D36" s="48">
        <f>IF(D28="I/o",D35*C27/12,PMT(C27/12,D28*12,D35)*-1)</f>
        <v>2797.5907462105538</v>
      </c>
      <c r="E36" s="46"/>
      <c r="F36" s="48">
        <f>IF(F28="I/o",F35*E27/12,PMT(E27/12,F28*12,F35)*-1)</f>
        <v>2797.5907462105538</v>
      </c>
      <c r="G36" s="46"/>
      <c r="H36" s="48">
        <f>IF(G25="None",0,IF(H28="I/o",H35*G27/12,PMT(G27/12,H28*12,H35)*-1))</f>
        <v>1926.233914743196</v>
      </c>
      <c r="I36" s="46"/>
      <c r="J36" s="48">
        <f>IF(I25="None",0,IF(J28="I/o",J35*I27/12,PMT(I27/12,J28*12,J35)*-1))</f>
        <v>1926.233914743196</v>
      </c>
    </row>
    <row r="37" spans="1:23" x14ac:dyDescent="0.2">
      <c r="A37" s="59"/>
      <c r="B37" s="39" t="s">
        <v>65</v>
      </c>
      <c r="C37" s="46"/>
      <c r="D37" s="112">
        <f>IF(D28="i/o",RATE(360,PMT(C27/12,360,D34),D34-D33)*12,RATE(D28*12,D36*-1,D34-D33)*12)</f>
        <v>5.2983038221750017E-2</v>
      </c>
      <c r="F37" s="112">
        <f>IF(F28="i/o",RATE(360,PMT(E27/12,360,F34),F34-F33)*12,RATE(F28*12,F36*-1,F34-F33)*12)</f>
        <v>5.2983038221750017E-2</v>
      </c>
      <c r="H37" s="112">
        <f>IF(G25="None",0,IF(H28="i/o",RATE(360,PMT(G27/12,360,H34),H34-H33)*12,RATE(H28*12,H36*-1,H34-H33)*12))</f>
        <v>2.2505298757123472E-2</v>
      </c>
      <c r="J37" s="112">
        <f>IF(I25="None",0,IF(J28="i/o",RATE(360,PMT(I27/12,360,J34),J34-J33)*12,RATE(J28*12,J36*-1,J34-J33)*12))</f>
        <v>2.2505298757123472E-2</v>
      </c>
      <c r="L37" s="113"/>
      <c r="M37" s="155"/>
    </row>
    <row r="38" spans="1:23" x14ac:dyDescent="0.2">
      <c r="A38" s="232" t="s">
        <v>132</v>
      </c>
      <c r="B38" s="233"/>
      <c r="C38" s="55"/>
      <c r="D38" s="56">
        <f>IF(datasheet1!$B48=1,$C$16-D$36,IF(datasheet1!$B48=2,(C16+C23)-D36,IF(datasheet1!$B48=3,($C$16+$C$23+$H$17)-D$36)))</f>
        <v>-929.98278986442847</v>
      </c>
      <c r="E38" s="57"/>
      <c r="F38" s="56">
        <f>IF(datasheet1!$B49=1,$C$16-F$36,IF(datasheet1!$B49=2,(E16+E23)-F36,IF(datasheet1!$B49=3,($C$16+$C$23+$H$17)-F$36)))</f>
        <v>-929.98278986442847</v>
      </c>
      <c r="G38" s="55"/>
      <c r="H38" s="56">
        <f>IF(datasheet1!$B50=1,$C$16-H$36,IF(datasheet1!$B50=2,(G16+G23)-H36,IF(datasheet1!$B50=3,($C$16+$C$23+$H$17)-H$36)))</f>
        <v>-58.62595839707069</v>
      </c>
      <c r="I38" s="57"/>
      <c r="J38" s="56">
        <f>IF(datasheet1!$B51=1,$C$16-J$36,IF(datasheet1!$B51=2,(C16+C23)-J36,IF(datasheet1!$B51=3,($C$16+$C$23+$H$17)-J$36)))</f>
        <v>-58.62595839707069</v>
      </c>
    </row>
    <row r="39" spans="1:23" x14ac:dyDescent="0.2">
      <c r="A39" s="230" t="s">
        <v>133</v>
      </c>
      <c r="B39" s="231"/>
      <c r="C39" s="50"/>
      <c r="D39" s="63" t="str">
        <f>IF(D38&lt;=0,("N/A"),NPER(C27/12,-(D36+D38),D34,0,0)/12)</f>
        <v>N/A</v>
      </c>
      <c r="E39" s="58"/>
      <c r="F39" s="63" t="str">
        <f>IF(F38&lt;=0,("N/A"),NPER(E27/12,-(F36+F38),F34,0,0)/12)</f>
        <v>N/A</v>
      </c>
      <c r="G39" s="60"/>
      <c r="H39" s="63" t="str">
        <f>IF(H38&lt;=0,("N/A"),NPER(G27/12,-(H36+H38),H34,0,0)/12)</f>
        <v>N/A</v>
      </c>
      <c r="I39" s="61"/>
      <c r="J39" s="63" t="str">
        <f>IF(J38&lt;=0,("N/A"),NPER(I27/12,-(J36+J38),J34,0,0)/12)</f>
        <v>N/A</v>
      </c>
      <c r="L39" s="35"/>
    </row>
    <row r="40" spans="1:23" x14ac:dyDescent="0.2">
      <c r="A40" s="237" t="s">
        <v>134</v>
      </c>
      <c r="B40" s="238"/>
      <c r="C40" s="238"/>
      <c r="D40" s="238"/>
      <c r="E40" s="238"/>
      <c r="F40" s="238"/>
      <c r="G40" s="238"/>
      <c r="H40" s="238"/>
      <c r="I40" s="238"/>
      <c r="J40" s="239"/>
      <c r="L40" s="35"/>
      <c r="M40" s="155"/>
    </row>
    <row r="41" spans="1:23" x14ac:dyDescent="0.2">
      <c r="A41" s="64" t="s">
        <v>135</v>
      </c>
      <c r="C41" s="46"/>
      <c r="D41" s="187">
        <f>IF(D28="I/o","N/A",CUMIPMT(C27/12,D28*12,D34,1,12*D28,0)*-1)</f>
        <v>477949.49321644317</v>
      </c>
      <c r="E41" s="188"/>
      <c r="F41" s="187">
        <f>IF(F28="I/o","N/A",CUMIPMT(E27/12,F28*12,F34,1,12*F28,0)*-1)</f>
        <v>477949.49321644317</v>
      </c>
      <c r="G41" s="188"/>
      <c r="H41" s="187">
        <f>IF(G25="None",0,IF(H28="I/o","N/A",CUMIPMT(G27/12,H28*12,H34,1,12*H28,0)*-1))</f>
        <v>169452.74843013112</v>
      </c>
      <c r="I41" s="189"/>
      <c r="J41" s="187">
        <f>IF(I25="None",0,IF(J28="I/o","N/A",CUMIPMT(I27/12,J28*12,J34,1,12*J28,0)*-1))</f>
        <v>169452.74843013112</v>
      </c>
      <c r="N41" s="32">
        <f>IPMT(C27,1,30,D34,0,0)</f>
        <v>-25625.729110754404</v>
      </c>
    </row>
    <row r="42" spans="1:23" x14ac:dyDescent="0.2">
      <c r="A42" s="75"/>
      <c r="B42" s="58" t="s">
        <v>136</v>
      </c>
      <c r="C42" s="50"/>
      <c r="D42" s="190">
        <f>IF(D41="N/A","N/A",$J21-D41)</f>
        <v>-347359.09757539403</v>
      </c>
      <c r="E42" s="191"/>
      <c r="F42" s="190">
        <f>IF(F41="N/A","N/A",$J21-F41)</f>
        <v>-347359.09757539403</v>
      </c>
      <c r="G42" s="191"/>
      <c r="H42" s="190">
        <f>IF(G25="None",0,IF(H41="N/A","N/A",$J21-H41))</f>
        <v>-38862.352789081968</v>
      </c>
      <c r="I42" s="192"/>
      <c r="J42" s="190">
        <f>IF(I25="None",0,IF(J41="N/A","N/A",$J21-J41))</f>
        <v>-38862.352789081968</v>
      </c>
      <c r="M42" s="155"/>
    </row>
    <row r="43" spans="1:23" x14ac:dyDescent="0.2">
      <c r="A43" s="43" t="s">
        <v>80</v>
      </c>
      <c r="B43" s="71" t="s">
        <v>137</v>
      </c>
      <c r="C43" s="70">
        <v>0.35</v>
      </c>
      <c r="D43" s="193"/>
      <c r="E43" s="188"/>
      <c r="F43" s="193"/>
      <c r="G43" s="188"/>
      <c r="H43" s="193"/>
      <c r="I43" s="189"/>
      <c r="J43" s="193"/>
      <c r="M43" s="84"/>
      <c r="U43" s="160"/>
      <c r="W43" s="159"/>
    </row>
    <row r="44" spans="1:23" x14ac:dyDescent="0.2">
      <c r="A44" s="43"/>
      <c r="B44" s="72" t="s">
        <v>138</v>
      </c>
      <c r="D44" s="187">
        <f>(D34*C27)*$C$43/(12)</f>
        <v>747.41709906366998</v>
      </c>
      <c r="E44" s="188"/>
      <c r="F44" s="187">
        <f>(F34*E27)*$C$43/(12)</f>
        <v>747.41709906366998</v>
      </c>
      <c r="G44" s="188"/>
      <c r="H44" s="187">
        <f>(H34*G27)*$C$43/(12)</f>
        <v>298.96683962546803</v>
      </c>
      <c r="I44" s="194"/>
      <c r="J44" s="187">
        <f>(J34*I27)*$C$43/(12)</f>
        <v>298.96683962546803</v>
      </c>
    </row>
    <row r="45" spans="1:23" x14ac:dyDescent="0.2">
      <c r="A45" s="49"/>
      <c r="B45" s="73" t="s">
        <v>139</v>
      </c>
      <c r="D45" s="74">
        <f>SUM(G24:I24)</f>
        <v>250.66273781835187</v>
      </c>
      <c r="F45" s="74">
        <f>SUM(G24:I24)</f>
        <v>250.66273781835187</v>
      </c>
      <c r="H45" s="74">
        <f>SUM(G24:H24)</f>
        <v>250.66273781835187</v>
      </c>
      <c r="I45" s="75"/>
      <c r="J45" s="74">
        <f>SUM(G24:I24)</f>
        <v>250.66273781835187</v>
      </c>
    </row>
    <row r="46" spans="1:23" ht="21" customHeight="1" x14ac:dyDescent="0.2">
      <c r="A46" s="240" t="s">
        <v>140</v>
      </c>
      <c r="B46" s="241"/>
      <c r="C46" s="241"/>
      <c r="D46" s="241"/>
      <c r="E46" s="242"/>
      <c r="F46" s="242"/>
      <c r="G46" s="242"/>
      <c r="H46" s="242"/>
      <c r="I46" s="242"/>
      <c r="J46" s="243"/>
    </row>
    <row r="47" spans="1:23" x14ac:dyDescent="0.2">
      <c r="A47" s="185" t="s">
        <v>162</v>
      </c>
      <c r="C47" s="210" t="b">
        <v>1</v>
      </c>
      <c r="D47" s="44">
        <f>IF(C47=TRUE,F17,0)</f>
        <v>200000</v>
      </c>
      <c r="E47" s="211" t="b">
        <v>1</v>
      </c>
      <c r="F47" s="44">
        <f>IF(E47=TRUE,F17,0)</f>
        <v>200000</v>
      </c>
      <c r="G47" s="212" t="b">
        <v>1</v>
      </c>
      <c r="H47" s="32">
        <f>IF(G47=TRUE,F17,0)</f>
        <v>200000</v>
      </c>
      <c r="I47" s="212" t="b">
        <v>1</v>
      </c>
      <c r="J47" s="51">
        <f>IF(I47=TRUE,F17,0)</f>
        <v>200000</v>
      </c>
    </row>
    <row r="48" spans="1:23" x14ac:dyDescent="0.2">
      <c r="A48" s="185" t="s">
        <v>163</v>
      </c>
      <c r="D48" s="213">
        <v>0.09</v>
      </c>
      <c r="E48" s="159">
        <v>0.05</v>
      </c>
      <c r="G48" s="159">
        <v>0.05</v>
      </c>
      <c r="I48" s="159">
        <v>0.05</v>
      </c>
      <c r="J48" s="51"/>
    </row>
    <row r="49" spans="1:10" ht="12.75" customHeight="1" x14ac:dyDescent="0.2">
      <c r="A49" s="208" t="s">
        <v>160</v>
      </c>
      <c r="C49" s="211" t="b">
        <v>0</v>
      </c>
      <c r="D49" s="44">
        <f>IF(C49=TRUE,IF(D38&lt;=0,0,D38),0)</f>
        <v>0</v>
      </c>
      <c r="E49" s="212" t="b">
        <v>1</v>
      </c>
      <c r="F49" s="44">
        <f>IF(E49=TRUE,IF(F38&lt;=0,0,F38),0)</f>
        <v>0</v>
      </c>
      <c r="G49" s="212" t="b">
        <v>1</v>
      </c>
      <c r="H49" s="32">
        <f>IF(G49=TRUE,IF(H38&lt;=0,0,H38),0)</f>
        <v>0</v>
      </c>
      <c r="I49" s="212" t="b">
        <v>1</v>
      </c>
      <c r="J49" s="51">
        <f>IF(I49=TRUE,IF(J38&lt;=0,0,J38),0)</f>
        <v>0</v>
      </c>
    </row>
    <row r="50" spans="1:10" x14ac:dyDescent="0.2">
      <c r="A50" s="209"/>
      <c r="B50" s="155" t="s">
        <v>161</v>
      </c>
      <c r="C50" s="80">
        <v>1</v>
      </c>
      <c r="D50" s="207">
        <f>FV(D48,C50,-D49*12,-D47,1)</f>
        <v>218000.00000000003</v>
      </c>
      <c r="F50" s="32">
        <f>FV($E$48,C50,-F$49*12,-F47,1)</f>
        <v>210000</v>
      </c>
      <c r="H50" s="32">
        <f>FV($G$48,$C50,-H$49*12,-H47,1)</f>
        <v>210000</v>
      </c>
      <c r="J50" s="51">
        <f>FV($I$48,$C50,-J$49*12,-J47,1)</f>
        <v>210000</v>
      </c>
    </row>
    <row r="51" spans="1:10" x14ac:dyDescent="0.2">
      <c r="A51" s="59"/>
      <c r="C51" s="80">
        <v>3</v>
      </c>
      <c r="D51" s="32">
        <f>FV($D$48,C51,-D49*12,-D47,1)</f>
        <v>259005.80000000005</v>
      </c>
      <c r="F51" s="32">
        <f>FV($E$48,$C51,-F$49*12,-F47,1)</f>
        <v>231525.00000000003</v>
      </c>
      <c r="H51" s="32">
        <f>FV(G48,$C51,-H$49*12,-H47,1)</f>
        <v>231525.00000000003</v>
      </c>
      <c r="J51" s="51">
        <f>FV(I48,$C51,-J$49*12,-J47,1)</f>
        <v>231525.00000000003</v>
      </c>
    </row>
    <row r="52" spans="1:10" x14ac:dyDescent="0.2">
      <c r="A52" s="49"/>
      <c r="B52" s="60"/>
      <c r="C52" s="81">
        <v>5</v>
      </c>
      <c r="D52" s="60">
        <f>FV($D$48,C52,-D49*12,-D47,1)</f>
        <v>307724.79098000011</v>
      </c>
      <c r="E52" s="60"/>
      <c r="F52" s="60">
        <f>FV($E$48,$C52,-F$49*12,-F47,1)</f>
        <v>255256.31250000003</v>
      </c>
      <c r="G52" s="60"/>
      <c r="H52" s="60">
        <f>FV($G$48,$C52,-H$49*12,-H47,1)</f>
        <v>255256.31250000003</v>
      </c>
      <c r="I52" s="60"/>
      <c r="J52" s="76">
        <f>FV(I48,$C52,-J$49*12,-J47,1)</f>
        <v>255256.31250000003</v>
      </c>
    </row>
    <row r="53" spans="1:10" x14ac:dyDescent="0.2">
      <c r="A53" s="35" t="s">
        <v>141</v>
      </c>
    </row>
    <row r="54" spans="1:10" x14ac:dyDescent="0.2">
      <c r="A54" s="220" t="s">
        <v>142</v>
      </c>
      <c r="B54" s="221"/>
      <c r="C54" s="221"/>
      <c r="D54" s="221"/>
      <c r="E54" s="221"/>
      <c r="F54" s="221"/>
      <c r="G54" s="221"/>
      <c r="H54" s="221"/>
      <c r="I54" s="221"/>
      <c r="J54" s="221"/>
    </row>
    <row r="55" spans="1:10" x14ac:dyDescent="0.2">
      <c r="A55" s="221"/>
      <c r="B55" s="221"/>
      <c r="C55" s="221"/>
      <c r="D55" s="221"/>
      <c r="E55" s="221"/>
      <c r="F55" s="221"/>
      <c r="G55" s="221"/>
      <c r="H55" s="221"/>
      <c r="I55" s="221"/>
      <c r="J55" s="221"/>
    </row>
    <row r="56" spans="1:10" x14ac:dyDescent="0.2">
      <c r="A56" s="221"/>
      <c r="B56" s="221"/>
      <c r="C56" s="221"/>
      <c r="D56" s="221"/>
      <c r="E56" s="221"/>
      <c r="F56" s="221"/>
      <c r="G56" s="221"/>
      <c r="H56" s="221"/>
      <c r="I56" s="221"/>
      <c r="J56" s="221"/>
    </row>
    <row r="57" spans="1:10" x14ac:dyDescent="0.2">
      <c r="A57" s="221"/>
      <c r="B57" s="221"/>
      <c r="C57" s="221"/>
      <c r="D57" s="221"/>
      <c r="E57" s="221"/>
      <c r="F57" s="221"/>
      <c r="G57" s="221"/>
      <c r="H57" s="221"/>
      <c r="I57" s="221"/>
      <c r="J57" s="221"/>
    </row>
    <row r="58" spans="1:10" x14ac:dyDescent="0.2">
      <c r="A58" s="221"/>
      <c r="B58" s="221"/>
      <c r="C58" s="221"/>
      <c r="D58" s="221"/>
      <c r="E58" s="221"/>
      <c r="F58" s="221"/>
      <c r="G58" s="221"/>
      <c r="H58" s="221"/>
      <c r="I58" s="221"/>
      <c r="J58" s="221"/>
    </row>
  </sheetData>
  <sheetProtection selectLockedCells="1"/>
  <mergeCells count="27">
    <mergeCell ref="A14:B14"/>
    <mergeCell ref="A15:B15"/>
    <mergeCell ref="A16:B16"/>
    <mergeCell ref="I9:I10"/>
    <mergeCell ref="A24:B24"/>
    <mergeCell ref="I25:J26"/>
    <mergeCell ref="A31:B31"/>
    <mergeCell ref="C27:D27"/>
    <mergeCell ref="A27:B27"/>
    <mergeCell ref="C25:D26"/>
    <mergeCell ref="E25:F26"/>
    <mergeCell ref="G2:J4"/>
    <mergeCell ref="A54:J58"/>
    <mergeCell ref="G5:J6"/>
    <mergeCell ref="A32:B32"/>
    <mergeCell ref="D8:F8"/>
    <mergeCell ref="A22:B22"/>
    <mergeCell ref="A39:B39"/>
    <mergeCell ref="A38:B38"/>
    <mergeCell ref="I27:J27"/>
    <mergeCell ref="G27:H27"/>
    <mergeCell ref="A40:J40"/>
    <mergeCell ref="A46:J46"/>
    <mergeCell ref="A35:B35"/>
    <mergeCell ref="A25:B26"/>
    <mergeCell ref="E27:F27"/>
    <mergeCell ref="G25:H26"/>
  </mergeCells>
  <phoneticPr fontId="0" type="noConversion"/>
  <pageMargins left="0.2" right="0.2" top="0.25" bottom="0.25" header="0.3" footer="0.3"/>
  <pageSetup orientation="portrait" r:id="rId1"/>
  <headerFooter alignWithMargins="0">
    <oddFooter xml:space="preserve">&amp;L&amp;8&amp;D  Rates subject to change and lender approval.&amp;R&amp;8For illustration purposes only. This does not consitute a loan commitment&amp;10.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721" r:id="rId4" name="Drop Down 697">
              <controlPr defaultSize="0" print="0" autoLine="0" autoPict="0">
                <anchor moveWithCells="1">
                  <from>
                    <xdr:col>4</xdr:col>
                    <xdr:colOff>19050</xdr:colOff>
                    <xdr:row>24</xdr:row>
                    <xdr:rowOff>19050</xdr:rowOff>
                  </from>
                  <to>
                    <xdr:col>6</xdr:col>
                    <xdr:colOff>47625</xdr:colOff>
                    <xdr:row>25</xdr:row>
                    <xdr:rowOff>123825</xdr:rowOff>
                  </to>
                </anchor>
              </controlPr>
            </control>
          </mc:Choice>
        </mc:AlternateContent>
        <mc:AlternateContent xmlns:mc="http://schemas.openxmlformats.org/markup-compatibility/2006">
          <mc:Choice Requires="x14">
            <control shapeId="1722" r:id="rId5" name="Drop Down 698">
              <controlPr defaultSize="0" print="0" autoLine="0" autoPict="0">
                <anchor moveWithCells="1">
                  <from>
                    <xdr:col>6</xdr:col>
                    <xdr:colOff>9525</xdr:colOff>
                    <xdr:row>24</xdr:row>
                    <xdr:rowOff>9525</xdr:rowOff>
                  </from>
                  <to>
                    <xdr:col>8</xdr:col>
                    <xdr:colOff>19050</xdr:colOff>
                    <xdr:row>25</xdr:row>
                    <xdr:rowOff>142875</xdr:rowOff>
                  </to>
                </anchor>
              </controlPr>
            </control>
          </mc:Choice>
        </mc:AlternateContent>
        <mc:AlternateContent xmlns:mc="http://schemas.openxmlformats.org/markup-compatibility/2006">
          <mc:Choice Requires="x14">
            <control shapeId="1723" r:id="rId6" name="Drop Down 699">
              <controlPr defaultSize="0" print="0" autoLine="0" autoPict="0">
                <anchor moveWithCells="1">
                  <from>
                    <xdr:col>8</xdr:col>
                    <xdr:colOff>0</xdr:colOff>
                    <xdr:row>24</xdr:row>
                    <xdr:rowOff>19050</xdr:rowOff>
                  </from>
                  <to>
                    <xdr:col>10</xdr:col>
                    <xdr:colOff>0</xdr:colOff>
                    <xdr:row>25</xdr:row>
                    <xdr:rowOff>133350</xdr:rowOff>
                  </to>
                </anchor>
              </controlPr>
            </control>
          </mc:Choice>
        </mc:AlternateContent>
        <mc:AlternateContent xmlns:mc="http://schemas.openxmlformats.org/markup-compatibility/2006">
          <mc:Choice Requires="x14">
            <control shapeId="1720" r:id="rId7" name="Drop Down 696">
              <controlPr defaultSize="0" print="0" autoLine="0" autoPict="0">
                <anchor moveWithCells="1">
                  <from>
                    <xdr:col>2</xdr:col>
                    <xdr:colOff>19050</xdr:colOff>
                    <xdr:row>24</xdr:row>
                    <xdr:rowOff>28575</xdr:rowOff>
                  </from>
                  <to>
                    <xdr:col>4</xdr:col>
                    <xdr:colOff>9525</xdr:colOff>
                    <xdr:row>26</xdr:row>
                    <xdr:rowOff>0</xdr:rowOff>
                  </to>
                </anchor>
              </controlPr>
            </control>
          </mc:Choice>
        </mc:AlternateContent>
        <mc:AlternateContent xmlns:mc="http://schemas.openxmlformats.org/markup-compatibility/2006">
          <mc:Choice Requires="x14">
            <control shapeId="1726" r:id="rId8" name="Drop Down 702">
              <controlPr defaultSize="0" print="0" autoLine="0" autoPict="0">
                <anchor moveWithCells="1">
                  <from>
                    <xdr:col>1</xdr:col>
                    <xdr:colOff>914400</xdr:colOff>
                    <xdr:row>33</xdr:row>
                    <xdr:rowOff>28575</xdr:rowOff>
                  </from>
                  <to>
                    <xdr:col>3</xdr:col>
                    <xdr:colOff>628650</xdr:colOff>
                    <xdr:row>34</xdr:row>
                    <xdr:rowOff>9525</xdr:rowOff>
                  </to>
                </anchor>
              </controlPr>
            </control>
          </mc:Choice>
        </mc:AlternateContent>
        <mc:AlternateContent xmlns:mc="http://schemas.openxmlformats.org/markup-compatibility/2006">
          <mc:Choice Requires="x14">
            <control shapeId="1727" r:id="rId9" name="Drop Down 703">
              <controlPr defaultSize="0" print="0" autoLine="0" autoPict="0">
                <anchor moveWithCells="1">
                  <from>
                    <xdr:col>4</xdr:col>
                    <xdr:colOff>9525</xdr:colOff>
                    <xdr:row>33</xdr:row>
                    <xdr:rowOff>38100</xdr:rowOff>
                  </from>
                  <to>
                    <xdr:col>5</xdr:col>
                    <xdr:colOff>571500</xdr:colOff>
                    <xdr:row>34</xdr:row>
                    <xdr:rowOff>0</xdr:rowOff>
                  </to>
                </anchor>
              </controlPr>
            </control>
          </mc:Choice>
        </mc:AlternateContent>
        <mc:AlternateContent xmlns:mc="http://schemas.openxmlformats.org/markup-compatibility/2006">
          <mc:Choice Requires="x14">
            <control shapeId="1731" r:id="rId10" name="Check Box 707">
              <controlPr defaultSize="0" autoFill="0" autoLine="0" autoPict="0">
                <anchor moveWithCells="1">
                  <from>
                    <xdr:col>2</xdr:col>
                    <xdr:colOff>0</xdr:colOff>
                    <xdr:row>33</xdr:row>
                    <xdr:rowOff>190500</xdr:rowOff>
                  </from>
                  <to>
                    <xdr:col>2</xdr:col>
                    <xdr:colOff>390525</xdr:colOff>
                    <xdr:row>35</xdr:row>
                    <xdr:rowOff>28575</xdr:rowOff>
                  </to>
                </anchor>
              </controlPr>
            </control>
          </mc:Choice>
        </mc:AlternateContent>
        <mc:AlternateContent xmlns:mc="http://schemas.openxmlformats.org/markup-compatibility/2006">
          <mc:Choice Requires="x14">
            <control shapeId="1732" r:id="rId11" name="Check Box 708">
              <controlPr defaultSize="0" autoFill="0" autoLine="0" autoPict="0">
                <anchor moveWithCells="1">
                  <from>
                    <xdr:col>4</xdr:col>
                    <xdr:colOff>0</xdr:colOff>
                    <xdr:row>33</xdr:row>
                    <xdr:rowOff>190500</xdr:rowOff>
                  </from>
                  <to>
                    <xdr:col>4</xdr:col>
                    <xdr:colOff>390525</xdr:colOff>
                    <xdr:row>35</xdr:row>
                    <xdr:rowOff>28575</xdr:rowOff>
                  </to>
                </anchor>
              </controlPr>
            </control>
          </mc:Choice>
        </mc:AlternateContent>
        <mc:AlternateContent xmlns:mc="http://schemas.openxmlformats.org/markup-compatibility/2006">
          <mc:Choice Requires="x14">
            <control shapeId="1733" r:id="rId12" name="Check Box 709">
              <controlPr defaultSize="0" autoFill="0" autoLine="0" autoPict="0">
                <anchor moveWithCells="1">
                  <from>
                    <xdr:col>6</xdr:col>
                    <xdr:colOff>0</xdr:colOff>
                    <xdr:row>33</xdr:row>
                    <xdr:rowOff>200025</xdr:rowOff>
                  </from>
                  <to>
                    <xdr:col>6</xdr:col>
                    <xdr:colOff>390525</xdr:colOff>
                    <xdr:row>35</xdr:row>
                    <xdr:rowOff>38100</xdr:rowOff>
                  </to>
                </anchor>
              </controlPr>
            </control>
          </mc:Choice>
        </mc:AlternateContent>
        <mc:AlternateContent xmlns:mc="http://schemas.openxmlformats.org/markup-compatibility/2006">
          <mc:Choice Requires="x14">
            <control shapeId="1737" r:id="rId13" name="Drop Down 713">
              <controlPr defaultSize="0" print="0" autoLine="0" autoPict="0">
                <anchor moveWithCells="1">
                  <from>
                    <xdr:col>8</xdr:col>
                    <xdr:colOff>9525</xdr:colOff>
                    <xdr:row>33</xdr:row>
                    <xdr:rowOff>19050</xdr:rowOff>
                  </from>
                  <to>
                    <xdr:col>10</xdr:col>
                    <xdr:colOff>0</xdr:colOff>
                    <xdr:row>34</xdr:row>
                    <xdr:rowOff>0</xdr:rowOff>
                  </to>
                </anchor>
              </controlPr>
            </control>
          </mc:Choice>
        </mc:AlternateContent>
        <mc:AlternateContent xmlns:mc="http://schemas.openxmlformats.org/markup-compatibility/2006">
          <mc:Choice Requires="x14">
            <control shapeId="1728" r:id="rId14" name="Drop Down 704">
              <controlPr defaultSize="0" print="0" autoLine="0" autoPict="0">
                <anchor moveWithCells="1">
                  <from>
                    <xdr:col>6</xdr:col>
                    <xdr:colOff>47625</xdr:colOff>
                    <xdr:row>33</xdr:row>
                    <xdr:rowOff>38100</xdr:rowOff>
                  </from>
                  <to>
                    <xdr:col>8</xdr:col>
                    <xdr:colOff>19050</xdr:colOff>
                    <xdr:row>33</xdr:row>
                    <xdr:rowOff>219075</xdr:rowOff>
                  </to>
                </anchor>
              </controlPr>
            </control>
          </mc:Choice>
        </mc:AlternateContent>
        <mc:AlternateContent xmlns:mc="http://schemas.openxmlformats.org/markup-compatibility/2006">
          <mc:Choice Requires="x14">
            <control shapeId="1734" r:id="rId15" name="Check Box 710">
              <controlPr defaultSize="0" autoFill="0" autoLine="0" autoPict="0">
                <anchor moveWithCells="1">
                  <from>
                    <xdr:col>7</xdr:col>
                    <xdr:colOff>628650</xdr:colOff>
                    <xdr:row>33</xdr:row>
                    <xdr:rowOff>190500</xdr:rowOff>
                  </from>
                  <to>
                    <xdr:col>8</xdr:col>
                    <xdr:colOff>390525</xdr:colOff>
                    <xdr:row>35</xdr:row>
                    <xdr:rowOff>28575</xdr:rowOff>
                  </to>
                </anchor>
              </controlPr>
            </control>
          </mc:Choice>
        </mc:AlternateContent>
        <mc:AlternateContent xmlns:mc="http://schemas.openxmlformats.org/markup-compatibility/2006">
          <mc:Choice Requires="x14">
            <control shapeId="1743" r:id="rId16" name="Check Box 719">
              <controlPr defaultSize="0" autoFill="0" autoLine="0" autoPict="0">
                <anchor moveWithCells="1">
                  <from>
                    <xdr:col>4</xdr:col>
                    <xdr:colOff>304800</xdr:colOff>
                    <xdr:row>45</xdr:row>
                    <xdr:rowOff>209550</xdr:rowOff>
                  </from>
                  <to>
                    <xdr:col>4</xdr:col>
                    <xdr:colOff>590550</xdr:colOff>
                    <xdr:row>47</xdr:row>
                    <xdr:rowOff>66675</xdr:rowOff>
                  </to>
                </anchor>
              </controlPr>
            </control>
          </mc:Choice>
        </mc:AlternateContent>
        <mc:AlternateContent xmlns:mc="http://schemas.openxmlformats.org/markup-compatibility/2006">
          <mc:Choice Requires="x14">
            <control shapeId="1744" r:id="rId17" name="Check Box 720">
              <controlPr defaultSize="0" autoFill="0" autoLine="0" autoPict="0">
                <anchor moveWithCells="1">
                  <from>
                    <xdr:col>6</xdr:col>
                    <xdr:colOff>276225</xdr:colOff>
                    <xdr:row>45</xdr:row>
                    <xdr:rowOff>219075</xdr:rowOff>
                  </from>
                  <to>
                    <xdr:col>7</xdr:col>
                    <xdr:colOff>57150</xdr:colOff>
                    <xdr:row>47</xdr:row>
                    <xdr:rowOff>76200</xdr:rowOff>
                  </to>
                </anchor>
              </controlPr>
            </control>
          </mc:Choice>
        </mc:AlternateContent>
        <mc:AlternateContent xmlns:mc="http://schemas.openxmlformats.org/markup-compatibility/2006">
          <mc:Choice Requires="x14">
            <control shapeId="1745" r:id="rId18" name="Check Box 721">
              <controlPr defaultSize="0" autoFill="0" autoLine="0" autoPict="0">
                <anchor moveWithCells="1">
                  <from>
                    <xdr:col>8</xdr:col>
                    <xdr:colOff>247650</xdr:colOff>
                    <xdr:row>45</xdr:row>
                    <xdr:rowOff>209550</xdr:rowOff>
                  </from>
                  <to>
                    <xdr:col>9</xdr:col>
                    <xdr:colOff>19050</xdr:colOff>
                    <xdr:row>47</xdr:row>
                    <xdr:rowOff>66675</xdr:rowOff>
                  </to>
                </anchor>
              </controlPr>
            </control>
          </mc:Choice>
        </mc:AlternateContent>
        <mc:AlternateContent xmlns:mc="http://schemas.openxmlformats.org/markup-compatibility/2006">
          <mc:Choice Requires="x14">
            <control shapeId="1747" r:id="rId19" name="Check Box 723">
              <controlPr defaultSize="0" autoFill="0" autoLine="0" autoPict="0" altText="Invest Savings">
                <anchor moveWithCells="1">
                  <from>
                    <xdr:col>4</xdr:col>
                    <xdr:colOff>285750</xdr:colOff>
                    <xdr:row>47</xdr:row>
                    <xdr:rowOff>95250</xdr:rowOff>
                  </from>
                  <to>
                    <xdr:col>5</xdr:col>
                    <xdr:colOff>9525</xdr:colOff>
                    <xdr:row>49</xdr:row>
                    <xdr:rowOff>57150</xdr:rowOff>
                  </to>
                </anchor>
              </controlPr>
            </control>
          </mc:Choice>
        </mc:AlternateContent>
        <mc:AlternateContent xmlns:mc="http://schemas.openxmlformats.org/markup-compatibility/2006">
          <mc:Choice Requires="x14">
            <control shapeId="1748" r:id="rId20" name="Check Box 724">
              <controlPr defaultSize="0" autoFill="0" autoLine="0" autoPict="0" altText="Invest Savings">
                <anchor moveWithCells="1">
                  <from>
                    <xdr:col>6</xdr:col>
                    <xdr:colOff>276225</xdr:colOff>
                    <xdr:row>47</xdr:row>
                    <xdr:rowOff>104775</xdr:rowOff>
                  </from>
                  <to>
                    <xdr:col>7</xdr:col>
                    <xdr:colOff>38100</xdr:colOff>
                    <xdr:row>49</xdr:row>
                    <xdr:rowOff>66675</xdr:rowOff>
                  </to>
                </anchor>
              </controlPr>
            </control>
          </mc:Choice>
        </mc:AlternateContent>
        <mc:AlternateContent xmlns:mc="http://schemas.openxmlformats.org/markup-compatibility/2006">
          <mc:Choice Requires="x14">
            <control shapeId="1749" r:id="rId21" name="Check Box 725">
              <controlPr defaultSize="0" autoFill="0" autoLine="0" autoPict="0" altText="Invest Savings">
                <anchor moveWithCells="1">
                  <from>
                    <xdr:col>8</xdr:col>
                    <xdr:colOff>228600</xdr:colOff>
                    <xdr:row>47</xdr:row>
                    <xdr:rowOff>85725</xdr:rowOff>
                  </from>
                  <to>
                    <xdr:col>8</xdr:col>
                    <xdr:colOff>533400</xdr:colOff>
                    <xdr:row>49</xdr:row>
                    <xdr:rowOff>47625</xdr:rowOff>
                  </to>
                </anchor>
              </controlPr>
            </control>
          </mc:Choice>
        </mc:AlternateContent>
        <mc:AlternateContent xmlns:mc="http://schemas.openxmlformats.org/markup-compatibility/2006">
          <mc:Choice Requires="x14">
            <control shapeId="1740" r:id="rId22" name="Check Box 716">
              <controlPr defaultSize="0" autoFill="0" autoLine="0" autoPict="0">
                <anchor moveWithCells="1">
                  <from>
                    <xdr:col>2</xdr:col>
                    <xdr:colOff>390525</xdr:colOff>
                    <xdr:row>45</xdr:row>
                    <xdr:rowOff>209550</xdr:rowOff>
                  </from>
                  <to>
                    <xdr:col>3</xdr:col>
                    <xdr:colOff>190500</xdr:colOff>
                    <xdr:row>47</xdr:row>
                    <xdr:rowOff>66675</xdr:rowOff>
                  </to>
                </anchor>
              </controlPr>
            </control>
          </mc:Choice>
        </mc:AlternateContent>
        <mc:AlternateContent xmlns:mc="http://schemas.openxmlformats.org/markup-compatibility/2006">
          <mc:Choice Requires="x14">
            <control shapeId="1746" r:id="rId23" name="Check Box 722">
              <controlPr defaultSize="0" autoFill="0" autoLine="0" autoPict="0" altText="Invest Savings">
                <anchor moveWithCells="1">
                  <from>
                    <xdr:col>2</xdr:col>
                    <xdr:colOff>390525</xdr:colOff>
                    <xdr:row>47</xdr:row>
                    <xdr:rowOff>104775</xdr:rowOff>
                  </from>
                  <to>
                    <xdr:col>2</xdr:col>
                    <xdr:colOff>581025</xdr:colOff>
                    <xdr:row>49</xdr:row>
                    <xdr:rowOff>66675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Q53"/>
  <sheetViews>
    <sheetView tabSelected="1" workbookViewId="0">
      <selection activeCell="C13" sqref="C13"/>
    </sheetView>
  </sheetViews>
  <sheetFormatPr defaultRowHeight="12.75" x14ac:dyDescent="0.2"/>
  <cols>
    <col min="2" max="2" width="12.85546875" customWidth="1"/>
    <col min="3" max="3" width="14" bestFit="1" customWidth="1"/>
    <col min="4" max="4" width="11.85546875" customWidth="1"/>
    <col min="5" max="6" width="12.85546875" customWidth="1"/>
    <col min="7" max="7" width="14.85546875" customWidth="1"/>
    <col min="8" max="8" width="11.140625" customWidth="1"/>
    <col min="9" max="9" width="12.7109375" customWidth="1"/>
    <col min="10" max="10" width="13.140625" customWidth="1"/>
    <col min="13" max="13" width="15.28515625" bestFit="1" customWidth="1"/>
    <col min="14" max="14" width="13.28515625" customWidth="1"/>
    <col min="15" max="15" width="12.28515625" bestFit="1" customWidth="1"/>
    <col min="16" max="16" width="12.85546875" bestFit="1" customWidth="1"/>
    <col min="17" max="17" width="13.5703125" bestFit="1" customWidth="1"/>
  </cols>
  <sheetData>
    <row r="2" spans="1:17" x14ac:dyDescent="0.2">
      <c r="H2" s="154" t="s">
        <v>50</v>
      </c>
      <c r="I2" s="154" t="s">
        <v>51</v>
      </c>
    </row>
    <row r="3" spans="1:17" ht="18.75" customHeight="1" x14ac:dyDescent="0.35">
      <c r="C3" s="11"/>
      <c r="F3" s="117" t="s">
        <v>52</v>
      </c>
      <c r="H3" s="287"/>
      <c r="I3" s="288"/>
      <c r="J3" s="288"/>
      <c r="L3" s="165"/>
    </row>
    <row r="4" spans="1:17" x14ac:dyDescent="0.2">
      <c r="A4" s="12"/>
      <c r="B4" s="5"/>
      <c r="C4" s="5"/>
      <c r="D4" s="5"/>
      <c r="E4" s="5"/>
      <c r="F4" s="13" t="s">
        <v>53</v>
      </c>
      <c r="G4" s="5"/>
      <c r="H4" s="5"/>
      <c r="I4" s="5"/>
      <c r="J4" s="5"/>
    </row>
    <row r="5" spans="1:17" ht="15.75" x14ac:dyDescent="0.25">
      <c r="A5" s="4" t="s">
        <v>54</v>
      </c>
      <c r="B5" s="154" t="s">
        <v>159</v>
      </c>
      <c r="C5" s="89"/>
      <c r="D5" s="4"/>
    </row>
    <row r="6" spans="1:17" x14ac:dyDescent="0.2">
      <c r="C6" s="93"/>
      <c r="D6" s="4"/>
      <c r="F6" s="14"/>
      <c r="G6" s="14"/>
    </row>
    <row r="7" spans="1:17" x14ac:dyDescent="0.2">
      <c r="A7" s="4" t="s">
        <v>55</v>
      </c>
      <c r="C7" s="90">
        <v>679000</v>
      </c>
      <c r="D7" s="4"/>
      <c r="E7" s="109">
        <v>1000000</v>
      </c>
      <c r="F7" s="14"/>
      <c r="G7" s="90">
        <v>1150000</v>
      </c>
      <c r="I7" s="109">
        <v>1188800</v>
      </c>
      <c r="Q7" s="154"/>
    </row>
    <row r="8" spans="1:17" x14ac:dyDescent="0.2">
      <c r="A8" s="4" t="s">
        <v>56</v>
      </c>
      <c r="C8" s="105">
        <v>0.3</v>
      </c>
      <c r="D8" s="149">
        <f>C7*C8</f>
        <v>203700</v>
      </c>
      <c r="E8" s="2">
        <v>0.5</v>
      </c>
      <c r="F8" s="148">
        <f>E7*E8</f>
        <v>500000</v>
      </c>
      <c r="G8" s="104">
        <v>3.5000000000000003E-2</v>
      </c>
      <c r="H8" s="149">
        <f>G7*G8</f>
        <v>40250.000000000007</v>
      </c>
      <c r="I8" s="104">
        <v>3.5000000000000003E-2</v>
      </c>
      <c r="J8" s="82">
        <f>I7*I8</f>
        <v>41608.000000000007</v>
      </c>
    </row>
    <row r="9" spans="1:17" x14ac:dyDescent="0.2">
      <c r="A9" s="16"/>
      <c r="B9" s="17"/>
      <c r="C9" s="17"/>
      <c r="D9" s="18"/>
      <c r="E9" s="17"/>
      <c r="F9" s="17"/>
      <c r="G9" s="17"/>
      <c r="H9" s="17"/>
      <c r="I9" s="17"/>
      <c r="J9" s="19"/>
      <c r="L9" s="154"/>
      <c r="M9" s="158"/>
      <c r="Q9" s="158"/>
    </row>
    <row r="10" spans="1:17" ht="15.75" customHeight="1" x14ac:dyDescent="0.2">
      <c r="A10" s="20"/>
      <c r="B10" t="s">
        <v>57</v>
      </c>
      <c r="C10" s="271" t="str">
        <f>INDEX(datasheet1!A1:A36,datasheet1!B37,1)</f>
        <v>30 Year Fixed</v>
      </c>
      <c r="D10" s="271"/>
      <c r="E10" s="271" t="str">
        <f>INDEX(datasheet1!A1:A36,datasheet1!B38,1)</f>
        <v>30 Year Fixed</v>
      </c>
      <c r="F10" s="271"/>
      <c r="G10" s="271" t="str">
        <f>INDEX(datasheet1!A1:A36,datasheet1!B39,1)</f>
        <v>30 Year Fixed</v>
      </c>
      <c r="H10" s="271"/>
      <c r="I10" s="290" t="str">
        <f>INDEX(datasheet1!A1:A36,datasheet1!B40,1)</f>
        <v>30 Year Fixed</v>
      </c>
      <c r="J10" s="271"/>
      <c r="M10" s="196"/>
      <c r="N10" s="3"/>
    </row>
    <row r="11" spans="1:17" x14ac:dyDescent="0.2">
      <c r="A11" s="272" t="s">
        <v>58</v>
      </c>
      <c r="B11" s="273"/>
      <c r="C11" s="22">
        <f>IF(ISNUMBER(FIND("FHA",C$10)),(C$7-D$8-D$19)*datasheet1!$G$46+(C$7-D$8-D$19),C$7-D$8-D$19)</f>
        <v>475300</v>
      </c>
      <c r="D11" s="21"/>
      <c r="E11" s="22">
        <f>IF(ISNUMBER(FIND("FHA",E$10)),(E$7-F$8-F$19)*datasheet1!$G$46+(E$7-F$8-F$19),E$7-F$8-F$19)</f>
        <v>500000</v>
      </c>
      <c r="F11" s="23"/>
      <c r="G11" s="22">
        <f>IF(ISNUMBER(FIND("FHA",G$10)),(G$7-H$8-H$19)*datasheet1!$G$46+(G$7-H$8-H$19),G$7-H$8-H$19)</f>
        <v>1109750</v>
      </c>
      <c r="H11" s="201" t="str">
        <f>IF(ISNUMBER(FIND("FHA",I$10)),G7-H8,"")</f>
        <v/>
      </c>
      <c r="I11" s="22">
        <f>IF(ISNUMBER(FIND("FHA",I$10)),(I$7-J$8-J$19)*datasheet1!$G$46+(I$7-J$8-J$19),I$7-J$8-J$19)</f>
        <v>1147192</v>
      </c>
      <c r="J11" s="202" t="str">
        <f>IF(ISNUMBER(FIND("FHA",I$10)),I7-J8,"")</f>
        <v/>
      </c>
      <c r="L11" s="154"/>
      <c r="M11" s="166"/>
      <c r="N11" s="34"/>
      <c r="O11" s="3"/>
    </row>
    <row r="12" spans="1:17" x14ac:dyDescent="0.2">
      <c r="A12" s="275" t="s">
        <v>59</v>
      </c>
      <c r="B12" s="276"/>
      <c r="C12" s="277">
        <v>0.06</v>
      </c>
      <c r="D12" s="278"/>
      <c r="E12" s="234">
        <v>5.5E-2</v>
      </c>
      <c r="F12" s="268"/>
      <c r="G12" s="234">
        <v>0.06</v>
      </c>
      <c r="H12" s="236"/>
      <c r="I12" s="234">
        <v>5.2499999999999998E-2</v>
      </c>
      <c r="J12" s="235"/>
      <c r="L12" s="154"/>
      <c r="M12" s="154"/>
      <c r="N12" s="129"/>
    </row>
    <row r="13" spans="1:17" x14ac:dyDescent="0.2">
      <c r="A13" s="6"/>
      <c r="B13" t="s">
        <v>60</v>
      </c>
      <c r="C13" s="91">
        <v>0</v>
      </c>
      <c r="D13" s="167">
        <f>C11*C13</f>
        <v>0</v>
      </c>
      <c r="E13" s="91">
        <v>0</v>
      </c>
      <c r="F13" s="167">
        <f>E11*E13</f>
        <v>0</v>
      </c>
      <c r="G13" s="2">
        <v>0</v>
      </c>
      <c r="H13" s="107">
        <f>G11*G13</f>
        <v>0</v>
      </c>
      <c r="I13" s="2">
        <v>0</v>
      </c>
      <c r="J13" s="107">
        <f>I11*I13</f>
        <v>0</v>
      </c>
      <c r="L13" s="163"/>
      <c r="M13" s="154"/>
      <c r="N13" s="129"/>
      <c r="P13" s="196"/>
      <c r="Q13" s="22"/>
    </row>
    <row r="14" spans="1:17" x14ac:dyDescent="0.2">
      <c r="A14" s="6"/>
      <c r="B14" t="s">
        <v>61</v>
      </c>
      <c r="C14" s="91">
        <v>0</v>
      </c>
      <c r="D14" s="167">
        <f>C11*C14</f>
        <v>0</v>
      </c>
      <c r="E14" s="91">
        <v>0</v>
      </c>
      <c r="F14" s="167">
        <f>E14*E11</f>
        <v>0</v>
      </c>
      <c r="G14" s="2">
        <v>0.01</v>
      </c>
      <c r="H14" s="107">
        <f>G11*G14</f>
        <v>11097.5</v>
      </c>
      <c r="I14" s="2">
        <v>0.03</v>
      </c>
      <c r="J14" s="107">
        <f>I11*I14</f>
        <v>34415.760000000002</v>
      </c>
      <c r="M14" s="203"/>
    </row>
    <row r="15" spans="1:17" x14ac:dyDescent="0.2">
      <c r="A15" s="274" t="s">
        <v>62</v>
      </c>
      <c r="B15" s="257"/>
      <c r="C15" s="92">
        <v>5000</v>
      </c>
      <c r="D15" s="167">
        <f>C15</f>
        <v>5000</v>
      </c>
      <c r="E15" s="92">
        <v>5000</v>
      </c>
      <c r="F15" s="167">
        <f>E15</f>
        <v>5000</v>
      </c>
      <c r="G15" s="93">
        <v>5000</v>
      </c>
      <c r="H15" s="107">
        <f>G15</f>
        <v>5000</v>
      </c>
      <c r="I15" s="93">
        <v>5000</v>
      </c>
      <c r="J15" s="107">
        <f>I15</f>
        <v>5000</v>
      </c>
      <c r="L15" s="154"/>
      <c r="M15" s="165"/>
      <c r="N15" s="34"/>
      <c r="O15" s="154"/>
    </row>
    <row r="16" spans="1:17" x14ac:dyDescent="0.2">
      <c r="A16" s="24"/>
      <c r="B16" s="147" t="s">
        <v>63</v>
      </c>
      <c r="C16" s="137" t="str">
        <f>LOOKUP(datasheet1!$B37,{1,2,3,4,5,6,7,8,9,10,11,12,13,14,15,16,17,18,19,20,21,22,23,24,25,26,27,28,29,30,31,32,33,34,35,36},{"10","20","25","30","15","30","30","30","30","30","30","30","30","30","30","i/o","i/o","i/o","i/o","i/o","i/o","30","40","40","i/o","i/o","30","30","i/o","30","30","30","15","30","30","0"})</f>
        <v>30</v>
      </c>
      <c r="D16" s="168"/>
      <c r="E16" s="137" t="str">
        <f>LOOKUP(datasheet1!$B38,{1,2,3,4,5,6,7,8,9,10,11,12,13,14,15,16,17,18,19,20,21,22,23,24,25,26,27,28,29,30,31,32,33,34,35},{"10","20","25","30","15","30","30","30","30","30","30","30","30","30","30","i/o","i/o","i/o","i/o","i/o","i/o","30","40","40","i/o","i/o","30","30","i/o","30","30","30","15","30","30"})</f>
        <v>30</v>
      </c>
      <c r="F16" s="106"/>
      <c r="G16" s="137" t="str">
        <f>LOOKUP(datasheet1!$B39,{1,2,3,4,5,6,7,8,9,10,11,12,13,14,15,16,17,18,19,20,21,22,23,24,25,26,27,28,29,30,31,32,33,34,35},{"10","20","25","30","15","30","30","30","30","30","30","30","30","30","30","i/o","i/o","i/o","i/o","i/o","i/o","30","40","40","i/o","i/o","30","30","i/o","30","30","30","15","30","30"})</f>
        <v>30</v>
      </c>
      <c r="H16" s="107"/>
      <c r="I16" s="137" t="str">
        <f>LOOKUP(datasheet1!$B40,{1,2,3,4,5,6,7,8,9,10,11,12,13,14,15,16,17,18,19,20,21,22,23,24,25,26,27,28,29,30,31,32,33,34,35},{"10","20","25","30","15","30","30","30","30","30","30","30","30","30","30","i/o","i/o","i/o","i/o","i/o","i/o","30","40","40","i/o","i/o","30","30","i/o","30","30","30","15","30","30"})</f>
        <v>30</v>
      </c>
      <c r="J16" s="107"/>
      <c r="M16" s="197"/>
    </row>
    <row r="17" spans="1:17" x14ac:dyDescent="0.2">
      <c r="A17" s="284" t="s">
        <v>64</v>
      </c>
      <c r="B17" s="257"/>
      <c r="C17" s="94">
        <v>0</v>
      </c>
      <c r="D17" s="167">
        <f>C11*C17</f>
        <v>0</v>
      </c>
      <c r="E17" s="94">
        <v>0</v>
      </c>
      <c r="F17" s="167">
        <f>E11*E17</f>
        <v>0</v>
      </c>
      <c r="G17" s="104">
        <v>0</v>
      </c>
      <c r="H17" s="107">
        <f>G11*G17</f>
        <v>0</v>
      </c>
      <c r="I17" s="104">
        <v>0</v>
      </c>
      <c r="J17" s="107">
        <f>I11*I17</f>
        <v>0</v>
      </c>
      <c r="L17" s="154"/>
      <c r="M17" s="22"/>
      <c r="N17" s="22"/>
    </row>
    <row r="18" spans="1:17" x14ac:dyDescent="0.2">
      <c r="A18" s="26"/>
      <c r="B18" s="96" t="s">
        <v>65</v>
      </c>
      <c r="C18" s="132">
        <f>IF(C16="i/o",RATE(30*12,C27*-1,C11-D25,0)*12,RATE(C16*12,C27*-1,C11-D25,0)*12)</f>
        <v>6.0989142180534771E-2</v>
      </c>
      <c r="D18" s="133">
        <f>SUM(D13:D15)-D17</f>
        <v>5000</v>
      </c>
      <c r="E18" s="132">
        <f>IF(E16="i/o",RATE(30*12,E27*-1,E11-F25,0)*12,RATE(E16*12,E27*-1,E11-F25,0)*12)</f>
        <v>5.5912007689289306E-2</v>
      </c>
      <c r="F18" s="133">
        <f>SUM(F13:F15)-F17</f>
        <v>5000</v>
      </c>
      <c r="G18" s="132">
        <f>IF(G16="i/o",RATE(30*12,G27*-1,G11-H25,0)*12,RATE(G16*12,G27*-1,G11-H25,0)*12)</f>
        <v>6.1368232011819304E-2</v>
      </c>
      <c r="H18" s="133">
        <f>SUM(H13:H15)-H17</f>
        <v>16097.5</v>
      </c>
      <c r="I18" s="132">
        <f>IF(I16="i/o",RATE(30*12,I27*-1,I11-J25,0)*12,RATE(I16*12,I27*-1,I11-J25,0)*12)</f>
        <v>5.5646466215596033E-2</v>
      </c>
      <c r="J18" s="133">
        <f>SUM(J13:J15)-J17</f>
        <v>39415.760000000002</v>
      </c>
      <c r="M18" s="203"/>
      <c r="N18" s="22"/>
      <c r="O18" s="22"/>
      <c r="Q18" s="22"/>
    </row>
    <row r="19" spans="1:17" x14ac:dyDescent="0.2">
      <c r="A19" s="285" t="s">
        <v>66</v>
      </c>
      <c r="B19" s="286"/>
      <c r="C19" s="128">
        <v>0</v>
      </c>
      <c r="D19" s="169">
        <f>C7*C19</f>
        <v>0</v>
      </c>
      <c r="E19" s="128">
        <v>0</v>
      </c>
      <c r="F19" s="169">
        <f>E7*E19</f>
        <v>0</v>
      </c>
      <c r="G19" s="128">
        <v>0</v>
      </c>
      <c r="H19" s="169">
        <f>G7*G19</f>
        <v>0</v>
      </c>
      <c r="I19" s="128">
        <v>0</v>
      </c>
      <c r="J19" s="169">
        <f>I7*I19</f>
        <v>0</v>
      </c>
      <c r="M19" s="154"/>
      <c r="Q19" s="196"/>
    </row>
    <row r="20" spans="1:17" x14ac:dyDescent="0.2">
      <c r="A20" s="279" t="s">
        <v>67</v>
      </c>
      <c r="B20" s="257"/>
      <c r="C20" s="266">
        <v>0</v>
      </c>
      <c r="D20" s="267"/>
      <c r="E20" s="266">
        <v>0</v>
      </c>
      <c r="F20" s="267"/>
      <c r="G20" s="266">
        <v>0</v>
      </c>
      <c r="H20" s="267"/>
      <c r="I20" s="266">
        <v>0</v>
      </c>
      <c r="J20" s="267"/>
      <c r="M20" s="129"/>
      <c r="N20" s="22"/>
    </row>
    <row r="21" spans="1:17" x14ac:dyDescent="0.2">
      <c r="A21" s="6"/>
      <c r="B21" s="171" t="s">
        <v>60</v>
      </c>
      <c r="C21" s="94">
        <v>0</v>
      </c>
      <c r="D21" s="167">
        <f>C19*C21</f>
        <v>0</v>
      </c>
      <c r="E21" s="94">
        <v>0</v>
      </c>
      <c r="F21" s="167">
        <f>E19*E21</f>
        <v>0</v>
      </c>
      <c r="G21" s="94">
        <v>0</v>
      </c>
      <c r="H21" s="167">
        <f>G19*G21</f>
        <v>0</v>
      </c>
      <c r="I21" s="94">
        <v>0</v>
      </c>
      <c r="J21" s="167">
        <f>I19*I21</f>
        <v>0</v>
      </c>
      <c r="Q21" s="196"/>
    </row>
    <row r="22" spans="1:17" x14ac:dyDescent="0.2">
      <c r="A22" s="6"/>
      <c r="B22" t="s">
        <v>61</v>
      </c>
      <c r="C22" s="95">
        <v>0</v>
      </c>
      <c r="D22" s="167">
        <f>C19*C22</f>
        <v>0</v>
      </c>
      <c r="E22" s="95">
        <v>0</v>
      </c>
      <c r="F22" s="167">
        <f>E19*E22</f>
        <v>0</v>
      </c>
      <c r="G22" s="95">
        <v>0</v>
      </c>
      <c r="H22" s="167">
        <f>G19*G22</f>
        <v>0</v>
      </c>
      <c r="I22" s="95">
        <v>0</v>
      </c>
      <c r="J22" s="167">
        <f>I19*I22</f>
        <v>0</v>
      </c>
      <c r="L22" s="165"/>
      <c r="M22" s="196"/>
    </row>
    <row r="23" spans="1:17" x14ac:dyDescent="0.2">
      <c r="A23" s="170"/>
      <c r="B23" s="172" t="s">
        <v>62</v>
      </c>
      <c r="C23" s="92"/>
      <c r="D23" s="167">
        <v>0</v>
      </c>
      <c r="E23" s="173"/>
      <c r="F23" s="167">
        <f>E23</f>
        <v>0</v>
      </c>
      <c r="G23" s="173"/>
      <c r="H23" s="167">
        <f>G23</f>
        <v>0</v>
      </c>
      <c r="I23" s="173"/>
      <c r="J23" s="167">
        <f>I23</f>
        <v>0</v>
      </c>
      <c r="L23" s="154"/>
      <c r="N23" s="22"/>
    </row>
    <row r="24" spans="1:17" x14ac:dyDescent="0.2">
      <c r="A24" s="6"/>
      <c r="B24" s="147" t="s">
        <v>63</v>
      </c>
      <c r="C24" s="174">
        <v>30</v>
      </c>
      <c r="D24" s="175"/>
      <c r="E24" s="174">
        <v>30</v>
      </c>
      <c r="F24" s="175"/>
      <c r="G24" s="174">
        <v>30</v>
      </c>
      <c r="H24" s="175"/>
      <c r="I24" s="174">
        <v>30</v>
      </c>
      <c r="J24" s="108"/>
      <c r="L24" s="154"/>
      <c r="M24" s="113"/>
      <c r="Q24" s="22"/>
    </row>
    <row r="25" spans="1:17" x14ac:dyDescent="0.2">
      <c r="A25" s="282" t="s">
        <v>68</v>
      </c>
      <c r="B25" s="283"/>
      <c r="C25" s="24"/>
      <c r="D25" s="167">
        <f>D13+D14+D15+D21+D22+D23-D17</f>
        <v>5000</v>
      </c>
      <c r="E25" s="24"/>
      <c r="F25" s="167">
        <f>F13+F14+F15+F21+F22+F23-F17</f>
        <v>5000</v>
      </c>
      <c r="G25" s="24"/>
      <c r="H25" s="167">
        <f>H13+H14+H15+H21+H22+H23-H17</f>
        <v>16097.5</v>
      </c>
      <c r="I25" s="24"/>
      <c r="J25" s="167">
        <f>J13+J14+J15+J21+J22+J23-J17</f>
        <v>39415.760000000002</v>
      </c>
      <c r="L25" s="154"/>
      <c r="M25" s="204"/>
    </row>
    <row r="26" spans="1:17" x14ac:dyDescent="0.2">
      <c r="A26" s="98"/>
      <c r="B26" s="97" t="s">
        <v>65</v>
      </c>
      <c r="C26" s="269">
        <f>IF(C20=0,0,RATE(C24*12,C29*-1,D19-(D21+D22+D23),0,0)*12)</f>
        <v>0</v>
      </c>
      <c r="D26" s="270"/>
      <c r="E26" s="269">
        <f>IF(E20=0,0,RATE(E24*12,E29*-1,F19-(F21+F22+F23),0,0)*12)</f>
        <v>0</v>
      </c>
      <c r="F26" s="270"/>
      <c r="G26" s="269">
        <f>IF(G20=0,0,RATE(G24*12,G29*-1,H19-(H21+H22+H23),0,0)*12)</f>
        <v>0</v>
      </c>
      <c r="H26" s="270"/>
      <c r="I26" s="269">
        <f>IF(I20=0,0,RATE(I24*12,I29*-1,J19-(J21+J22+J23),0,0)*12)</f>
        <v>0</v>
      </c>
      <c r="J26" s="270"/>
      <c r="L26" s="154"/>
      <c r="M26" s="22"/>
    </row>
    <row r="27" spans="1:17" x14ac:dyDescent="0.2">
      <c r="A27" s="99" t="s">
        <v>69</v>
      </c>
      <c r="B27" s="101"/>
      <c r="C27" s="176">
        <f>IF(C16="i/o",C11*C12/12,PMT(C12/12,C16*12,C11,0)*-1)</f>
        <v>2849.6636460510317</v>
      </c>
      <c r="D27" s="102">
        <f>IF(datasheet1!A57=TRUE,C11*C12/12,"")</f>
        <v>2376.5</v>
      </c>
      <c r="E27" s="176">
        <f>IF(E16="i/o",E11*E12/12,PMT(E12/12,E16*12,E11,0)*-1)</f>
        <v>2838.9450067350144</v>
      </c>
      <c r="F27" s="102">
        <f>IF(datasheet1!A57=TRUE,E11*E12/12,"")</f>
        <v>2291.6666666666665</v>
      </c>
      <c r="G27" s="176">
        <f>IF(G16="i/o",G11*G12/12,PMT(G12/12,G16*12,G11,0)*-1)</f>
        <v>6653.511952882669</v>
      </c>
      <c r="H27" s="102">
        <f>IF(datasheet1!A57=TRUE,G11*G12/12,"")</f>
        <v>5548.75</v>
      </c>
      <c r="I27" s="176">
        <f>IF(I16="i/o",I11*I12/12,PMT(I12/12,I16*12,I11,0)*-1)</f>
        <v>6334.836694675686</v>
      </c>
      <c r="J27" s="102">
        <f>IF(datasheet1!A57=TRUE,I11*I12/12,"")</f>
        <v>5018.9649999999992</v>
      </c>
      <c r="L27" s="3"/>
      <c r="M27" s="3"/>
      <c r="O27" s="205"/>
    </row>
    <row r="28" spans="1:17" x14ac:dyDescent="0.2">
      <c r="A28" s="280" t="s">
        <v>70</v>
      </c>
      <c r="B28" s="281"/>
      <c r="C28" s="177">
        <f>IF(datasheet1!$F$51=TRUE,0,IF(C10="FHA HB 30 Year",datasheet1!G47,IF(ISNUMBER(FIND("FHA",C10)+FIND(15,C10)),datasheet1!$H$45,IF(ISNUMBER(FIND("FHA",C10)),datasheet1!$G$45,IF(C34&gt;=97.01%,datasheet1!$G$38,IF(C34&gt;=95.01%,datasheet1!$G$39,IF(C34&gt;=90.01%,datasheet1!$G$40,IF(C34&gt;=85.01%,datasheet1!$G$41,IF(C34&gt;=80.01,datasheet1!$G$42)*0)))))))*C11/12)</f>
        <v>0</v>
      </c>
      <c r="D28" s="153"/>
      <c r="E28" s="177">
        <f>IF(datasheet1!$F$52=TRUE,0,IF(E10="FHA HB 30 Year",datasheet1!G47,IF(ISNUMBER(FIND("FHA",E10)+FIND(15,E10)),datasheet1!$H$45,IF(ISNUMBER(FIND("FHA",E10)),datasheet1!$G$45,IF(E34&gt;=97.01%,datasheet1!$G$38,IF(E34&gt;=95.01%,datasheet1!$G$39,IF(E34&gt;=90.01%,datasheet1!$G$40,IF(E34&gt;=85.01%,datasheet1!$G$41,IF(E34&gt;=80.01,datasheet1!$G$42)*0)))))))*E11/12)</f>
        <v>0</v>
      </c>
      <c r="F28" s="153"/>
      <c r="G28" s="200">
        <f>IF(datasheet1!$F$53=TRUE,0,IF(G10="FHA HB 30 Year",datasheet1!G47,IF(ISNUMBER(FIND("FHA",G10)+FIND(15,G10)),datasheet1!$H$45,IF(ISNUMBER(FIND("FHA",G10)+FIND(30,G10)),datasheet1!$G$45,IF(G34&gt;=97.01%,datasheet1!$G$38,IF(G34&gt;=95.01%,datasheet1!$G$39,IF(G34&gt;=90.01%,datasheet1!$G$40,IF(G34&gt;=85.01%,datasheet1!$G$41,IF(G34&gt;=80.01,datasheet1!$G$42)*0)))))))*G11/12)</f>
        <v>379.16458333333338</v>
      </c>
      <c r="H28" s="153"/>
      <c r="I28" s="177">
        <f>IF(datasheet1!$F$54=TRUE,0,IF(I10="FHA HB 30 Year",datasheet1!G47,IF(ISNUMBER(FIND("FHA",I10)+FIND(15,I10)),datasheet1!$H$45,IF(ISNUMBER(FIND("FHA",I10)+FIND(30,I10)),datasheet1!$G$45,IF(I34&gt;=97.01%,datasheet1!$G$38,IF(I34&gt;=95.01%,datasheet1!$G$39,IF(I34&gt;=90.01%,datasheet1!$G$40,IF(I34&gt;=85.01%,datasheet1!$G$41,IF(I34&gt;=80.01,datasheet1!$G$42)*0)))))))*I11/12)</f>
        <v>391.95726666666673</v>
      </c>
      <c r="J28" s="153"/>
      <c r="M28" s="3"/>
      <c r="O28" s="154"/>
      <c r="Q28" s="154"/>
    </row>
    <row r="29" spans="1:17" x14ac:dyDescent="0.2">
      <c r="A29" s="146" t="s">
        <v>71</v>
      </c>
      <c r="B29" s="100" t="s">
        <v>72</v>
      </c>
      <c r="C29" s="178">
        <f>IF(D19=0,0,PMT(C20/12,C24*12,D19)*-1)</f>
        <v>0</v>
      </c>
      <c r="D29" s="103"/>
      <c r="E29" s="178">
        <f>IF(E20=0,0,PMT(E20/12,E24*12,F19)*-1)</f>
        <v>0</v>
      </c>
      <c r="F29" s="103">
        <f>F19*E20/12</f>
        <v>0</v>
      </c>
      <c r="G29" s="178">
        <f>IF(G20=0,0,PMT(G20/12,G24*12,H19)*-1)</f>
        <v>0</v>
      </c>
      <c r="H29" s="103">
        <f>H19*G20/12</f>
        <v>0</v>
      </c>
      <c r="I29" s="178">
        <f>IF(I20=0,0,PMT(I20/12,I24*12,J19)*-1)</f>
        <v>0</v>
      </c>
      <c r="J29" s="103">
        <f>J19*I20/12</f>
        <v>0</v>
      </c>
      <c r="P29" s="154"/>
    </row>
    <row r="30" spans="1:17" x14ac:dyDescent="0.2">
      <c r="A30" s="280" t="s">
        <v>73</v>
      </c>
      <c r="B30" s="291"/>
      <c r="C30" s="289">
        <f>C7*1.25%/12</f>
        <v>707.29166666666663</v>
      </c>
      <c r="D30" s="283"/>
      <c r="E30" s="289">
        <f>E7*1.25%/12</f>
        <v>1041.6666666666667</v>
      </c>
      <c r="F30" s="283"/>
      <c r="G30" s="289">
        <f>G7*1.25%/12</f>
        <v>1197.9166666666667</v>
      </c>
      <c r="H30" s="283"/>
      <c r="I30" s="289">
        <f>I7*1.25%/12</f>
        <v>1238.3333333333333</v>
      </c>
      <c r="J30" s="283"/>
    </row>
    <row r="31" spans="1:17" x14ac:dyDescent="0.2">
      <c r="A31" s="146" t="s">
        <v>74</v>
      </c>
      <c r="B31" s="93">
        <v>700</v>
      </c>
      <c r="C31" s="289">
        <f>B31</f>
        <v>700</v>
      </c>
      <c r="D31" s="283"/>
      <c r="E31" s="289">
        <v>0</v>
      </c>
      <c r="F31" s="283"/>
      <c r="G31" s="289">
        <f>B31</f>
        <v>700</v>
      </c>
      <c r="H31" s="283"/>
      <c r="I31" s="289">
        <f>B31</f>
        <v>700</v>
      </c>
      <c r="J31" s="283"/>
      <c r="M31" s="154"/>
    </row>
    <row r="32" spans="1:17" ht="12" customHeight="1" thickBot="1" x14ac:dyDescent="0.25">
      <c r="A32" s="146" t="s">
        <v>75</v>
      </c>
      <c r="B32" s="2">
        <v>1.25E-3</v>
      </c>
      <c r="C32" s="289">
        <f>C7*B32/12</f>
        <v>70.729166666666671</v>
      </c>
      <c r="D32" s="283"/>
      <c r="E32" s="289">
        <f>E7*B32/12</f>
        <v>104.16666666666667</v>
      </c>
      <c r="F32" s="283"/>
      <c r="G32" s="289">
        <f>G7*B32/12</f>
        <v>119.79166666666667</v>
      </c>
      <c r="H32" s="283"/>
      <c r="I32" s="289">
        <f>I7*B32/12</f>
        <v>123.83333333333333</v>
      </c>
      <c r="J32" s="283"/>
    </row>
    <row r="33" spans="1:15" ht="18" customHeight="1" thickBot="1" x14ac:dyDescent="0.25">
      <c r="A33" s="118" t="s">
        <v>76</v>
      </c>
      <c r="B33" s="119" t="s">
        <v>77</v>
      </c>
      <c r="C33" s="120">
        <f>C27+C28+C29+C30+C31+C32</f>
        <v>4327.6844793843657</v>
      </c>
      <c r="D33" s="121">
        <f>IF(D27="","",D27+C28+D29+C30+C31+C32)</f>
        <v>3854.520833333333</v>
      </c>
      <c r="E33" s="120">
        <f>E27+E28+E29+E30+E31+E32</f>
        <v>3984.7783400683479</v>
      </c>
      <c r="F33" s="121">
        <f>IF(F27="","",F27+E28+F29+E30+E31+E32)</f>
        <v>3437.4999999999995</v>
      </c>
      <c r="G33" s="120">
        <f>G27+G28+G29+G30+G31+G32</f>
        <v>9050.3848695493343</v>
      </c>
      <c r="H33" s="121">
        <f>IF(H27="","",H27+G28+H29+G30+G31+G32)</f>
        <v>7945.6229166666672</v>
      </c>
      <c r="I33" s="120">
        <f>I27+I28+I29+I30+I31+I32</f>
        <v>8788.9606280090193</v>
      </c>
      <c r="J33" s="122">
        <f>IF(J27="","",J27+I28+J29+I30+I31+I32)</f>
        <v>7473.0889333333316</v>
      </c>
      <c r="M33" s="195"/>
      <c r="O33" s="154"/>
    </row>
    <row r="34" spans="1:15" x14ac:dyDescent="0.2">
      <c r="A34" s="6"/>
      <c r="B34" s="7" t="s">
        <v>78</v>
      </c>
      <c r="C34" s="28">
        <f>C11/C7</f>
        <v>0.7</v>
      </c>
      <c r="D34" s="25"/>
      <c r="E34" s="28">
        <f>E11/$E7</f>
        <v>0.5</v>
      </c>
      <c r="F34" s="25"/>
      <c r="G34" s="28">
        <f>IF(G7="","",G11/$G7)</f>
        <v>0.96499999999999997</v>
      </c>
      <c r="H34" s="25">
        <f>H8/G7</f>
        <v>3.5000000000000003E-2</v>
      </c>
      <c r="I34" s="28">
        <f>IF(I7="","",I11/$I7)</f>
        <v>0.96499999999999997</v>
      </c>
      <c r="J34" s="25"/>
      <c r="L34" s="163"/>
      <c r="M34" s="22"/>
      <c r="O34" s="154"/>
    </row>
    <row r="35" spans="1:15" x14ac:dyDescent="0.2">
      <c r="A35" s="29"/>
      <c r="B35" s="4" t="s">
        <v>79</v>
      </c>
      <c r="C35" s="30">
        <f>(C11+D19)/C7</f>
        <v>0.7</v>
      </c>
      <c r="D35" s="31"/>
      <c r="E35" s="30">
        <f>(E11+F19)/$E7</f>
        <v>0.5</v>
      </c>
      <c r="F35" s="31"/>
      <c r="G35" s="30">
        <f>IF(G7="","",(G11+H19)/$G7)</f>
        <v>0.96499999999999997</v>
      </c>
      <c r="H35" s="31"/>
      <c r="I35" s="30">
        <f>IF(I7="","",(I11+J19)/$I7)</f>
        <v>0.96499999999999997</v>
      </c>
      <c r="J35" s="31"/>
      <c r="M35" s="22"/>
      <c r="O35" s="154"/>
    </row>
    <row r="36" spans="1:15" x14ac:dyDescent="0.2">
      <c r="A36" s="26" t="s">
        <v>80</v>
      </c>
      <c r="B36" s="123">
        <v>0.35</v>
      </c>
      <c r="C36" s="27"/>
      <c r="D36" s="88"/>
      <c r="E36" s="179"/>
      <c r="F36" s="179"/>
      <c r="G36" s="179"/>
      <c r="H36" s="179"/>
      <c r="I36" s="179"/>
      <c r="J36" s="180"/>
      <c r="M36" s="3"/>
      <c r="O36" s="154"/>
    </row>
    <row r="37" spans="1:15" x14ac:dyDescent="0.2">
      <c r="A37" s="98"/>
      <c r="B37" s="116" t="s">
        <v>81</v>
      </c>
      <c r="C37" s="181">
        <f>D27*$B$36</f>
        <v>831.77499999999998</v>
      </c>
      <c r="E37" s="181">
        <f>F27*$B$36</f>
        <v>802.08333333333326</v>
      </c>
      <c r="G37" s="181">
        <f>H27*$B$36</f>
        <v>1942.0624999999998</v>
      </c>
      <c r="I37" s="182">
        <f>J27*$B$36</f>
        <v>1756.6377499999996</v>
      </c>
      <c r="J37" s="124"/>
      <c r="M37" s="3"/>
    </row>
    <row r="38" spans="1:15" x14ac:dyDescent="0.2">
      <c r="A38" s="24"/>
      <c r="B38" s="83" t="s">
        <v>82</v>
      </c>
      <c r="C38" s="84">
        <f>D29*$B$36</f>
        <v>0</v>
      </c>
      <c r="E38" s="84">
        <f>F29*$B$36</f>
        <v>0</v>
      </c>
      <c r="G38" s="84">
        <f>H29*$B$36</f>
        <v>0</v>
      </c>
      <c r="I38" s="85">
        <f>J29*$B$36</f>
        <v>0</v>
      </c>
      <c r="J38" s="125"/>
    </row>
    <row r="39" spans="1:15" x14ac:dyDescent="0.2">
      <c r="A39" s="24"/>
      <c r="B39" s="83" t="s">
        <v>83</v>
      </c>
      <c r="C39" s="84">
        <f>C28*$B$36</f>
        <v>0</v>
      </c>
      <c r="E39" s="84">
        <f>E28*$B$36</f>
        <v>0</v>
      </c>
      <c r="G39" s="84">
        <f>G28*$B$36</f>
        <v>132.70760416666667</v>
      </c>
      <c r="I39" s="85">
        <f>I28*$B$36</f>
        <v>137.18504333333334</v>
      </c>
      <c r="J39" s="125"/>
    </row>
    <row r="40" spans="1:15" x14ac:dyDescent="0.2">
      <c r="A40" s="24"/>
      <c r="B40" s="83" t="s">
        <v>84</v>
      </c>
      <c r="C40" s="84">
        <f>C30*$B$36</f>
        <v>247.55208333333331</v>
      </c>
      <c r="E40" s="84">
        <f>E30*$B$36</f>
        <v>364.58333333333331</v>
      </c>
      <c r="G40" s="84">
        <f>G30*$B$36</f>
        <v>419.27083333333331</v>
      </c>
      <c r="I40" s="85">
        <f>I30*$B$36</f>
        <v>433.41666666666663</v>
      </c>
      <c r="J40" s="125"/>
    </row>
    <row r="41" spans="1:15" x14ac:dyDescent="0.2">
      <c r="A41" s="24"/>
      <c r="C41" s="84">
        <f>SUM(C37:C40)</f>
        <v>1079.3270833333333</v>
      </c>
      <c r="E41" s="84">
        <f>SUM(E37:E40)</f>
        <v>1166.6666666666665</v>
      </c>
      <c r="G41" s="84">
        <f>SUM(G37:G40)</f>
        <v>2494.0409374999999</v>
      </c>
      <c r="I41" s="85">
        <f>SUM(I37:I40)</f>
        <v>2327.2394599999998</v>
      </c>
      <c r="J41" s="125"/>
      <c r="M41" s="158"/>
    </row>
    <row r="42" spans="1:15" x14ac:dyDescent="0.2">
      <c r="A42" s="8" t="s">
        <v>85</v>
      </c>
      <c r="B42" s="15"/>
      <c r="C42" s="86">
        <f>C33-C41</f>
        <v>3248.3573960510321</v>
      </c>
      <c r="D42" s="126">
        <f>D33-C41</f>
        <v>2775.1937499999995</v>
      </c>
      <c r="E42" s="86">
        <f>E33-E41</f>
        <v>2818.1116734016814</v>
      </c>
      <c r="F42" s="126">
        <f>F33-E41</f>
        <v>2270.833333333333</v>
      </c>
      <c r="G42" s="86">
        <f>G33-G41</f>
        <v>6556.3439320493344</v>
      </c>
      <c r="H42" s="126">
        <f>H33-G41</f>
        <v>5451.5819791666672</v>
      </c>
      <c r="I42" s="87">
        <f>I33-I41</f>
        <v>6461.7211680090195</v>
      </c>
      <c r="J42" s="127">
        <f>J33-I41</f>
        <v>5145.8494733333318</v>
      </c>
      <c r="M42" s="158"/>
    </row>
    <row r="43" spans="1:15" x14ac:dyDescent="0.2">
      <c r="A43" s="4"/>
      <c r="B43" s="4"/>
      <c r="C43" s="138"/>
      <c r="D43" s="139"/>
      <c r="E43" s="138"/>
      <c r="F43" s="139"/>
      <c r="G43" s="138"/>
      <c r="H43" s="139"/>
      <c r="I43" s="138"/>
      <c r="J43" s="139"/>
    </row>
    <row r="44" spans="1:15" x14ac:dyDescent="0.2">
      <c r="A44" t="s">
        <v>86</v>
      </c>
      <c r="C44" s="140" t="s">
        <v>87</v>
      </c>
    </row>
    <row r="45" spans="1:15" x14ac:dyDescent="0.2">
      <c r="A45" s="93">
        <v>225000</v>
      </c>
      <c r="B45" s="3">
        <f>A45/12</f>
        <v>18750</v>
      </c>
      <c r="C45" s="151">
        <f>C33/B45</f>
        <v>0.2308098389004995</v>
      </c>
      <c r="E45" s="129">
        <f>E33/B45</f>
        <v>0.2125215114703119</v>
      </c>
      <c r="G45" s="129">
        <f>G33/B45</f>
        <v>0.48268719304263119</v>
      </c>
      <c r="I45" s="129">
        <f>I33/B45</f>
        <v>0.46874456682714771</v>
      </c>
    </row>
    <row r="46" spans="1:15" x14ac:dyDescent="0.2">
      <c r="A46" s="93"/>
      <c r="B46" s="3"/>
      <c r="C46" s="151"/>
      <c r="E46" s="129"/>
      <c r="G46" s="129"/>
      <c r="I46" s="129"/>
    </row>
    <row r="47" spans="1:15" x14ac:dyDescent="0.2">
      <c r="A47" s="154" t="s">
        <v>88</v>
      </c>
    </row>
    <row r="48" spans="1:15" x14ac:dyDescent="0.2">
      <c r="A48" s="154" t="s">
        <v>89</v>
      </c>
      <c r="B48">
        <v>0</v>
      </c>
      <c r="C48" s="3"/>
    </row>
    <row r="49" spans="1:13" x14ac:dyDescent="0.2">
      <c r="A49" s="154" t="s">
        <v>89</v>
      </c>
      <c r="B49">
        <v>700</v>
      </c>
      <c r="M49" s="154"/>
    </row>
    <row r="50" spans="1:13" x14ac:dyDescent="0.2">
      <c r="A50" s="154" t="s">
        <v>90</v>
      </c>
      <c r="B50">
        <v>0</v>
      </c>
      <c r="M50" s="154"/>
    </row>
    <row r="51" spans="1:13" x14ac:dyDescent="0.2">
      <c r="A51" s="154" t="s">
        <v>90</v>
      </c>
      <c r="B51">
        <v>0</v>
      </c>
      <c r="M51" s="154"/>
    </row>
    <row r="52" spans="1:13" x14ac:dyDescent="0.2">
      <c r="A52" s="154" t="s">
        <v>91</v>
      </c>
      <c r="B52">
        <f>SUM(B48:B51)</f>
        <v>700</v>
      </c>
    </row>
    <row r="53" spans="1:13" x14ac:dyDescent="0.2">
      <c r="C53" s="151">
        <f>(C33+B52)/B45</f>
        <v>0.26814317223383283</v>
      </c>
      <c r="I53" s="129">
        <f>(I33+B52)/B45</f>
        <v>0.50607790016048104</v>
      </c>
    </row>
  </sheetData>
  <sheetProtection selectLockedCells="1"/>
  <mergeCells count="38">
    <mergeCell ref="C32:D32"/>
    <mergeCell ref="E32:F32"/>
    <mergeCell ref="A30:B30"/>
    <mergeCell ref="C30:D30"/>
    <mergeCell ref="E30:F30"/>
    <mergeCell ref="C31:D31"/>
    <mergeCell ref="E31:F31"/>
    <mergeCell ref="I26:J26"/>
    <mergeCell ref="H3:J3"/>
    <mergeCell ref="G32:H32"/>
    <mergeCell ref="I31:J31"/>
    <mergeCell ref="I30:J30"/>
    <mergeCell ref="I32:J32"/>
    <mergeCell ref="G31:H31"/>
    <mergeCell ref="I10:J10"/>
    <mergeCell ref="G30:H30"/>
    <mergeCell ref="I12:J12"/>
    <mergeCell ref="I20:J20"/>
    <mergeCell ref="G26:H26"/>
    <mergeCell ref="A20:B20"/>
    <mergeCell ref="C20:D20"/>
    <mergeCell ref="A28:B28"/>
    <mergeCell ref="A25:B25"/>
    <mergeCell ref="C10:D10"/>
    <mergeCell ref="A17:B17"/>
    <mergeCell ref="C26:D26"/>
    <mergeCell ref="A19:B19"/>
    <mergeCell ref="E10:F10"/>
    <mergeCell ref="G10:H10"/>
    <mergeCell ref="A11:B11"/>
    <mergeCell ref="A15:B15"/>
    <mergeCell ref="A12:B12"/>
    <mergeCell ref="C12:D12"/>
    <mergeCell ref="E20:F20"/>
    <mergeCell ref="E12:F12"/>
    <mergeCell ref="G12:H12"/>
    <mergeCell ref="G20:H20"/>
    <mergeCell ref="E26:F26"/>
  </mergeCells>
  <phoneticPr fontId="0" type="noConversion"/>
  <printOptions horizontalCentered="1" verticalCentered="1"/>
  <pageMargins left="0.25" right="0.25" top="0" bottom="0" header="0" footer="0"/>
  <pageSetup orientation="landscape" r:id="rId1"/>
  <headerFooter alignWithMargins="0">
    <oddFooter>&amp;L&amp;8&amp;D Rates and Fees subject to change and lender approval&amp;C&amp;8*Please consult with your tax advisor
interest only not availble on all loans&amp;R&amp;8For Illustration purposes only. This does not constitue a commitment to lend&amp;10.</oddFooter>
  </headerFooter>
  <ignoredErrors>
    <ignoredError sqref="F19 H19 J19 D19"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359" r:id="rId4" name="Drop Down 287">
              <controlPr defaultSize="0" print="0" autoLine="0" autoPict="0">
                <anchor moveWithCells="1">
                  <from>
                    <xdr:col>2</xdr:col>
                    <xdr:colOff>9525</xdr:colOff>
                    <xdr:row>9</xdr:row>
                    <xdr:rowOff>9525</xdr:rowOff>
                  </from>
                  <to>
                    <xdr:col>4</xdr:col>
                    <xdr:colOff>0</xdr:colOff>
                    <xdr:row>10</xdr:row>
                    <xdr:rowOff>9525</xdr:rowOff>
                  </to>
                </anchor>
              </controlPr>
            </control>
          </mc:Choice>
        </mc:AlternateContent>
        <mc:AlternateContent xmlns:mc="http://schemas.openxmlformats.org/markup-compatibility/2006">
          <mc:Choice Requires="x14">
            <control shapeId="3360" r:id="rId5" name="Drop Down 288">
              <controlPr defaultSize="0" print="0" autoLine="0" autoPict="0">
                <anchor moveWithCells="1">
                  <from>
                    <xdr:col>4</xdr:col>
                    <xdr:colOff>19050</xdr:colOff>
                    <xdr:row>9</xdr:row>
                    <xdr:rowOff>9525</xdr:rowOff>
                  </from>
                  <to>
                    <xdr:col>6</xdr:col>
                    <xdr:colOff>0</xdr:colOff>
                    <xdr:row>10</xdr:row>
                    <xdr:rowOff>9525</xdr:rowOff>
                  </to>
                </anchor>
              </controlPr>
            </control>
          </mc:Choice>
        </mc:AlternateContent>
        <mc:AlternateContent xmlns:mc="http://schemas.openxmlformats.org/markup-compatibility/2006">
          <mc:Choice Requires="x14">
            <control shapeId="3361" r:id="rId6" name="Drop Down 289">
              <controlPr defaultSize="0" print="0" autoLine="0" autoPict="0">
                <anchor moveWithCells="1">
                  <from>
                    <xdr:col>6</xdr:col>
                    <xdr:colOff>0</xdr:colOff>
                    <xdr:row>9</xdr:row>
                    <xdr:rowOff>9525</xdr:rowOff>
                  </from>
                  <to>
                    <xdr:col>7</xdr:col>
                    <xdr:colOff>733425</xdr:colOff>
                    <xdr:row>10</xdr:row>
                    <xdr:rowOff>9525</xdr:rowOff>
                  </to>
                </anchor>
              </controlPr>
            </control>
          </mc:Choice>
        </mc:AlternateContent>
        <mc:AlternateContent xmlns:mc="http://schemas.openxmlformats.org/markup-compatibility/2006">
          <mc:Choice Requires="x14">
            <control shapeId="3362" r:id="rId7" name="Drop Down 290">
              <controlPr defaultSize="0" print="0" autoLine="0" autoPict="0">
                <anchor moveWithCells="1">
                  <from>
                    <xdr:col>8</xdr:col>
                    <xdr:colOff>0</xdr:colOff>
                    <xdr:row>9</xdr:row>
                    <xdr:rowOff>9525</xdr:rowOff>
                  </from>
                  <to>
                    <xdr:col>10</xdr:col>
                    <xdr:colOff>0</xdr:colOff>
                    <xdr:row>10</xdr:row>
                    <xdr:rowOff>9525</xdr:rowOff>
                  </to>
                </anchor>
              </controlPr>
            </control>
          </mc:Choice>
        </mc:AlternateContent>
        <mc:AlternateContent xmlns:mc="http://schemas.openxmlformats.org/markup-compatibility/2006">
          <mc:Choice Requires="x14">
            <control shapeId="3363" r:id="rId8" name="Check Box 291">
              <controlPr defaultSize="0" autoFill="0" autoLine="0" autoPict="0">
                <anchor moveWithCells="1">
                  <from>
                    <xdr:col>3</xdr:col>
                    <xdr:colOff>28575</xdr:colOff>
                    <xdr:row>26</xdr:row>
                    <xdr:rowOff>57150</xdr:rowOff>
                  </from>
                  <to>
                    <xdr:col>3</xdr:col>
                    <xdr:colOff>771525</xdr:colOff>
                    <xdr:row>28</xdr:row>
                    <xdr:rowOff>104775</xdr:rowOff>
                  </to>
                </anchor>
              </controlPr>
            </control>
          </mc:Choice>
        </mc:AlternateContent>
        <mc:AlternateContent xmlns:mc="http://schemas.openxmlformats.org/markup-compatibility/2006">
          <mc:Choice Requires="x14">
            <control shapeId="3364" r:id="rId9" name="Check Box 292">
              <controlPr defaultSize="0" autoFill="0" autoLine="0" autoPict="0">
                <anchor moveWithCells="1">
                  <from>
                    <xdr:col>5</xdr:col>
                    <xdr:colOff>57150</xdr:colOff>
                    <xdr:row>26</xdr:row>
                    <xdr:rowOff>57150</xdr:rowOff>
                  </from>
                  <to>
                    <xdr:col>5</xdr:col>
                    <xdr:colOff>800100</xdr:colOff>
                    <xdr:row>28</xdr:row>
                    <xdr:rowOff>104775</xdr:rowOff>
                  </to>
                </anchor>
              </controlPr>
            </control>
          </mc:Choice>
        </mc:AlternateContent>
        <mc:AlternateContent xmlns:mc="http://schemas.openxmlformats.org/markup-compatibility/2006">
          <mc:Choice Requires="x14">
            <control shapeId="3365" r:id="rId10" name="Check Box 293">
              <controlPr defaultSize="0" autoFill="0" autoLine="0" autoPict="0">
                <anchor moveWithCells="1">
                  <from>
                    <xdr:col>7</xdr:col>
                    <xdr:colOff>38100</xdr:colOff>
                    <xdr:row>26</xdr:row>
                    <xdr:rowOff>104775</xdr:rowOff>
                  </from>
                  <to>
                    <xdr:col>8</xdr:col>
                    <xdr:colOff>0</xdr:colOff>
                    <xdr:row>28</xdr:row>
                    <xdr:rowOff>57150</xdr:rowOff>
                  </to>
                </anchor>
              </controlPr>
            </control>
          </mc:Choice>
        </mc:AlternateContent>
        <mc:AlternateContent xmlns:mc="http://schemas.openxmlformats.org/markup-compatibility/2006">
          <mc:Choice Requires="x14">
            <control shapeId="3366" r:id="rId11" name="Check Box 294">
              <controlPr defaultSize="0" autoFill="0" autoLine="0" autoPict="0">
                <anchor moveWithCells="1">
                  <from>
                    <xdr:col>9</xdr:col>
                    <xdr:colOff>76200</xdr:colOff>
                    <xdr:row>26</xdr:row>
                    <xdr:rowOff>38100</xdr:rowOff>
                  </from>
                  <to>
                    <xdr:col>9</xdr:col>
                    <xdr:colOff>819150</xdr:colOff>
                    <xdr:row>28</xdr:row>
                    <xdr:rowOff>85725</xdr:rowOff>
                  </to>
                </anchor>
              </controlPr>
            </control>
          </mc:Choice>
        </mc:AlternateContent>
        <mc:AlternateContent xmlns:mc="http://schemas.openxmlformats.org/markup-compatibility/2006">
          <mc:Choice Requires="x14">
            <control shapeId="3367" r:id="rId12" name="Check Box 295">
              <controlPr defaultSize="0" autoFill="0" autoLine="0" autoPict="0" altText=" Show I/O ">
                <anchor moveWithCells="1">
                  <from>
                    <xdr:col>0</xdr:col>
                    <xdr:colOff>600075</xdr:colOff>
                    <xdr:row>25</xdr:row>
                    <xdr:rowOff>114300</xdr:rowOff>
                  </from>
                  <to>
                    <xdr:col>2</xdr:col>
                    <xdr:colOff>38100</xdr:colOff>
                    <xdr:row>27</xdr:row>
                    <xdr:rowOff>66675</xdr:rowOff>
                  </to>
                </anchor>
              </controlPr>
            </control>
          </mc:Choice>
        </mc:AlternateContent>
      </controls>
    </mc:Choice>
  </mc:AlternateContent>
  <webPublishItems count="1">
    <webPublishItem id="13293" divId="Finance Comparison_13293" sourceType="printArea" destinationFile="C:\Users\b-mor\OneDrive\MoranIndustriesInc\Enabl Realty\SpreadSheets\Finance Comparison.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BC9F9-DC81-46F8-A93D-09770337EB9C}">
  <sheetPr codeName="Sheet3"/>
  <dimension ref="A1:P44"/>
  <sheetViews>
    <sheetView topLeftCell="A13" workbookViewId="0">
      <selection activeCell="N45" sqref="N45"/>
    </sheetView>
  </sheetViews>
  <sheetFormatPr defaultRowHeight="12.75" x14ac:dyDescent="0.2"/>
  <sheetData>
    <row r="1" spans="1:14" x14ac:dyDescent="0.2">
      <c r="A1" s="4" t="s">
        <v>150</v>
      </c>
      <c r="J1" s="4" t="s">
        <v>156</v>
      </c>
    </row>
    <row r="3" spans="1:14" x14ac:dyDescent="0.2">
      <c r="A3" t="s">
        <v>151</v>
      </c>
      <c r="C3">
        <v>204</v>
      </c>
      <c r="E3">
        <v>40</v>
      </c>
      <c r="J3" t="s">
        <v>157</v>
      </c>
      <c r="L3">
        <v>23970</v>
      </c>
      <c r="M3" s="152">
        <v>5.0000000000000001E-3</v>
      </c>
      <c r="N3">
        <f>L3*M3</f>
        <v>119.85000000000001</v>
      </c>
    </row>
    <row r="5" spans="1:14" x14ac:dyDescent="0.2">
      <c r="A5" t="s">
        <v>152</v>
      </c>
      <c r="C5">
        <v>131</v>
      </c>
      <c r="E5">
        <v>25</v>
      </c>
      <c r="J5" t="s">
        <v>157</v>
      </c>
      <c r="L5">
        <v>23968</v>
      </c>
      <c r="M5" s="206">
        <v>5.0000000000000001E-3</v>
      </c>
      <c r="N5">
        <f t="shared" ref="N5:N11" si="0">L5*M5</f>
        <v>119.84</v>
      </c>
    </row>
    <row r="7" spans="1:14" x14ac:dyDescent="0.2">
      <c r="A7" t="s">
        <v>153</v>
      </c>
      <c r="C7">
        <v>52</v>
      </c>
      <c r="E7">
        <v>35</v>
      </c>
      <c r="J7" t="s">
        <v>157</v>
      </c>
      <c r="L7">
        <v>22181</v>
      </c>
      <c r="M7" s="206">
        <v>5.0000000000000001E-3</v>
      </c>
      <c r="N7">
        <f t="shared" si="0"/>
        <v>110.905</v>
      </c>
    </row>
    <row r="9" spans="1:14" x14ac:dyDescent="0.2">
      <c r="A9" t="s">
        <v>154</v>
      </c>
      <c r="C9">
        <v>27</v>
      </c>
      <c r="E9">
        <v>27</v>
      </c>
      <c r="J9" t="s">
        <v>157</v>
      </c>
      <c r="L9">
        <v>18495</v>
      </c>
      <c r="M9" s="206">
        <v>5.0000000000000001E-3</v>
      </c>
      <c r="N9">
        <f t="shared" si="0"/>
        <v>92.475000000000009</v>
      </c>
    </row>
    <row r="11" spans="1:14" x14ac:dyDescent="0.2">
      <c r="A11" t="s">
        <v>155</v>
      </c>
      <c r="C11">
        <v>0</v>
      </c>
      <c r="E11">
        <v>0</v>
      </c>
      <c r="J11" t="s">
        <v>157</v>
      </c>
      <c r="L11">
        <v>16022</v>
      </c>
      <c r="M11" s="152">
        <v>5.0000000000000001E-3</v>
      </c>
      <c r="N11">
        <f t="shared" si="0"/>
        <v>80.11</v>
      </c>
    </row>
    <row r="13" spans="1:14" x14ac:dyDescent="0.2">
      <c r="J13" t="s">
        <v>157</v>
      </c>
      <c r="L13">
        <v>10361</v>
      </c>
      <c r="N13">
        <v>207</v>
      </c>
    </row>
    <row r="15" spans="1:14" x14ac:dyDescent="0.2">
      <c r="J15" t="s">
        <v>157</v>
      </c>
      <c r="L15">
        <v>10361</v>
      </c>
      <c r="N15">
        <v>207</v>
      </c>
    </row>
    <row r="17" spans="10:14" x14ac:dyDescent="0.2">
      <c r="J17" t="s">
        <v>157</v>
      </c>
      <c r="L17">
        <v>10340</v>
      </c>
      <c r="N17">
        <v>207</v>
      </c>
    </row>
    <row r="19" spans="10:14" x14ac:dyDescent="0.2">
      <c r="J19" t="s">
        <v>157</v>
      </c>
      <c r="L19">
        <v>10340</v>
      </c>
      <c r="N19">
        <v>207</v>
      </c>
    </row>
    <row r="21" spans="10:14" x14ac:dyDescent="0.2">
      <c r="J21" t="s">
        <v>157</v>
      </c>
      <c r="L21">
        <v>10323</v>
      </c>
      <c r="N21">
        <v>206</v>
      </c>
    </row>
    <row r="23" spans="10:14" x14ac:dyDescent="0.2">
      <c r="J23" t="s">
        <v>157</v>
      </c>
      <c r="L23">
        <v>10323</v>
      </c>
      <c r="N23">
        <v>206</v>
      </c>
    </row>
    <row r="25" spans="10:14" x14ac:dyDescent="0.2">
      <c r="J25" t="s">
        <v>157</v>
      </c>
      <c r="L25">
        <v>10088</v>
      </c>
      <c r="M25" s="113">
        <v>5.0000000000000001E-3</v>
      </c>
      <c r="N25">
        <f>L25*M25</f>
        <v>50.44</v>
      </c>
    </row>
    <row r="27" spans="10:14" x14ac:dyDescent="0.2">
      <c r="J27" t="s">
        <v>151</v>
      </c>
      <c r="L27">
        <v>3737</v>
      </c>
      <c r="N27">
        <v>90</v>
      </c>
    </row>
    <row r="29" spans="10:14" x14ac:dyDescent="0.2">
      <c r="J29" t="s">
        <v>154</v>
      </c>
      <c r="L29">
        <v>2258</v>
      </c>
      <c r="N29">
        <v>104</v>
      </c>
    </row>
    <row r="31" spans="10:14" x14ac:dyDescent="0.2">
      <c r="J31" t="s">
        <v>151</v>
      </c>
      <c r="L31">
        <v>2035</v>
      </c>
      <c r="N31">
        <v>40</v>
      </c>
    </row>
    <row r="33" spans="5:16" x14ac:dyDescent="0.2">
      <c r="J33" t="s">
        <v>153</v>
      </c>
      <c r="L33">
        <v>84</v>
      </c>
      <c r="N33">
        <v>35</v>
      </c>
    </row>
    <row r="35" spans="5:16" x14ac:dyDescent="0.2">
      <c r="J35" t="s">
        <v>158</v>
      </c>
      <c r="L35">
        <v>0</v>
      </c>
      <c r="N35">
        <v>0</v>
      </c>
    </row>
    <row r="37" spans="5:16" x14ac:dyDescent="0.2">
      <c r="J37" s="154" t="s">
        <v>151</v>
      </c>
      <c r="L37">
        <v>19996</v>
      </c>
      <c r="N37">
        <v>584</v>
      </c>
    </row>
    <row r="39" spans="5:16" x14ac:dyDescent="0.2">
      <c r="J39" s="154" t="s">
        <v>151</v>
      </c>
      <c r="L39" s="34">
        <v>11101</v>
      </c>
      <c r="N39">
        <v>348</v>
      </c>
    </row>
    <row r="40" spans="5:16" x14ac:dyDescent="0.2">
      <c r="E40">
        <f ca="1">SUM(E3:E40)</f>
        <v>5499227</v>
      </c>
      <c r="N40">
        <f>SUM(N3:N39)</f>
        <v>3014.62</v>
      </c>
      <c r="P40" s="3">
        <f ca="1">SUM(E40:N40)</f>
        <v>5502241.6200000001</v>
      </c>
    </row>
    <row r="42" spans="5:16" x14ac:dyDescent="0.2">
      <c r="N42">
        <v>127</v>
      </c>
    </row>
    <row r="44" spans="5:16" x14ac:dyDescent="0.2">
      <c r="N44">
        <f>SUM(N40:N42)</f>
        <v>3141.62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B133-0F8B-4FE3-88C2-FB61CFA1786C}">
  <sheetPr codeName="Sheet5"/>
  <dimension ref="A1"/>
  <sheetViews>
    <sheetView workbookViewId="0">
      <selection activeCell="D1" sqref="D1"/>
    </sheetView>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datasheet1</vt:lpstr>
      <vt:lpstr>Refinance</vt:lpstr>
      <vt:lpstr>Purchase</vt:lpstr>
      <vt:lpstr>Sheet2</vt:lpstr>
      <vt:lpstr>Sheet1</vt:lpstr>
      <vt:lpstr>Purchase!Print_Area</vt:lpstr>
      <vt:lpstr>Refinance!Print_Area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Bill</dc:creator>
  <cp:keywords/>
  <dc:description/>
  <cp:lastModifiedBy>Bill Moran</cp:lastModifiedBy>
  <cp:revision/>
  <cp:lastPrinted>2024-08-30T18:12:13Z</cp:lastPrinted>
  <dcterms:created xsi:type="dcterms:W3CDTF">2001-03-06T21:38:14Z</dcterms:created>
  <dcterms:modified xsi:type="dcterms:W3CDTF">2024-09-04T21:44:23Z</dcterms:modified>
  <cp:category/>
  <cp:contentStatus/>
</cp:coreProperties>
</file>