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gywang\Documents\Job Search\Project Documents\"/>
    </mc:Choice>
  </mc:AlternateContent>
  <xr:revisionPtr revIDLastSave="0" documentId="8_{3DFB1DFD-09D2-44B6-BA70-A7FD79FEAB47}" xr6:coauthVersionLast="31" xr6:coauthVersionMax="31" xr10:uidLastSave="{00000000-0000-0000-0000-000000000000}"/>
  <bookViews>
    <workbookView xWindow="0" yWindow="0" windowWidth="8050" windowHeight="5000" tabRatio="500" firstSheet="1" activeTab="3" xr2:uid="{00000000-000D-0000-FFFF-FFFF00000000}"/>
  </bookViews>
  <sheets>
    <sheet name="Name" sheetId="1" r:id="rId1"/>
    <sheet name="Model Inputs" sheetId="2" r:id="rId2"/>
    <sheet name="Cost of Capital Calculation" sheetId="3" r:id="rId3"/>
    <sheet name="Valuation " sheetId="4" r:id="rId4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" i="2" l="1"/>
  <c r="B35" i="4"/>
  <c r="B9" i="3"/>
  <c r="D9" i="3"/>
  <c r="B10" i="3"/>
  <c r="B33" i="4"/>
  <c r="M4" i="4"/>
  <c r="E4" i="4"/>
  <c r="F4" i="4"/>
  <c r="G4" i="4"/>
  <c r="D4" i="4"/>
  <c r="D3" i="4"/>
  <c r="D6" i="4"/>
  <c r="D7" i="4"/>
  <c r="D13" i="4"/>
  <c r="E3" i="4"/>
  <c r="E6" i="4"/>
  <c r="E7" i="4"/>
  <c r="E13" i="4"/>
  <c r="F3" i="4"/>
  <c r="F6" i="4"/>
  <c r="F7" i="4"/>
  <c r="F13" i="4"/>
  <c r="G3" i="4"/>
  <c r="G6" i="4"/>
  <c r="G7" i="4"/>
  <c r="G13" i="4"/>
  <c r="H4" i="4"/>
  <c r="H3" i="4"/>
  <c r="H6" i="4"/>
  <c r="H7" i="4"/>
  <c r="H13" i="4"/>
  <c r="I4" i="4"/>
  <c r="I3" i="4"/>
  <c r="I6" i="4"/>
  <c r="I7" i="4"/>
  <c r="I13" i="4"/>
  <c r="J4" i="4"/>
  <c r="J3" i="4"/>
  <c r="J6" i="4"/>
  <c r="J7" i="4"/>
  <c r="J13" i="4"/>
  <c r="K4" i="4"/>
  <c r="K3" i="4"/>
  <c r="K6" i="4"/>
  <c r="K7" i="4"/>
  <c r="K13" i="4"/>
  <c r="L4" i="4"/>
  <c r="L3" i="4"/>
  <c r="L6" i="4"/>
  <c r="L7" i="4"/>
  <c r="L13" i="4"/>
  <c r="C13" i="4"/>
  <c r="B6" i="4"/>
  <c r="B11" i="4"/>
  <c r="C7" i="4"/>
  <c r="C14" i="4"/>
  <c r="B3" i="4"/>
  <c r="C5" i="4"/>
  <c r="D5" i="4"/>
  <c r="E5" i="4"/>
  <c r="F5" i="4"/>
  <c r="G5" i="4"/>
  <c r="H5" i="4"/>
  <c r="I5" i="4"/>
  <c r="J5" i="4"/>
  <c r="K5" i="4"/>
  <c r="L5" i="4"/>
  <c r="M5" i="4"/>
  <c r="B5" i="4"/>
  <c r="C4" i="4"/>
  <c r="B13" i="4"/>
  <c r="B10" i="4"/>
  <c r="C11" i="4"/>
  <c r="C3" i="4"/>
  <c r="C6" i="4"/>
  <c r="C9" i="4"/>
  <c r="C10" i="4"/>
  <c r="C15" i="4"/>
  <c r="B9" i="4"/>
  <c r="B8" i="4"/>
  <c r="L14" i="4"/>
  <c r="L9" i="4"/>
  <c r="D10" i="4"/>
  <c r="E10" i="4"/>
  <c r="F10" i="4"/>
  <c r="G10" i="4"/>
  <c r="H10" i="4"/>
  <c r="I10" i="4"/>
  <c r="J10" i="4"/>
  <c r="K10" i="4"/>
  <c r="L10" i="4"/>
  <c r="D11" i="4"/>
  <c r="E11" i="4"/>
  <c r="F11" i="4"/>
  <c r="G11" i="4"/>
  <c r="H11" i="4"/>
  <c r="I11" i="4"/>
  <c r="J11" i="4"/>
  <c r="K11" i="4"/>
  <c r="L11" i="4"/>
  <c r="L15" i="4"/>
  <c r="K14" i="4"/>
  <c r="K9" i="4"/>
  <c r="K15" i="4"/>
  <c r="L16" i="4"/>
  <c r="M15" i="4"/>
  <c r="D14" i="4"/>
  <c r="D9" i="4"/>
  <c r="D15" i="4"/>
  <c r="B31" i="4"/>
  <c r="B30" i="4"/>
  <c r="B16" i="3"/>
  <c r="B22" i="3"/>
  <c r="B21" i="3"/>
  <c r="B20" i="3"/>
  <c r="B11" i="3"/>
  <c r="C11" i="3"/>
  <c r="C10" i="3"/>
  <c r="D11" i="3"/>
  <c r="D18" i="4"/>
  <c r="E18" i="4"/>
  <c r="F18" i="4"/>
  <c r="G18" i="4"/>
  <c r="H18" i="4"/>
  <c r="I18" i="4"/>
  <c r="J18" i="4"/>
  <c r="K18" i="4"/>
  <c r="L18" i="4"/>
  <c r="M18" i="4"/>
  <c r="C18" i="4"/>
  <c r="B24" i="4"/>
  <c r="C8" i="4"/>
  <c r="D8" i="4"/>
  <c r="E8" i="4"/>
  <c r="F8" i="4"/>
  <c r="G8" i="4"/>
  <c r="H8" i="4"/>
  <c r="I8" i="4"/>
  <c r="J8" i="4"/>
  <c r="K8" i="4"/>
  <c r="L8" i="4"/>
  <c r="M8" i="4"/>
  <c r="M3" i="4"/>
  <c r="M6" i="4"/>
  <c r="M9" i="4"/>
  <c r="E9" i="4"/>
  <c r="E14" i="4"/>
  <c r="E15" i="4"/>
  <c r="E16" i="4"/>
  <c r="F9" i="4"/>
  <c r="F14" i="4"/>
  <c r="F15" i="4"/>
  <c r="F16" i="4"/>
  <c r="G9" i="4"/>
  <c r="G14" i="4"/>
  <c r="G15" i="4"/>
  <c r="G16" i="4"/>
  <c r="H9" i="4"/>
  <c r="H14" i="4"/>
  <c r="H15" i="4"/>
  <c r="H16" i="4"/>
  <c r="I9" i="4"/>
  <c r="I14" i="4"/>
  <c r="I15" i="4"/>
  <c r="I16" i="4"/>
  <c r="J9" i="4"/>
  <c r="J14" i="4"/>
  <c r="J15" i="4"/>
  <c r="J16" i="4"/>
  <c r="K16" i="4"/>
  <c r="D16" i="4"/>
  <c r="B23" i="4"/>
  <c r="C23" i="2"/>
  <c r="D23" i="2"/>
  <c r="E23" i="2"/>
  <c r="F23" i="2"/>
  <c r="G23" i="2"/>
  <c r="B25" i="2"/>
  <c r="B25" i="4"/>
  <c r="L19" i="4"/>
  <c r="B26" i="4"/>
  <c r="D19" i="4"/>
  <c r="E19" i="4"/>
  <c r="F19" i="4"/>
  <c r="G19" i="4"/>
  <c r="H19" i="4"/>
  <c r="I19" i="4"/>
  <c r="J19" i="4"/>
  <c r="K19" i="4"/>
  <c r="C19" i="4"/>
  <c r="C20" i="4"/>
  <c r="D20" i="4"/>
  <c r="E20" i="4"/>
  <c r="F20" i="4"/>
  <c r="G20" i="4"/>
  <c r="H20" i="4"/>
  <c r="I20" i="4"/>
  <c r="J20" i="4"/>
  <c r="K20" i="4"/>
  <c r="L20" i="4"/>
  <c r="B27" i="4"/>
  <c r="B28" i="4"/>
  <c r="B29" i="4"/>
  <c r="B32" i="4"/>
  <c r="B34" i="4"/>
  <c r="B36" i="4"/>
  <c r="D12" i="4"/>
  <c r="E12" i="4"/>
  <c r="F12" i="4"/>
  <c r="G12" i="4"/>
  <c r="H12" i="4"/>
  <c r="I12" i="4"/>
  <c r="J12" i="4"/>
  <c r="K12" i="4"/>
  <c r="L12" i="4"/>
  <c r="C12" i="4"/>
  <c r="C25" i="2"/>
  <c r="D25" i="2"/>
  <c r="E25" i="2"/>
  <c r="F25" i="2"/>
  <c r="G25" i="2"/>
  <c r="B24" i="2"/>
  <c r="C24" i="2"/>
  <c r="D24" i="2"/>
  <c r="E24" i="2"/>
  <c r="F24" i="2"/>
  <c r="G24" i="2"/>
  <c r="G4" i="2"/>
  <c r="G5" i="2"/>
  <c r="G6" i="2"/>
  <c r="G7" i="2"/>
  <c r="G8" i="2"/>
  <c r="G3" i="2"/>
</calcChain>
</file>

<file path=xl/sharedStrings.xml><?xml version="1.0" encoding="utf-8"?>
<sst xmlns="http://schemas.openxmlformats.org/spreadsheetml/2006/main" count="125" uniqueCount="112">
  <si>
    <t>Revenues</t>
  </si>
  <si>
    <t>Operating Income (EBIT)</t>
  </si>
  <si>
    <t>Depreciation and Amortization</t>
  </si>
  <si>
    <t>Capital Expenditures</t>
  </si>
  <si>
    <t>Risk free rate</t>
  </si>
  <si>
    <t>Beta</t>
  </si>
  <si>
    <t>Credit rating</t>
  </si>
  <si>
    <t>Cost of Capital</t>
  </si>
  <si>
    <t>Equity</t>
  </si>
  <si>
    <t>Debt</t>
  </si>
  <si>
    <t>Free Cash Flow Calculation</t>
  </si>
  <si>
    <t>Revenue growth rate</t>
  </si>
  <si>
    <t xml:space="preserve">Operating Margin </t>
  </si>
  <si>
    <t>Tax Rate</t>
  </si>
  <si>
    <t>(1-t)*EBIT</t>
  </si>
  <si>
    <t xml:space="preserve">CapEx Growth </t>
  </si>
  <si>
    <t>Net Working Capital</t>
  </si>
  <si>
    <t>Change in Net Working Capital</t>
  </si>
  <si>
    <t>Free Cash Flow (FCF)</t>
  </si>
  <si>
    <t xml:space="preserve">FCF Growth </t>
  </si>
  <si>
    <t>Cumulated Discount Factor</t>
  </si>
  <si>
    <t>PV (FCF)</t>
  </si>
  <si>
    <t>Valuation Calculation</t>
  </si>
  <si>
    <t>Terminal Cash Flow</t>
  </si>
  <si>
    <t>Terminal Cost of Capital</t>
  </si>
  <si>
    <t>Terminal Value</t>
  </si>
  <si>
    <t>PV (Terminal Value)</t>
  </si>
  <si>
    <t>PV (10 Forecasted CF)</t>
  </si>
  <si>
    <t>PV</t>
  </si>
  <si>
    <t>Value of Operating Assets</t>
  </si>
  <si>
    <t xml:space="preserve">Cash </t>
  </si>
  <si>
    <t>Value of Equity</t>
  </si>
  <si>
    <t>Number of shares (in millions)</t>
  </si>
  <si>
    <t>Estimated Value per Share</t>
  </si>
  <si>
    <t>Market price per share</t>
  </si>
  <si>
    <t>Value as a percent of price</t>
  </si>
  <si>
    <t>Base Year</t>
  </si>
  <si>
    <t>Terminal year</t>
  </si>
  <si>
    <t xml:space="preserve">Operating Income Growth </t>
  </si>
  <si>
    <t>Credit Rating</t>
  </si>
  <si>
    <t>Closest credit rating in table</t>
  </si>
  <si>
    <t>Number corresponding to closest rating</t>
  </si>
  <si>
    <t>Estimated default spread</t>
  </si>
  <si>
    <t>Estimated cost of debt (pre-tax)</t>
  </si>
  <si>
    <t>Capital</t>
  </si>
  <si>
    <t>Weight in cost of capital</t>
  </si>
  <si>
    <t>Cost of component and, in italics, WACC</t>
  </si>
  <si>
    <t>Financial Statement Data (in millions)</t>
  </si>
  <si>
    <t xml:space="preserve">Revenue </t>
  </si>
  <si>
    <t xml:space="preserve">Capital Expenditures </t>
  </si>
  <si>
    <t xml:space="preserve">Total Current Assets </t>
  </si>
  <si>
    <t xml:space="preserve">Total Current Liabilities </t>
  </si>
  <si>
    <t>Average</t>
  </si>
  <si>
    <t xml:space="preserve">Book Value of Debt </t>
  </si>
  <si>
    <t>Market Data</t>
  </si>
  <si>
    <t>Calculations with Financial Statement Data</t>
  </si>
  <si>
    <t>Operating margin</t>
  </si>
  <si>
    <t>Assumptions</t>
  </si>
  <si>
    <t>Terminal revenue growth rate</t>
  </si>
  <si>
    <t>Equity premium</t>
  </si>
  <si>
    <t>Tax rate</t>
  </si>
  <si>
    <t>Operating income (EBIT)</t>
  </si>
  <si>
    <t xml:space="preserve">Depreciation and amortization </t>
  </si>
  <si>
    <t>Source and Comments</t>
  </si>
  <si>
    <t>Section</t>
  </si>
  <si>
    <t>Firm Name</t>
  </si>
  <si>
    <t>Net working capital (in millions)</t>
  </si>
  <si>
    <t xml:space="preserve">Cash, Cash equivalents, and marketable securities </t>
  </si>
  <si>
    <t>Bloomberg (DDIS), "Total Debt", Curr USD (MLN)</t>
  </si>
  <si>
    <t>Yahoo! Finance</t>
  </si>
  <si>
    <t>10 year government bonds from FRED (DGS10)</t>
  </si>
  <si>
    <t>Number</t>
  </si>
  <si>
    <t>Rating</t>
  </si>
  <si>
    <t>Spread</t>
  </si>
  <si>
    <t>D2/D</t>
  </si>
  <si>
    <t>Caa/CCC</t>
  </si>
  <si>
    <t>Ca2/CC</t>
  </si>
  <si>
    <t>C2/C</t>
  </si>
  <si>
    <t>B3/B-</t>
  </si>
  <si>
    <t>B2/B</t>
  </si>
  <si>
    <t>B1/B+</t>
  </si>
  <si>
    <t>Ba2/BB</t>
  </si>
  <si>
    <t>Ba1/BB+</t>
  </si>
  <si>
    <t>Baa2/BBB</t>
  </si>
  <si>
    <t>A3/A-</t>
  </si>
  <si>
    <t>A2/A</t>
  </si>
  <si>
    <t>A1/A+</t>
  </si>
  <si>
    <t>Aa2/AA</t>
  </si>
  <si>
    <t>Aaa/AAA</t>
  </si>
  <si>
    <t>Mapping of Credit Rating to Spread</t>
  </si>
  <si>
    <t>C</t>
  </si>
  <si>
    <t>Aa2 /AA+</t>
  </si>
  <si>
    <t>Bloomberg (BETA), "Adjusted BETA"</t>
  </si>
  <si>
    <t>Federal Reserve, US GDP growth rate estimates</t>
  </si>
  <si>
    <t>Gordon Wang, Carlos Pena</t>
  </si>
  <si>
    <t>gywang, cpena</t>
  </si>
  <si>
    <t>Student IDs</t>
  </si>
  <si>
    <t>Names</t>
  </si>
  <si>
    <t>Alphabet Inc. (NASDAQ: GOOGL)</t>
  </si>
  <si>
    <t>10-K</t>
  </si>
  <si>
    <t xml:space="preserve">10-K, Sum of Cash, Cash equivalents, and short-term marketable securities </t>
  </si>
  <si>
    <t>Bloomberg (CRPR) ,   (Moody's, S&amp;P)</t>
  </si>
  <si>
    <t>Nasdaq</t>
  </si>
  <si>
    <t xml:space="preserve"> Class A shares outstanding (in millions)</t>
  </si>
  <si>
    <t>Class C shares outstanding (in millions)</t>
  </si>
  <si>
    <t>Current market price per Class A share</t>
  </si>
  <si>
    <t>Current market price per Class C share</t>
  </si>
  <si>
    <t>Market Capitalization (in millions)</t>
  </si>
  <si>
    <t>10-K, Effective Tax Rate calculations</t>
  </si>
  <si>
    <t>Market Value (in millions USD)</t>
  </si>
  <si>
    <t>Book value of debt (in millions)</t>
  </si>
  <si>
    <t>Damodaran Implied ERP, in past month, using S&amp;P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</si>
</sst>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6" formatCode="0.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10" fontId="0" fillId="0" borderId="0" xfId="0" applyNumberFormat="1"/>
    <xf numFmtId="0" fontId="3" fillId="0" borderId="0" xfId="0" applyFont="1"/>
    <xf numFmtId="164" fontId="0" fillId="0" borderId="0" xfId="1" applyNumberFormat="1" applyFont="1"/>
    <xf numFmtId="165" fontId="0" fillId="0" borderId="0" xfId="0" applyNumberFormat="1"/>
    <xf numFmtId="0" fontId="0" fillId="0" borderId="1" xfId="0" applyBorder="1"/>
    <xf numFmtId="0" fontId="2" fillId="0" borderId="1" xfId="0" applyFont="1" applyBorder="1"/>
    <xf numFmtId="164" fontId="0" fillId="0" borderId="0" xfId="0" applyNumberFormat="1"/>
    <xf numFmtId="9" fontId="0" fillId="0" borderId="0" xfId="2" applyFont="1"/>
    <xf numFmtId="165" fontId="0" fillId="0" borderId="0" xfId="2" applyNumberFormat="1" applyFont="1"/>
    <xf numFmtId="10" fontId="0" fillId="0" borderId="0" xfId="2" applyNumberFormat="1" applyFont="1"/>
    <xf numFmtId="2" fontId="0" fillId="0" borderId="0" xfId="0" applyNumberFormat="1"/>
    <xf numFmtId="165" fontId="3" fillId="0" borderId="0" xfId="0" applyNumberFormat="1" applyFont="1"/>
    <xf numFmtId="165" fontId="3" fillId="0" borderId="0" xfId="2" applyNumberFormat="1" applyFont="1"/>
    <xf numFmtId="0" fontId="2" fillId="0" borderId="1" xfId="0" applyFont="1" applyBorder="1" applyAlignment="1">
      <alignment horizontal="right"/>
    </xf>
    <xf numFmtId="0" fontId="0" fillId="0" borderId="1" xfId="0" applyFont="1" applyBorder="1"/>
    <xf numFmtId="164" fontId="0" fillId="0" borderId="1" xfId="1" applyNumberFormat="1" applyFont="1" applyBorder="1"/>
    <xf numFmtId="10" fontId="0" fillId="0" borderId="1" xfId="0" applyNumberFormat="1" applyBorder="1"/>
    <xf numFmtId="0" fontId="0" fillId="0" borderId="1" xfId="0" applyBorder="1" applyAlignment="1">
      <alignment horizontal="right"/>
    </xf>
    <xf numFmtId="165" fontId="0" fillId="0" borderId="1" xfId="2" applyNumberFormat="1" applyFont="1" applyBorder="1"/>
    <xf numFmtId="165" fontId="0" fillId="0" borderId="1" xfId="0" applyNumberFormat="1" applyBorder="1"/>
    <xf numFmtId="0" fontId="2" fillId="0" borderId="4" xfId="0" applyFont="1" applyBorder="1"/>
    <xf numFmtId="0" fontId="0" fillId="0" borderId="4" xfId="0" applyBorder="1"/>
    <xf numFmtId="0" fontId="2" fillId="0" borderId="5" xfId="0" applyFont="1" applyBorder="1"/>
    <xf numFmtId="164" fontId="2" fillId="0" borderId="5" xfId="1" applyNumberFormat="1" applyFont="1" applyBorder="1"/>
    <xf numFmtId="164" fontId="2" fillId="0" borderId="5" xfId="0" applyNumberFormat="1" applyFont="1" applyBorder="1"/>
    <xf numFmtId="0" fontId="0" fillId="0" borderId="3" xfId="0" applyBorder="1"/>
    <xf numFmtId="0" fontId="2" fillId="0" borderId="6" xfId="0" applyFont="1" applyBorder="1"/>
    <xf numFmtId="0" fontId="0" fillId="0" borderId="9" xfId="0" applyBorder="1"/>
    <xf numFmtId="0" fontId="0" fillId="0" borderId="10" xfId="0" applyBorder="1"/>
    <xf numFmtId="164" fontId="0" fillId="0" borderId="7" xfId="1" applyNumberFormat="1" applyFont="1" applyBorder="1"/>
    <xf numFmtId="9" fontId="0" fillId="0" borderId="1" xfId="0" applyNumberFormat="1" applyBorder="1"/>
    <xf numFmtId="166" fontId="0" fillId="0" borderId="1" xfId="0" applyNumberFormat="1" applyBorder="1"/>
    <xf numFmtId="10" fontId="3" fillId="0" borderId="1" xfId="0" applyNumberFormat="1" applyFont="1" applyBorder="1"/>
    <xf numFmtId="0" fontId="0" fillId="0" borderId="11" xfId="0" applyBorder="1"/>
    <xf numFmtId="44" fontId="0" fillId="0" borderId="1" xfId="1" applyNumberFormat="1" applyFont="1" applyBorder="1"/>
    <xf numFmtId="0" fontId="0" fillId="0" borderId="1" xfId="0" applyFont="1" applyFill="1" applyBorder="1"/>
    <xf numFmtId="0" fontId="0" fillId="0" borderId="8" xfId="0" applyBorder="1"/>
    <xf numFmtId="164" fontId="0" fillId="0" borderId="9" xfId="1" applyNumberFormat="1" applyFont="1" applyBorder="1"/>
    <xf numFmtId="10" fontId="0" fillId="0" borderId="9" xfId="0" applyNumberFormat="1" applyBorder="1"/>
    <xf numFmtId="0" fontId="2" fillId="0" borderId="12" xfId="0" applyFont="1" applyBorder="1"/>
    <xf numFmtId="164" fontId="0" fillId="0" borderId="13" xfId="1" applyNumberFormat="1" applyFont="1" applyBorder="1"/>
    <xf numFmtId="0" fontId="2" fillId="0" borderId="14" xfId="0" applyFont="1" applyBorder="1"/>
    <xf numFmtId="164" fontId="0" fillId="0" borderId="15" xfId="1" applyNumberFormat="1" applyFont="1" applyBorder="1"/>
    <xf numFmtId="0" fontId="2" fillId="0" borderId="16" xfId="0" applyFont="1" applyBorder="1"/>
    <xf numFmtId="44" fontId="0" fillId="0" borderId="17" xfId="1" applyFont="1" applyBorder="1"/>
    <xf numFmtId="0" fontId="2" fillId="0" borderId="18" xfId="0" applyFont="1" applyBorder="1"/>
    <xf numFmtId="9" fontId="0" fillId="0" borderId="19" xfId="2" applyFont="1" applyBorder="1"/>
    <xf numFmtId="44" fontId="0" fillId="0" borderId="1" xfId="1" applyFont="1" applyBorder="1"/>
    <xf numFmtId="0" fontId="0" fillId="0" borderId="1" xfId="0" applyFont="1" applyFill="1" applyBorder="1" applyAlignment="1">
      <alignment horizontal="center"/>
    </xf>
    <xf numFmtId="9" fontId="0" fillId="0" borderId="1" xfId="0" applyNumberFormat="1" applyFont="1" applyFill="1" applyBorder="1" applyAlignment="1">
      <alignment horizontal="center"/>
    </xf>
    <xf numFmtId="10" fontId="0" fillId="0" borderId="1" xfId="0" applyNumberFormat="1" applyFont="1" applyFill="1" applyBorder="1" applyAlignment="1">
      <alignment horizontal="center"/>
    </xf>
    <xf numFmtId="44" fontId="0" fillId="0" borderId="0" xfId="0" applyNumberFormat="1"/>
    <xf numFmtId="0" fontId="0" fillId="0" borderId="1" xfId="1" applyNumberFormat="1" applyFont="1" applyBorder="1"/>
    <xf numFmtId="10" fontId="0" fillId="0" borderId="1" xfId="2" applyNumberFormat="1" applyFont="1" applyBorder="1"/>
    <xf numFmtId="10" fontId="3" fillId="0" borderId="0" xfId="2" applyNumberFormat="1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E6" sqref="E6"/>
    </sheetView>
  </sheetViews>
  <sheetFormatPr defaultColWidth="10.6640625" defaultRowHeight="15.5" x14ac:dyDescent="0.35"/>
  <sheetData>
    <row r="1" spans="1:2" x14ac:dyDescent="0.35">
      <c r="A1" s="1" t="s">
        <v>97</v>
      </c>
      <c r="B1" t="s">
        <v>94</v>
      </c>
    </row>
    <row r="2" spans="1:2" x14ac:dyDescent="0.35">
      <c r="A2" s="1" t="s">
        <v>96</v>
      </c>
      <c r="B2" t="s">
        <v>95</v>
      </c>
    </row>
    <row r="3" spans="1:2" x14ac:dyDescent="0.35">
      <c r="A3" s="1" t="s">
        <v>64</v>
      </c>
      <c r="B3" t="s">
        <v>90</v>
      </c>
    </row>
    <row r="4" spans="1:2" x14ac:dyDescent="0.35">
      <c r="A4" s="1" t="s">
        <v>65</v>
      </c>
      <c r="B4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30"/>
  <sheetViews>
    <sheetView topLeftCell="A22" workbookViewId="0">
      <selection activeCell="G30" sqref="G30"/>
    </sheetView>
  </sheetViews>
  <sheetFormatPr defaultColWidth="10.6640625" defaultRowHeight="15.5" x14ac:dyDescent="0.35"/>
  <cols>
    <col min="1" max="1" width="41.1640625" customWidth="1"/>
    <col min="2" max="2" width="9.6640625" customWidth="1"/>
    <col min="3" max="4" width="9.5" customWidth="1"/>
    <col min="5" max="5" width="9.9140625" customWidth="1"/>
    <col min="6" max="6" width="12" customWidth="1"/>
    <col min="7" max="7" width="9.9140625" customWidth="1"/>
    <col min="8" max="8" width="3.75" customWidth="1"/>
    <col min="9" max="9" width="63.33203125" customWidth="1"/>
  </cols>
  <sheetData>
    <row r="2" spans="1:9" x14ac:dyDescent="0.35">
      <c r="A2" s="7" t="s">
        <v>47</v>
      </c>
      <c r="B2" s="7">
        <v>2014</v>
      </c>
      <c r="C2" s="7">
        <v>2015</v>
      </c>
      <c r="D2" s="7">
        <v>2016</v>
      </c>
      <c r="E2" s="7">
        <v>2017</v>
      </c>
      <c r="F2" s="7">
        <v>2018</v>
      </c>
      <c r="G2" s="15" t="s">
        <v>52</v>
      </c>
      <c r="H2" s="6"/>
      <c r="I2" s="6" t="s">
        <v>63</v>
      </c>
    </row>
    <row r="3" spans="1:9" x14ac:dyDescent="0.35">
      <c r="A3" s="16" t="s">
        <v>48</v>
      </c>
      <c r="B3" s="17">
        <v>66001</v>
      </c>
      <c r="C3" s="17">
        <v>74989</v>
      </c>
      <c r="D3" s="17">
        <v>90272</v>
      </c>
      <c r="E3" s="17">
        <v>110855</v>
      </c>
      <c r="F3" s="17">
        <v>136819</v>
      </c>
      <c r="G3" s="17">
        <f>AVERAGE(B3:F3)</f>
        <v>95787.199999999997</v>
      </c>
      <c r="H3" s="6"/>
      <c r="I3" s="6" t="s">
        <v>99</v>
      </c>
    </row>
    <row r="4" spans="1:9" x14ac:dyDescent="0.35">
      <c r="A4" s="16" t="s">
        <v>61</v>
      </c>
      <c r="B4" s="17">
        <v>16877</v>
      </c>
      <c r="C4" s="17">
        <v>19360</v>
      </c>
      <c r="D4" s="17">
        <v>23716</v>
      </c>
      <c r="E4" s="17">
        <v>28882</v>
      </c>
      <c r="F4" s="17">
        <v>31392</v>
      </c>
      <c r="G4" s="17">
        <f t="shared" ref="G4:G8" si="0">AVERAGE(B4:F4)</f>
        <v>24045.4</v>
      </c>
      <c r="H4" s="6"/>
      <c r="I4" s="6" t="s">
        <v>99</v>
      </c>
    </row>
    <row r="5" spans="1:9" x14ac:dyDescent="0.35">
      <c r="A5" s="16" t="s">
        <v>62</v>
      </c>
      <c r="B5" s="17">
        <v>4979</v>
      </c>
      <c r="C5" s="17">
        <v>5063</v>
      </c>
      <c r="D5" s="17">
        <v>6144</v>
      </c>
      <c r="E5" s="17">
        <v>6915</v>
      </c>
      <c r="F5" s="17">
        <v>9035</v>
      </c>
      <c r="G5" s="17">
        <f t="shared" si="0"/>
        <v>6427.2</v>
      </c>
      <c r="H5" s="6"/>
      <c r="I5" s="6" t="s">
        <v>99</v>
      </c>
    </row>
    <row r="6" spans="1:9" x14ac:dyDescent="0.35">
      <c r="A6" s="16" t="s">
        <v>49</v>
      </c>
      <c r="B6" s="17">
        <v>10959</v>
      </c>
      <c r="C6" s="17">
        <v>9950</v>
      </c>
      <c r="D6" s="17">
        <v>10212</v>
      </c>
      <c r="E6" s="17">
        <v>13184</v>
      </c>
      <c r="F6" s="17">
        <v>25139</v>
      </c>
      <c r="G6" s="17">
        <f t="shared" si="0"/>
        <v>13888.8</v>
      </c>
      <c r="H6" s="6"/>
      <c r="I6" s="6" t="s">
        <v>99</v>
      </c>
    </row>
    <row r="7" spans="1:9" x14ac:dyDescent="0.35">
      <c r="A7" s="16" t="s">
        <v>50</v>
      </c>
      <c r="B7" s="17">
        <v>78656</v>
      </c>
      <c r="C7" s="17">
        <v>90114</v>
      </c>
      <c r="D7" s="17">
        <v>105408</v>
      </c>
      <c r="E7" s="17">
        <v>124308</v>
      </c>
      <c r="F7" s="17">
        <v>135676</v>
      </c>
      <c r="G7" s="17">
        <f t="shared" si="0"/>
        <v>106832.4</v>
      </c>
      <c r="H7" s="6"/>
      <c r="I7" s="6" t="s">
        <v>99</v>
      </c>
    </row>
    <row r="8" spans="1:9" x14ac:dyDescent="0.35">
      <c r="A8" s="16" t="s">
        <v>51</v>
      </c>
      <c r="B8" s="17">
        <v>16779</v>
      </c>
      <c r="C8" s="17">
        <v>19310</v>
      </c>
      <c r="D8" s="17">
        <v>16756</v>
      </c>
      <c r="E8" s="17">
        <v>24183</v>
      </c>
      <c r="F8" s="17">
        <v>34620</v>
      </c>
      <c r="G8" s="17">
        <f t="shared" si="0"/>
        <v>22329.599999999999</v>
      </c>
      <c r="H8" s="6"/>
      <c r="I8" s="6" t="s">
        <v>99</v>
      </c>
    </row>
    <row r="9" spans="1:9" x14ac:dyDescent="0.35">
      <c r="A9" s="16" t="s">
        <v>53</v>
      </c>
      <c r="B9" s="17"/>
      <c r="C9" s="17"/>
      <c r="D9" s="17"/>
      <c r="E9" s="17"/>
      <c r="F9" s="17">
        <v>4000</v>
      </c>
      <c r="G9" s="17"/>
      <c r="H9" s="6"/>
      <c r="I9" s="6" t="s">
        <v>68</v>
      </c>
    </row>
    <row r="10" spans="1:9" x14ac:dyDescent="0.35">
      <c r="A10" s="16" t="s">
        <v>67</v>
      </c>
      <c r="B10" s="17"/>
      <c r="C10" s="17"/>
      <c r="D10" s="17"/>
      <c r="E10" s="17"/>
      <c r="F10" s="17">
        <v>109140</v>
      </c>
      <c r="G10" s="17"/>
      <c r="H10" s="6"/>
      <c r="I10" s="6" t="s">
        <v>100</v>
      </c>
    </row>
    <row r="11" spans="1:9" x14ac:dyDescent="0.35">
      <c r="A11" s="16"/>
      <c r="B11" s="6"/>
      <c r="C11" s="6"/>
      <c r="D11" s="6"/>
      <c r="E11" s="6"/>
      <c r="F11" s="6"/>
      <c r="G11" s="6"/>
      <c r="H11" s="6"/>
      <c r="I11" s="6"/>
    </row>
    <row r="12" spans="1:9" x14ac:dyDescent="0.35">
      <c r="A12" s="7" t="s">
        <v>54</v>
      </c>
      <c r="B12" s="6"/>
      <c r="C12" s="6"/>
      <c r="D12" s="6"/>
      <c r="E12" s="6"/>
      <c r="F12" s="6"/>
      <c r="G12" s="6"/>
      <c r="H12" s="6"/>
      <c r="I12" s="6"/>
    </row>
    <row r="13" spans="1:9" x14ac:dyDescent="0.35">
      <c r="A13" s="16" t="s">
        <v>103</v>
      </c>
      <c r="B13" s="6"/>
      <c r="C13" s="6"/>
      <c r="D13" s="6"/>
      <c r="E13" s="6"/>
      <c r="F13" s="6">
        <v>299.36</v>
      </c>
      <c r="G13" s="6"/>
      <c r="H13" s="6"/>
      <c r="I13" s="6" t="s">
        <v>102</v>
      </c>
    </row>
    <row r="14" spans="1:9" x14ac:dyDescent="0.35">
      <c r="A14" s="16" t="s">
        <v>105</v>
      </c>
      <c r="B14" s="36"/>
      <c r="C14" s="6"/>
      <c r="D14" s="6"/>
      <c r="E14" s="6"/>
      <c r="F14" s="36">
        <v>1240.1400000000001</v>
      </c>
      <c r="G14" s="6"/>
      <c r="H14" s="6"/>
      <c r="I14" s="6" t="s">
        <v>69</v>
      </c>
    </row>
    <row r="15" spans="1:9" x14ac:dyDescent="0.35">
      <c r="A15" s="16" t="s">
        <v>104</v>
      </c>
      <c r="B15" s="36"/>
      <c r="C15" s="6"/>
      <c r="D15" s="6"/>
      <c r="E15" s="6"/>
      <c r="F15" s="54">
        <v>349.29</v>
      </c>
      <c r="G15" s="6"/>
      <c r="H15" s="6"/>
      <c r="I15" s="6" t="s">
        <v>102</v>
      </c>
    </row>
    <row r="16" spans="1:9" x14ac:dyDescent="0.35">
      <c r="A16" s="16" t="s">
        <v>106</v>
      </c>
      <c r="B16" s="36"/>
      <c r="C16" s="6"/>
      <c r="D16" s="6"/>
      <c r="E16" s="6"/>
      <c r="F16" s="36">
        <v>1236.3399999999999</v>
      </c>
      <c r="G16" s="6"/>
      <c r="H16" s="6"/>
      <c r="I16" s="6" t="s">
        <v>69</v>
      </c>
    </row>
    <row r="17" spans="1:9" x14ac:dyDescent="0.35">
      <c r="A17" s="16" t="s">
        <v>107</v>
      </c>
      <c r="B17" s="36"/>
      <c r="C17" s="6"/>
      <c r="D17" s="6"/>
      <c r="E17" s="6"/>
      <c r="F17" s="49">
        <v>859490</v>
      </c>
      <c r="G17" s="6"/>
      <c r="H17" s="6"/>
      <c r="I17" s="6" t="s">
        <v>69</v>
      </c>
    </row>
    <row r="18" spans="1:9" x14ac:dyDescent="0.35">
      <c r="A18" s="16" t="s">
        <v>4</v>
      </c>
      <c r="B18" s="18"/>
      <c r="C18" s="6"/>
      <c r="D18" s="6"/>
      <c r="E18" s="6"/>
      <c r="F18" s="18">
        <v>2.5999999999999999E-2</v>
      </c>
      <c r="G18" s="6"/>
      <c r="H18" s="6"/>
      <c r="I18" s="6" t="s">
        <v>70</v>
      </c>
    </row>
    <row r="19" spans="1:9" x14ac:dyDescent="0.35">
      <c r="A19" s="16" t="s">
        <v>5</v>
      </c>
      <c r="B19" s="6"/>
      <c r="C19" s="6"/>
      <c r="D19" s="6"/>
      <c r="E19" s="6"/>
      <c r="F19" s="6">
        <v>1.131</v>
      </c>
      <c r="G19" s="6"/>
      <c r="H19" s="6"/>
      <c r="I19" s="6" t="s">
        <v>92</v>
      </c>
    </row>
    <row r="20" spans="1:9" x14ac:dyDescent="0.35">
      <c r="A20" s="16" t="s">
        <v>6</v>
      </c>
      <c r="B20" s="19"/>
      <c r="C20" s="6"/>
      <c r="D20" s="6"/>
      <c r="E20" s="6"/>
      <c r="F20" s="19" t="s">
        <v>91</v>
      </c>
      <c r="G20" s="6"/>
      <c r="H20" s="6"/>
      <c r="I20" s="6" t="s">
        <v>101</v>
      </c>
    </row>
    <row r="21" spans="1:9" x14ac:dyDescent="0.35">
      <c r="A21" s="6"/>
      <c r="B21" s="6"/>
      <c r="C21" s="6"/>
      <c r="D21" s="6"/>
      <c r="E21" s="6"/>
      <c r="F21" s="6"/>
      <c r="G21" s="6"/>
      <c r="H21" s="6"/>
      <c r="I21" s="6"/>
    </row>
    <row r="22" spans="1:9" x14ac:dyDescent="0.35">
      <c r="A22" s="7" t="s">
        <v>55</v>
      </c>
      <c r="B22" s="6"/>
      <c r="C22" s="6"/>
      <c r="D22" s="6"/>
      <c r="E22" s="6"/>
      <c r="F22" s="6"/>
      <c r="G22" s="6"/>
      <c r="H22" s="6"/>
      <c r="I22" s="6"/>
    </row>
    <row r="23" spans="1:9" x14ac:dyDescent="0.35">
      <c r="A23" s="6" t="s">
        <v>11</v>
      </c>
      <c r="B23" s="6"/>
      <c r="C23" s="20">
        <f>(C3-B3)/B3</f>
        <v>0.13617975485219921</v>
      </c>
      <c r="D23" s="20">
        <f t="shared" ref="D23:F23" si="1">(D3-C3)/C3</f>
        <v>0.20380322447292271</v>
      </c>
      <c r="E23" s="20">
        <f t="shared" si="1"/>
        <v>0.22801090038993266</v>
      </c>
      <c r="F23" s="20">
        <f t="shared" si="1"/>
        <v>0.23421586757475982</v>
      </c>
      <c r="G23" s="20">
        <f>AVERAGE(C23:F23)</f>
        <v>0.20055243682245361</v>
      </c>
      <c r="H23" s="6"/>
      <c r="I23" s="6"/>
    </row>
    <row r="24" spans="1:9" x14ac:dyDescent="0.35">
      <c r="A24" s="6" t="s">
        <v>56</v>
      </c>
      <c r="B24" s="20">
        <f>B4/B3</f>
        <v>0.2557082468447448</v>
      </c>
      <c r="C24" s="20">
        <f t="shared" ref="C24:F24" si="2">C4/C3</f>
        <v>0.25817119844243824</v>
      </c>
      <c r="D24" s="20">
        <f t="shared" si="2"/>
        <v>0.26271712158808935</v>
      </c>
      <c r="E24" s="20">
        <f t="shared" si="2"/>
        <v>0.26053854133778359</v>
      </c>
      <c r="F24" s="20">
        <f t="shared" si="2"/>
        <v>0.22944181729145804</v>
      </c>
      <c r="G24" s="21">
        <f>AVERAGE(B24:F24)</f>
        <v>0.25331538510090279</v>
      </c>
      <c r="H24" s="6"/>
      <c r="I24" s="6"/>
    </row>
    <row r="25" spans="1:9" x14ac:dyDescent="0.35">
      <c r="A25" s="6" t="s">
        <v>66</v>
      </c>
      <c r="B25" s="17">
        <f>B7-B8</f>
        <v>61877</v>
      </c>
      <c r="C25" s="17">
        <f t="shared" ref="C25:F25" si="3">C7-C8</f>
        <v>70804</v>
      </c>
      <c r="D25" s="17">
        <f t="shared" si="3"/>
        <v>88652</v>
      </c>
      <c r="E25" s="17">
        <f t="shared" si="3"/>
        <v>100125</v>
      </c>
      <c r="F25" s="17">
        <f t="shared" si="3"/>
        <v>101056</v>
      </c>
      <c r="G25" s="17">
        <f>AVERAGE(B25:F25)</f>
        <v>84502.8</v>
      </c>
      <c r="H25" s="6"/>
      <c r="I25" s="6"/>
    </row>
    <row r="26" spans="1:9" x14ac:dyDescent="0.35">
      <c r="A26" s="6"/>
      <c r="B26" s="6"/>
      <c r="C26" s="6"/>
      <c r="D26" s="6"/>
      <c r="E26" s="6"/>
      <c r="F26" s="6"/>
      <c r="G26" s="6"/>
      <c r="H26" s="6"/>
      <c r="I26" s="6"/>
    </row>
    <row r="27" spans="1:9" x14ac:dyDescent="0.35">
      <c r="A27" s="7" t="s">
        <v>57</v>
      </c>
      <c r="B27" s="6"/>
      <c r="C27" s="6"/>
      <c r="D27" s="6"/>
      <c r="E27" s="6"/>
      <c r="F27" s="6"/>
      <c r="G27" s="6"/>
      <c r="H27" s="6"/>
      <c r="I27" s="6"/>
    </row>
    <row r="28" spans="1:9" x14ac:dyDescent="0.35">
      <c r="A28" s="6" t="s">
        <v>58</v>
      </c>
      <c r="B28" s="6"/>
      <c r="C28" s="6"/>
      <c r="D28" s="6"/>
      <c r="E28" s="6"/>
      <c r="F28" s="21">
        <v>0.03</v>
      </c>
      <c r="G28" s="6"/>
      <c r="H28" s="6"/>
      <c r="I28" s="6" t="s">
        <v>93</v>
      </c>
    </row>
    <row r="29" spans="1:9" x14ac:dyDescent="0.35">
      <c r="A29" s="6" t="s">
        <v>60</v>
      </c>
      <c r="B29" s="18">
        <v>0.193</v>
      </c>
      <c r="C29" s="18">
        <v>0.1681</v>
      </c>
      <c r="D29" s="18">
        <v>0.19350000000000001</v>
      </c>
      <c r="E29" s="18">
        <v>0.53439999999999999</v>
      </c>
      <c r="F29" s="21">
        <v>0.1196</v>
      </c>
      <c r="G29" s="55">
        <f>AVERAGE(B29,C29,D29,E29,F29)</f>
        <v>0.24171999999999999</v>
      </c>
      <c r="H29" s="6"/>
      <c r="I29" s="6" t="s">
        <v>108</v>
      </c>
    </row>
    <row r="30" spans="1:9" x14ac:dyDescent="0.35">
      <c r="A30" s="6" t="s">
        <v>59</v>
      </c>
      <c r="B30" s="6"/>
      <c r="C30" s="6"/>
      <c r="D30" s="6"/>
      <c r="E30" s="6"/>
      <c r="F30" s="18">
        <v>4.9799999999999997E-2</v>
      </c>
      <c r="G30" s="6"/>
      <c r="H30" s="6"/>
      <c r="I30" s="6" t="s">
        <v>111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7"/>
  <sheetViews>
    <sheetView topLeftCell="A13" workbookViewId="0">
      <selection activeCell="D17" sqref="D17"/>
    </sheetView>
  </sheetViews>
  <sheetFormatPr defaultColWidth="10.6640625" defaultRowHeight="15.5" x14ac:dyDescent="0.35"/>
  <cols>
    <col min="1" max="1" width="34.5" customWidth="1"/>
    <col min="2" max="2" width="12" customWidth="1"/>
    <col min="3" max="3" width="12.83203125" customWidth="1"/>
    <col min="4" max="4" width="15" customWidth="1"/>
    <col min="6" max="6" width="11.5" customWidth="1"/>
    <col min="7" max="7" width="12.6640625" customWidth="1"/>
  </cols>
  <sheetData>
    <row r="1" spans="1:8" x14ac:dyDescent="0.35">
      <c r="A1" s="6"/>
    </row>
    <row r="2" spans="1:8" x14ac:dyDescent="0.35">
      <c r="A2" s="6"/>
    </row>
    <row r="3" spans="1:8" x14ac:dyDescent="0.35">
      <c r="A3" s="6"/>
    </row>
    <row r="4" spans="1:8" x14ac:dyDescent="0.35">
      <c r="A4" s="6"/>
    </row>
    <row r="5" spans="1:8" x14ac:dyDescent="0.35">
      <c r="A5" s="6"/>
    </row>
    <row r="6" spans="1:8" x14ac:dyDescent="0.35">
      <c r="A6" s="6"/>
    </row>
    <row r="7" spans="1:8" x14ac:dyDescent="0.35">
      <c r="A7" s="30"/>
    </row>
    <row r="8" spans="1:8" x14ac:dyDescent="0.35">
      <c r="A8" s="30"/>
      <c r="B8" s="27" t="s">
        <v>8</v>
      </c>
      <c r="C8" s="6" t="s">
        <v>9</v>
      </c>
      <c r="D8" s="6" t="s">
        <v>44</v>
      </c>
    </row>
    <row r="9" spans="1:8" x14ac:dyDescent="0.35">
      <c r="A9" s="35" t="s">
        <v>109</v>
      </c>
      <c r="B9" s="49">
        <f>859490</f>
        <v>859490</v>
      </c>
      <c r="C9" s="49">
        <v>4000</v>
      </c>
      <c r="D9" s="49">
        <f>SUM(B9,C9)</f>
        <v>863490</v>
      </c>
    </row>
    <row r="10" spans="1:8" x14ac:dyDescent="0.35">
      <c r="A10" s="6" t="s">
        <v>45</v>
      </c>
      <c r="B10" s="18">
        <f>B9/D9</f>
        <v>0.99536763598883604</v>
      </c>
      <c r="C10" s="18">
        <f>C9/D9</f>
        <v>4.6323640111639976E-3</v>
      </c>
      <c r="D10" s="32">
        <v>1</v>
      </c>
    </row>
    <row r="11" spans="1:8" x14ac:dyDescent="0.35">
      <c r="A11" s="6" t="s">
        <v>46</v>
      </c>
      <c r="B11" s="18">
        <f>'Model Inputs'!F18+'Model Inputs'!F19*'Model Inputs'!F30</f>
        <v>8.2323800000000003E-2</v>
      </c>
      <c r="C11" s="33">
        <f>B20*(1-'Model Inputs'!F29)</f>
        <v>3.1694399999999998E-2</v>
      </c>
      <c r="D11" s="34">
        <f>B10*B11+C10*C11</f>
        <v>8.2089266189533175E-2</v>
      </c>
      <c r="F11" s="59" t="s">
        <v>89</v>
      </c>
      <c r="G11" s="59"/>
      <c r="H11" s="59"/>
    </row>
    <row r="12" spans="1:8" x14ac:dyDescent="0.35">
      <c r="F12" s="37" t="s">
        <v>71</v>
      </c>
      <c r="G12" s="37" t="s">
        <v>72</v>
      </c>
      <c r="H12" s="37" t="s">
        <v>73</v>
      </c>
    </row>
    <row r="13" spans="1:8" x14ac:dyDescent="0.35">
      <c r="B13" s="2"/>
      <c r="F13" s="50">
        <v>1</v>
      </c>
      <c r="G13" s="50" t="s">
        <v>74</v>
      </c>
      <c r="H13" s="51">
        <v>0.2</v>
      </c>
    </row>
    <row r="14" spans="1:8" x14ac:dyDescent="0.35">
      <c r="F14" s="50">
        <v>2</v>
      </c>
      <c r="G14" s="50" t="s">
        <v>75</v>
      </c>
      <c r="H14" s="51">
        <v>0.16</v>
      </c>
    </row>
    <row r="15" spans="1:8" x14ac:dyDescent="0.35">
      <c r="A15" s="57" t="s">
        <v>7</v>
      </c>
      <c r="B15" s="58"/>
      <c r="F15" s="50">
        <v>3</v>
      </c>
      <c r="G15" s="50" t="s">
        <v>76</v>
      </c>
      <c r="H15" s="51">
        <v>0.12</v>
      </c>
    </row>
    <row r="16" spans="1:8" x14ac:dyDescent="0.35">
      <c r="A16" s="6" t="s">
        <v>39</v>
      </c>
      <c r="B16" s="19" t="str">
        <f>'Model Inputs'!F20</f>
        <v>Aa2 /AA+</v>
      </c>
      <c r="F16" s="50">
        <v>4</v>
      </c>
      <c r="G16" s="50" t="s">
        <v>77</v>
      </c>
      <c r="H16" s="51">
        <v>0.09</v>
      </c>
    </row>
    <row r="17" spans="1:8" x14ac:dyDescent="0.35">
      <c r="A17" s="6" t="s">
        <v>40</v>
      </c>
      <c r="B17" s="19" t="s">
        <v>87</v>
      </c>
      <c r="F17" s="50">
        <v>5</v>
      </c>
      <c r="G17" s="50" t="s">
        <v>78</v>
      </c>
      <c r="H17" s="52">
        <v>7.4999999999999997E-2</v>
      </c>
    </row>
    <row r="18" spans="1:8" x14ac:dyDescent="0.35">
      <c r="A18" s="6" t="s">
        <v>41</v>
      </c>
      <c r="B18" s="19">
        <v>14</v>
      </c>
      <c r="F18" s="50">
        <v>6</v>
      </c>
      <c r="G18" s="50" t="s">
        <v>79</v>
      </c>
      <c r="H18" s="52">
        <v>6.5000000000000002E-2</v>
      </c>
    </row>
    <row r="19" spans="1:8" x14ac:dyDescent="0.35">
      <c r="A19" s="6" t="s">
        <v>42</v>
      </c>
      <c r="B19" s="18">
        <v>0.01</v>
      </c>
      <c r="F19" s="50">
        <v>7</v>
      </c>
      <c r="G19" s="50" t="s">
        <v>80</v>
      </c>
      <c r="H19" s="52">
        <v>5.5E-2</v>
      </c>
    </row>
    <row r="20" spans="1:8" x14ac:dyDescent="0.35">
      <c r="A20" s="6" t="s">
        <v>43</v>
      </c>
      <c r="B20" s="18">
        <f>'Model Inputs'!F18+B19</f>
        <v>3.5999999999999997E-2</v>
      </c>
      <c r="F20" s="50">
        <v>8</v>
      </c>
      <c r="G20" s="50" t="s">
        <v>81</v>
      </c>
      <c r="H20" s="52">
        <v>4.2500000000000003E-2</v>
      </c>
    </row>
    <row r="21" spans="1:8" x14ac:dyDescent="0.35">
      <c r="A21" s="6" t="s">
        <v>110</v>
      </c>
      <c r="B21" s="17">
        <f>'Model Inputs'!F9</f>
        <v>4000</v>
      </c>
      <c r="F21" s="50">
        <v>9</v>
      </c>
      <c r="G21" s="50" t="s">
        <v>82</v>
      </c>
      <c r="H21" s="52">
        <v>3.2500000000000001E-2</v>
      </c>
    </row>
    <row r="22" spans="1:8" x14ac:dyDescent="0.35">
      <c r="A22" s="6" t="s">
        <v>5</v>
      </c>
      <c r="B22" s="6">
        <f>'Model Inputs'!F19</f>
        <v>1.131</v>
      </c>
      <c r="F22" s="50">
        <v>10</v>
      </c>
      <c r="G22" s="50" t="s">
        <v>83</v>
      </c>
      <c r="H22" s="52">
        <v>2.2499999999999999E-2</v>
      </c>
    </row>
    <row r="23" spans="1:8" x14ac:dyDescent="0.35">
      <c r="B23" s="10"/>
      <c r="F23" s="50">
        <v>11</v>
      </c>
      <c r="G23" s="50" t="s">
        <v>84</v>
      </c>
      <c r="H23" s="52">
        <v>1.7500000000000002E-2</v>
      </c>
    </row>
    <row r="24" spans="1:8" x14ac:dyDescent="0.35">
      <c r="B24" s="11"/>
      <c r="F24" s="50">
        <v>12</v>
      </c>
      <c r="G24" s="50" t="s">
        <v>85</v>
      </c>
      <c r="H24" s="52">
        <v>1.2500000000000001E-2</v>
      </c>
    </row>
    <row r="25" spans="1:8" x14ac:dyDescent="0.35">
      <c r="B25" s="9"/>
      <c r="F25" s="50">
        <v>13</v>
      </c>
      <c r="G25" s="50" t="s">
        <v>86</v>
      </c>
      <c r="H25" s="52">
        <v>1.0999999999999999E-2</v>
      </c>
    </row>
    <row r="26" spans="1:8" x14ac:dyDescent="0.35">
      <c r="F26" s="50">
        <v>14</v>
      </c>
      <c r="G26" s="50" t="s">
        <v>87</v>
      </c>
      <c r="H26" s="51">
        <v>0.01</v>
      </c>
    </row>
    <row r="27" spans="1:8" x14ac:dyDescent="0.35">
      <c r="F27" s="50">
        <v>15</v>
      </c>
      <c r="G27" s="50" t="s">
        <v>88</v>
      </c>
      <c r="H27" s="52">
        <v>7.4999999999999997E-3</v>
      </c>
    </row>
  </sheetData>
  <mergeCells count="2">
    <mergeCell ref="A15:B15"/>
    <mergeCell ref="F11:H11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6"/>
  <sheetViews>
    <sheetView tabSelected="1" workbookViewId="0">
      <selection activeCell="B14" sqref="B14"/>
    </sheetView>
  </sheetViews>
  <sheetFormatPr defaultColWidth="10.6640625" defaultRowHeight="15.5" x14ac:dyDescent="0.35"/>
  <cols>
    <col min="1" max="1" width="29.33203125" customWidth="1"/>
    <col min="2" max="2" width="10.9140625" bestFit="1" customWidth="1"/>
    <col min="3" max="3" width="13.4140625" bestFit="1" customWidth="1"/>
    <col min="4" max="4" width="11.6640625" customWidth="1"/>
    <col min="5" max="5" width="12.5" customWidth="1"/>
    <col min="6" max="6" width="11.58203125" customWidth="1"/>
    <col min="7" max="8" width="11.9140625" customWidth="1"/>
    <col min="9" max="11" width="11.83203125" customWidth="1"/>
    <col min="12" max="12" width="12.6640625" customWidth="1"/>
    <col min="13" max="13" width="13.83203125" customWidth="1"/>
  </cols>
  <sheetData>
    <row r="1" spans="1:13" x14ac:dyDescent="0.35">
      <c r="A1" s="22" t="s">
        <v>10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13" x14ac:dyDescent="0.35">
      <c r="B2" s="1" t="s">
        <v>36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 t="s">
        <v>37</v>
      </c>
    </row>
    <row r="3" spans="1:13" x14ac:dyDescent="0.35">
      <c r="A3" t="s">
        <v>0</v>
      </c>
      <c r="B3" s="4">
        <f>'Model Inputs'!G3</f>
        <v>95787.199999999997</v>
      </c>
      <c r="C3" s="4">
        <f>B3*(1+C4)</f>
        <v>114997.55637639972</v>
      </c>
      <c r="D3" s="4">
        <f t="shared" ref="D3:M3" si="0">C3*(1+D4)</f>
        <v>138060.59653631417</v>
      </c>
      <c r="E3" s="4">
        <f t="shared" si="0"/>
        <v>165748.98560083358</v>
      </c>
      <c r="F3" s="4">
        <f t="shared" si="0"/>
        <v>198990.34856393051</v>
      </c>
      <c r="G3" s="4">
        <f t="shared" si="0"/>
        <v>238898.34787257621</v>
      </c>
      <c r="H3" s="4">
        <f t="shared" si="0"/>
        <v>282735.52415302699</v>
      </c>
      <c r="I3" s="4">
        <f t="shared" si="0"/>
        <v>329794.57597407571</v>
      </c>
      <c r="J3" s="4">
        <f t="shared" si="0"/>
        <v>379061.50126154243</v>
      </c>
      <c r="K3" s="4">
        <f t="shared" si="0"/>
        <v>429223.2639468289</v>
      </c>
      <c r="L3" s="4">
        <f t="shared" si="0"/>
        <v>478702.49866874318</v>
      </c>
      <c r="M3" s="4">
        <f t="shared" si="0"/>
        <v>493063.57362880546</v>
      </c>
    </row>
    <row r="4" spans="1:13" x14ac:dyDescent="0.35">
      <c r="A4" s="3" t="s">
        <v>11</v>
      </c>
      <c r="B4" s="3"/>
      <c r="C4" s="13">
        <f>'Model Inputs'!G23</f>
        <v>0.20055243682245361</v>
      </c>
      <c r="D4" s="13">
        <f>$C$4</f>
        <v>0.20055243682245361</v>
      </c>
      <c r="E4" s="13">
        <f t="shared" ref="E4:G4" si="1">$C$4</f>
        <v>0.20055243682245361</v>
      </c>
      <c r="F4" s="13">
        <f t="shared" si="1"/>
        <v>0.20055243682245361</v>
      </c>
      <c r="G4" s="13">
        <f t="shared" si="1"/>
        <v>0.20055243682245361</v>
      </c>
      <c r="H4" s="13">
        <f t="shared" ref="H4:L4" si="2">G$4-($C$4-$M$4)/10</f>
        <v>0.18349719314020824</v>
      </c>
      <c r="I4" s="13">
        <f t="shared" si="2"/>
        <v>0.16644194945796287</v>
      </c>
      <c r="J4" s="13">
        <f t="shared" si="2"/>
        <v>0.1493867057757175</v>
      </c>
      <c r="K4" s="13">
        <f t="shared" si="2"/>
        <v>0.13233146209347213</v>
      </c>
      <c r="L4" s="13">
        <f t="shared" si="2"/>
        <v>0.11527621841122676</v>
      </c>
      <c r="M4" s="13">
        <f>'Model Inputs'!F28</f>
        <v>0.03</v>
      </c>
    </row>
    <row r="5" spans="1:13" x14ac:dyDescent="0.35">
      <c r="A5" t="s">
        <v>12</v>
      </c>
      <c r="B5" s="5">
        <f>'Model Inputs'!$G$24</f>
        <v>0.25331538510090279</v>
      </c>
      <c r="C5" s="5">
        <f>'Model Inputs'!$G$24</f>
        <v>0.25331538510090279</v>
      </c>
      <c r="D5" s="5">
        <f>'Model Inputs'!$G$24</f>
        <v>0.25331538510090279</v>
      </c>
      <c r="E5" s="5">
        <f>'Model Inputs'!$G$24</f>
        <v>0.25331538510090279</v>
      </c>
      <c r="F5" s="5">
        <f>'Model Inputs'!$G$24</f>
        <v>0.25331538510090279</v>
      </c>
      <c r="G5" s="5">
        <f>'Model Inputs'!$G$24</f>
        <v>0.25331538510090279</v>
      </c>
      <c r="H5" s="5">
        <f>'Model Inputs'!$G$24</f>
        <v>0.25331538510090279</v>
      </c>
      <c r="I5" s="5">
        <f>'Model Inputs'!$G$24</f>
        <v>0.25331538510090279</v>
      </c>
      <c r="J5" s="5">
        <f>'Model Inputs'!$G$24</f>
        <v>0.25331538510090279</v>
      </c>
      <c r="K5" s="5">
        <f>'Model Inputs'!$G$24</f>
        <v>0.25331538510090279</v>
      </c>
      <c r="L5" s="5">
        <f>'Model Inputs'!$G$24</f>
        <v>0.25331538510090279</v>
      </c>
      <c r="M5" s="5">
        <f>'Model Inputs'!$G$24</f>
        <v>0.25331538510090279</v>
      </c>
    </row>
    <row r="6" spans="1:13" x14ac:dyDescent="0.35">
      <c r="A6" s="24" t="s">
        <v>1</v>
      </c>
      <c r="B6" s="25">
        <f>B3*B5</f>
        <v>24264.371455737197</v>
      </c>
      <c r="C6" s="26">
        <f>C3*C5</f>
        <v>29130.650279150475</v>
      </c>
      <c r="D6" s="26">
        <f>D3*D5</f>
        <v>34972.873178856789</v>
      </c>
      <c r="E6" s="26">
        <f t="shared" ref="E6:M6" si="3">E3*E5</f>
        <v>41986.76811755915</v>
      </c>
      <c r="F6" s="26">
        <f t="shared" si="3"/>
        <v>50407.316777834938</v>
      </c>
      <c r="G6" s="26">
        <f t="shared" si="3"/>
        <v>60516.626991311081</v>
      </c>
      <c r="H6" s="26">
        <f t="shared" si="3"/>
        <v>71621.258182529637</v>
      </c>
      <c r="I6" s="26">
        <f t="shared" si="3"/>
        <v>83542.040017061925</v>
      </c>
      <c r="J6" s="26">
        <f t="shared" si="3"/>
        <v>96022.110168993968</v>
      </c>
      <c r="K6" s="26">
        <f t="shared" si="3"/>
        <v>108728.8564009574</v>
      </c>
      <c r="L6" s="26">
        <f t="shared" si="3"/>
        <v>121262.70779903709</v>
      </c>
      <c r="M6" s="26">
        <f t="shared" si="3"/>
        <v>124900.58903300819</v>
      </c>
    </row>
    <row r="7" spans="1:13" x14ac:dyDescent="0.35">
      <c r="A7" s="3" t="s">
        <v>38</v>
      </c>
      <c r="C7" s="14">
        <f>(C6-B6)/B6</f>
        <v>0.20055243682245352</v>
      </c>
      <c r="D7" s="14">
        <f t="shared" ref="D7:L7" si="4">(D6-C6)/C6</f>
        <v>0.20055243682245352</v>
      </c>
      <c r="E7" s="14">
        <f t="shared" si="4"/>
        <v>0.20055243682245366</v>
      </c>
      <c r="F7" s="14">
        <f t="shared" si="4"/>
        <v>0.20055243682245355</v>
      </c>
      <c r="G7" s="14">
        <f t="shared" si="4"/>
        <v>0.20055243682245352</v>
      </c>
      <c r="H7" s="14">
        <f t="shared" si="4"/>
        <v>0.18349719314020835</v>
      </c>
      <c r="I7" s="14">
        <f t="shared" si="4"/>
        <v>0.16644194945796262</v>
      </c>
      <c r="J7" s="14">
        <f t="shared" si="4"/>
        <v>0.14938670577571744</v>
      </c>
      <c r="K7" s="14">
        <f t="shared" si="4"/>
        <v>0.13233146209347219</v>
      </c>
      <c r="L7" s="14">
        <f t="shared" si="4"/>
        <v>0.11527621841122684</v>
      </c>
      <c r="M7" s="10"/>
    </row>
    <row r="8" spans="1:13" x14ac:dyDescent="0.35">
      <c r="A8" s="3" t="s">
        <v>13</v>
      </c>
      <c r="B8" s="13">
        <f>'Model Inputs'!$F$29</f>
        <v>0.1196</v>
      </c>
      <c r="C8" s="13">
        <f>'Model Inputs'!$F$29</f>
        <v>0.1196</v>
      </c>
      <c r="D8" s="13">
        <f>'Model Inputs'!$F$29</f>
        <v>0.1196</v>
      </c>
      <c r="E8" s="13">
        <f>'Model Inputs'!$F$29</f>
        <v>0.1196</v>
      </c>
      <c r="F8" s="13">
        <f>'Model Inputs'!$F$29</f>
        <v>0.1196</v>
      </c>
      <c r="G8" s="13">
        <f>'Model Inputs'!$F$29</f>
        <v>0.1196</v>
      </c>
      <c r="H8" s="13">
        <f>'Model Inputs'!$F$29</f>
        <v>0.1196</v>
      </c>
      <c r="I8" s="13">
        <f>'Model Inputs'!$F$29</f>
        <v>0.1196</v>
      </c>
      <c r="J8" s="13">
        <f>'Model Inputs'!$F$29</f>
        <v>0.1196</v>
      </c>
      <c r="K8" s="13">
        <f>'Model Inputs'!$F$29</f>
        <v>0.1196</v>
      </c>
      <c r="L8" s="13">
        <f>'Model Inputs'!$F$29</f>
        <v>0.1196</v>
      </c>
      <c r="M8" s="13">
        <f>'Model Inputs'!$F$29</f>
        <v>0.1196</v>
      </c>
    </row>
    <row r="9" spans="1:13" x14ac:dyDescent="0.35">
      <c r="A9" t="s">
        <v>14</v>
      </c>
      <c r="B9" s="53">
        <f>(1-B$8)*B$6</f>
        <v>21362.352629631027</v>
      </c>
      <c r="C9" s="53">
        <f>(1-C$8)*C$6</f>
        <v>25646.624505764077</v>
      </c>
      <c r="D9" s="53">
        <f t="shared" ref="D9:M9" si="5">(1-D$8)*D$6</f>
        <v>30790.117546665515</v>
      </c>
      <c r="E9" s="53">
        <f t="shared" si="5"/>
        <v>36965.150650699077</v>
      </c>
      <c r="F9" s="53">
        <f t="shared" si="5"/>
        <v>44378.601691205877</v>
      </c>
      <c r="G9" s="53">
        <f t="shared" si="5"/>
        <v>53278.838403150272</v>
      </c>
      <c r="H9" s="53">
        <f t="shared" si="5"/>
        <v>63055.355703899091</v>
      </c>
      <c r="I9" s="53">
        <f t="shared" si="5"/>
        <v>73550.412031021318</v>
      </c>
      <c r="J9" s="53">
        <f t="shared" si="5"/>
        <v>84537.865792782279</v>
      </c>
      <c r="K9" s="53">
        <f t="shared" si="5"/>
        <v>95724.885175402887</v>
      </c>
      <c r="L9" s="53">
        <f t="shared" si="5"/>
        <v>106759.68794627224</v>
      </c>
      <c r="M9" s="53">
        <f t="shared" si="5"/>
        <v>109962.47858466041</v>
      </c>
    </row>
    <row r="10" spans="1:13" x14ac:dyDescent="0.35">
      <c r="A10" t="s">
        <v>2</v>
      </c>
      <c r="B10" s="4">
        <f>'Model Inputs'!G5</f>
        <v>6427.2</v>
      </c>
      <c r="C10" s="4">
        <f>B10*(1+C4)</f>
        <v>7716.190621945274</v>
      </c>
      <c r="D10" s="4">
        <f t="shared" ref="D10:L10" si="6">C10*(1+D4)</f>
        <v>9263.6914541629631</v>
      </c>
      <c r="E10" s="4">
        <f t="shared" si="6"/>
        <v>11121.547349266684</v>
      </c>
      <c r="F10" s="4">
        <f t="shared" si="6"/>
        <v>13352.000771398418</v>
      </c>
      <c r="G10" s="4">
        <f t="shared" si="6"/>
        <v>16029.77706255765</v>
      </c>
      <c r="H10" s="4">
        <f t="shared" si="6"/>
        <v>18971.196160200274</v>
      </c>
      <c r="I10" s="4">
        <f t="shared" si="6"/>
        <v>22128.799032653424</v>
      </c>
      <c r="J10" s="4">
        <f t="shared" si="6"/>
        <v>25434.547422914402</v>
      </c>
      <c r="K10" s="4">
        <f t="shared" si="6"/>
        <v>28800.338271074419</v>
      </c>
      <c r="L10" s="4">
        <f t="shared" si="6"/>
        <v>32120.332355928007</v>
      </c>
      <c r="M10" s="4"/>
    </row>
    <row r="11" spans="1:13" x14ac:dyDescent="0.35">
      <c r="A11" t="s">
        <v>3</v>
      </c>
      <c r="B11" s="4">
        <f>'Model Inputs'!G6</f>
        <v>13888.8</v>
      </c>
      <c r="C11" s="4">
        <f>B11*(1+C4)</f>
        <v>16674.232684539693</v>
      </c>
      <c r="D11" s="4">
        <f>C11*(1+D4)</f>
        <v>20018.290681568731</v>
      </c>
      <c r="E11" s="4">
        <f t="shared" ref="E11:L11" si="7">D11*(1+E4)</f>
        <v>24033.007658777555</v>
      </c>
      <c r="F11" s="4">
        <f t="shared" si="7"/>
        <v>28852.885908918084</v>
      </c>
      <c r="G11" s="4">
        <f t="shared" si="7"/>
        <v>34639.40248731184</v>
      </c>
      <c r="H11" s="4">
        <f t="shared" si="7"/>
        <v>40995.635615787513</v>
      </c>
      <c r="I11" s="4">
        <f t="shared" si="7"/>
        <v>47819.029126947476</v>
      </c>
      <c r="J11" s="4">
        <f t="shared" si="7"/>
        <v>54962.556361615243</v>
      </c>
      <c r="K11" s="4">
        <f t="shared" si="7"/>
        <v>62235.831805342656</v>
      </c>
      <c r="L11" s="4">
        <f t="shared" si="7"/>
        <v>69410.143145539711</v>
      </c>
    </row>
    <row r="12" spans="1:13" x14ac:dyDescent="0.35">
      <c r="A12" s="3" t="s">
        <v>15</v>
      </c>
      <c r="B12" s="3"/>
      <c r="C12" s="14">
        <f>(C11-B11)/B11</f>
        <v>0.20055243682245361</v>
      </c>
      <c r="D12" s="14">
        <f t="shared" ref="D12:L12" si="8">(D11-C11)/C11</f>
        <v>0.20055243682245363</v>
      </c>
      <c r="E12" s="14">
        <f t="shared" si="8"/>
        <v>0.20055243682245355</v>
      </c>
      <c r="F12" s="14">
        <f t="shared" si="8"/>
        <v>0.20055243682245361</v>
      </c>
      <c r="G12" s="14">
        <f t="shared" si="8"/>
        <v>0.20055243682245358</v>
      </c>
      <c r="H12" s="14">
        <f t="shared" si="8"/>
        <v>0.18349719314020832</v>
      </c>
      <c r="I12" s="14">
        <f t="shared" si="8"/>
        <v>0.16644194945796278</v>
      </c>
      <c r="J12" s="14">
        <f t="shared" si="8"/>
        <v>0.14938670577571747</v>
      </c>
      <c r="K12" s="14">
        <f t="shared" si="8"/>
        <v>0.13233146209347213</v>
      </c>
      <c r="L12" s="14">
        <f t="shared" si="8"/>
        <v>0.11527621841122679</v>
      </c>
    </row>
    <row r="13" spans="1:13" x14ac:dyDescent="0.35">
      <c r="A13" s="3" t="s">
        <v>16</v>
      </c>
      <c r="B13" s="4">
        <f>'Model Inputs'!G25</f>
        <v>84502.8</v>
      </c>
      <c r="C13" s="4">
        <f>B13*(1+C7/2)</f>
        <v>92976.421229160216</v>
      </c>
      <c r="D13" s="4">
        <f t="shared" ref="D13:L13" si="9">C13*(1+D7/2)</f>
        <v>102299.7451514297</v>
      </c>
      <c r="E13" s="4">
        <f t="shared" si="9"/>
        <v>112557.97673964732</v>
      </c>
      <c r="F13" s="4">
        <f t="shared" si="9"/>
        <v>123844.86499911797</v>
      </c>
      <c r="G13" s="4">
        <f t="shared" si="9"/>
        <v>136263.55973087842</v>
      </c>
      <c r="H13" s="4">
        <f t="shared" si="9"/>
        <v>148765.55009983308</v>
      </c>
      <c r="I13" s="4">
        <f t="shared" si="9"/>
        <v>161145.9641852343</v>
      </c>
      <c r="J13" s="4">
        <f t="shared" si="9"/>
        <v>173182.49655457627</v>
      </c>
      <c r="K13" s="4">
        <f t="shared" si="9"/>
        <v>184641.24304360864</v>
      </c>
      <c r="L13" s="4">
        <f t="shared" si="9"/>
        <v>195283.61517401639</v>
      </c>
    </row>
    <row r="14" spans="1:13" x14ac:dyDescent="0.35">
      <c r="A14" t="s">
        <v>17</v>
      </c>
      <c r="C14" s="8">
        <f>C13-B13</f>
        <v>8473.6212291602133</v>
      </c>
      <c r="D14" s="8">
        <f t="shared" ref="D14:L14" si="10">D13-C13</f>
        <v>9323.3239222694829</v>
      </c>
      <c r="E14" s="8">
        <f t="shared" si="10"/>
        <v>10258.231588217619</v>
      </c>
      <c r="F14" s="8">
        <f t="shared" si="10"/>
        <v>11286.888259470652</v>
      </c>
      <c r="G14" s="8">
        <f t="shared" si="10"/>
        <v>12418.69473176045</v>
      </c>
      <c r="H14" s="8">
        <f t="shared" si="10"/>
        <v>12501.990368954663</v>
      </c>
      <c r="I14" s="8">
        <f t="shared" si="10"/>
        <v>12380.414085401222</v>
      </c>
      <c r="J14" s="8">
        <f t="shared" si="10"/>
        <v>12036.532369341963</v>
      </c>
      <c r="K14" s="8">
        <f t="shared" si="10"/>
        <v>11458.746489032375</v>
      </c>
      <c r="L14" s="8">
        <f t="shared" si="10"/>
        <v>10642.372130407748</v>
      </c>
    </row>
    <row r="15" spans="1:13" x14ac:dyDescent="0.35">
      <c r="A15" s="24" t="s">
        <v>18</v>
      </c>
      <c r="B15" s="26"/>
      <c r="C15" s="26">
        <f>C9+C10-C11-C14</f>
        <v>8214.9612140094432</v>
      </c>
      <c r="D15" s="26">
        <f>D9+D10-D11-D14</f>
        <v>10712.194396990264</v>
      </c>
      <c r="E15" s="26">
        <f t="shared" ref="E15:L15" si="11">E9+E10-E11-E14</f>
        <v>13795.45875297059</v>
      </c>
      <c r="F15" s="26">
        <f t="shared" si="11"/>
        <v>17590.828294215557</v>
      </c>
      <c r="G15" s="26">
        <f t="shared" si="11"/>
        <v>22250.518246635627</v>
      </c>
      <c r="H15" s="26">
        <f t="shared" si="11"/>
        <v>28528.925879357193</v>
      </c>
      <c r="I15" s="26">
        <f t="shared" si="11"/>
        <v>35479.76785132604</v>
      </c>
      <c r="J15" s="26">
        <f t="shared" si="11"/>
        <v>42973.324484739474</v>
      </c>
      <c r="K15" s="26">
        <f t="shared" si="11"/>
        <v>50830.645152102275</v>
      </c>
      <c r="L15" s="26">
        <f t="shared" si="11"/>
        <v>58827.505026252795</v>
      </c>
      <c r="M15" s="26">
        <f>L15*(1+L16)</f>
        <v>68082.459651226163</v>
      </c>
    </row>
    <row r="16" spans="1:13" x14ac:dyDescent="0.35">
      <c r="A16" s="3" t="s">
        <v>19</v>
      </c>
      <c r="D16" s="14">
        <f>ABS((D15-C15)/C15)</f>
        <v>0.30398599797673376</v>
      </c>
      <c r="E16" s="14">
        <f t="shared" ref="E16:L16" si="12">ABS((E15-D15)/D15)</f>
        <v>0.28782752083425694</v>
      </c>
      <c r="F16" s="14">
        <f t="shared" si="12"/>
        <v>0.2751173128206198</v>
      </c>
      <c r="G16" s="14">
        <f t="shared" si="12"/>
        <v>0.26489315195875857</v>
      </c>
      <c r="H16" s="14">
        <f t="shared" si="12"/>
        <v>0.28216905166561179</v>
      </c>
      <c r="I16" s="14">
        <f t="shared" si="12"/>
        <v>0.2436419093155659</v>
      </c>
      <c r="J16" s="14">
        <f t="shared" si="12"/>
        <v>0.21120647307542534</v>
      </c>
      <c r="K16" s="56">
        <f t="shared" si="12"/>
        <v>0.18284181551169176</v>
      </c>
      <c r="L16" s="56">
        <f t="shared" si="12"/>
        <v>0.15732359583910932</v>
      </c>
    </row>
    <row r="17" spans="1:13" x14ac:dyDescent="0.35">
      <c r="A17" s="3"/>
    </row>
    <row r="18" spans="1:13" x14ac:dyDescent="0.35">
      <c r="A18" t="s">
        <v>7</v>
      </c>
      <c r="C18" s="11">
        <f>'Cost of Capital Calculation'!$D$11</f>
        <v>8.2089266189533175E-2</v>
      </c>
      <c r="D18" s="11">
        <f>'Cost of Capital Calculation'!$D$11</f>
        <v>8.2089266189533175E-2</v>
      </c>
      <c r="E18" s="11">
        <f>'Cost of Capital Calculation'!$D$11</f>
        <v>8.2089266189533175E-2</v>
      </c>
      <c r="F18" s="11">
        <f>'Cost of Capital Calculation'!$D$11</f>
        <v>8.2089266189533175E-2</v>
      </c>
      <c r="G18" s="11">
        <f>'Cost of Capital Calculation'!$D$11</f>
        <v>8.2089266189533175E-2</v>
      </c>
      <c r="H18" s="11">
        <f>'Cost of Capital Calculation'!$D$11</f>
        <v>8.2089266189533175E-2</v>
      </c>
      <c r="I18" s="11">
        <f>'Cost of Capital Calculation'!$D$11</f>
        <v>8.2089266189533175E-2</v>
      </c>
      <c r="J18" s="11">
        <f>'Cost of Capital Calculation'!$D$11</f>
        <v>8.2089266189533175E-2</v>
      </c>
      <c r="K18" s="11">
        <f>'Cost of Capital Calculation'!$D$11</f>
        <v>8.2089266189533175E-2</v>
      </c>
      <c r="L18" s="11">
        <f>'Cost of Capital Calculation'!$D$11</f>
        <v>8.2089266189533175E-2</v>
      </c>
      <c r="M18" s="11">
        <f>'Cost of Capital Calculation'!$D$11</f>
        <v>8.2089266189533175E-2</v>
      </c>
    </row>
    <row r="19" spans="1:13" x14ac:dyDescent="0.35">
      <c r="A19" t="s">
        <v>20</v>
      </c>
      <c r="C19" s="12">
        <f>(1+C18)^C2</f>
        <v>1.0820892661895332</v>
      </c>
      <c r="D19" s="12">
        <f t="shared" ref="D19:L19" si="13">(1+D18)^D2</f>
        <v>1.1709171800026024</v>
      </c>
      <c r="E19" s="12">
        <f t="shared" si="13"/>
        <v>1.2670369120777336</v>
      </c>
      <c r="F19" s="12">
        <f t="shared" si="13"/>
        <v>1.3710470424252468</v>
      </c>
      <c r="G19" s="12">
        <f t="shared" si="13"/>
        <v>1.4835952880492651</v>
      </c>
      <c r="H19" s="12">
        <f t="shared" si="13"/>
        <v>1.6053825365674783</v>
      </c>
      <c r="I19" s="12">
        <f t="shared" si="13"/>
        <v>1.737167210947794</v>
      </c>
      <c r="J19" s="12">
        <f t="shared" si="13"/>
        <v>1.8797699925430165</v>
      </c>
      <c r="K19" s="12">
        <f t="shared" si="13"/>
        <v>2.0340789318359769</v>
      </c>
      <c r="L19" s="12">
        <f t="shared" si="13"/>
        <v>2.2010549787219817</v>
      </c>
    </row>
    <row r="20" spans="1:13" x14ac:dyDescent="0.35">
      <c r="A20" t="s">
        <v>21</v>
      </c>
      <c r="C20" s="4">
        <f>C15/C19</f>
        <v>7591.759266717052</v>
      </c>
      <c r="D20" s="4">
        <f t="shared" ref="D20:L20" si="14">D15/D19</f>
        <v>9148.5500255162842</v>
      </c>
      <c r="E20" s="4">
        <f t="shared" si="14"/>
        <v>10887.969104505637</v>
      </c>
      <c r="F20" s="4">
        <f t="shared" si="14"/>
        <v>12830.21497431563</v>
      </c>
      <c r="G20" s="4">
        <f t="shared" si="14"/>
        <v>14997.700805515611</v>
      </c>
      <c r="H20" s="4">
        <f t="shared" si="14"/>
        <v>17770.796199363074</v>
      </c>
      <c r="I20" s="4">
        <f t="shared" si="14"/>
        <v>20423.922134685221</v>
      </c>
      <c r="J20" s="4">
        <f t="shared" si="14"/>
        <v>22860.948230482019</v>
      </c>
      <c r="K20" s="4">
        <f t="shared" si="14"/>
        <v>24989.514593822623</v>
      </c>
      <c r="L20" s="4">
        <f t="shared" si="14"/>
        <v>26726.958478979173</v>
      </c>
    </row>
    <row r="22" spans="1:13" x14ac:dyDescent="0.35">
      <c r="A22" s="28" t="s">
        <v>22</v>
      </c>
      <c r="B22" s="31"/>
    </row>
    <row r="23" spans="1:13" x14ac:dyDescent="0.35">
      <c r="A23" s="38" t="s">
        <v>23</v>
      </c>
      <c r="B23" s="39">
        <f>M15</f>
        <v>68082.459651226163</v>
      </c>
    </row>
    <row r="24" spans="1:13" x14ac:dyDescent="0.35">
      <c r="A24" s="38" t="s">
        <v>24</v>
      </c>
      <c r="B24" s="40">
        <f>M18</f>
        <v>8.2089266189533175E-2</v>
      </c>
    </row>
    <row r="25" spans="1:13" x14ac:dyDescent="0.35">
      <c r="A25" s="38" t="s">
        <v>25</v>
      </c>
      <c r="B25" s="39">
        <f>B23/(B24-'Model Inputs'!F18)</f>
        <v>1213823.3262165771</v>
      </c>
    </row>
    <row r="26" spans="1:13" x14ac:dyDescent="0.35">
      <c r="A26" s="38" t="s">
        <v>26</v>
      </c>
      <c r="B26" s="39">
        <f>B25/L19</f>
        <v>551473.42431281297</v>
      </c>
    </row>
    <row r="27" spans="1:13" ht="16" thickBot="1" x14ac:dyDescent="0.4">
      <c r="A27" s="38" t="s">
        <v>27</v>
      </c>
      <c r="B27" s="39">
        <f>SUM(C20:L20)</f>
        <v>168228.33381390234</v>
      </c>
    </row>
    <row r="28" spans="1:13" ht="16" thickBot="1" x14ac:dyDescent="0.4">
      <c r="A28" s="41" t="s">
        <v>28</v>
      </c>
      <c r="B28" s="42">
        <f>SUM(B26,B27)</f>
        <v>719701.75812671531</v>
      </c>
    </row>
    <row r="29" spans="1:13" x14ac:dyDescent="0.35">
      <c r="A29" s="38" t="s">
        <v>29</v>
      </c>
      <c r="B29" s="39">
        <f>B28</f>
        <v>719701.75812671531</v>
      </c>
    </row>
    <row r="30" spans="1:13" x14ac:dyDescent="0.35">
      <c r="A30" s="38" t="s">
        <v>9</v>
      </c>
      <c r="B30" s="39">
        <f>'Model Inputs'!F9</f>
        <v>4000</v>
      </c>
    </row>
    <row r="31" spans="1:13" ht="16" thickBot="1" x14ac:dyDescent="0.4">
      <c r="A31" s="38" t="s">
        <v>30</v>
      </c>
      <c r="B31" s="39">
        <f>'Model Inputs'!F10</f>
        <v>109140</v>
      </c>
    </row>
    <row r="32" spans="1:13" ht="16" thickBot="1" x14ac:dyDescent="0.4">
      <c r="A32" s="41" t="s">
        <v>31</v>
      </c>
      <c r="B32" s="42">
        <f>B29+B31-B30</f>
        <v>824841.75812671531</v>
      </c>
    </row>
    <row r="33" spans="1:2" ht="16" thickBot="1" x14ac:dyDescent="0.4">
      <c r="A33" s="38" t="s">
        <v>32</v>
      </c>
      <c r="B33" s="29">
        <f>290.36+349.29</f>
        <v>639.65000000000009</v>
      </c>
    </row>
    <row r="34" spans="1:2" x14ac:dyDescent="0.35">
      <c r="A34" s="43" t="s">
        <v>33</v>
      </c>
      <c r="B34" s="44">
        <f>B32/B33</f>
        <v>1289.5204535710391</v>
      </c>
    </row>
    <row r="35" spans="1:2" x14ac:dyDescent="0.35">
      <c r="A35" s="45" t="s">
        <v>34</v>
      </c>
      <c r="B35" s="46">
        <f>(290.36/(290.36+349.29))*1240.14+(349.29/(349.29+290.36))*1236.34</f>
        <v>1238.0649558352222</v>
      </c>
    </row>
    <row r="36" spans="1:2" ht="16" thickBot="1" x14ac:dyDescent="0.4">
      <c r="A36" s="47" t="s">
        <v>35</v>
      </c>
      <c r="B36" s="48">
        <f>B34/B35</f>
        <v>1.0415612262452771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Name</vt:lpstr>
      <vt:lpstr>Model Inputs</vt:lpstr>
      <vt:lpstr>Cost of Capital Calculation</vt:lpstr>
      <vt:lpstr>Valuation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gywang</cp:lastModifiedBy>
  <dcterms:created xsi:type="dcterms:W3CDTF">2018-04-27T20:06:35Z</dcterms:created>
  <dcterms:modified xsi:type="dcterms:W3CDTF">2019-10-12T05:44:07Z</dcterms:modified>
</cp:coreProperties>
</file>