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6595C0E-3181-4330-8A26-FC4F8CCABE1F}" xr6:coauthVersionLast="47" xr6:coauthVersionMax="47" xr10:uidLastSave="{00000000-0000-0000-0000-000000000000}"/>
  <bookViews>
    <workbookView xWindow="-120" yWindow="-120" windowWidth="20730" windowHeight="11040" tabRatio="714" activeTab="2" xr2:uid="{00000000-000D-0000-FFFF-FFFF00000000}"/>
  </bookViews>
  <sheets>
    <sheet name="Ops Rek" sheetId="4" r:id="rId1"/>
    <sheet name="Ops Rinci" sheetId="2" r:id="rId2"/>
    <sheet name="GAJI" sheetId="5" r:id="rId3"/>
    <sheet name="GAJI REK" sheetId="7" r:id="rId4"/>
    <sheet name="GAJI RINCI" sheetId="6" r:id="rId5"/>
    <sheet name="UMUM Rek" sheetId="9" r:id="rId6"/>
    <sheet name="UMUM rinci" sheetId="8" r:id="rId7"/>
    <sheet name="REKAPITULASI" sheetId="10" r:id="rId8"/>
    <sheet name="INVEST. RINCI" sheetId="11" r:id="rId9"/>
    <sheet name="INVEST. REK" sheetId="13" r:id="rId10"/>
    <sheet name="Pendapatan" sheetId="3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2" l="1"/>
  <c r="G17" i="5"/>
  <c r="Q23" i="3"/>
  <c r="S23" i="3"/>
  <c r="U23" i="3"/>
  <c r="O23" i="3"/>
  <c r="F22" i="10"/>
  <c r="H22" i="10"/>
  <c r="H34" i="11"/>
  <c r="H131" i="2" l="1"/>
  <c r="H132" i="2"/>
  <c r="K125" i="8"/>
  <c r="L233" i="6"/>
  <c r="L235" i="6"/>
  <c r="L236" i="6"/>
  <c r="R27" i="5"/>
  <c r="R28" i="5" s="1"/>
  <c r="G237" i="6"/>
  <c r="M19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65" i="5"/>
  <c r="J198" i="5" l="1"/>
  <c r="K198" i="5"/>
  <c r="L198" i="5"/>
  <c r="K190" i="5"/>
  <c r="L190" i="5"/>
  <c r="I189" i="5"/>
  <c r="I188" i="5"/>
  <c r="I187" i="5"/>
  <c r="G187" i="5"/>
  <c r="I186" i="5"/>
  <c r="G186" i="5"/>
  <c r="I185" i="5"/>
  <c r="G185" i="5"/>
  <c r="E47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44" i="5"/>
  <c r="M38" i="5"/>
  <c r="M30" i="5"/>
  <c r="M31" i="5"/>
  <c r="M32" i="5"/>
  <c r="M33" i="5"/>
  <c r="M34" i="5"/>
  <c r="M35" i="5"/>
  <c r="M36" i="5"/>
  <c r="M37" i="5"/>
  <c r="M8" i="5"/>
  <c r="M4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83" i="5"/>
  <c r="L187" i="6"/>
  <c r="J44" i="5"/>
  <c r="I44" i="5"/>
  <c r="J43" i="5"/>
  <c r="I43" i="5"/>
  <c r="J19" i="5"/>
  <c r="I19" i="5"/>
  <c r="I38" i="5"/>
  <c r="J38" i="5"/>
  <c r="I32" i="5"/>
  <c r="J32" i="5"/>
  <c r="I33" i="5"/>
  <c r="J33" i="5"/>
  <c r="I34" i="5"/>
  <c r="J34" i="5"/>
  <c r="I35" i="5"/>
  <c r="J35" i="5"/>
  <c r="I36" i="5"/>
  <c r="J36" i="5"/>
  <c r="I37" i="5"/>
  <c r="J37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J24" i="5"/>
  <c r="I24" i="5"/>
  <c r="J23" i="5"/>
  <c r="I23" i="5"/>
  <c r="O80" i="5"/>
  <c r="M80" i="5"/>
  <c r="N80" i="5"/>
  <c r="H80" i="5"/>
  <c r="G189" i="5" l="1"/>
  <c r="G188" i="5"/>
  <c r="G62" i="5"/>
  <c r="G168" i="5"/>
  <c r="G80" i="5"/>
  <c r="K167" i="6" s="1"/>
  <c r="I10" i="5"/>
  <c r="J10" i="5"/>
  <c r="I11" i="5"/>
  <c r="J11" i="5"/>
  <c r="I12" i="5"/>
  <c r="J12" i="5"/>
  <c r="I13" i="5"/>
  <c r="J13" i="5"/>
  <c r="I14" i="5"/>
  <c r="J14" i="5"/>
  <c r="I15" i="5"/>
  <c r="J15" i="5"/>
  <c r="J9" i="5"/>
  <c r="I9" i="5"/>
  <c r="J8" i="5"/>
  <c r="I8" i="5"/>
  <c r="G2" i="5" s="1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J84" i="5"/>
  <c r="I84" i="5"/>
  <c r="J83" i="5"/>
  <c r="I83" i="5"/>
  <c r="I79" i="5"/>
  <c r="J79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1" i="5"/>
  <c r="J71" i="5"/>
  <c r="I67" i="5"/>
  <c r="J67" i="5"/>
  <c r="I68" i="5"/>
  <c r="J68" i="5"/>
  <c r="I69" i="5"/>
  <c r="J69" i="5"/>
  <c r="I70" i="5"/>
  <c r="J70" i="5"/>
  <c r="J66" i="5"/>
  <c r="I66" i="5"/>
  <c r="J65" i="5"/>
  <c r="J80" i="5" s="1"/>
  <c r="I65" i="5"/>
  <c r="J49" i="5"/>
  <c r="J50" i="5"/>
  <c r="J51" i="5"/>
  <c r="J52" i="5"/>
  <c r="J53" i="5"/>
  <c r="J54" i="5"/>
  <c r="J55" i="5"/>
  <c r="J56" i="5"/>
  <c r="J57" i="5"/>
  <c r="J58" i="5"/>
  <c r="J59" i="5"/>
  <c r="J60" i="5"/>
  <c r="I49" i="5"/>
  <c r="I50" i="5"/>
  <c r="I51" i="5"/>
  <c r="I52" i="5"/>
  <c r="I53" i="5"/>
  <c r="I54" i="5"/>
  <c r="I55" i="5"/>
  <c r="I56" i="5"/>
  <c r="I57" i="5"/>
  <c r="I58" i="5"/>
  <c r="I59" i="5"/>
  <c r="I60" i="5"/>
  <c r="J61" i="5"/>
  <c r="J204" i="6" s="1"/>
  <c r="I61" i="5"/>
  <c r="J203" i="6" s="1"/>
  <c r="L63" i="5"/>
  <c r="I63" i="5"/>
  <c r="H63" i="5" s="1"/>
  <c r="M63" i="5" s="1"/>
  <c r="N63" i="5" s="1"/>
  <c r="G64" i="5" s="1"/>
  <c r="F63" i="5" s="1"/>
  <c r="J63" i="5"/>
  <c r="K63" i="5" s="1"/>
  <c r="K166" i="6"/>
  <c r="L166" i="6" s="1"/>
  <c r="G167" i="6"/>
  <c r="G169" i="6" s="1"/>
  <c r="C167" i="6"/>
  <c r="E63" i="5"/>
  <c r="I80" i="5" l="1"/>
  <c r="I17" i="5"/>
  <c r="K123" i="8"/>
  <c r="H52" i="2"/>
  <c r="H46" i="11"/>
  <c r="K94" i="11"/>
  <c r="J94" i="11"/>
  <c r="K124" i="8"/>
  <c r="K126" i="8"/>
  <c r="K85" i="8"/>
  <c r="K84" i="8"/>
  <c r="K86" i="8"/>
  <c r="K87" i="8" s="1"/>
  <c r="I20" i="10"/>
  <c r="I19" i="10"/>
  <c r="G20" i="10"/>
  <c r="G19" i="10"/>
  <c r="C20" i="10"/>
  <c r="C19" i="10"/>
  <c r="I21" i="10"/>
  <c r="G21" i="10"/>
  <c r="T22" i="3"/>
  <c r="N22" i="3"/>
  <c r="M22" i="3"/>
  <c r="L22" i="3"/>
  <c r="K22" i="3"/>
  <c r="J22" i="3"/>
  <c r="I22" i="3"/>
  <c r="H22" i="3"/>
  <c r="G22" i="3"/>
  <c r="F22" i="3"/>
  <c r="E22" i="3"/>
  <c r="D22" i="3"/>
  <c r="C22" i="3"/>
  <c r="R22" i="3"/>
  <c r="P21" i="3"/>
  <c r="P20" i="3"/>
  <c r="E19" i="10" s="1"/>
  <c r="H98" i="2"/>
  <c r="B179" i="8"/>
  <c r="K173" i="8"/>
  <c r="K17" i="8"/>
  <c r="K202" i="6"/>
  <c r="K203" i="6"/>
  <c r="K204" i="6"/>
  <c r="H114" i="2"/>
  <c r="K240" i="6"/>
  <c r="L240" i="6"/>
  <c r="L242" i="6" s="1"/>
  <c r="B41" i="7"/>
  <c r="G199" i="6"/>
  <c r="G188" i="6"/>
  <c r="D63" i="5"/>
  <c r="M24" i="5"/>
  <c r="M25" i="5"/>
  <c r="M26" i="5"/>
  <c r="M27" i="5"/>
  <c r="M28" i="5"/>
  <c r="M29" i="5"/>
  <c r="M23" i="5"/>
  <c r="M9" i="5"/>
  <c r="M10" i="5"/>
  <c r="M11" i="5"/>
  <c r="M12" i="5"/>
  <c r="M13" i="5"/>
  <c r="M14" i="5"/>
  <c r="M15" i="5"/>
  <c r="V21" i="3" l="1"/>
  <c r="W21" i="3" s="1"/>
  <c r="E20" i="10"/>
  <c r="J20" i="10" s="1"/>
  <c r="K20" i="10" s="1"/>
  <c r="E21" i="10"/>
  <c r="J19" i="10"/>
  <c r="K19" i="10" s="1"/>
  <c r="P22" i="3"/>
  <c r="V22" i="3" s="1"/>
  <c r="V20" i="3"/>
  <c r="W20" i="3" s="1"/>
  <c r="W22" i="3"/>
  <c r="O239" i="6"/>
  <c r="J21" i="10" l="1"/>
  <c r="K21" i="10" s="1"/>
  <c r="P239" i="6"/>
  <c r="Q239" i="6" s="1"/>
  <c r="F36" i="7" l="1"/>
  <c r="G22" i="9" l="1"/>
  <c r="H22" i="9"/>
  <c r="G25" i="9"/>
  <c r="H25" i="9" s="1"/>
  <c r="E34" i="9"/>
  <c r="E33" i="9"/>
  <c r="E32" i="9"/>
  <c r="E30" i="9"/>
  <c r="E29" i="9"/>
  <c r="E28" i="9"/>
  <c r="E27" i="9"/>
  <c r="E26" i="9"/>
  <c r="E24" i="9"/>
  <c r="E23" i="9"/>
  <c r="E21" i="9"/>
  <c r="E20" i="9"/>
  <c r="E19" i="9"/>
  <c r="E17" i="9"/>
  <c r="E16" i="9"/>
  <c r="E14" i="9"/>
  <c r="F17" i="9"/>
  <c r="F29" i="4" l="1"/>
  <c r="J28" i="10"/>
  <c r="K28" i="10" s="1"/>
  <c r="C17" i="10"/>
  <c r="C16" i="10"/>
  <c r="C29" i="4"/>
  <c r="C25" i="4"/>
  <c r="C24" i="4"/>
  <c r="F21" i="4"/>
  <c r="C20" i="4"/>
  <c r="F31" i="4"/>
  <c r="F14" i="4"/>
  <c r="H29" i="2"/>
  <c r="I27" i="2" s="1"/>
  <c r="H133" i="2"/>
  <c r="H123" i="2"/>
  <c r="H124" i="2" s="1"/>
  <c r="I122" i="2" s="1"/>
  <c r="L122" i="2" s="1"/>
  <c r="H134" i="2" l="1"/>
  <c r="I130" i="2" s="1"/>
  <c r="D31" i="4" s="1"/>
  <c r="G31" i="4" s="1"/>
  <c r="H48" i="11"/>
  <c r="I45" i="11" s="1"/>
  <c r="D14" i="4"/>
  <c r="L27" i="2"/>
  <c r="M27" i="2" s="1"/>
  <c r="D29" i="4"/>
  <c r="G29" i="4" s="1"/>
  <c r="L45" i="11"/>
  <c r="M45" i="11" s="1"/>
  <c r="H52" i="11"/>
  <c r="H51" i="11"/>
  <c r="L76" i="11"/>
  <c r="L37" i="11"/>
  <c r="L22" i="11"/>
  <c r="G14" i="4" l="1"/>
  <c r="O45" i="5" l="1"/>
  <c r="H45" i="5"/>
  <c r="K175" i="6" s="1"/>
  <c r="L175" i="6" s="1"/>
  <c r="G45" i="5"/>
  <c r="K165" i="6" s="1"/>
  <c r="L165" i="6" s="1"/>
  <c r="N44" i="5"/>
  <c r="L44" i="5"/>
  <c r="K44" i="5"/>
  <c r="N43" i="5"/>
  <c r="L43" i="5"/>
  <c r="L45" i="5" s="1"/>
  <c r="K43" i="5"/>
  <c r="J45" i="5" l="1"/>
  <c r="N45" i="5"/>
  <c r="P43" i="5"/>
  <c r="Q43" i="5" s="1"/>
  <c r="P44" i="5"/>
  <c r="Q44" i="5" s="1"/>
  <c r="M45" i="5"/>
  <c r="K45" i="5"/>
  <c r="K194" i="6" s="1"/>
  <c r="L194" i="6" s="1"/>
  <c r="I45" i="5"/>
  <c r="I183" i="6" s="1"/>
  <c r="L183" i="6" s="1"/>
  <c r="M62" i="5"/>
  <c r="H168" i="5"/>
  <c r="K176" i="6" s="1"/>
  <c r="L176" i="6" s="1"/>
  <c r="N167" i="5"/>
  <c r="L167" i="5"/>
  <c r="K167" i="5"/>
  <c r="P167" i="5" s="1"/>
  <c r="N166" i="5"/>
  <c r="L166" i="5"/>
  <c r="K166" i="5"/>
  <c r="P166" i="5" s="1"/>
  <c r="L79" i="5"/>
  <c r="K79" i="5"/>
  <c r="P79" i="5" s="1"/>
  <c r="L78" i="5"/>
  <c r="K78" i="5"/>
  <c r="P78" i="5" s="1"/>
  <c r="L77" i="5"/>
  <c r="K77" i="5"/>
  <c r="P77" i="5" s="1"/>
  <c r="L76" i="5"/>
  <c r="K76" i="5"/>
  <c r="P76" i="5" s="1"/>
  <c r="L75" i="5"/>
  <c r="K75" i="5"/>
  <c r="P75" i="5" s="1"/>
  <c r="L74" i="5"/>
  <c r="K74" i="5"/>
  <c r="P74" i="5" s="1"/>
  <c r="L73" i="5"/>
  <c r="K73" i="5"/>
  <c r="L72" i="5"/>
  <c r="K72" i="5"/>
  <c r="P72" i="5" s="1"/>
  <c r="L71" i="5"/>
  <c r="K71" i="5"/>
  <c r="P71" i="5" s="1"/>
  <c r="L70" i="5"/>
  <c r="K70" i="5"/>
  <c r="P70" i="5" s="1"/>
  <c r="L69" i="5"/>
  <c r="K69" i="5"/>
  <c r="P69" i="5" s="1"/>
  <c r="L68" i="5"/>
  <c r="K68" i="5"/>
  <c r="P68" i="5" s="1"/>
  <c r="L67" i="5"/>
  <c r="K67" i="5"/>
  <c r="P67" i="5" s="1"/>
  <c r="L66" i="5"/>
  <c r="K66" i="5"/>
  <c r="P66" i="5" s="1"/>
  <c r="L65" i="5"/>
  <c r="K65" i="5"/>
  <c r="P65" i="5" s="1"/>
  <c r="E25" i="2"/>
  <c r="G227" i="3"/>
  <c r="I227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G199" i="3"/>
  <c r="G200" i="3" s="1"/>
  <c r="G190" i="3"/>
  <c r="G195" i="3" s="1"/>
  <c r="G170" i="3"/>
  <c r="G175" i="3" s="1"/>
  <c r="G164" i="3"/>
  <c r="G163" i="3"/>
  <c r="G162" i="3"/>
  <c r="E161" i="3"/>
  <c r="G161" i="3" s="1"/>
  <c r="E160" i="3"/>
  <c r="G160" i="3" s="1"/>
  <c r="F134" i="3"/>
  <c r="E131" i="3"/>
  <c r="F131" i="3" s="1"/>
  <c r="E128" i="3"/>
  <c r="E136" i="3" s="1"/>
  <c r="L80" i="5" l="1"/>
  <c r="P73" i="5"/>
  <c r="K80" i="5"/>
  <c r="K196" i="6" s="1"/>
  <c r="L196" i="6" s="1"/>
  <c r="L167" i="6"/>
  <c r="G81" i="5"/>
  <c r="Q166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F128" i="3"/>
  <c r="F136" i="3" s="1"/>
  <c r="P80" i="5"/>
  <c r="Q167" i="5"/>
  <c r="P45" i="5"/>
  <c r="G165" i="3"/>
  <c r="Q65" i="5" l="1"/>
  <c r="Q80" i="5" s="1"/>
  <c r="P9" i="3"/>
  <c r="V9" i="3" s="1"/>
  <c r="T16" i="3"/>
  <c r="T23" i="3" s="1"/>
  <c r="K79" i="8"/>
  <c r="K78" i="8"/>
  <c r="J63" i="11"/>
  <c r="D41" i="7"/>
  <c r="E41" i="7"/>
  <c r="E40" i="7"/>
  <c r="E39" i="7"/>
  <c r="E38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F40" i="7"/>
  <c r="F35" i="7"/>
  <c r="F34" i="7"/>
  <c r="F33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G223" i="6"/>
  <c r="K78" i="6"/>
  <c r="L77" i="6"/>
  <c r="L76" i="6"/>
  <c r="L75" i="6"/>
  <c r="L74" i="6"/>
  <c r="K49" i="6"/>
  <c r="L48" i="6"/>
  <c r="L47" i="6"/>
  <c r="L46" i="6"/>
  <c r="L45" i="6"/>
  <c r="L44" i="6"/>
  <c r="J96" i="11" l="1"/>
  <c r="L78" i="6"/>
  <c r="M73" i="6" s="1"/>
  <c r="L49" i="6"/>
  <c r="G11" i="10"/>
  <c r="P73" i="6" l="1"/>
  <c r="Q73" i="6" s="1"/>
  <c r="D22" i="7"/>
  <c r="G22" i="7" s="1"/>
  <c r="H22" i="7" s="1"/>
  <c r="M43" i="6"/>
  <c r="D18" i="7" s="1"/>
  <c r="G18" i="7" s="1"/>
  <c r="H18" i="7" s="1"/>
  <c r="E19" i="4"/>
  <c r="E16" i="4"/>
  <c r="F28" i="9"/>
  <c r="F26" i="9"/>
  <c r="F24" i="9"/>
  <c r="F23" i="9"/>
  <c r="F21" i="9"/>
  <c r="F20" i="9"/>
  <c r="F19" i="9"/>
  <c r="F29" i="9"/>
  <c r="F30" i="9"/>
  <c r="F32" i="9"/>
  <c r="F35" i="9"/>
  <c r="F37" i="9"/>
  <c r="F16" i="9"/>
  <c r="F15" i="9"/>
  <c r="F14" i="9"/>
  <c r="F25" i="4"/>
  <c r="F24" i="4"/>
  <c r="F23" i="4"/>
  <c r="F22" i="4"/>
  <c r="F19" i="4"/>
  <c r="F18" i="4"/>
  <c r="F17" i="4"/>
  <c r="F30" i="4"/>
  <c r="F26" i="4"/>
  <c r="F27" i="4"/>
  <c r="F28" i="4"/>
  <c r="F16" i="4"/>
  <c r="F13" i="4"/>
  <c r="B30" i="7"/>
  <c r="A30" i="7"/>
  <c r="B16" i="7"/>
  <c r="A16" i="7"/>
  <c r="A21" i="7"/>
  <c r="A20" i="7"/>
  <c r="O39" i="5"/>
  <c r="O16" i="5"/>
  <c r="K143" i="6"/>
  <c r="L143" i="6" s="1"/>
  <c r="K142" i="6"/>
  <c r="L142" i="6" s="1"/>
  <c r="K141" i="6"/>
  <c r="L141" i="6" s="1"/>
  <c r="K140" i="6"/>
  <c r="L140" i="6" s="1"/>
  <c r="K139" i="6"/>
  <c r="K135" i="6"/>
  <c r="L135" i="6" s="1"/>
  <c r="K134" i="6"/>
  <c r="L134" i="6" s="1"/>
  <c r="K133" i="6"/>
  <c r="L133" i="6" s="1"/>
  <c r="K132" i="6"/>
  <c r="L132" i="6" s="1"/>
  <c r="K131" i="6"/>
  <c r="L131" i="6" s="1"/>
  <c r="K124" i="6"/>
  <c r="L124" i="6" s="1"/>
  <c r="K123" i="6"/>
  <c r="K127" i="6"/>
  <c r="L127" i="6" s="1"/>
  <c r="K126" i="6"/>
  <c r="L126" i="6" s="1"/>
  <c r="K125" i="6"/>
  <c r="L125" i="6" s="1"/>
  <c r="K119" i="6"/>
  <c r="J119" i="6"/>
  <c r="K118" i="6"/>
  <c r="J118" i="6"/>
  <c r="K117" i="6"/>
  <c r="J117" i="6"/>
  <c r="K116" i="6"/>
  <c r="J116" i="6"/>
  <c r="I115" i="6"/>
  <c r="K115" i="6" s="1"/>
  <c r="L99" i="6"/>
  <c r="K103" i="6"/>
  <c r="L103" i="6" s="1"/>
  <c r="K102" i="6"/>
  <c r="L102" i="6" s="1"/>
  <c r="K101" i="6"/>
  <c r="L101" i="6" s="1"/>
  <c r="K100" i="6"/>
  <c r="K71" i="6"/>
  <c r="L70" i="6"/>
  <c r="L69" i="6"/>
  <c r="L68" i="6"/>
  <c r="L67" i="6"/>
  <c r="K56" i="6"/>
  <c r="L56" i="6" s="1"/>
  <c r="K55" i="6"/>
  <c r="L55" i="6" s="1"/>
  <c r="K54" i="6"/>
  <c r="L54" i="6" s="1"/>
  <c r="K53" i="6"/>
  <c r="L53" i="6" s="1"/>
  <c r="K32" i="6"/>
  <c r="L32" i="6" s="1"/>
  <c r="K31" i="6"/>
  <c r="L31" i="6" s="1"/>
  <c r="K30" i="6"/>
  <c r="L30" i="6" s="1"/>
  <c r="K29" i="6"/>
  <c r="L29" i="6" s="1"/>
  <c r="K28" i="6"/>
  <c r="L28" i="6" s="1"/>
  <c r="K24" i="6"/>
  <c r="L24" i="6" s="1"/>
  <c r="K23" i="6"/>
  <c r="L23" i="6" s="1"/>
  <c r="K22" i="6"/>
  <c r="L22" i="6" s="1"/>
  <c r="K21" i="6"/>
  <c r="L21" i="6" s="1"/>
  <c r="K20" i="6"/>
  <c r="L20" i="6" s="1"/>
  <c r="P43" i="6" l="1"/>
  <c r="Q43" i="6" s="1"/>
  <c r="L116" i="6"/>
  <c r="L118" i="6"/>
  <c r="K104" i="6"/>
  <c r="L117" i="6"/>
  <c r="K144" i="6"/>
  <c r="L33" i="6"/>
  <c r="M27" i="6" s="1"/>
  <c r="D16" i="7" s="1"/>
  <c r="G16" i="7" s="1"/>
  <c r="H16" i="7" s="1"/>
  <c r="L57" i="6"/>
  <c r="M52" i="6" s="1"/>
  <c r="D19" i="7" s="1"/>
  <c r="G19" i="7" s="1"/>
  <c r="H19" i="7" s="1"/>
  <c r="L119" i="6"/>
  <c r="K57" i="6"/>
  <c r="L71" i="6"/>
  <c r="M66" i="6" s="1"/>
  <c r="J115" i="6"/>
  <c r="L115" i="6" s="1"/>
  <c r="K128" i="6"/>
  <c r="L136" i="6"/>
  <c r="M130" i="6" s="1"/>
  <c r="L123" i="6"/>
  <c r="L128" i="6" s="1"/>
  <c r="M122" i="6" s="1"/>
  <c r="L139" i="6"/>
  <c r="L144" i="6" s="1"/>
  <c r="M138" i="6" s="1"/>
  <c r="D30" i="7" s="1"/>
  <c r="G30" i="7" s="1"/>
  <c r="H30" i="7" s="1"/>
  <c r="L25" i="6"/>
  <c r="M19" i="6" s="1"/>
  <c r="D15" i="7" s="1"/>
  <c r="K25" i="6"/>
  <c r="K33" i="6"/>
  <c r="L100" i="6"/>
  <c r="L104" i="6" s="1"/>
  <c r="M98" i="6" s="1"/>
  <c r="I17" i="10"/>
  <c r="E17" i="10"/>
  <c r="P10" i="3"/>
  <c r="P11" i="3"/>
  <c r="P12" i="3"/>
  <c r="P13" i="3"/>
  <c r="E11" i="10"/>
  <c r="K135" i="8"/>
  <c r="K134" i="8"/>
  <c r="K106" i="8"/>
  <c r="K92" i="8"/>
  <c r="K93" i="8"/>
  <c r="K94" i="8"/>
  <c r="K95" i="8"/>
  <c r="K96" i="8"/>
  <c r="K97" i="8"/>
  <c r="K91" i="8"/>
  <c r="K80" i="8"/>
  <c r="K77" i="8"/>
  <c r="K68" i="8"/>
  <c r="K62" i="8"/>
  <c r="K65" i="8" s="1"/>
  <c r="K58" i="8"/>
  <c r="K57" i="8"/>
  <c r="K46" i="8"/>
  <c r="K43" i="8"/>
  <c r="K44" i="8"/>
  <c r="K45" i="8"/>
  <c r="K42" i="8"/>
  <c r="K41" i="8"/>
  <c r="K48" i="8" s="1"/>
  <c r="K27" i="8"/>
  <c r="K15" i="8"/>
  <c r="K16" i="8"/>
  <c r="K18" i="8"/>
  <c r="K14" i="8"/>
  <c r="K13" i="8"/>
  <c r="H119" i="2"/>
  <c r="H105" i="2"/>
  <c r="H104" i="2"/>
  <c r="H103" i="2"/>
  <c r="H97" i="2"/>
  <c r="H96" i="2"/>
  <c r="H86" i="2"/>
  <c r="H87" i="2"/>
  <c r="H88" i="2"/>
  <c r="H84" i="2"/>
  <c r="H85" i="2"/>
  <c r="H83" i="2"/>
  <c r="H60" i="2"/>
  <c r="H59" i="2"/>
  <c r="H47" i="2"/>
  <c r="H48" i="2"/>
  <c r="H49" i="2"/>
  <c r="H50" i="2"/>
  <c r="H53" i="2"/>
  <c r="H54" i="2"/>
  <c r="H55" i="2"/>
  <c r="H46" i="2"/>
  <c r="H45" i="2"/>
  <c r="H13" i="2"/>
  <c r="L85" i="6"/>
  <c r="L86" i="6"/>
  <c r="L87" i="6"/>
  <c r="L84" i="6"/>
  <c r="L83" i="6"/>
  <c r="L38" i="6"/>
  <c r="L39" i="6"/>
  <c r="L40" i="6"/>
  <c r="L36" i="6"/>
  <c r="L37" i="6"/>
  <c r="M164" i="8"/>
  <c r="N164" i="8" s="1"/>
  <c r="M160" i="8"/>
  <c r="M129" i="8"/>
  <c r="E31" i="9" s="1"/>
  <c r="M36" i="8"/>
  <c r="E18" i="9" s="1"/>
  <c r="M21" i="8"/>
  <c r="J126" i="2"/>
  <c r="J117" i="2"/>
  <c r="J108" i="2"/>
  <c r="J91" i="2"/>
  <c r="J78" i="2"/>
  <c r="J58" i="2"/>
  <c r="J136" i="2" l="1"/>
  <c r="E15" i="9"/>
  <c r="M175" i="8"/>
  <c r="E15" i="10"/>
  <c r="J16" i="10"/>
  <c r="K16" i="10" s="1"/>
  <c r="V13" i="3"/>
  <c r="G40" i="2"/>
  <c r="V12" i="3"/>
  <c r="W12" i="3" s="1"/>
  <c r="E13" i="10"/>
  <c r="V11" i="3"/>
  <c r="W11" i="3" s="1"/>
  <c r="E12" i="10"/>
  <c r="V10" i="3"/>
  <c r="P130" i="6"/>
  <c r="Q130" i="6" s="1"/>
  <c r="D29" i="7"/>
  <c r="P98" i="6"/>
  <c r="D25" i="7"/>
  <c r="P66" i="6"/>
  <c r="Q66" i="6" s="1"/>
  <c r="D21" i="7"/>
  <c r="G21" i="7" s="1"/>
  <c r="H21" i="7" s="1"/>
  <c r="P122" i="6"/>
  <c r="Q122" i="6" s="1"/>
  <c r="D28" i="7"/>
  <c r="G38" i="2"/>
  <c r="J17" i="10"/>
  <c r="L120" i="6"/>
  <c r="M114" i="6" s="1"/>
  <c r="E42" i="7"/>
  <c r="G25" i="10" s="1"/>
  <c r="E14" i="10"/>
  <c r="E18" i="10" s="1"/>
  <c r="E22" i="10" s="1"/>
  <c r="L130" i="2"/>
  <c r="P27" i="6"/>
  <c r="Q27" i="6" s="1"/>
  <c r="P19" i="6"/>
  <c r="Q19" i="6" s="1"/>
  <c r="P138" i="6"/>
  <c r="Q138" i="6" s="1"/>
  <c r="P52" i="6"/>
  <c r="Q52" i="6" s="1"/>
  <c r="G37" i="2"/>
  <c r="H37" i="2" s="1"/>
  <c r="G41" i="2"/>
  <c r="H41" i="2" s="1"/>
  <c r="G39" i="2"/>
  <c r="H39" i="2" s="1"/>
  <c r="W9" i="3"/>
  <c r="H92" i="2"/>
  <c r="H40" i="2"/>
  <c r="K24" i="8"/>
  <c r="L21" i="8" s="1"/>
  <c r="O21" i="8" s="1"/>
  <c r="K28" i="8"/>
  <c r="K31" i="8"/>
  <c r="K32" i="8"/>
  <c r="J37" i="8"/>
  <c r="K37" i="8" s="1"/>
  <c r="K38" i="8" s="1"/>
  <c r="K54" i="8"/>
  <c r="L50" i="8" s="1"/>
  <c r="O50" i="8" s="1"/>
  <c r="K69" i="8"/>
  <c r="L67" i="8" s="1"/>
  <c r="K72" i="8"/>
  <c r="K73" i="8"/>
  <c r="K101" i="8"/>
  <c r="K102" i="8"/>
  <c r="K107" i="8"/>
  <c r="K112" i="8"/>
  <c r="K115" i="8"/>
  <c r="K116" i="8"/>
  <c r="K117" i="8"/>
  <c r="K118" i="8"/>
  <c r="K119" i="8"/>
  <c r="K122" i="8"/>
  <c r="K131" i="8"/>
  <c r="K143" i="8"/>
  <c r="K162" i="8"/>
  <c r="L160" i="8" s="1"/>
  <c r="O160" i="8" s="1"/>
  <c r="K167" i="8"/>
  <c r="L169" i="8"/>
  <c r="O169" i="8" s="1"/>
  <c r="P169" i="8" s="1"/>
  <c r="E35" i="9"/>
  <c r="E36" i="9"/>
  <c r="E37" i="9"/>
  <c r="H12" i="2"/>
  <c r="H14" i="2"/>
  <c r="H15" i="2"/>
  <c r="H16" i="2"/>
  <c r="H17" i="2"/>
  <c r="H18" i="2"/>
  <c r="H19" i="2"/>
  <c r="H20" i="2"/>
  <c r="H21" i="2"/>
  <c r="H22" i="2"/>
  <c r="H23" i="2"/>
  <c r="H24" i="2"/>
  <c r="H32" i="2"/>
  <c r="H34" i="2" s="1"/>
  <c r="G12" i="10"/>
  <c r="H38" i="2"/>
  <c r="H61" i="2"/>
  <c r="H64" i="2"/>
  <c r="H65" i="2"/>
  <c r="H66" i="2"/>
  <c r="H67" i="2"/>
  <c r="H68" i="2"/>
  <c r="H69" i="2"/>
  <c r="H73" i="2"/>
  <c r="H79" i="2"/>
  <c r="H80" i="2" s="1"/>
  <c r="I78" i="2" s="1"/>
  <c r="H74" i="2"/>
  <c r="H99" i="2"/>
  <c r="H102" i="2"/>
  <c r="H111" i="2"/>
  <c r="H118" i="2"/>
  <c r="H127" i="2"/>
  <c r="H128" i="2" s="1"/>
  <c r="I126" i="2" s="1"/>
  <c r="L126" i="2" s="1"/>
  <c r="E13" i="4"/>
  <c r="E14" i="4"/>
  <c r="E15" i="4"/>
  <c r="E17" i="4"/>
  <c r="E18" i="4"/>
  <c r="E20" i="4"/>
  <c r="E21" i="4"/>
  <c r="E22" i="4"/>
  <c r="E23" i="4"/>
  <c r="E24" i="4"/>
  <c r="E25" i="4"/>
  <c r="E26" i="4"/>
  <c r="E27" i="4"/>
  <c r="E28" i="4"/>
  <c r="E29" i="4"/>
  <c r="E30" i="4"/>
  <c r="E31" i="4"/>
  <c r="H67" i="11"/>
  <c r="H77" i="11"/>
  <c r="H78" i="11" s="1"/>
  <c r="D25" i="13"/>
  <c r="H82" i="11"/>
  <c r="I80" i="11" s="1"/>
  <c r="L80" i="11" s="1"/>
  <c r="D26" i="13"/>
  <c r="F28" i="13"/>
  <c r="D28" i="13"/>
  <c r="G28" i="13" s="1"/>
  <c r="H13" i="11"/>
  <c r="H14" i="11"/>
  <c r="F14" i="13"/>
  <c r="D14" i="13"/>
  <c r="H23" i="11"/>
  <c r="H24" i="11" s="1"/>
  <c r="F15" i="13" s="1"/>
  <c r="D15" i="13"/>
  <c r="H27" i="11"/>
  <c r="H28" i="11"/>
  <c r="D16" i="13"/>
  <c r="H32" i="11"/>
  <c r="H33" i="11"/>
  <c r="H35" i="11" s="1"/>
  <c r="H38" i="11"/>
  <c r="H39" i="11"/>
  <c r="H40" i="11"/>
  <c r="H41" i="11"/>
  <c r="H42" i="11"/>
  <c r="D18" i="13"/>
  <c r="F19" i="13"/>
  <c r="D19" i="13"/>
  <c r="G19" i="13" s="1"/>
  <c r="F20" i="13"/>
  <c r="F21" i="13"/>
  <c r="E24" i="13"/>
  <c r="E25" i="13"/>
  <c r="E26" i="13"/>
  <c r="E27" i="13"/>
  <c r="E28" i="13"/>
  <c r="E13" i="13"/>
  <c r="E14" i="13"/>
  <c r="E15" i="13"/>
  <c r="E16" i="13"/>
  <c r="E17" i="13"/>
  <c r="E18" i="13"/>
  <c r="E19" i="13"/>
  <c r="E20" i="13"/>
  <c r="E21" i="13"/>
  <c r="B31" i="13"/>
  <c r="B29" i="13"/>
  <c r="B22" i="13"/>
  <c r="C28" i="13"/>
  <c r="C27" i="13"/>
  <c r="C26" i="13"/>
  <c r="C25" i="13"/>
  <c r="C24" i="13"/>
  <c r="B23" i="13"/>
  <c r="C21" i="13"/>
  <c r="C20" i="13"/>
  <c r="C19" i="13"/>
  <c r="C18" i="13"/>
  <c r="C17" i="13"/>
  <c r="C16" i="13"/>
  <c r="C15" i="13"/>
  <c r="C14" i="13"/>
  <c r="C13" i="13"/>
  <c r="B12" i="13"/>
  <c r="M90" i="11"/>
  <c r="M22" i="11"/>
  <c r="M17" i="11"/>
  <c r="C16" i="3"/>
  <c r="C23" i="3" s="1"/>
  <c r="I16" i="3"/>
  <c r="I23" i="3" s="1"/>
  <c r="J12" i="6"/>
  <c r="K12" i="6" s="1"/>
  <c r="K92" i="6"/>
  <c r="K108" i="6"/>
  <c r="L108" i="6" s="1"/>
  <c r="K94" i="6"/>
  <c r="H179" i="5" s="1"/>
  <c r="K110" i="6"/>
  <c r="L110" i="6" s="1"/>
  <c r="K93" i="6"/>
  <c r="H178" i="5" s="1"/>
  <c r="K109" i="6"/>
  <c r="L109" i="6" s="1"/>
  <c r="K95" i="6"/>
  <c r="K111" i="6"/>
  <c r="L111" i="6" s="1"/>
  <c r="N84" i="5"/>
  <c r="N85" i="5"/>
  <c r="P85" i="5" s="1"/>
  <c r="N86" i="5"/>
  <c r="P86" i="5" s="1"/>
  <c r="N87" i="5"/>
  <c r="P87" i="5" s="1"/>
  <c r="N88" i="5"/>
  <c r="N89" i="5"/>
  <c r="P89" i="5" s="1"/>
  <c r="N90" i="5"/>
  <c r="P90" i="5" s="1"/>
  <c r="N91" i="5"/>
  <c r="P91" i="5" s="1"/>
  <c r="N92" i="5"/>
  <c r="N93" i="5"/>
  <c r="P93" i="5" s="1"/>
  <c r="N94" i="5"/>
  <c r="P94" i="5" s="1"/>
  <c r="N95" i="5"/>
  <c r="P95" i="5" s="1"/>
  <c r="N96" i="5"/>
  <c r="N97" i="5"/>
  <c r="P97" i="5" s="1"/>
  <c r="N98" i="5"/>
  <c r="P98" i="5" s="1"/>
  <c r="N99" i="5"/>
  <c r="P99" i="5" s="1"/>
  <c r="N100" i="5"/>
  <c r="N101" i="5"/>
  <c r="P101" i="5" s="1"/>
  <c r="N102" i="5"/>
  <c r="P102" i="5" s="1"/>
  <c r="K103" i="5"/>
  <c r="N103" i="5"/>
  <c r="N104" i="5"/>
  <c r="P104" i="5" s="1"/>
  <c r="N105" i="5"/>
  <c r="N106" i="5"/>
  <c r="P106" i="5" s="1"/>
  <c r="K107" i="5"/>
  <c r="L107" i="5"/>
  <c r="N107" i="5"/>
  <c r="N108" i="5"/>
  <c r="P108" i="5" s="1"/>
  <c r="N109" i="5"/>
  <c r="P109" i="5" s="1"/>
  <c r="L110" i="5"/>
  <c r="N110" i="5"/>
  <c r="N111" i="5"/>
  <c r="P111" i="5" s="1"/>
  <c r="L112" i="5"/>
  <c r="N112" i="5"/>
  <c r="K113" i="5"/>
  <c r="L113" i="5"/>
  <c r="N113" i="5"/>
  <c r="K114" i="5"/>
  <c r="L114" i="5"/>
  <c r="N114" i="5"/>
  <c r="N115" i="5"/>
  <c r="P115" i="5" s="1"/>
  <c r="K116" i="5"/>
  <c r="L116" i="5"/>
  <c r="N116" i="5"/>
  <c r="N117" i="5"/>
  <c r="P117" i="5" s="1"/>
  <c r="N118" i="5"/>
  <c r="P118" i="5" s="1"/>
  <c r="N119" i="5"/>
  <c r="N120" i="5"/>
  <c r="P120" i="5" s="1"/>
  <c r="N121" i="5"/>
  <c r="P121" i="5" s="1"/>
  <c r="N122" i="5"/>
  <c r="P122" i="5" s="1"/>
  <c r="K123" i="5"/>
  <c r="L123" i="5"/>
  <c r="N123" i="5"/>
  <c r="N124" i="5"/>
  <c r="P124" i="5" s="1"/>
  <c r="K125" i="5"/>
  <c r="L125" i="5"/>
  <c r="N125" i="5"/>
  <c r="N126" i="5"/>
  <c r="P126" i="5" s="1"/>
  <c r="N127" i="5"/>
  <c r="N128" i="5"/>
  <c r="P128" i="5" s="1"/>
  <c r="N129" i="5"/>
  <c r="P129" i="5" s="1"/>
  <c r="N130" i="5"/>
  <c r="P130" i="5" s="1"/>
  <c r="N131" i="5"/>
  <c r="N132" i="5"/>
  <c r="P132" i="5" s="1"/>
  <c r="N133" i="5"/>
  <c r="P133" i="5" s="1"/>
  <c r="N134" i="5"/>
  <c r="P134" i="5" s="1"/>
  <c r="K135" i="5"/>
  <c r="N135" i="5"/>
  <c r="N136" i="5"/>
  <c r="N137" i="5"/>
  <c r="P137" i="5" s="1"/>
  <c r="N138" i="5"/>
  <c r="P138" i="5" s="1"/>
  <c r="N139" i="5"/>
  <c r="P139" i="5" s="1"/>
  <c r="N140" i="5"/>
  <c r="N141" i="5"/>
  <c r="P141" i="5" s="1"/>
  <c r="K142" i="5"/>
  <c r="L142" i="5"/>
  <c r="N142" i="5"/>
  <c r="K143" i="5"/>
  <c r="L143" i="5"/>
  <c r="N143" i="5"/>
  <c r="K144" i="5"/>
  <c r="L144" i="5"/>
  <c r="N144" i="5"/>
  <c r="K145" i="5"/>
  <c r="L145" i="5"/>
  <c r="N145" i="5"/>
  <c r="K146" i="5"/>
  <c r="L146" i="5"/>
  <c r="N146" i="5"/>
  <c r="K147" i="5"/>
  <c r="L147" i="5"/>
  <c r="N147" i="5"/>
  <c r="K148" i="5"/>
  <c r="L148" i="5"/>
  <c r="N148" i="5"/>
  <c r="K149" i="5"/>
  <c r="L149" i="5"/>
  <c r="N149" i="5"/>
  <c r="K150" i="5"/>
  <c r="L150" i="5"/>
  <c r="N150" i="5"/>
  <c r="K151" i="5"/>
  <c r="L151" i="5"/>
  <c r="N151" i="5"/>
  <c r="K152" i="5"/>
  <c r="L152" i="5"/>
  <c r="N152" i="5"/>
  <c r="K153" i="5"/>
  <c r="L153" i="5"/>
  <c r="N153" i="5"/>
  <c r="K154" i="5"/>
  <c r="L154" i="5"/>
  <c r="N154" i="5"/>
  <c r="K155" i="5"/>
  <c r="L155" i="5"/>
  <c r="N155" i="5"/>
  <c r="K156" i="5"/>
  <c r="L156" i="5"/>
  <c r="N156" i="5"/>
  <c r="K157" i="5"/>
  <c r="L157" i="5"/>
  <c r="N157" i="5"/>
  <c r="K158" i="5"/>
  <c r="L158" i="5"/>
  <c r="N158" i="5"/>
  <c r="K159" i="5"/>
  <c r="L159" i="5"/>
  <c r="N159" i="5"/>
  <c r="K160" i="5"/>
  <c r="L160" i="5"/>
  <c r="N160" i="5"/>
  <c r="K161" i="5"/>
  <c r="L161" i="5"/>
  <c r="N161" i="5"/>
  <c r="K162" i="5"/>
  <c r="L162" i="5"/>
  <c r="N162" i="5"/>
  <c r="K163" i="5"/>
  <c r="L163" i="5"/>
  <c r="N163" i="5"/>
  <c r="K164" i="5"/>
  <c r="L164" i="5"/>
  <c r="N164" i="5"/>
  <c r="K165" i="5"/>
  <c r="L165" i="5"/>
  <c r="N165" i="5"/>
  <c r="N83" i="5"/>
  <c r="P83" i="5" s="1"/>
  <c r="K9" i="5"/>
  <c r="L9" i="5"/>
  <c r="N9" i="5"/>
  <c r="K10" i="5"/>
  <c r="L10" i="5"/>
  <c r="N10" i="5"/>
  <c r="K11" i="5"/>
  <c r="L11" i="5"/>
  <c r="N11" i="5"/>
  <c r="K12" i="5"/>
  <c r="L12" i="5"/>
  <c r="N12" i="5"/>
  <c r="K13" i="5"/>
  <c r="L13" i="5"/>
  <c r="N13" i="5"/>
  <c r="K14" i="5"/>
  <c r="L14" i="5"/>
  <c r="N14" i="5"/>
  <c r="K15" i="5"/>
  <c r="L15" i="5"/>
  <c r="N15" i="5"/>
  <c r="K8" i="5"/>
  <c r="L8" i="5"/>
  <c r="N8" i="5"/>
  <c r="G19" i="5"/>
  <c r="L155" i="6" s="1"/>
  <c r="J20" i="5"/>
  <c r="M20" i="5"/>
  <c r="N19" i="5"/>
  <c r="N20" i="5" s="1"/>
  <c r="K24" i="5"/>
  <c r="L24" i="5"/>
  <c r="N24" i="5"/>
  <c r="K25" i="5"/>
  <c r="L25" i="5"/>
  <c r="N25" i="5"/>
  <c r="K26" i="5"/>
  <c r="L26" i="5"/>
  <c r="N26" i="5"/>
  <c r="K27" i="5"/>
  <c r="L27" i="5"/>
  <c r="N27" i="5"/>
  <c r="K28" i="5"/>
  <c r="L28" i="5"/>
  <c r="N28" i="5"/>
  <c r="K29" i="5"/>
  <c r="L29" i="5"/>
  <c r="N29" i="5"/>
  <c r="K30" i="5"/>
  <c r="L30" i="5"/>
  <c r="N30" i="5"/>
  <c r="K31" i="5"/>
  <c r="L31" i="5"/>
  <c r="N31" i="5"/>
  <c r="K32" i="5"/>
  <c r="L32" i="5"/>
  <c r="N32" i="5"/>
  <c r="K33" i="5"/>
  <c r="L33" i="5"/>
  <c r="N33" i="5"/>
  <c r="K34" i="5"/>
  <c r="L34" i="5"/>
  <c r="N34" i="5"/>
  <c r="K35" i="5"/>
  <c r="L35" i="5"/>
  <c r="N35" i="5"/>
  <c r="K36" i="5"/>
  <c r="L36" i="5"/>
  <c r="N36" i="5"/>
  <c r="K37" i="5"/>
  <c r="L37" i="5"/>
  <c r="N37" i="5"/>
  <c r="K38" i="5"/>
  <c r="L38" i="5"/>
  <c r="N38" i="5"/>
  <c r="K23" i="5"/>
  <c r="L23" i="5"/>
  <c r="N23" i="5"/>
  <c r="K50" i="5"/>
  <c r="L50" i="5"/>
  <c r="N50" i="5"/>
  <c r="K51" i="5"/>
  <c r="L51" i="5"/>
  <c r="N51" i="5"/>
  <c r="K52" i="5"/>
  <c r="L52" i="5"/>
  <c r="N52" i="5"/>
  <c r="K53" i="5"/>
  <c r="L53" i="5"/>
  <c r="N53" i="5"/>
  <c r="K54" i="5"/>
  <c r="L54" i="5"/>
  <c r="N54" i="5"/>
  <c r="K55" i="5"/>
  <c r="L55" i="5"/>
  <c r="N55" i="5"/>
  <c r="K56" i="5"/>
  <c r="L56" i="5"/>
  <c r="N56" i="5"/>
  <c r="K57" i="5"/>
  <c r="L57" i="5"/>
  <c r="N57" i="5"/>
  <c r="K58" i="5"/>
  <c r="L58" i="5"/>
  <c r="N58" i="5"/>
  <c r="K59" i="5"/>
  <c r="L59" i="5"/>
  <c r="N59" i="5"/>
  <c r="K60" i="5"/>
  <c r="L60" i="5"/>
  <c r="N60" i="5"/>
  <c r="K61" i="5"/>
  <c r="L61" i="5"/>
  <c r="N61" i="5"/>
  <c r="K49" i="5"/>
  <c r="L49" i="5"/>
  <c r="N49" i="5"/>
  <c r="K91" i="6"/>
  <c r="H92" i="11"/>
  <c r="G74" i="11"/>
  <c r="H74" i="11" s="1"/>
  <c r="I66" i="11" s="1"/>
  <c r="G73" i="11"/>
  <c r="H73" i="11" s="1"/>
  <c r="H72" i="11"/>
  <c r="H61" i="11"/>
  <c r="I56" i="11" s="1"/>
  <c r="H19" i="11"/>
  <c r="H18" i="11"/>
  <c r="D27" i="9"/>
  <c r="C26" i="10"/>
  <c r="B26" i="10"/>
  <c r="C25" i="10"/>
  <c r="B25" i="10"/>
  <c r="D30" i="4"/>
  <c r="G30" i="4" s="1"/>
  <c r="C24" i="10"/>
  <c r="B24" i="10"/>
  <c r="V14" i="3"/>
  <c r="K17" i="10"/>
  <c r="R14" i="3"/>
  <c r="R16" i="3" s="1"/>
  <c r="R23" i="3" s="1"/>
  <c r="G14" i="10"/>
  <c r="P16" i="3"/>
  <c r="C15" i="10"/>
  <c r="C14" i="10"/>
  <c r="C13" i="10"/>
  <c r="C12" i="10"/>
  <c r="C11" i="10"/>
  <c r="G17" i="10"/>
  <c r="K61" i="6"/>
  <c r="L61" i="6" s="1"/>
  <c r="K62" i="6"/>
  <c r="K63" i="6"/>
  <c r="L63" i="6" s="1"/>
  <c r="K60" i="6"/>
  <c r="L60" i="6" s="1"/>
  <c r="H39" i="5"/>
  <c r="K174" i="6" s="1"/>
  <c r="L174" i="6" s="1"/>
  <c r="H16" i="5"/>
  <c r="K172" i="6" s="1"/>
  <c r="K168" i="6"/>
  <c r="L168" i="6" s="1"/>
  <c r="G39" i="5"/>
  <c r="K164" i="6" s="1"/>
  <c r="L164" i="6" s="1"/>
  <c r="G16" i="5"/>
  <c r="C37" i="9"/>
  <c r="C36" i="9"/>
  <c r="C35" i="9"/>
  <c r="C34" i="9"/>
  <c r="C32" i="9"/>
  <c r="C31" i="9"/>
  <c r="C30" i="9"/>
  <c r="C29" i="9"/>
  <c r="C28" i="9"/>
  <c r="C27" i="9"/>
  <c r="C26" i="9"/>
  <c r="C24" i="9"/>
  <c r="C23" i="9"/>
  <c r="C19" i="9"/>
  <c r="C17" i="9"/>
  <c r="C16" i="9"/>
  <c r="C15" i="9"/>
  <c r="G127" i="8"/>
  <c r="J167" i="8"/>
  <c r="J140" i="8"/>
  <c r="J141" i="8" s="1"/>
  <c r="J98" i="8"/>
  <c r="B40" i="7"/>
  <c r="B39" i="7"/>
  <c r="B38" i="7"/>
  <c r="B36" i="7"/>
  <c r="B35" i="7"/>
  <c r="B34" i="7"/>
  <c r="B33" i="7"/>
  <c r="B32" i="7"/>
  <c r="B31" i="7"/>
  <c r="B29" i="7"/>
  <c r="B28" i="7"/>
  <c r="B27" i="7"/>
  <c r="B26" i="7"/>
  <c r="B25" i="7"/>
  <c r="B24" i="7"/>
  <c r="B23" i="7"/>
  <c r="B21" i="7"/>
  <c r="B20" i="7"/>
  <c r="B19" i="7"/>
  <c r="B17" i="7"/>
  <c r="C13" i="4"/>
  <c r="B15" i="7"/>
  <c r="B14" i="7"/>
  <c r="J19" i="8"/>
  <c r="A41" i="7"/>
  <c r="A40" i="7"/>
  <c r="A39" i="7"/>
  <c r="A38" i="7"/>
  <c r="A36" i="7"/>
  <c r="A35" i="7"/>
  <c r="A34" i="7"/>
  <c r="A33" i="7"/>
  <c r="A32" i="7"/>
  <c r="A31" i="7"/>
  <c r="A29" i="7"/>
  <c r="A28" i="7"/>
  <c r="A27" i="7"/>
  <c r="A26" i="7"/>
  <c r="A25" i="7"/>
  <c r="A24" i="7"/>
  <c r="A23" i="7"/>
  <c r="A19" i="7"/>
  <c r="A17" i="7"/>
  <c r="A15" i="7"/>
  <c r="A14" i="7"/>
  <c r="M179" i="5"/>
  <c r="N176" i="5"/>
  <c r="N177" i="5"/>
  <c r="N178" i="5"/>
  <c r="N180" i="5"/>
  <c r="G253" i="6"/>
  <c r="L252" i="6"/>
  <c r="L251" i="6"/>
  <c r="L250" i="6"/>
  <c r="L249" i="6"/>
  <c r="L248" i="6"/>
  <c r="L247" i="6"/>
  <c r="L246" i="6"/>
  <c r="L222" i="6"/>
  <c r="L223" i="6" s="1"/>
  <c r="M211" i="6" s="1"/>
  <c r="D39" i="7" s="1"/>
  <c r="G39" i="7" s="1"/>
  <c r="K198" i="6"/>
  <c r="L198" i="6" s="1"/>
  <c r="K41" i="6"/>
  <c r="E288" i="5"/>
  <c r="F288" i="5" s="1"/>
  <c r="G280" i="5"/>
  <c r="F280" i="5"/>
  <c r="E272" i="5"/>
  <c r="G271" i="5"/>
  <c r="F271" i="5"/>
  <c r="E263" i="5"/>
  <c r="E265" i="5" s="1"/>
  <c r="F265" i="5" s="1"/>
  <c r="E217" i="5"/>
  <c r="F217" i="5" s="1"/>
  <c r="J190" i="5"/>
  <c r="H20" i="5"/>
  <c r="I179" i="5"/>
  <c r="I176" i="5"/>
  <c r="I180" i="5"/>
  <c r="I178" i="5"/>
  <c r="I177" i="5"/>
  <c r="G176" i="5"/>
  <c r="L41" i="6"/>
  <c r="M35" i="6" s="1"/>
  <c r="D17" i="7" s="1"/>
  <c r="G17" i="7" s="1"/>
  <c r="H17" i="7" s="1"/>
  <c r="K107" i="6"/>
  <c r="L107" i="6" s="1"/>
  <c r="G177" i="5"/>
  <c r="G178" i="5"/>
  <c r="G179" i="5"/>
  <c r="G180" i="5"/>
  <c r="K176" i="5"/>
  <c r="L180" i="5"/>
  <c r="K88" i="6"/>
  <c r="L88" i="6"/>
  <c r="M82" i="6" s="1"/>
  <c r="D23" i="7" s="1"/>
  <c r="L179" i="5"/>
  <c r="K179" i="5"/>
  <c r="L178" i="5"/>
  <c r="K178" i="5"/>
  <c r="C31" i="4"/>
  <c r="C30" i="4"/>
  <c r="C28" i="4"/>
  <c r="C27" i="4"/>
  <c r="C26" i="4"/>
  <c r="C23" i="4"/>
  <c r="C22" i="4"/>
  <c r="C21" i="4"/>
  <c r="C19" i="4"/>
  <c r="C18" i="4"/>
  <c r="C17" i="4"/>
  <c r="C16" i="4"/>
  <c r="C15" i="4"/>
  <c r="C14" i="4"/>
  <c r="L16" i="3"/>
  <c r="L23" i="3" s="1"/>
  <c r="H16" i="3"/>
  <c r="H23" i="3" s="1"/>
  <c r="G16" i="3"/>
  <c r="G23" i="3" s="1"/>
  <c r="F16" i="3"/>
  <c r="F23" i="3" s="1"/>
  <c r="D16" i="3"/>
  <c r="D23" i="3" s="1"/>
  <c r="G13" i="10"/>
  <c r="J16" i="3"/>
  <c r="J23" i="3" s="1"/>
  <c r="N16" i="3"/>
  <c r="N23" i="3" s="1"/>
  <c r="K16" i="3"/>
  <c r="K23" i="3" s="1"/>
  <c r="M16" i="3"/>
  <c r="M23" i="3" s="1"/>
  <c r="L177" i="5"/>
  <c r="J120" i="6"/>
  <c r="G15" i="10"/>
  <c r="W13" i="3"/>
  <c r="E16" i="3"/>
  <c r="E23" i="3" s="1"/>
  <c r="H28" i="13"/>
  <c r="K162" i="6" l="1"/>
  <c r="L162" i="6" s="1"/>
  <c r="L62" i="6"/>
  <c r="K80" i="6"/>
  <c r="P31" i="5"/>
  <c r="P30" i="5"/>
  <c r="P29" i="5"/>
  <c r="P28" i="5"/>
  <c r="P27" i="5"/>
  <c r="P26" i="5"/>
  <c r="P25" i="5"/>
  <c r="P24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0" i="5"/>
  <c r="Q140" i="5" s="1"/>
  <c r="P136" i="5"/>
  <c r="Q136" i="5" s="1"/>
  <c r="P135" i="5"/>
  <c r="P131" i="5"/>
  <c r="Q131" i="5" s="1"/>
  <c r="P127" i="5"/>
  <c r="Q127" i="5" s="1"/>
  <c r="P125" i="5"/>
  <c r="P123" i="5"/>
  <c r="P119" i="5"/>
  <c r="Q119" i="5" s="1"/>
  <c r="P116" i="5"/>
  <c r="P114" i="5"/>
  <c r="P113" i="5"/>
  <c r="P112" i="5"/>
  <c r="P110" i="5"/>
  <c r="P107" i="5"/>
  <c r="P105" i="5"/>
  <c r="Q105" i="5" s="1"/>
  <c r="P103" i="5"/>
  <c r="P100" i="5"/>
  <c r="Q100" i="5" s="1"/>
  <c r="P96" i="5"/>
  <c r="Q96" i="5" s="1"/>
  <c r="P92" i="5"/>
  <c r="Q92" i="5" s="1"/>
  <c r="P88" i="5"/>
  <c r="Q88" i="5" s="1"/>
  <c r="P84" i="5"/>
  <c r="Q84" i="5" s="1"/>
  <c r="V16" i="3"/>
  <c r="V23" i="3" s="1"/>
  <c r="W23" i="3" s="1"/>
  <c r="P23" i="3"/>
  <c r="H176" i="5"/>
  <c r="J147" i="6"/>
  <c r="H177" i="5"/>
  <c r="J148" i="6"/>
  <c r="L156" i="6"/>
  <c r="K173" i="6"/>
  <c r="L173" i="6" s="1"/>
  <c r="K177" i="6"/>
  <c r="L56" i="11"/>
  <c r="D21" i="13"/>
  <c r="L66" i="11"/>
  <c r="D24" i="13"/>
  <c r="K31" i="11"/>
  <c r="I31" i="11"/>
  <c r="D17" i="13" s="1"/>
  <c r="Q165" i="5"/>
  <c r="Q161" i="5"/>
  <c r="Q157" i="5"/>
  <c r="Q148" i="5"/>
  <c r="Q144" i="5"/>
  <c r="Q135" i="5"/>
  <c r="Q125" i="5"/>
  <c r="Q112" i="5"/>
  <c r="H88" i="11"/>
  <c r="I84" i="11" s="1"/>
  <c r="Q153" i="5"/>
  <c r="H76" i="2"/>
  <c r="I72" i="2" s="1"/>
  <c r="E32" i="4"/>
  <c r="D21" i="4"/>
  <c r="G21" i="4" s="1"/>
  <c r="L78" i="2"/>
  <c r="E38" i="9"/>
  <c r="G26" i="10" s="1"/>
  <c r="D20" i="9"/>
  <c r="G20" i="9" s="1"/>
  <c r="H20" i="9" s="1"/>
  <c r="K34" i="8"/>
  <c r="L31" i="11"/>
  <c r="M31" i="11" s="1"/>
  <c r="F17" i="13"/>
  <c r="G17" i="13"/>
  <c r="G15" i="13"/>
  <c r="H15" i="13" s="1"/>
  <c r="G21" i="13"/>
  <c r="H21" i="13" s="1"/>
  <c r="H19" i="13"/>
  <c r="H43" i="11"/>
  <c r="H29" i="11"/>
  <c r="K26" i="11" s="1"/>
  <c r="G14" i="13"/>
  <c r="H14" i="13" s="1"/>
  <c r="H15" i="11"/>
  <c r="I12" i="11" s="1"/>
  <c r="H54" i="11"/>
  <c r="E29" i="13"/>
  <c r="P50" i="5"/>
  <c r="Q50" i="5" s="1"/>
  <c r="P49" i="5"/>
  <c r="Q49" i="5" s="1"/>
  <c r="P58" i="5"/>
  <c r="Q58" i="5" s="1"/>
  <c r="P54" i="5"/>
  <c r="Q54" i="5" s="1"/>
  <c r="P59" i="5"/>
  <c r="Q59" i="5" s="1"/>
  <c r="P51" i="5"/>
  <c r="Q51" i="5" s="1"/>
  <c r="Q164" i="5"/>
  <c r="Q113" i="5"/>
  <c r="K19" i="5"/>
  <c r="P55" i="5"/>
  <c r="Q55" i="5" s="1"/>
  <c r="Q160" i="5"/>
  <c r="Q156" i="5"/>
  <c r="Q152" i="5"/>
  <c r="Q123" i="5"/>
  <c r="P60" i="5"/>
  <c r="Q60" i="5" s="1"/>
  <c r="P56" i="5"/>
  <c r="Q56" i="5" s="1"/>
  <c r="P52" i="5"/>
  <c r="Q52" i="5" s="1"/>
  <c r="P15" i="5"/>
  <c r="Q15" i="5" s="1"/>
  <c r="Q163" i="5"/>
  <c r="Q159" i="5"/>
  <c r="Q155" i="5"/>
  <c r="Q151" i="5"/>
  <c r="Q147" i="5"/>
  <c r="Q143" i="5"/>
  <c r="Q141" i="5"/>
  <c r="Q137" i="5"/>
  <c r="Q132" i="5"/>
  <c r="Q128" i="5"/>
  <c r="Q120" i="5"/>
  <c r="Q108" i="5"/>
  <c r="Q106" i="5"/>
  <c r="Q101" i="5"/>
  <c r="Q97" i="5"/>
  <c r="Q93" i="5"/>
  <c r="Q89" i="5"/>
  <c r="Q85" i="5"/>
  <c r="P61" i="5"/>
  <c r="Q61" i="5" s="1"/>
  <c r="P57" i="5"/>
  <c r="Q57" i="5" s="1"/>
  <c r="P53" i="5"/>
  <c r="Q53" i="5" s="1"/>
  <c r="Q162" i="5"/>
  <c r="Q158" i="5"/>
  <c r="Q154" i="5"/>
  <c r="Q150" i="5"/>
  <c r="Q146" i="5"/>
  <c r="Q142" i="5"/>
  <c r="Q138" i="5"/>
  <c r="Q133" i="5"/>
  <c r="Q129" i="5"/>
  <c r="Q121" i="5"/>
  <c r="Q117" i="5"/>
  <c r="Q115" i="5"/>
  <c r="Q109" i="5"/>
  <c r="Q107" i="5"/>
  <c r="Q102" i="5"/>
  <c r="Q98" i="5"/>
  <c r="Q94" i="5"/>
  <c r="Q90" i="5"/>
  <c r="Q86" i="5"/>
  <c r="Q149" i="5"/>
  <c r="Q145" i="5"/>
  <c r="Q139" i="5"/>
  <c r="Q134" i="5"/>
  <c r="Q130" i="5"/>
  <c r="Q126" i="5"/>
  <c r="Q124" i="5"/>
  <c r="Q122" i="5"/>
  <c r="Q118" i="5"/>
  <c r="Q116" i="5"/>
  <c r="Q114" i="5"/>
  <c r="Q111" i="5"/>
  <c r="Q110" i="5"/>
  <c r="Q104" i="5"/>
  <c r="Q103" i="5"/>
  <c r="Q99" i="5"/>
  <c r="Q95" i="5"/>
  <c r="Q91" i="5"/>
  <c r="Q87" i="5"/>
  <c r="N62" i="5"/>
  <c r="I20" i="5"/>
  <c r="K20" i="5"/>
  <c r="J62" i="5"/>
  <c r="I62" i="5"/>
  <c r="P114" i="6"/>
  <c r="D27" i="7"/>
  <c r="K62" i="5"/>
  <c r="L62" i="5"/>
  <c r="M168" i="5"/>
  <c r="K168" i="5"/>
  <c r="J168" i="5"/>
  <c r="I168" i="5"/>
  <c r="I186" i="6" s="1"/>
  <c r="L186" i="6" s="1"/>
  <c r="L168" i="5"/>
  <c r="N168" i="5"/>
  <c r="M39" i="5"/>
  <c r="I16" i="5"/>
  <c r="L39" i="5"/>
  <c r="N39" i="5"/>
  <c r="L19" i="5"/>
  <c r="N16" i="5"/>
  <c r="J16" i="5"/>
  <c r="G20" i="5"/>
  <c r="H280" i="5"/>
  <c r="J280" i="5" s="1"/>
  <c r="K39" i="5"/>
  <c r="M16" i="5"/>
  <c r="L204" i="6"/>
  <c r="I190" i="5"/>
  <c r="J39" i="5"/>
  <c r="L203" i="6"/>
  <c r="I39" i="5"/>
  <c r="I182" i="6" s="1"/>
  <c r="L182" i="6" s="1"/>
  <c r="K16" i="5"/>
  <c r="O185" i="5"/>
  <c r="O187" i="5"/>
  <c r="P187" i="5" s="1"/>
  <c r="L16" i="5"/>
  <c r="E22" i="13"/>
  <c r="E31" i="13"/>
  <c r="D15" i="9"/>
  <c r="G15" i="9" s="1"/>
  <c r="H15" i="9" s="1"/>
  <c r="D35" i="9"/>
  <c r="G35" i="9" s="1"/>
  <c r="H35" i="9" s="1"/>
  <c r="H271" i="5"/>
  <c r="I271" i="5" s="1"/>
  <c r="O186" i="5"/>
  <c r="P186" i="5" s="1"/>
  <c r="J180" i="5"/>
  <c r="J13" i="6"/>
  <c r="K13" i="6" s="1"/>
  <c r="L13" i="6" s="1"/>
  <c r="L112" i="6"/>
  <c r="M106" i="6" s="1"/>
  <c r="D26" i="7" s="1"/>
  <c r="O211" i="6"/>
  <c r="J42" i="7"/>
  <c r="F13" i="13"/>
  <c r="F27" i="13"/>
  <c r="M76" i="11"/>
  <c r="F25" i="13"/>
  <c r="G25" i="13" s="1"/>
  <c r="F24" i="13"/>
  <c r="G24" i="13" s="1"/>
  <c r="M66" i="11"/>
  <c r="M37" i="11"/>
  <c r="F18" i="13"/>
  <c r="G18" i="13" s="1"/>
  <c r="F16" i="13"/>
  <c r="M80" i="11"/>
  <c r="F26" i="13"/>
  <c r="K64" i="6"/>
  <c r="M56" i="11"/>
  <c r="D37" i="9"/>
  <c r="G37" i="9" s="1"/>
  <c r="H37" i="9" s="1"/>
  <c r="O189" i="5"/>
  <c r="P189" i="5" s="1"/>
  <c r="L64" i="6"/>
  <c r="G24" i="10"/>
  <c r="G29" i="10" s="1"/>
  <c r="L164" i="8"/>
  <c r="F33" i="9"/>
  <c r="G33" i="9" s="1"/>
  <c r="H33" i="9" s="1"/>
  <c r="L138" i="8"/>
  <c r="N129" i="8"/>
  <c r="F31" i="9" s="1"/>
  <c r="L129" i="8"/>
  <c r="N36" i="8"/>
  <c r="F18" i="9" s="1"/>
  <c r="L36" i="8"/>
  <c r="G181" i="5"/>
  <c r="J176" i="5"/>
  <c r="L253" i="6"/>
  <c r="O245" i="6" s="1"/>
  <c r="I198" i="5"/>
  <c r="L91" i="6"/>
  <c r="K147" i="6"/>
  <c r="L92" i="6"/>
  <c r="K148" i="6"/>
  <c r="L148" i="6" s="1"/>
  <c r="G18" i="10"/>
  <c r="G22" i="10" s="1"/>
  <c r="L172" i="6"/>
  <c r="L177" i="6" s="1"/>
  <c r="L202" i="6"/>
  <c r="P8" i="5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23" i="5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Q31" i="5"/>
  <c r="Q30" i="5"/>
  <c r="Q29" i="5"/>
  <c r="Q28" i="5"/>
  <c r="Q27" i="5"/>
  <c r="Q26" i="5"/>
  <c r="Q25" i="5"/>
  <c r="Q24" i="5"/>
  <c r="L95" i="6"/>
  <c r="J151" i="6"/>
  <c r="K151" i="6" s="1"/>
  <c r="L151" i="6" s="1"/>
  <c r="L93" i="6"/>
  <c r="J149" i="6"/>
  <c r="K149" i="6" s="1"/>
  <c r="L94" i="6"/>
  <c r="J150" i="6"/>
  <c r="K150" i="6" s="1"/>
  <c r="L150" i="6" s="1"/>
  <c r="L176" i="5"/>
  <c r="L181" i="5" s="1"/>
  <c r="K120" i="6"/>
  <c r="P35" i="6"/>
  <c r="Q35" i="6" s="1"/>
  <c r="L12" i="6"/>
  <c r="K180" i="5"/>
  <c r="K177" i="5"/>
  <c r="J178" i="5"/>
  <c r="P82" i="6"/>
  <c r="Q82" i="6" s="1"/>
  <c r="J177" i="5"/>
  <c r="Q98" i="6"/>
  <c r="K136" i="6"/>
  <c r="N179" i="5"/>
  <c r="N181" i="5" s="1"/>
  <c r="M176" i="5"/>
  <c r="M177" i="5"/>
  <c r="H180" i="5"/>
  <c r="L109" i="8"/>
  <c r="L105" i="8"/>
  <c r="L83" i="8"/>
  <c r="L61" i="8"/>
  <c r="L26" i="8"/>
  <c r="O26" i="8" s="1"/>
  <c r="P26" i="8" s="1"/>
  <c r="I108" i="2"/>
  <c r="I95" i="2"/>
  <c r="F20" i="4"/>
  <c r="I58" i="2"/>
  <c r="K31" i="2"/>
  <c r="K136" i="2" s="1"/>
  <c r="I31" i="2"/>
  <c r="I181" i="5"/>
  <c r="K112" i="6"/>
  <c r="J179" i="5"/>
  <c r="K96" i="6"/>
  <c r="M178" i="5"/>
  <c r="M180" i="5"/>
  <c r="G15" i="7"/>
  <c r="I11" i="10"/>
  <c r="I15" i="10"/>
  <c r="I13" i="10"/>
  <c r="W16" i="3"/>
  <c r="I14" i="10"/>
  <c r="P21" i="8"/>
  <c r="K136" i="8"/>
  <c r="K74" i="8"/>
  <c r="K103" i="8"/>
  <c r="O100" i="8" s="1"/>
  <c r="P100" i="8" s="1"/>
  <c r="K59" i="8"/>
  <c r="P160" i="8"/>
  <c r="K127" i="8"/>
  <c r="K98" i="8"/>
  <c r="K81" i="8"/>
  <c r="K19" i="8"/>
  <c r="K158" i="8"/>
  <c r="P50" i="8"/>
  <c r="H115" i="2"/>
  <c r="H93" i="2"/>
  <c r="H89" i="2"/>
  <c r="H120" i="2"/>
  <c r="M122" i="2"/>
  <c r="H31" i="4"/>
  <c r="M130" i="2"/>
  <c r="H30" i="4"/>
  <c r="M126" i="2"/>
  <c r="H106" i="2"/>
  <c r="I101" i="2" s="1"/>
  <c r="H14" i="4"/>
  <c r="H70" i="2"/>
  <c r="H56" i="2"/>
  <c r="H42" i="2"/>
  <c r="H25" i="2"/>
  <c r="K163" i="6" l="1"/>
  <c r="F81" i="5"/>
  <c r="H81" i="5" s="1"/>
  <c r="H82" i="5" s="1"/>
  <c r="I82" i="5" s="1"/>
  <c r="K195" i="6"/>
  <c r="L195" i="6" s="1"/>
  <c r="P179" i="5"/>
  <c r="Q179" i="5" s="1"/>
  <c r="R179" i="5" s="1"/>
  <c r="H181" i="5"/>
  <c r="P180" i="5"/>
  <c r="Q180" i="5" s="1"/>
  <c r="R180" i="5" s="1"/>
  <c r="P178" i="5"/>
  <c r="Q178" i="5" s="1"/>
  <c r="R178" i="5" s="1"/>
  <c r="P177" i="5"/>
  <c r="Q177" i="5" s="1"/>
  <c r="R177" i="5" s="1"/>
  <c r="P176" i="5"/>
  <c r="L157" i="6"/>
  <c r="I181" i="6"/>
  <c r="L181" i="6" s="1"/>
  <c r="I185" i="6"/>
  <c r="L185" i="6" s="1"/>
  <c r="I184" i="6"/>
  <c r="L184" i="6" s="1"/>
  <c r="L12" i="11"/>
  <c r="M12" i="11" s="1"/>
  <c r="D13" i="13"/>
  <c r="G13" i="13" s="1"/>
  <c r="L84" i="11"/>
  <c r="M84" i="11" s="1"/>
  <c r="D27" i="13"/>
  <c r="D29" i="13" s="1"/>
  <c r="I94" i="11"/>
  <c r="L94" i="11" s="1"/>
  <c r="I50" i="11"/>
  <c r="L20" i="5"/>
  <c r="P19" i="5"/>
  <c r="Q19" i="5" s="1"/>
  <c r="I180" i="6"/>
  <c r="F36" i="9"/>
  <c r="O164" i="8"/>
  <c r="P164" i="8" s="1"/>
  <c r="D15" i="4"/>
  <c r="L31" i="2"/>
  <c r="G31" i="10"/>
  <c r="L72" i="2"/>
  <c r="M72" i="2" s="1"/>
  <c r="D20" i="4"/>
  <c r="G20" i="4" s="1"/>
  <c r="L50" i="11"/>
  <c r="M50" i="11" s="1"/>
  <c r="D20" i="13"/>
  <c r="G16" i="13"/>
  <c r="H16" i="13" s="1"/>
  <c r="H18" i="13"/>
  <c r="H25" i="13"/>
  <c r="G26" i="13"/>
  <c r="H26" i="13" s="1"/>
  <c r="L26" i="11"/>
  <c r="M26" i="11" s="1"/>
  <c r="G27" i="13"/>
  <c r="H27" i="13" s="1"/>
  <c r="H17" i="13"/>
  <c r="L147" i="6"/>
  <c r="K152" i="6"/>
  <c r="Q83" i="5"/>
  <c r="Q168" i="5" s="1"/>
  <c r="P168" i="5"/>
  <c r="J234" i="6" s="1"/>
  <c r="L234" i="6" s="1"/>
  <c r="Q62" i="5"/>
  <c r="P62" i="5"/>
  <c r="J232" i="6" s="1"/>
  <c r="L232" i="6" s="1"/>
  <c r="M31" i="2"/>
  <c r="P16" i="5"/>
  <c r="J230" i="6" s="1"/>
  <c r="L230" i="6" s="1"/>
  <c r="M171" i="6"/>
  <c r="N175" i="6" s="1"/>
  <c r="J14" i="6"/>
  <c r="J15" i="6" s="1"/>
  <c r="K15" i="6" s="1"/>
  <c r="L15" i="6" s="1"/>
  <c r="F41" i="7"/>
  <c r="G41" i="7" s="1"/>
  <c r="H41" i="7" s="1"/>
  <c r="H39" i="7"/>
  <c r="O62" i="5"/>
  <c r="O168" i="5"/>
  <c r="K193" i="6"/>
  <c r="L193" i="6" s="1"/>
  <c r="K191" i="6"/>
  <c r="L191" i="6" s="1"/>
  <c r="K197" i="6"/>
  <c r="L197" i="6" s="1"/>
  <c r="O20" i="5"/>
  <c r="K192" i="6" s="1"/>
  <c r="L192" i="6" s="1"/>
  <c r="O195" i="5"/>
  <c r="P195" i="5" s="1"/>
  <c r="O197" i="5"/>
  <c r="P197" i="5" s="1"/>
  <c r="P185" i="5"/>
  <c r="O194" i="5"/>
  <c r="P194" i="5" s="1"/>
  <c r="K205" i="6"/>
  <c r="L205" i="6"/>
  <c r="M201" i="6" s="1"/>
  <c r="D37" i="7" s="1"/>
  <c r="G37" i="7" s="1"/>
  <c r="H37" i="7" s="1"/>
  <c r="M59" i="6"/>
  <c r="D20" i="7" s="1"/>
  <c r="G20" i="7" s="1"/>
  <c r="H20" i="7" s="1"/>
  <c r="P211" i="6"/>
  <c r="Q211" i="6" s="1"/>
  <c r="P106" i="6"/>
  <c r="Q106" i="6" s="1"/>
  <c r="O196" i="5"/>
  <c r="P196" i="5" s="1"/>
  <c r="G28" i="7"/>
  <c r="H28" i="7" s="1"/>
  <c r="P245" i="6"/>
  <c r="Q245" i="6" s="1"/>
  <c r="F29" i="13"/>
  <c r="G29" i="13" s="1"/>
  <c r="K181" i="5"/>
  <c r="G190" i="5"/>
  <c r="O188" i="5"/>
  <c r="H198" i="5"/>
  <c r="M94" i="11"/>
  <c r="F22" i="13"/>
  <c r="I113" i="2"/>
  <c r="L30" i="8"/>
  <c r="L11" i="8"/>
  <c r="L89" i="8"/>
  <c r="L56" i="8"/>
  <c r="L133" i="8"/>
  <c r="F15" i="4"/>
  <c r="F32" i="4" s="1"/>
  <c r="I24" i="10" s="1"/>
  <c r="D24" i="4"/>
  <c r="L95" i="2"/>
  <c r="M95" i="2" s="1"/>
  <c r="O61" i="8"/>
  <c r="P61" i="8" s="1"/>
  <c r="D25" i="4"/>
  <c r="L101" i="2"/>
  <c r="L40" i="8"/>
  <c r="L145" i="8"/>
  <c r="L76" i="8"/>
  <c r="L114" i="8"/>
  <c r="F27" i="9"/>
  <c r="G27" i="9" s="1"/>
  <c r="H27" i="9" s="1"/>
  <c r="D18" i="4"/>
  <c r="G18" i="4" s="1"/>
  <c r="L58" i="2"/>
  <c r="M58" i="2" s="1"/>
  <c r="D26" i="4"/>
  <c r="L108" i="2"/>
  <c r="M108" i="2" s="1"/>
  <c r="O83" i="8"/>
  <c r="P83" i="8" s="1"/>
  <c r="D28" i="9"/>
  <c r="G28" i="9" s="1"/>
  <c r="H28" i="9" s="1"/>
  <c r="O105" i="8"/>
  <c r="P105" i="8" s="1"/>
  <c r="D29" i="9"/>
  <c r="G29" i="9" s="1"/>
  <c r="H29" i="9" s="1"/>
  <c r="O109" i="8"/>
  <c r="O36" i="8"/>
  <c r="P36" i="8" s="1"/>
  <c r="D18" i="9"/>
  <c r="G18" i="9" s="1"/>
  <c r="H18" i="9" s="1"/>
  <c r="O129" i="8"/>
  <c r="P129" i="8" s="1"/>
  <c r="D31" i="9"/>
  <c r="G31" i="9" s="1"/>
  <c r="H31" i="9" s="1"/>
  <c r="O138" i="8"/>
  <c r="P138" i="8" s="1"/>
  <c r="D36" i="9"/>
  <c r="G36" i="9" s="1"/>
  <c r="H36" i="9" s="1"/>
  <c r="H29" i="4"/>
  <c r="J13" i="10"/>
  <c r="K13" i="10" s="1"/>
  <c r="J11" i="10"/>
  <c r="K11" i="10" s="1"/>
  <c r="J14" i="10"/>
  <c r="K14" i="10" s="1"/>
  <c r="J15" i="10"/>
  <c r="K15" i="10" s="1"/>
  <c r="L96" i="6"/>
  <c r="M90" i="6" s="1"/>
  <c r="D24" i="7" s="1"/>
  <c r="L149" i="6"/>
  <c r="Q23" i="5"/>
  <c r="Q39" i="5" s="1"/>
  <c r="P39" i="5"/>
  <c r="J231" i="6" s="1"/>
  <c r="L231" i="6" s="1"/>
  <c r="Q8" i="5"/>
  <c r="Q16" i="5" s="1"/>
  <c r="Q114" i="6"/>
  <c r="G27" i="7"/>
  <c r="H27" i="7" s="1"/>
  <c r="G29" i="7"/>
  <c r="H29" i="7" s="1"/>
  <c r="H18" i="4"/>
  <c r="P109" i="8"/>
  <c r="L71" i="8"/>
  <c r="D16" i="9"/>
  <c r="G16" i="9" s="1"/>
  <c r="H16" i="9" s="1"/>
  <c r="I117" i="2"/>
  <c r="I91" i="2"/>
  <c r="H20" i="4"/>
  <c r="I82" i="2"/>
  <c r="I63" i="2"/>
  <c r="I44" i="2"/>
  <c r="I36" i="2"/>
  <c r="I11" i="2"/>
  <c r="M181" i="5"/>
  <c r="J181" i="5"/>
  <c r="G25" i="7"/>
  <c r="H15" i="7"/>
  <c r="W10" i="3"/>
  <c r="I12" i="10"/>
  <c r="J12" i="10" s="1"/>
  <c r="L163" i="6" l="1"/>
  <c r="L169" i="6" s="1"/>
  <c r="M161" i="6" s="1"/>
  <c r="K169" i="6"/>
  <c r="P181" i="5"/>
  <c r="Q176" i="5"/>
  <c r="D33" i="7"/>
  <c r="K180" i="6"/>
  <c r="L180" i="6"/>
  <c r="L188" i="6" s="1"/>
  <c r="I136" i="2"/>
  <c r="O11" i="8"/>
  <c r="L175" i="8"/>
  <c r="K63" i="11"/>
  <c r="I63" i="11"/>
  <c r="I96" i="11" s="1"/>
  <c r="L152" i="6"/>
  <c r="M146" i="6" s="1"/>
  <c r="J16" i="6"/>
  <c r="K16" i="6" s="1"/>
  <c r="L16" i="6" s="1"/>
  <c r="K14" i="6"/>
  <c r="L14" i="6" s="1"/>
  <c r="L11" i="2"/>
  <c r="M11" i="2" s="1"/>
  <c r="L136" i="2"/>
  <c r="M136" i="2" s="1"/>
  <c r="G26" i="4"/>
  <c r="H26" i="4" s="1"/>
  <c r="G24" i="4"/>
  <c r="H24" i="4" s="1"/>
  <c r="G32" i="10"/>
  <c r="G33" i="10" s="1"/>
  <c r="G34" i="10" s="1"/>
  <c r="G15" i="4"/>
  <c r="G25" i="4"/>
  <c r="H25" i="4" s="1"/>
  <c r="I18" i="10"/>
  <c r="L63" i="11"/>
  <c r="M63" i="11" s="1"/>
  <c r="K96" i="11"/>
  <c r="L96" i="11" s="1"/>
  <c r="G20" i="13"/>
  <c r="H20" i="13" s="1"/>
  <c r="D22" i="13"/>
  <c r="D31" i="13" s="1"/>
  <c r="M96" i="11"/>
  <c r="D34" i="7"/>
  <c r="G34" i="7" s="1"/>
  <c r="H34" i="7" s="1"/>
  <c r="P171" i="6"/>
  <c r="Q171" i="6" s="1"/>
  <c r="K208" i="6"/>
  <c r="L208" i="6" s="1"/>
  <c r="L209" i="6" s="1"/>
  <c r="P161" i="6"/>
  <c r="Q161" i="6" s="1"/>
  <c r="K159" i="6"/>
  <c r="L158" i="6"/>
  <c r="L159" i="6" s="1"/>
  <c r="P146" i="6"/>
  <c r="Q146" i="6" s="1"/>
  <c r="D31" i="7"/>
  <c r="P201" i="6"/>
  <c r="Q201" i="6" s="1"/>
  <c r="P20" i="5"/>
  <c r="L199" i="6"/>
  <c r="M190" i="6" s="1"/>
  <c r="D36" i="7" s="1"/>
  <c r="J35" i="7" s="1"/>
  <c r="J39" i="7" s="1"/>
  <c r="K39" i="7" s="1"/>
  <c r="G198" i="5"/>
  <c r="K199" i="6"/>
  <c r="M179" i="6"/>
  <c r="K188" i="6"/>
  <c r="P59" i="6"/>
  <c r="Q59" i="6" s="1"/>
  <c r="P198" i="5"/>
  <c r="K17" i="6"/>
  <c r="L17" i="6"/>
  <c r="M11" i="6" s="1"/>
  <c r="D14" i="7" s="1"/>
  <c r="O198" i="5"/>
  <c r="J227" i="6" s="1"/>
  <c r="L227" i="6" s="1"/>
  <c r="H13" i="13"/>
  <c r="P188" i="5"/>
  <c r="P190" i="5" s="1"/>
  <c r="O190" i="5"/>
  <c r="J226" i="6" s="1"/>
  <c r="L226" i="6" s="1"/>
  <c r="F31" i="13"/>
  <c r="H24" i="13"/>
  <c r="D19" i="4"/>
  <c r="L63" i="2"/>
  <c r="M63" i="2" s="1"/>
  <c r="H21" i="4"/>
  <c r="D28" i="4"/>
  <c r="L117" i="2"/>
  <c r="M117" i="2" s="1"/>
  <c r="D23" i="9"/>
  <c r="G23" i="9" s="1"/>
  <c r="H23" i="9" s="1"/>
  <c r="O71" i="8"/>
  <c r="P71" i="8" s="1"/>
  <c r="O114" i="8"/>
  <c r="P114" i="8" s="1"/>
  <c r="D30" i="9"/>
  <c r="G30" i="9" s="1"/>
  <c r="H30" i="9" s="1"/>
  <c r="O76" i="8"/>
  <c r="P76" i="8" s="1"/>
  <c r="D24" i="9"/>
  <c r="G24" i="9" s="1"/>
  <c r="H24" i="9" s="1"/>
  <c r="O145" i="8"/>
  <c r="P145" i="8" s="1"/>
  <c r="D34" i="9"/>
  <c r="O40" i="8"/>
  <c r="P40" i="8" s="1"/>
  <c r="D19" i="9"/>
  <c r="G19" i="9" s="1"/>
  <c r="H19" i="9" s="1"/>
  <c r="H15" i="4"/>
  <c r="N175" i="8"/>
  <c r="D17" i="4"/>
  <c r="L44" i="2"/>
  <c r="M44" i="2" s="1"/>
  <c r="D22" i="4"/>
  <c r="L82" i="2"/>
  <c r="M82" i="2" s="1"/>
  <c r="F34" i="9"/>
  <c r="O133" i="8"/>
  <c r="P133" i="8" s="1"/>
  <c r="D32" i="9"/>
  <c r="G32" i="9" s="1"/>
  <c r="H32" i="9" s="1"/>
  <c r="O56" i="8"/>
  <c r="P56" i="8" s="1"/>
  <c r="D21" i="9"/>
  <c r="G21" i="9" s="1"/>
  <c r="H21" i="9" s="1"/>
  <c r="O89" i="8"/>
  <c r="P89" i="8" s="1"/>
  <c r="D26" i="9"/>
  <c r="G26" i="9" s="1"/>
  <c r="H26" i="9" s="1"/>
  <c r="P11" i="8"/>
  <c r="D14" i="9"/>
  <c r="O30" i="8"/>
  <c r="P30" i="8" s="1"/>
  <c r="D17" i="9"/>
  <c r="G17" i="9" s="1"/>
  <c r="H17" i="9" s="1"/>
  <c r="L113" i="2"/>
  <c r="M113" i="2" s="1"/>
  <c r="D27" i="4"/>
  <c r="D16" i="4"/>
  <c r="G16" i="4" s="1"/>
  <c r="L36" i="2"/>
  <c r="M36" i="2" s="1"/>
  <c r="G24" i="7"/>
  <c r="H24" i="7" s="1"/>
  <c r="P90" i="6"/>
  <c r="Q90" i="6" s="1"/>
  <c r="H25" i="7"/>
  <c r="G33" i="7"/>
  <c r="G26" i="7"/>
  <c r="H26" i="7" s="1"/>
  <c r="G23" i="7"/>
  <c r="H23" i="7" s="1"/>
  <c r="M78" i="2"/>
  <c r="D23" i="4"/>
  <c r="L91" i="2"/>
  <c r="M91" i="2" s="1"/>
  <c r="D13" i="4"/>
  <c r="M101" i="2"/>
  <c r="O181" i="5"/>
  <c r="K12" i="10"/>
  <c r="J18" i="10" l="1"/>
  <c r="I22" i="10"/>
  <c r="R176" i="5"/>
  <c r="R181" i="5" s="1"/>
  <c r="R182" i="5" s="1"/>
  <c r="R183" i="5" s="1"/>
  <c r="R184" i="5" s="1"/>
  <c r="Q181" i="5"/>
  <c r="J228" i="6" s="1"/>
  <c r="L228" i="6" s="1"/>
  <c r="G17" i="4"/>
  <c r="H17" i="4" s="1"/>
  <c r="D32" i="4"/>
  <c r="D38" i="9"/>
  <c r="G34" i="9"/>
  <c r="H34" i="9" s="1"/>
  <c r="G14" i="7"/>
  <c r="J20" i="7"/>
  <c r="O175" i="8"/>
  <c r="P175" i="8" s="1"/>
  <c r="J229" i="6"/>
  <c r="L229" i="6" s="1"/>
  <c r="L237" i="6" s="1"/>
  <c r="N255" i="6" s="1"/>
  <c r="Q20" i="5"/>
  <c r="Q170" i="5" s="1"/>
  <c r="G36" i="7"/>
  <c r="H36" i="7" s="1"/>
  <c r="G27" i="4"/>
  <c r="H27" i="4" s="1"/>
  <c r="E26" i="10"/>
  <c r="G14" i="9"/>
  <c r="H14" i="9" s="1"/>
  <c r="G22" i="4"/>
  <c r="H22" i="4" s="1"/>
  <c r="G28" i="4"/>
  <c r="H28" i="4" s="1"/>
  <c r="G13" i="4"/>
  <c r="E24" i="10"/>
  <c r="G23" i="4"/>
  <c r="H23" i="4" s="1"/>
  <c r="G19" i="4"/>
  <c r="H19" i="4" s="1"/>
  <c r="G22" i="13"/>
  <c r="H22" i="13" s="1"/>
  <c r="O207" i="6"/>
  <c r="M207" i="6"/>
  <c r="D38" i="7" s="1"/>
  <c r="M154" i="6"/>
  <c r="D32" i="7" s="1"/>
  <c r="O154" i="6"/>
  <c r="P190" i="6"/>
  <c r="Q190" i="6" s="1"/>
  <c r="P179" i="6"/>
  <c r="Q179" i="6" s="1"/>
  <c r="D35" i="7"/>
  <c r="H33" i="7"/>
  <c r="P11" i="6"/>
  <c r="Q11" i="6" s="1"/>
  <c r="H29" i="13"/>
  <c r="F38" i="9"/>
  <c r="Q201" i="5"/>
  <c r="K18" i="10" l="1"/>
  <c r="J22" i="10"/>
  <c r="K22" i="10" s="1"/>
  <c r="G35" i="7"/>
  <c r="H35" i="7" s="1"/>
  <c r="J37" i="7"/>
  <c r="J24" i="10"/>
  <c r="K24" i="10" s="1"/>
  <c r="I26" i="10"/>
  <c r="G38" i="9"/>
  <c r="H38" i="9" s="1"/>
  <c r="G32" i="4"/>
  <c r="H32" i="4" s="1"/>
  <c r="G31" i="13"/>
  <c r="H31" i="13" s="1"/>
  <c r="F38" i="7"/>
  <c r="P207" i="6"/>
  <c r="Q207" i="6" s="1"/>
  <c r="G32" i="7"/>
  <c r="H32" i="7" s="1"/>
  <c r="P154" i="6"/>
  <c r="Q154" i="6" s="1"/>
  <c r="O255" i="6"/>
  <c r="J26" i="10"/>
  <c r="K26" i="10" s="1"/>
  <c r="H16" i="4"/>
  <c r="G31" i="7"/>
  <c r="H31" i="7" s="1"/>
  <c r="H13" i="4"/>
  <c r="H14" i="7"/>
  <c r="M225" i="6"/>
  <c r="D40" i="7" s="1"/>
  <c r="J19" i="7" s="1"/>
  <c r="P201" i="5"/>
  <c r="F42" i="7" l="1"/>
  <c r="I25" i="10" s="1"/>
  <c r="I29" i="10" s="1"/>
  <c r="I31" i="10" s="1"/>
  <c r="I32" i="10" s="1"/>
  <c r="G38" i="7"/>
  <c r="H38" i="7" s="1"/>
  <c r="P225" i="6"/>
  <c r="Q225" i="6" s="1"/>
  <c r="M255" i="6"/>
  <c r="P255" i="6" s="1"/>
  <c r="D42" i="7"/>
  <c r="E25" i="10" s="1"/>
  <c r="E29" i="10" s="1"/>
  <c r="I33" i="10" l="1"/>
  <c r="I34" i="10" s="1"/>
  <c r="J29" i="10"/>
  <c r="K29" i="10" s="1"/>
  <c r="E31" i="10"/>
  <c r="J25" i="10"/>
  <c r="K25" i="10" s="1"/>
  <c r="Q255" i="6"/>
  <c r="G40" i="7"/>
  <c r="E32" i="10" l="1"/>
  <c r="J32" i="10" s="1"/>
  <c r="K32" i="10" s="1"/>
  <c r="J31" i="10"/>
  <c r="K31" i="10" s="1"/>
  <c r="G42" i="7"/>
  <c r="H42" i="7" s="1"/>
  <c r="J43" i="7"/>
  <c r="K43" i="7" s="1"/>
  <c r="K42" i="7" s="1"/>
  <c r="H40" i="7"/>
  <c r="E33" i="10" l="1"/>
  <c r="E34" i="10" s="1"/>
  <c r="J33" i="10" l="1"/>
  <c r="K33" i="10" s="1"/>
</calcChain>
</file>

<file path=xl/sharedStrings.xml><?xml version="1.0" encoding="utf-8"?>
<sst xmlns="http://schemas.openxmlformats.org/spreadsheetml/2006/main" count="1770" uniqueCount="807">
  <si>
    <t xml:space="preserve">DOKUMEN PELAKSANAAN </t>
  </si>
  <si>
    <t>91.01.00</t>
  </si>
  <si>
    <t>URAIAN</t>
  </si>
  <si>
    <t>VOLUME</t>
  </si>
  <si>
    <t>HARGA SATUAN</t>
  </si>
  <si>
    <t xml:space="preserve">JUMLAH </t>
  </si>
  <si>
    <t>NAIK / (TURUN)</t>
  </si>
  <si>
    <t>KETERANGAN</t>
  </si>
  <si>
    <t>BIAYA CETAKAN</t>
  </si>
  <si>
    <t>- CETAK MAP PARKIR</t>
  </si>
  <si>
    <t>Lembar</t>
  </si>
  <si>
    <t>- CETAK KARCIS TEPI JALAN UMUM</t>
  </si>
  <si>
    <t xml:space="preserve">R4 </t>
  </si>
  <si>
    <t xml:space="preserve">R2 </t>
  </si>
  <si>
    <t>- CETAK KARCIS INSIDENTIL</t>
  </si>
  <si>
    <t>- CETAK KARCIS KOMERSIAL</t>
  </si>
  <si>
    <t>R4</t>
  </si>
  <si>
    <t>- CETAK KARCIS PLB</t>
  </si>
  <si>
    <t>- CETAK KARCIS KHUSUS</t>
  </si>
  <si>
    <t>- CETAK NOTA PERMINTAAN KARCIS</t>
  </si>
  <si>
    <t>JUMLAH</t>
  </si>
  <si>
    <t>91.02.00</t>
  </si>
  <si>
    <t>BIAYA SURVEY / UJI PETIK</t>
  </si>
  <si>
    <t>91.04.10</t>
  </si>
  <si>
    <t>BIAYA OPERASIONAL TIM PATROLI KHUSUS</t>
  </si>
  <si>
    <t>PATROLI TIM TERPADU</t>
  </si>
  <si>
    <t>PENGUASAAN LAHAN TITIK PARKIR</t>
  </si>
  <si>
    <t/>
  </si>
  <si>
    <t>91.04.20</t>
  </si>
  <si>
    <t>BIAYA OPERASIONAL KOLEKTOR</t>
  </si>
  <si>
    <t>BIAYA OPS. KOLEKTOR TJU</t>
  </si>
  <si>
    <t>BIAYA OPS. INSIDENTIL</t>
  </si>
  <si>
    <t>BIAYA OPS. PETUGAS POS KOMERSIAL</t>
  </si>
  <si>
    <t>BIAYA OPS. KOLEKTOR PLB</t>
  </si>
  <si>
    <t>BIAYA OPS. PARKIR TEKNOLOGI</t>
  </si>
  <si>
    <t>91.04.40</t>
  </si>
  <si>
    <t>BIAYA OPERASIONAL PEGAWAI</t>
  </si>
  <si>
    <t>BY PETUGAS ASURANSI BPJS</t>
  </si>
  <si>
    <t xml:space="preserve">BY PENGANTAR SURAT  </t>
  </si>
  <si>
    <t xml:space="preserve">BY KOORDINASI PENGURUS PAJAK </t>
  </si>
  <si>
    <t>STAF ACCOUNTING</t>
  </si>
  <si>
    <t>PENDAMPING ACCOUNTING</t>
  </si>
  <si>
    <t>PENDAMPING HUKUM</t>
  </si>
  <si>
    <t>BY TIM SURVEY / VERIFIKASI</t>
  </si>
  <si>
    <t>PENGAWAS POS KOMERSIAL</t>
  </si>
  <si>
    <t>BY. SORTIR UANG</t>
  </si>
  <si>
    <t>91.06.10</t>
  </si>
  <si>
    <t xml:space="preserve">BIAYA PAKET THR </t>
  </si>
  <si>
    <t xml:space="preserve">Juru Parkir </t>
  </si>
  <si>
    <t>Pegawai</t>
  </si>
  <si>
    <t>91.06.21</t>
  </si>
  <si>
    <t>BIAYA ASURANSI DAN SANTUNAN JUKIR DAN PEGAWAI</t>
  </si>
  <si>
    <t xml:space="preserve">- BPJS Ketenagakerjaan Jukir </t>
  </si>
  <si>
    <t>Orang</t>
  </si>
  <si>
    <t>- BPJS (Rencana Tambahan BPJS)</t>
  </si>
  <si>
    <t>- Santunan Jukir (Bencana)</t>
  </si>
  <si>
    <t>- Santunan Pegawai</t>
  </si>
  <si>
    <t>- Santunan Keluarga inti pegawai</t>
  </si>
  <si>
    <t>- Jukir Lewat Umur (non covered)</t>
  </si>
  <si>
    <t>91.06.30</t>
  </si>
  <si>
    <t>Baju / Rompi Jukir</t>
  </si>
  <si>
    <t>91.06.31</t>
  </si>
  <si>
    <t>BIAYA ID CARD</t>
  </si>
  <si>
    <t xml:space="preserve">ID Card Pegawai </t>
  </si>
  <si>
    <t>orang</t>
  </si>
  <si>
    <t>91.07.00</t>
  </si>
  <si>
    <t xml:space="preserve">BIAYA TIM PENEGAK PERDA </t>
  </si>
  <si>
    <t>Brimob</t>
  </si>
  <si>
    <t>Dishub dan Satpol</t>
  </si>
  <si>
    <t>Denpom</t>
  </si>
  <si>
    <t>BY PAJAK PARKIR PLB</t>
  </si>
  <si>
    <t>By Pajak Parkir PLB 30% dari Target</t>
  </si>
  <si>
    <t>91.11.10</t>
  </si>
  <si>
    <t>BIAYA BAHAN BAKAR KENDARAAN OPERASIONAL</t>
  </si>
  <si>
    <t xml:space="preserve">Mobil Patroli Lama </t>
  </si>
  <si>
    <t>Hari</t>
  </si>
  <si>
    <t>Mobil Patroli Baru</t>
  </si>
  <si>
    <t>Motor Patroli TRC (9 Motor)</t>
  </si>
  <si>
    <t>91.11.20</t>
  </si>
  <si>
    <t>BIAYA MAINTENANCE KENDARAAN OPERASIONAL</t>
  </si>
  <si>
    <t>Mobil operasional</t>
  </si>
  <si>
    <t>Kali Service</t>
  </si>
  <si>
    <t>Kali Ganti Aki</t>
  </si>
  <si>
    <t>Suku Cadang</t>
  </si>
  <si>
    <t>91.11.24</t>
  </si>
  <si>
    <t>BIAYA SURAT KENDARAAN (STNK)</t>
  </si>
  <si>
    <t>Unit</t>
  </si>
  <si>
    <t>Motor Patroli</t>
  </si>
  <si>
    <t>91.14.10</t>
  </si>
  <si>
    <t>BIAYA SHARING PENETAPAN BARU PLB</t>
  </si>
  <si>
    <t>BIAYA SHARING PARKIR ELEKTRONIK</t>
  </si>
  <si>
    <t>- Tpe</t>
  </si>
  <si>
    <t>- Sharing Kanre Rong</t>
  </si>
  <si>
    <t>PERBAIKAN LAHAN SARANA DAN PRASARANA</t>
  </si>
  <si>
    <t>PERUMDA PARKIR MAKASSAR RAYA</t>
  </si>
  <si>
    <t>RKAP PERUBAHAN TAHUN 2022</t>
  </si>
  <si>
    <t xml:space="preserve">PERUMDA PARKIR MAKASAR RAYA </t>
  </si>
  <si>
    <t>RENCANA PENDAPATAN TAHUN 2022</t>
  </si>
  <si>
    <t>NO. REK.</t>
  </si>
  <si>
    <t>U R A I A N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</si>
  <si>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</si>
  <si>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</si>
  <si>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</si>
  <si>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</si>
  <si>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</si>
  <si>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</si>
  <si>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</si>
  <si>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</si>
  <si>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</si>
  <si>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INSIDENTIL</t>
  </si>
  <si>
    <t>KOMERSIAL</t>
  </si>
  <si>
    <t>PARKIR ELEKTRONIK</t>
  </si>
  <si>
    <t>Januari</t>
  </si>
  <si>
    <t>Februari</t>
  </si>
  <si>
    <t>Maret</t>
  </si>
  <si>
    <t xml:space="preserve">Orang </t>
  </si>
  <si>
    <t>Orang / HR</t>
  </si>
  <si>
    <t>JUMLAH BIAYA OPERASIONAL</t>
  </si>
  <si>
    <t>RANGKUMAN DOKUMEN PELAKSANAAN</t>
  </si>
  <si>
    <t>BIAYA OPERASIONAL</t>
  </si>
  <si>
    <t>JUMLAH BIAYA OPERASI</t>
  </si>
  <si>
    <t>RKAP PERUBAHAN        TAHUN 2022</t>
  </si>
  <si>
    <t>PD. PARKIR MAKASSAR RAYA</t>
  </si>
  <si>
    <t>DAFTAR GAJI PEGAWAI</t>
  </si>
  <si>
    <t>NO</t>
  </si>
  <si>
    <t>KODE REK</t>
  </si>
  <si>
    <t>NAMA</t>
  </si>
  <si>
    <t xml:space="preserve">PANGKAT/GOLONGAN                           </t>
  </si>
  <si>
    <t>JABATAN</t>
  </si>
  <si>
    <t>GAJI /HONOR</t>
  </si>
  <si>
    <t>TUNJANGAN JABATAN</t>
  </si>
  <si>
    <t>KESEHATAN</t>
  </si>
  <si>
    <t>BPJS_TK</t>
  </si>
  <si>
    <t>ISTRI/SUAMI</t>
  </si>
  <si>
    <t>ANAK</t>
  </si>
  <si>
    <t>T. TRANSPORTASI</t>
  </si>
  <si>
    <t>TUNJANGAN MAKAN</t>
  </si>
  <si>
    <t>JUMLAH PENERIMAAN</t>
  </si>
  <si>
    <t>JUMLAH PENERIMAAN (6 BULAN)</t>
  </si>
  <si>
    <t>KABAG</t>
  </si>
  <si>
    <t>92.01.30</t>
  </si>
  <si>
    <t>STAF TK. I / C.4</t>
  </si>
  <si>
    <t>AMIRULLAH, S.Ag</t>
  </si>
  <si>
    <t>STAF MADYA / D.1</t>
  </si>
  <si>
    <t>PELAKSANA  TK. I/ B.4</t>
  </si>
  <si>
    <t>S P I</t>
  </si>
  <si>
    <t>KASIE</t>
  </si>
  <si>
    <t>ROHANI, S.Sos</t>
  </si>
  <si>
    <t>Bend. Penerimaan</t>
  </si>
  <si>
    <t>ROSNANI, S.Ip</t>
  </si>
  <si>
    <t>STAF MUDA TK. I /  C.3</t>
  </si>
  <si>
    <t>Bend. Pengeluaran</t>
  </si>
  <si>
    <t>HARIYANI LAEBBE, S.Sos</t>
  </si>
  <si>
    <t>STAF / C.3</t>
  </si>
  <si>
    <t>Kasie. Anggaran</t>
  </si>
  <si>
    <t>SRI SUHARTINI, SE</t>
  </si>
  <si>
    <t>Kasie. Adm/Kepegawaian</t>
  </si>
  <si>
    <t>JUMSIDAR, SE</t>
  </si>
  <si>
    <t>Kepala Seksi Perlengkapan</t>
  </si>
  <si>
    <t>MUH. IQBAL EFFENDY, SE</t>
  </si>
  <si>
    <t>STAF MUDA TK. I / C.2</t>
  </si>
  <si>
    <t>Kasie. Penagihan</t>
  </si>
  <si>
    <t>SYARIFUDDIN. B, SPd</t>
  </si>
  <si>
    <t>Kepala Seksi Penetapan</t>
  </si>
  <si>
    <t>NURSALIM, SE</t>
  </si>
  <si>
    <t>Kepala Seksi Pelataran Umum</t>
  </si>
  <si>
    <t>M. DJUFRI, SE</t>
  </si>
  <si>
    <t>Kasie. Insidentil</t>
  </si>
  <si>
    <t>SURIANY SUYUTI, SE</t>
  </si>
  <si>
    <t>Penyimpan Barang</t>
  </si>
  <si>
    <t>ANDI ALWIAH, SE</t>
  </si>
  <si>
    <t>Pengurus Barang</t>
  </si>
  <si>
    <t>Kasie Pembukuan</t>
  </si>
  <si>
    <t>Kasie Humas</t>
  </si>
  <si>
    <t>Kasie Pendataan</t>
  </si>
  <si>
    <t>Kasie Penghapusan Aset</t>
  </si>
  <si>
    <t>MUNAWAR AKIB, S.KOM</t>
  </si>
  <si>
    <t>Kasie Peralatan</t>
  </si>
  <si>
    <t>STAF ORGANIK</t>
  </si>
  <si>
    <t>M. TAWIL ARIF, SE</t>
  </si>
  <si>
    <t>Staff</t>
  </si>
  <si>
    <t xml:space="preserve">ARMAN AMIN,SH. </t>
  </si>
  <si>
    <t>A R F A. S</t>
  </si>
  <si>
    <t>MAHDINAR, SE</t>
  </si>
  <si>
    <t>Staf Perlengkapan</t>
  </si>
  <si>
    <t>Drs. MA'MUR SAID</t>
  </si>
  <si>
    <t>Staf Produksi</t>
  </si>
  <si>
    <t>BUDIMAN, SPd</t>
  </si>
  <si>
    <t>Pengawas Pos BTP</t>
  </si>
  <si>
    <t>DAHRIR, ST</t>
  </si>
  <si>
    <t>Tim Penetapan</t>
  </si>
  <si>
    <t>M. NURSLY GANI, ST</t>
  </si>
  <si>
    <t>ZALDY AMADHA, Amd</t>
  </si>
  <si>
    <t>Koordinator Komersial</t>
  </si>
  <si>
    <t>SURIANI, SE</t>
  </si>
  <si>
    <t>Staf Adm. Bagian Pengelolaan</t>
  </si>
  <si>
    <t>SUPRIADI, SE</t>
  </si>
  <si>
    <t>Kolektor PLB</t>
  </si>
  <si>
    <t>Kolektor Tepi Jalan</t>
  </si>
  <si>
    <t>PEGAWAI KONTRAK</t>
  </si>
  <si>
    <t>KONTRAK</t>
  </si>
  <si>
    <t>Petugas Parkir Kanre Rong</t>
  </si>
  <si>
    <t>Pengawas Pos Kassi</t>
  </si>
  <si>
    <t>Staf Umum</t>
  </si>
  <si>
    <t>Staf Keuangan</t>
  </si>
  <si>
    <t>Staf Accounting/Pengurus Pajak</t>
  </si>
  <si>
    <t>Staf Penetapan</t>
  </si>
  <si>
    <t>Staf Insidentil</t>
  </si>
  <si>
    <t>Petugas Pos Yos Sudarso</t>
  </si>
  <si>
    <t>Tim Verifikasi</t>
  </si>
  <si>
    <t>Kolektor Insidentil</t>
  </si>
  <si>
    <t>Petugas Pos Mallengkeri</t>
  </si>
  <si>
    <t>Petugas IT Parkir Kanre Rong</t>
  </si>
  <si>
    <t>Pengawas/TRC</t>
  </si>
  <si>
    <t>Pengawas Pos Mandai Siang</t>
  </si>
  <si>
    <t>Petugas Pos Hertasning</t>
  </si>
  <si>
    <t>Staf Penepatan</t>
  </si>
  <si>
    <t>Kolektor Tepi Jalan Umum</t>
  </si>
  <si>
    <t>Petugas Pos Alauddin Mlm</t>
  </si>
  <si>
    <t>Sekretaris Dirut</t>
  </si>
  <si>
    <t>Petugas Pos Mandai Siang</t>
  </si>
  <si>
    <t>Petugas Pos Mandai Malam</t>
  </si>
  <si>
    <t>Pengawas Pos Nipa-Nipa</t>
  </si>
  <si>
    <t>Pengwas Pos Alauddin Siang</t>
  </si>
  <si>
    <t>Pengwas Pos Kassi-Kassi</t>
  </si>
  <si>
    <t>Pengws Pos Mallengkeri</t>
  </si>
  <si>
    <t>Petugas Pos Alauddin Siang</t>
  </si>
  <si>
    <t>ANDI BASO NUR</t>
  </si>
  <si>
    <t>Pengws Pos Hertasning</t>
  </si>
  <si>
    <t>Petugas Pos Kapasa</t>
  </si>
  <si>
    <t>KAHAR</t>
  </si>
  <si>
    <t>Pengawas Pos Yosda</t>
  </si>
  <si>
    <t>Pengws Pos Alauddin Mlm</t>
  </si>
  <si>
    <t>Staf Tim verifikasi</t>
  </si>
  <si>
    <t>UMAR. T</t>
  </si>
  <si>
    <t>Staf Penagihan</t>
  </si>
  <si>
    <t>Staf Komersial</t>
  </si>
  <si>
    <t>MURSALIM</t>
  </si>
  <si>
    <t>RISWAN</t>
  </si>
  <si>
    <t>Sopir Direktur Utama</t>
  </si>
  <si>
    <t>Office Boy</t>
  </si>
  <si>
    <t>SAMSIR</t>
  </si>
  <si>
    <t>DIREKSI</t>
  </si>
  <si>
    <t>TUNJ. JABATAN</t>
  </si>
  <si>
    <t>TRANSPORTASI</t>
  </si>
  <si>
    <t xml:space="preserve">TUNJANGAN MAKAN </t>
  </si>
  <si>
    <t>REPRESENTATIF</t>
  </si>
  <si>
    <t>JUMLAH PENERIMAAN (1 BULAN)</t>
  </si>
  <si>
    <t>DIREKTUR UTAMA</t>
  </si>
  <si>
    <t>DIREKTUR UMUM</t>
  </si>
  <si>
    <t>DIREKTUR KEUANGAN DAN ASSET</t>
  </si>
  <si>
    <t>DIREKTUR OPERASIONAL</t>
  </si>
  <si>
    <t>DIREKTUR PENGEMBANGAN USAHA DAN KERJASAMA</t>
  </si>
  <si>
    <t>DEWAN PENGAWAS</t>
  </si>
  <si>
    <t xml:space="preserve">PANGKAT / GOLONGAN                           </t>
  </si>
  <si>
    <t>TRANSPORT BADAN PENGAWAS</t>
  </si>
  <si>
    <t>MONITORING</t>
  </si>
  <si>
    <t>JUMLAH PENERIMAAN ( 1 BULAN )</t>
  </si>
  <si>
    <t>JUMLAH PENERIMAAN ( 6 BULAN )</t>
  </si>
  <si>
    <t>KETUA DEWAN PENGAWAS</t>
  </si>
  <si>
    <t>ANGGOTA DEWAN PENGAWAS</t>
  </si>
  <si>
    <t>KOMITE AUDIT</t>
  </si>
  <si>
    <t>KODE REKENING</t>
  </si>
  <si>
    <t xml:space="preserve">PANGKAT /      GOLONGAN                           </t>
  </si>
  <si>
    <t>TRANSPORT KOMITE AUDIT</t>
  </si>
  <si>
    <t>SEKRETARIS DEWAN PENGAWAS</t>
  </si>
  <si>
    <t>TOTAL JUMLAH KESELURUHAN GAJI</t>
  </si>
  <si>
    <t>PENGHASILAN DIREKSI</t>
  </si>
  <si>
    <t>Gaji Direksi Dirut</t>
  </si>
  <si>
    <t>Tunjangan Jabatan</t>
  </si>
  <si>
    <t>Tunjangan Kesehatan</t>
  </si>
  <si>
    <t>Tunjangan Jamsostek</t>
  </si>
  <si>
    <t>Tunjangan Istri &amp; Anak</t>
  </si>
  <si>
    <t>Tunjangan Transport</t>
  </si>
  <si>
    <t>Tunjangan Uang Makan</t>
  </si>
  <si>
    <t>GAJI DEWAS</t>
  </si>
  <si>
    <t>total tunjangan</t>
  </si>
  <si>
    <t>GAJI DIREKSI UNTUK THR</t>
  </si>
  <si>
    <t>THR DIREKSI</t>
  </si>
  <si>
    <t>THR HONOR</t>
  </si>
  <si>
    <t>SISA ANGGARAN</t>
  </si>
  <si>
    <t>TUNJANGAN SOPIR DIREKSI</t>
  </si>
  <si>
    <t>92.00.00</t>
  </si>
  <si>
    <t xml:space="preserve">JUMLAH    </t>
  </si>
  <si>
    <t xml:space="preserve">NAIK / (TURUN)      </t>
  </si>
  <si>
    <t>A</t>
  </si>
  <si>
    <t>B</t>
  </si>
  <si>
    <t>C</t>
  </si>
  <si>
    <t>BADAN PENGAWAS</t>
  </si>
  <si>
    <t>92.01.10</t>
  </si>
  <si>
    <t>BIAYA HONOR BADAN PENGAWAS DAN STAF BP</t>
  </si>
  <si>
    <t>ORANG</t>
  </si>
  <si>
    <t>92.01.11</t>
  </si>
  <si>
    <t xml:space="preserve">TUNJ. TRANSPORT  BADAN PENGAWAS </t>
  </si>
  <si>
    <t>92.01.20</t>
  </si>
  <si>
    <t>TUNJ. MONITORING, EVALUASI DAN PELAPORAN - BP</t>
  </si>
  <si>
    <t>x</t>
  </si>
  <si>
    <t>BIAYA HONOR KOMITE AUDIT</t>
  </si>
  <si>
    <t>TUNJ. TRANSPORT  KOMITE  AUDIT</t>
  </si>
  <si>
    <t>TUNJ. MONITORING, EVALUASI DAN PELAPORAN - KOMITE AUDIT</t>
  </si>
  <si>
    <t>BIAYA GAJI DIREKSI</t>
  </si>
  <si>
    <t>BIAYA TUNJANGAN JABATAN</t>
  </si>
  <si>
    <t xml:space="preserve">TUNJANGAN JAMSOSTEK KESEHATAN </t>
  </si>
  <si>
    <t>TUNJANGAN JAMSOSTEK KETENAGAKERJAAN</t>
  </si>
  <si>
    <t>TUNJ. ISTRI DAN ANAK</t>
  </si>
  <si>
    <t>TUNJANGAN TRANSPORT</t>
  </si>
  <si>
    <t>TUNJANGAN UANG MAKAN</t>
  </si>
  <si>
    <t>REPRESENTASI DIREKSI</t>
  </si>
  <si>
    <t>GAJI POKOK SPI</t>
  </si>
  <si>
    <t>per orang</t>
  </si>
  <si>
    <t>TUNJANGAN JABATAN PEGAWAI</t>
  </si>
  <si>
    <t>TUNJANGAN KESEHATAN DAN BPJS TK - PEGAWAI</t>
  </si>
  <si>
    <t>TUNJANGAN LAIN-LAIN PEGAWAI SPI</t>
  </si>
  <si>
    <t>PEGAWAI</t>
  </si>
  <si>
    <t>GAJI POKOK PEGAWAI</t>
  </si>
  <si>
    <t>KEPALA BAGIAN</t>
  </si>
  <si>
    <t>STAF KONTRAK</t>
  </si>
  <si>
    <t>TUNJANGAN LAIN-LAIN PEGAWAI</t>
  </si>
  <si>
    <t>92.01.32</t>
  </si>
  <si>
    <t xml:space="preserve">BIAYA UPAH TENAGA HONOR </t>
  </si>
  <si>
    <t>UPAH HONORER</t>
  </si>
  <si>
    <t>BPJS KESEHATAN</t>
  </si>
  <si>
    <t>BPJS KETENAGAKERJAAN</t>
  </si>
  <si>
    <t>92.06.00</t>
  </si>
  <si>
    <t>BIAYA PENGANGKATAN CALON PEGAWAI 80%</t>
  </si>
  <si>
    <t>BIAYA TUNJANGAN KINERJA</t>
  </si>
  <si>
    <t>DIREKTUR PENGEMBANGAN &amp; KERJASAMA</t>
  </si>
  <si>
    <t>BENDAHARA</t>
  </si>
  <si>
    <t>TENAGA KONTRAK</t>
  </si>
  <si>
    <t>TENAGA HONOR</t>
  </si>
  <si>
    <t>BIAYA TUNJANGAN HARI RAYA</t>
  </si>
  <si>
    <t>ORGANIK (KABAG)</t>
  </si>
  <si>
    <t>ORGANIK (BEND &amp;  KASIE)</t>
  </si>
  <si>
    <t>HONOR</t>
  </si>
  <si>
    <t>BIAYA GAJI 13</t>
  </si>
  <si>
    <t>dari</t>
  </si>
  <si>
    <t>hari</t>
  </si>
  <si>
    <t>DIREKTUR KEUANGAN DAN ASET</t>
  </si>
  <si>
    <t>C - A</t>
  </si>
  <si>
    <t xml:space="preserve">JUMLAH BIAYA GAJI </t>
  </si>
  <si>
    <t>92.02.00</t>
  </si>
  <si>
    <t>BIAYA HONOR KOORDINASI PEMBINA PERUSDA</t>
  </si>
  <si>
    <t>PEMBINA UMUM  TERDIRI DARI :</t>
  </si>
  <si>
    <t>- WALIKOTA</t>
  </si>
  <si>
    <t>- WAKIL WALIKOTA</t>
  </si>
  <si>
    <t>- SEKDA KOTA</t>
  </si>
  <si>
    <t>- DISHUB</t>
  </si>
  <si>
    <t>- BG. PEREKONOMIAN</t>
  </si>
  <si>
    <t xml:space="preserve">BIAYA PENINGKATAN SDM  </t>
  </si>
  <si>
    <t>BIAYA PENINGKATAN SDM PEGAWAI</t>
  </si>
  <si>
    <t>BIAYA PENINGKATAN SDM JURU PARKIR</t>
  </si>
  <si>
    <t>92.04.03</t>
  </si>
  <si>
    <t>BIAYA ADMINISTRASI BANK</t>
  </si>
  <si>
    <t>BY. PENGAMBILAN BUKU CEK</t>
  </si>
  <si>
    <t>92.04.04</t>
  </si>
  <si>
    <t>BIAYA SOSIALISASI</t>
  </si>
  <si>
    <t>STIKER, PIAGAM UNTUK PATUH PARKIR</t>
  </si>
  <si>
    <t>BY. PEMBUATAN SPANDUK, BALIGHO, BROSUR</t>
  </si>
  <si>
    <t>RAPAT KERJA</t>
  </si>
  <si>
    <t>92.05.10</t>
  </si>
  <si>
    <t>BIAYA MEDIA CETAK DAN ELEKTRONIK</t>
  </si>
  <si>
    <t>IKLAN MEDIA TV</t>
  </si>
  <si>
    <t>IKLAN RADIO</t>
  </si>
  <si>
    <t>IKLAN MEDIA ONLINE</t>
  </si>
  <si>
    <t>TIM MULTIMEDIA</t>
  </si>
  <si>
    <t>SURAT KABAR DIREKSI DAN HUMAS</t>
  </si>
  <si>
    <t>MEDIA CETAK</t>
  </si>
  <si>
    <t xml:space="preserve">BIAYA HONOR PANITIA LELANG DAN PEMERIKSA BARANG </t>
  </si>
  <si>
    <t>HONOR PANITIA PENGADAAN DAN PEMERIKSAAN BARANG</t>
  </si>
  <si>
    <t>BIAYA KODEFIKASI INVENTARIS BARANG</t>
  </si>
  <si>
    <t>92.07.00</t>
  </si>
  <si>
    <t xml:space="preserve">BIAYA HONOR KONSULTAN HUKUM DAN KEUANGAN </t>
  </si>
  <si>
    <t>KONSULTAN HUKUM</t>
  </si>
  <si>
    <t xml:space="preserve">KONSULTAN IT </t>
  </si>
  <si>
    <t>92.08.00</t>
  </si>
  <si>
    <t>BIAYA ALAT TULIS KANTOR (ATK)</t>
  </si>
  <si>
    <t>92.09.00</t>
  </si>
  <si>
    <t xml:space="preserve">BIAYA BENDA BENDA POS DAN MATERAI </t>
  </si>
  <si>
    <t>BY. PEMBELIAN MATERAI</t>
  </si>
  <si>
    <t>92.10.00</t>
  </si>
  <si>
    <t>BIAYA PEMELIHARAAN KANTOR</t>
  </si>
  <si>
    <t>DALAM KANTOR</t>
  </si>
  <si>
    <t>HALAMAN KANTOR</t>
  </si>
  <si>
    <t>92.10.10</t>
  </si>
  <si>
    <t>BIAYA PEMELIHARAAN INVENTARIS KANTOR</t>
  </si>
  <si>
    <t>- BY CUCI DAN PEMELIHARAN AC</t>
  </si>
  <si>
    <t>UNIT</t>
  </si>
  <si>
    <t>- BY PEMELIHARAAN PC</t>
  </si>
  <si>
    <t>- BY PEMELIHARAAN LAPTOP</t>
  </si>
  <si>
    <t>- BY PEMELIHARAAN PRINTER</t>
  </si>
  <si>
    <t>BY. TELEPON</t>
  </si>
  <si>
    <t>BY. PAKET INTERNET</t>
  </si>
  <si>
    <t>92.11.20</t>
  </si>
  <si>
    <t>92.13.01</t>
  </si>
  <si>
    <t xml:space="preserve">BIAYA TAMU </t>
  </si>
  <si>
    <t>- BY MAKAN MINUM TAMU DIREKSI</t>
  </si>
  <si>
    <t xml:space="preserve">  BY. MAKAN MINUM TAMU DIRUT</t>
  </si>
  <si>
    <t xml:space="preserve">  BY. MAKAN MINUM TAMU DIRUM  </t>
  </si>
  <si>
    <t xml:space="preserve">  BY. MAKAN MINUM TAMU  DIROPS</t>
  </si>
  <si>
    <t xml:space="preserve">  BY. MAKAN MINUM TAMU  DIREKTUR KEUANGAN</t>
  </si>
  <si>
    <t xml:space="preserve">  BY. MAKAN MINUM TAMU  DIREKTUR  PENGEMBANGAN &amp; KERJASAMA</t>
  </si>
  <si>
    <t xml:space="preserve">  BY. MAKAN MINUM RAPAT</t>
  </si>
  <si>
    <t xml:space="preserve">  BY. MAKAN MINUM ACARA RESMI</t>
  </si>
  <si>
    <t>92.13.02</t>
  </si>
  <si>
    <t>GATHERING FAMILI</t>
  </si>
  <si>
    <t>- BY. FAMILY GATHERING</t>
  </si>
  <si>
    <t>- OUTBOND PD. PARKIR</t>
  </si>
  <si>
    <t>92,13,60</t>
  </si>
  <si>
    <t xml:space="preserve">BIAYA PERALATAN DAN PERLENGKAPAN KANTOR </t>
  </si>
  <si>
    <t>BY. PERALATAN DAN KELENGKAPAN KANTOR</t>
  </si>
  <si>
    <t>92.14.00</t>
  </si>
  <si>
    <t>BIAYA PERJALANAN DINAS LUAR KOTA</t>
  </si>
  <si>
    <t>DIREKSI DAN STAF</t>
  </si>
  <si>
    <t>92.15.00</t>
  </si>
  <si>
    <t>BIAYA PAKAIAN DINAS</t>
  </si>
  <si>
    <t>- PDH, PSR, PSL,  DAN BATIK</t>
  </si>
  <si>
    <t>DIREKTUR KEUANGAN</t>
  </si>
  <si>
    <t>DIREKTUR PENGEMBANGAN DAN KERJASAMA</t>
  </si>
  <si>
    <t>Pegawai Terdiri dari :</t>
  </si>
  <si>
    <t xml:space="preserve">PEGAWAI  </t>
  </si>
  <si>
    <t xml:space="preserve">- PDH </t>
  </si>
  <si>
    <t xml:space="preserve">STAF PENDAMPING </t>
  </si>
  <si>
    <t>PAKAIAN DINAS LAP (TRC)</t>
  </si>
  <si>
    <t>- PAKAIAN LENGKAP</t>
  </si>
  <si>
    <t>92.16.00</t>
  </si>
  <si>
    <t>BIAYA ASSESMENT PEGAWAI</t>
  </si>
  <si>
    <t>-Biaya Assesment Pegawai</t>
  </si>
  <si>
    <t>92.18.00</t>
  </si>
  <si>
    <t>BIAYA PEMBINAAN KEAGAMAAN DAN OLAHRAGA</t>
  </si>
  <si>
    <t xml:space="preserve">- KEAGAMAAN </t>
  </si>
  <si>
    <t>- OLAHRAGA &amp; SENI</t>
  </si>
  <si>
    <t>92.30.00</t>
  </si>
  <si>
    <t>BY. HUT KOTA MAKASSAR</t>
  </si>
  <si>
    <t>BANTUAN SOSIAL</t>
  </si>
  <si>
    <t>92.20.00</t>
  </si>
  <si>
    <t>KALI</t>
  </si>
  <si>
    <t>PENANGGUNG JAWAB</t>
  </si>
  <si>
    <t xml:space="preserve">KETUA  </t>
  </si>
  <si>
    <t>KABAG. KEUANGAN</t>
  </si>
  <si>
    <t>KABAG. UMUM</t>
  </si>
  <si>
    <t>ANGGOTA</t>
  </si>
  <si>
    <t>KABAG. PRODUKSI</t>
  </si>
  <si>
    <t>KABAG. PENGELOLAAN</t>
  </si>
  <si>
    <t>KASIE ANGGARAN</t>
  </si>
  <si>
    <t>92.24.00</t>
  </si>
  <si>
    <t>BIAYA JASA AUDIT</t>
  </si>
  <si>
    <t>- AUDIT INDEPENDENT</t>
  </si>
  <si>
    <t>PERATURAN PERUMDA</t>
  </si>
  <si>
    <t>JUMLAH BIAYA UMUM &amp; ADM</t>
  </si>
  <si>
    <t>F8</t>
  </si>
  <si>
    <t>WAKIL KETUA</t>
  </si>
  <si>
    <t>DIREKTUR PENGEMBANGAN USAHA &amp; KERJA SAMA</t>
  </si>
  <si>
    <t>SEKRETARIS</t>
  </si>
  <si>
    <t>WAKIL SEKRETARIS</t>
  </si>
  <si>
    <t>BIAYA UMUM DAN ADMINISTRASI</t>
  </si>
  <si>
    <t>JUMLAH BIAYA UMUM DAN ADMINISTRASI</t>
  </si>
  <si>
    <t>JUMLAH BIAYA GAJI</t>
  </si>
  <si>
    <t>LITER</t>
  </si>
  <si>
    <t>KOMITE AUDIT DAN SEK. DEWAS</t>
  </si>
  <si>
    <t>DOKUMEN PELAKSANAAN</t>
  </si>
  <si>
    <r>
      <t xml:space="preserve">TEPI JALAN UMUM </t>
    </r>
    <r>
      <rPr>
        <b/>
        <sz val="10"/>
        <rFont val="Arial Narrow"/>
        <family val="2"/>
      </rPr>
      <t>(TJU)</t>
    </r>
  </si>
  <si>
    <r>
      <t xml:space="preserve">PARKIR LANGGANAN BULANAN </t>
    </r>
    <r>
      <rPr>
        <b/>
        <sz val="10"/>
        <rFont val="Arial Narrow"/>
        <family val="2"/>
      </rPr>
      <t>(PLB)</t>
    </r>
  </si>
  <si>
    <t>PENDAPATAN</t>
  </si>
  <si>
    <t>91.00.00</t>
  </si>
  <si>
    <t>93.00.00</t>
  </si>
  <si>
    <t>BIAYA GAJI</t>
  </si>
  <si>
    <t>BIAYA</t>
  </si>
  <si>
    <t>ESTIMASI LABA</t>
  </si>
  <si>
    <t>BIAYA PENYUSUTAN</t>
  </si>
  <si>
    <t>LABA SEBELUM PAJAK</t>
  </si>
  <si>
    <t>PAJAK LABA</t>
  </si>
  <si>
    <t>LABA SETELAH PAJAK</t>
  </si>
  <si>
    <t>INVESTASI</t>
  </si>
  <si>
    <t>A. PEMBELIAN ASET TETAP DAN ASET TIDAK BERWUJUD</t>
  </si>
  <si>
    <t>PERENCANAAN DAN RENOVASI KANTOR</t>
  </si>
  <si>
    <t>RENOVASI BANGUNAN KANTOR</t>
  </si>
  <si>
    <t>POS KANRERONG</t>
  </si>
  <si>
    <t>NAIK / TURUN</t>
  </si>
  <si>
    <t>PERENCANAAN DAN PEMBANGUNAN BUILDING PARK</t>
  </si>
  <si>
    <t>DESIGN</t>
  </si>
  <si>
    <t>PEMBANGUNAN PARKIR</t>
  </si>
  <si>
    <t xml:space="preserve">PENGADAAN LAPTOP   </t>
  </si>
  <si>
    <t>PENGADAAN KOMPUTER (PC) DAN HARD DISK</t>
  </si>
  <si>
    <t>PRINTER</t>
  </si>
  <si>
    <t>SOUND SYSTEM</t>
  </si>
  <si>
    <t>RAMBU, PAPAN BICARA DAN POS KOMERSIAL</t>
  </si>
  <si>
    <t>- RAMBU PARKIR</t>
  </si>
  <si>
    <t>BUAH</t>
  </si>
  <si>
    <t>- PAPAN BICARA</t>
  </si>
  <si>
    <t>- POS KOMERSIAL</t>
  </si>
  <si>
    <t>POS</t>
  </si>
  <si>
    <t>- PARKIR LINE</t>
  </si>
  <si>
    <t>-BARRIER</t>
  </si>
  <si>
    <t>PENYUSUNAN PERATURAN PERUSAHAAN</t>
  </si>
  <si>
    <t>JUMLAH PEMBELIAN ASET TETAP DAN ASET TIDAK BERWUJUD</t>
  </si>
  <si>
    <t xml:space="preserve">B. PESANGON </t>
  </si>
  <si>
    <t>PESANGON</t>
  </si>
  <si>
    <t>KARYAWAN</t>
  </si>
  <si>
    <t>INSURANCE</t>
  </si>
  <si>
    <t>- Premi DPLK Direksi</t>
  </si>
  <si>
    <t>- Premi DPLK 36 orang</t>
  </si>
  <si>
    <t xml:space="preserve">DIREKSI </t>
  </si>
  <si>
    <t>Diireksi Periode I</t>
  </si>
  <si>
    <t>Diireksi Periode II</t>
  </si>
  <si>
    <t>Diireksi Periode III</t>
  </si>
  <si>
    <t>ANGSURAN MOBIL OPERASIONAL</t>
  </si>
  <si>
    <t>Angsuran Hilux (5 bln)</t>
  </si>
  <si>
    <t>BY PAJAK PPH BADAN 2021</t>
  </si>
  <si>
    <t>Pajak PPH Badan</t>
  </si>
  <si>
    <t>PEMBAGIAN LABA TAHUN 2021</t>
  </si>
  <si>
    <t>ANGSURAN PINJAMAN KREDIT INV</t>
  </si>
  <si>
    <t>JUMLAH PESANGON DAN HUTANG</t>
  </si>
  <si>
    <t>TOTAL</t>
  </si>
  <si>
    <t>RKAP PERUBAHAN  TAHUN 2022</t>
  </si>
  <si>
    <t>KASIE KEPEGAWAIAN</t>
  </si>
  <si>
    <t>DIREKSI,</t>
  </si>
  <si>
    <t>YULIANTI TOMU, SE</t>
  </si>
  <si>
    <t>DEWAN PENGAWAS,</t>
  </si>
  <si>
    <t>FIRMAN HAMID PAGARRA, S.STP.M.PUB.M.POL</t>
  </si>
  <si>
    <t>KETUA</t>
  </si>
  <si>
    <t>Mitra Polisi</t>
  </si>
  <si>
    <t>Kodim / Koramil</t>
  </si>
  <si>
    <t>Polres / Polsek</t>
  </si>
  <si>
    <t xml:space="preserve">Biaya Sharing Penetapan Baru 30%  </t>
  </si>
  <si>
    <t>TAHUN ANGGARAN 2023</t>
  </si>
  <si>
    <t>RKAP POKOK TAHUN 2023</t>
  </si>
  <si>
    <t>BIAYA OPERASIONAL RKAP POKOK TAHUN 2023</t>
  </si>
  <si>
    <t>- CETAK KERTAS KOP</t>
  </si>
  <si>
    <t>Rim</t>
  </si>
  <si>
    <t>- CETAK AMPLOP KOP</t>
  </si>
  <si>
    <t>Dos</t>
  </si>
  <si>
    <t>Buah</t>
  </si>
  <si>
    <t>Blok /thn</t>
  </si>
  <si>
    <t>R4  1.140 Blok / Thn</t>
  </si>
  <si>
    <t>ORG</t>
  </si>
  <si>
    <t>12 bulan</t>
  </si>
  <si>
    <t>Motor</t>
  </si>
  <si>
    <t>BIAYA PEKERJAAN IT, INFRASTRUCTURE M CORPORATE MANAGEMENT SYSTEM</t>
  </si>
  <si>
    <t>BIAYA IT N SYSTEM</t>
  </si>
  <si>
    <t>SOSIALISASI PROGRAM</t>
  </si>
  <si>
    <t>HONOR PANITIA PELELANGAN DAN PENGHAPUSAN ASET</t>
  </si>
  <si>
    <t>RKAP POKOK TAHUN ANGGARAN 2023</t>
  </si>
  <si>
    <t>MAKASSAR,  5 SEPTEMBER 2022</t>
  </si>
  <si>
    <t>12 BULAN</t>
  </si>
  <si>
    <t>92.01.12</t>
  </si>
  <si>
    <t>92.01.13</t>
  </si>
  <si>
    <t>92.01.21</t>
  </si>
  <si>
    <t>92.01.22</t>
  </si>
  <si>
    <t>92.01.37</t>
  </si>
  <si>
    <t>TUNJANGAN UANG KOMUNIKASI</t>
  </si>
  <si>
    <t>TUNJANGAN KOMUNIKASI</t>
  </si>
  <si>
    <t>JUMLAH PENERIMAAN (12 BULAN)</t>
  </si>
  <si>
    <t>92.01.50</t>
  </si>
  <si>
    <t>92.01.51</t>
  </si>
  <si>
    <t>92.01.52</t>
  </si>
  <si>
    <t>92.01.53</t>
  </si>
  <si>
    <t>92.01.54</t>
  </si>
  <si>
    <t>92.01.55</t>
  </si>
  <si>
    <t>92.01.56</t>
  </si>
  <si>
    <t>92.01.57</t>
  </si>
  <si>
    <t>92.01.40</t>
  </si>
  <si>
    <t>92.01.31</t>
  </si>
  <si>
    <t>92.01.33</t>
  </si>
  <si>
    <t>92.01.34</t>
  </si>
  <si>
    <t>92.01.35</t>
  </si>
  <si>
    <t>92.01.36</t>
  </si>
  <si>
    <t>92.01.38</t>
  </si>
  <si>
    <t>DIVIDEN 75%</t>
  </si>
  <si>
    <t>BIAYA UMUM DAN ADMINISTRASI RKAP POKOK TAHUN 2023</t>
  </si>
  <si>
    <t>RENCANA KERJA ANGGARAN PERUSAHAAN (RKAP) POKOK</t>
  </si>
  <si>
    <t>RKAP POKOK        TAHUN 2023</t>
  </si>
  <si>
    <t>BIAYA GAJI "RINCI" RKAP POKOK TAHUN 2023</t>
  </si>
  <si>
    <t>REKAPITULASI RENCANA KERJA ANGGARAN PERUSAHAAN (RKAP) POKOK</t>
  </si>
  <si>
    <t>BIAYA GAJI "REKAP" RKAP POKOK TAHUN 2023</t>
  </si>
  <si>
    <t xml:space="preserve"> RKAP POKOK TAHUN 2023</t>
  </si>
  <si>
    <t>RKAP POKOK  TAHUN 2023</t>
  </si>
  <si>
    <t>RKAP PERUBAHAN TAHUN ANGGARAN 2023</t>
  </si>
  <si>
    <t>TUNJ. KOORDINASI</t>
  </si>
  <si>
    <t>TUNJ. KOMUNIKASI - BP</t>
  </si>
  <si>
    <t>92.01.23</t>
  </si>
  <si>
    <t>TUNJ. KOMUNIKASI - KOMITE AUDIT</t>
  </si>
  <si>
    <t>ARFAH</t>
  </si>
  <si>
    <t>ASRUL</t>
  </si>
  <si>
    <t>CATATAN :</t>
  </si>
  <si>
    <t>SPI</t>
  </si>
  <si>
    <t>PENGANGKATAN PEGAWAI</t>
  </si>
  <si>
    <t>BAGIAN UMUM</t>
  </si>
  <si>
    <t>PEMBAHASAN BIAYA KESEHATAN</t>
  </si>
  <si>
    <t>PENINGKATAN SDM BERDASARKAN TUPOKSI</t>
  </si>
  <si>
    <t>PENGAJUAN KARCIS BERDASARKAN KEBUTUHAN</t>
  </si>
  <si>
    <t>PENGADAAN KAMERA UNTUK HUMAS</t>
  </si>
  <si>
    <t xml:space="preserve">KEGIATAN SOSIALISASI KEPADA TEMAN-TEMAN MEDIA </t>
  </si>
  <si>
    <t>PENGADAAN PAKAIAN OLAH RAGA</t>
  </si>
  <si>
    <t>PEMBAHASAN SISTEM PROGRAM APLIKASI SECARA BERKALA</t>
  </si>
  <si>
    <t>BAGIAN PRODUKSI</t>
  </si>
  <si>
    <t>PAJAK STNK</t>
  </si>
  <si>
    <t>BIAYA SOSIALISASI MEDIA</t>
  </si>
  <si>
    <t>BY. PEMBUATAN PLAKAT, PAPER BAG</t>
  </si>
  <si>
    <t>PEMBAHASAN MASALAH PAJAK BAPENDA</t>
  </si>
  <si>
    <t>PEMBAHASAN TUNJANGAN KINERJA</t>
  </si>
  <si>
    <t>KONTRAK KE 80  SELISIH 800 RIBU</t>
  </si>
  <si>
    <t>HONOR DINAIKKAN KONTRAK SELISIH 16 JUTA</t>
  </si>
  <si>
    <t>PENERAPAN APLIKASI ANSSENGKANKI  DAN ABBAYARAKI</t>
  </si>
  <si>
    <t>PERENCANAAN PEMBELIAN BARRIER GATE</t>
  </si>
  <si>
    <t>PEMBAHASAN PAJAK PADA BAPENDA</t>
  </si>
  <si>
    <t xml:space="preserve">RENCANA PENDAPATAN SEKSI PERALATAN </t>
  </si>
  <si>
    <t xml:space="preserve">BAGIAN PRODUKSI </t>
  </si>
  <si>
    <t xml:space="preserve">RENCANA PENDAPATAN </t>
  </si>
  <si>
    <t xml:space="preserve">URAIAN </t>
  </si>
  <si>
    <t xml:space="preserve">PENDAPATAN </t>
  </si>
  <si>
    <t>KET</t>
  </si>
  <si>
    <t>VOL</t>
  </si>
  <si>
    <t xml:space="preserve">TOTAL </t>
  </si>
  <si>
    <t xml:space="preserve">KANRE RONG </t>
  </si>
  <si>
    <t>- MASUK MESIN R2</t>
  </si>
  <si>
    <t>/ Hr</t>
  </si>
  <si>
    <t xml:space="preserve">/ Bln </t>
  </si>
  <si>
    <t>- MASUK MESIN R4</t>
  </si>
  <si>
    <t>- LANGGANAN R4</t>
  </si>
  <si>
    <t>/ Unit</t>
  </si>
  <si>
    <t>- LANGGANAN R2</t>
  </si>
  <si>
    <t>X 30 Hr</t>
  </si>
  <si>
    <t>- KEGIATAN INSIDENTIL R2</t>
  </si>
  <si>
    <t xml:space="preserve">Kegiatan diatas Jam 21.00 </t>
  </si>
  <si>
    <t>Jumlah  &gt;&gt;&gt;&gt;</t>
  </si>
  <si>
    <t>TPE (Terminal Parkir Elektronik)</t>
  </si>
  <si>
    <t xml:space="preserve">Pendapatan Dibawah 21 Juta </t>
  </si>
  <si>
    <t>1.000.000 x 30 Hr</t>
  </si>
  <si>
    <t>Di Taksasi 1.000.000 /perhari</t>
  </si>
  <si>
    <t>Dengan ketentuan apabila lewat dari 21.000.000/minggu maka KTI Berkewajjiban membayar 1.250.000</t>
  </si>
  <si>
    <t xml:space="preserve">RENCANA PENGELUARAN </t>
  </si>
  <si>
    <t>Rencana Pengembangan Usaha</t>
  </si>
  <si>
    <t>Mengadakan Hand Held yang nantinya akan diisi dengan Aplikasi Sengkaki</t>
  </si>
  <si>
    <t xml:space="preserve">Pembuatan Aplikasi </t>
  </si>
  <si>
    <t>set</t>
  </si>
  <si>
    <t>Rencana Pengadaan Alat Barrier Gate (Parkir Palang Otomatis)</t>
  </si>
  <si>
    <t>1 Masuk dan 1 Pintu Keluar (sudah termasuk PC Server, PC Admin)</t>
  </si>
  <si>
    <t xml:space="preserve">RENCANA PENDAPATAN BAGIAN PRODUKSI </t>
  </si>
  <si>
    <t>PARKIR LANGGANAN BULANAN DAN PARKIR TEKNOLOGI</t>
  </si>
  <si>
    <t>WILAYAH</t>
  </si>
  <si>
    <t>KWITANSI</t>
  </si>
  <si>
    <t>TAGIHAN</t>
  </si>
  <si>
    <t>A. ZULFIKAR</t>
  </si>
  <si>
    <t>MARISO</t>
  </si>
  <si>
    <t>WAJO</t>
  </si>
  <si>
    <t>UJUNG PANDANG</t>
  </si>
  <si>
    <t>JAMALUDDIN I</t>
  </si>
  <si>
    <t>BONTOALA</t>
  </si>
  <si>
    <t>JAMALUDDIN II</t>
  </si>
  <si>
    <t>TALLO</t>
  </si>
  <si>
    <t>JAMALUDDIN III</t>
  </si>
  <si>
    <t>UJUNG TANAH</t>
  </si>
  <si>
    <t>Drs. Muh ARDI</t>
  </si>
  <si>
    <t>PANAKUKKAN</t>
  </si>
  <si>
    <t>SUPRIADI, SE I</t>
  </si>
  <si>
    <t>TAMALANREA</t>
  </si>
  <si>
    <t>SUPRIADI, SE II</t>
  </si>
  <si>
    <t>BIRINGKANAYA</t>
  </si>
  <si>
    <t>SYARIFUDDIN S.PdI</t>
  </si>
  <si>
    <t>MAKASSAR</t>
  </si>
  <si>
    <t>UKKAS I</t>
  </si>
  <si>
    <t>RAPPOCINI</t>
  </si>
  <si>
    <t>UKKAS II</t>
  </si>
  <si>
    <t>TAMALATE</t>
  </si>
  <si>
    <t>ASWAR AMIN I</t>
  </si>
  <si>
    <t>ASWAR AMIN II</t>
  </si>
  <si>
    <t>MANGGALA</t>
  </si>
  <si>
    <t>DARMO, SKM</t>
  </si>
  <si>
    <t>MAMAJANG</t>
  </si>
  <si>
    <t>TAMALANREA II</t>
  </si>
  <si>
    <t xml:space="preserve">RENCANA PENDAPATAN PERBULAN </t>
  </si>
  <si>
    <t xml:space="preserve">RENCANA PENDAPATAN PERTAHUN </t>
  </si>
  <si>
    <t>REKAPITULASI PENERIMAAN PLB</t>
  </si>
  <si>
    <t xml:space="preserve">1.309 BADAN USAHA </t>
  </si>
  <si>
    <t xml:space="preserve">RENCANA INTENSIFIKASI </t>
  </si>
  <si>
    <t>1.309 BADAN USAHA X Rp. 100.000</t>
  </si>
  <si>
    <t xml:space="preserve">RENCANA EXTENSIFIKASI </t>
  </si>
  <si>
    <t>JUMLAH &gt;&gt;&gt;&gt;</t>
  </si>
  <si>
    <t>Makassar,     Oktober 2022</t>
  </si>
  <si>
    <t>Pembuat Daftar</t>
  </si>
  <si>
    <t>`</t>
  </si>
  <si>
    <t>Syarifuddin B, S.Pd</t>
  </si>
  <si>
    <t>Munawar Akib, S.Kom</t>
  </si>
  <si>
    <t>Kasie Penagihan</t>
  </si>
  <si>
    <t>Kasie Penetapan</t>
  </si>
  <si>
    <t xml:space="preserve">Kasie Peralatan </t>
  </si>
  <si>
    <t>Diketahui Oleh :</t>
  </si>
  <si>
    <t>BAGIAN PENGELOLAAN</t>
  </si>
  <si>
    <t>KEBUTUHAN SDM</t>
  </si>
  <si>
    <t>MENGADAKAN UJI PETIK</t>
  </si>
  <si>
    <t>MELAKUKAN PENDATAAN BAIK YG DIKELOLA MAUPUN YG BELUM</t>
  </si>
  <si>
    <t>PERENCANAAN SUMBER PENDAPATAN BARU DIBAGIAN KOMERSIAL</t>
  </si>
  <si>
    <t>PENDATAAN UNTUK ACARA IVEN DAN ACARA KAWINAN DGN MENGAMBIL IZIN KERAMAIAN MELALUI KELURAHAN DAN POLSEK</t>
  </si>
  <si>
    <t>PENGADAAN PAKAIAN ROMPI JUKIR</t>
  </si>
  <si>
    <t xml:space="preserve">RENCANA PENETAPAN BARU SEBESAR Rp. 22.000.000 / PERBULAN </t>
  </si>
  <si>
    <t>Muh. Iqbal Effendy, SE</t>
  </si>
  <si>
    <t>RENCANA TARGET TEPI JALAN UMUM TAHUN 2023 PERUMDA PARKIR MAKASSAR RAYA</t>
  </si>
  <si>
    <t>PENDAPATAN TJU TAHUN 2022</t>
  </si>
  <si>
    <t xml:space="preserve">JANUARI </t>
  </si>
  <si>
    <t>FEBRUARI</t>
  </si>
  <si>
    <t>MARET</t>
  </si>
  <si>
    <t>APRIL</t>
  </si>
  <si>
    <t>MEI</t>
  </si>
  <si>
    <t>JUNI</t>
  </si>
  <si>
    <t>JULI</t>
  </si>
  <si>
    <t>AGUSTUS</t>
  </si>
  <si>
    <t>SEFTEMBER</t>
  </si>
  <si>
    <t>OKTOBER</t>
  </si>
  <si>
    <t>SAMPAI 26 Oktober 2022</t>
  </si>
  <si>
    <t>NOVEMBER</t>
  </si>
  <si>
    <t>RENCANA TARGET TJU TAHUN 2023</t>
  </si>
  <si>
    <t>-</t>
  </si>
  <si>
    <t xml:space="preserve">Pendapatan bulan Agustus tahun 2022 adalah </t>
  </si>
  <si>
    <t>Target tahun 2023 = pendapatan tertinggi ditahun 2022 ditambah 22 % tambahan  setoran jukir</t>
  </si>
  <si>
    <t>Jadi target perbulan  tahun 2023 adalah</t>
  </si>
  <si>
    <t>+</t>
  </si>
  <si>
    <t>=</t>
  </si>
  <si>
    <t>target pendapatan TJU 2023</t>
  </si>
  <si>
    <t>Blok /6 bln</t>
  </si>
  <si>
    <t>REALISASI JAN S/D 31 OKTOBER  2022</t>
  </si>
  <si>
    <t>REALISASI JAN S/D 31 OKTOBER 2022</t>
  </si>
  <si>
    <t>REALISASI JAN S/D 31 OKTOBER   2022</t>
  </si>
  <si>
    <t>REALISASI JAN S/D  OKTOBER 2022</t>
  </si>
  <si>
    <t>REALISASI JAN S/D OKTOBER  2022</t>
  </si>
  <si>
    <t>CALON PEGAWAI 80 %</t>
  </si>
  <si>
    <t xml:space="preserve">CALON PEGAWAI </t>
  </si>
  <si>
    <t>KABAG /SPI</t>
  </si>
  <si>
    <t>BENDAHARA PENERIMAAN &amp; PENGELUARAN</t>
  </si>
  <si>
    <t>TOTAL PEGAWAI 140 ORANG</t>
  </si>
  <si>
    <t>PEGAWAI SPI</t>
  </si>
  <si>
    <t>BIAYA UPAH TENAGA HONOR</t>
  </si>
  <si>
    <t>REALISASI JAN S/D 31 Oktober 2022</t>
  </si>
  <si>
    <t>MAKASSAR,  5 November 2022</t>
  </si>
  <si>
    <t>MAKASSAR,  5 NOVEMBER 2022</t>
  </si>
  <si>
    <t>Aplikasi MEMBER PARKING</t>
  </si>
  <si>
    <t>BIAYA MEMBER PARKING</t>
  </si>
  <si>
    <t>REALISASI JAN S/D OKTOBER 2022</t>
  </si>
  <si>
    <t>BY SURVEY TITIK PARKIR  TAHAP 2</t>
  </si>
  <si>
    <t>12 Bulan</t>
  </si>
  <si>
    <t>A -C</t>
  </si>
  <si>
    <t>A - C</t>
  </si>
  <si>
    <t>BIAYA KELENGKAPAN JUKIR</t>
  </si>
  <si>
    <t xml:space="preserve">ID Card Jukir </t>
  </si>
  <si>
    <t>BIAYA SEWA KENDARAAN OPERASIONAL</t>
  </si>
  <si>
    <t>No</t>
  </si>
  <si>
    <t>BIAYA PIUTANG TAK TERTAGIH</t>
  </si>
  <si>
    <t>MEMBER PARKING KENDARAAN</t>
  </si>
  <si>
    <t>PENDAPATAN LAIN-LAIN</t>
  </si>
  <si>
    <t>BIAYA KOORDINASI PEMBINAAN PERUMDA</t>
  </si>
  <si>
    <t>BIAYA UTILITAS KANTOR</t>
  </si>
  <si>
    <t>BIAYA RAKORD PERUSDA DAN RAPAT KERJA PERUMDA PARKIR</t>
  </si>
  <si>
    <t>BIAYA HONOR KONSULTAN HUKUM DAN IT</t>
  </si>
  <si>
    <t>BIAYA SOSIAL, APEKSI, F8, PERAYAAN DAERAH DAN NASIONAL</t>
  </si>
  <si>
    <t>BIAYA INSENTIF PENYUSUNAN RKAP POKOK DAN PERUBAHAN 2023</t>
  </si>
  <si>
    <t>Sekretaris Direktur</t>
  </si>
  <si>
    <t>PENGANGKATAN 80%</t>
  </si>
  <si>
    <t>BIAYA RAKOR PERUSDA DAN RAPAT KERJA PD. PARKIR</t>
  </si>
  <si>
    <t>STAFF PENDAMPING</t>
  </si>
  <si>
    <t>KENAIKAN UMP (BPJS TKJ DAN KESEHATAN)</t>
  </si>
  <si>
    <t>- BG. HUKUM</t>
  </si>
  <si>
    <t>BIAYA PENYUSUNAN PERATURAN, KEBIJAKAN AKUNTANSI DAN SOP</t>
  </si>
  <si>
    <t>SOP</t>
  </si>
  <si>
    <t>KEBIJAKAN AKUNTANSI</t>
  </si>
  <si>
    <t>PENSIUN, REWARD DAN PENGHARGAAN</t>
  </si>
  <si>
    <t>PENSIUN PEGAWAI</t>
  </si>
  <si>
    <t>APEKSI</t>
  </si>
  <si>
    <t>Kwitansi Batal - Parkir PLB</t>
  </si>
  <si>
    <t>BIAYA UTILITAS</t>
  </si>
  <si>
    <t>BY LISTRIK</t>
  </si>
  <si>
    <t>PENGADAAN PRINTER, KAMERA DAN SOUND SYSTEM</t>
  </si>
  <si>
    <t>Deviden 75% ATAS EAT</t>
  </si>
  <si>
    <t>PENGADAAN KENDARAAN OPERASIONAL</t>
  </si>
  <si>
    <t>MOTOR</t>
  </si>
  <si>
    <t>JILID</t>
  </si>
  <si>
    <t>ATK</t>
  </si>
  <si>
    <t>DEWAS</t>
  </si>
  <si>
    <t>KAMERA DAN DRONE</t>
  </si>
  <si>
    <t>SEKERTARIS</t>
  </si>
  <si>
    <t>PEGAWAI 80%</t>
  </si>
  <si>
    <t>KOORDINASI</t>
  </si>
  <si>
    <t>KOMUNIKASI</t>
  </si>
  <si>
    <t>STAF PENDAMPING</t>
  </si>
  <si>
    <t>CALON PEGAWAI HONOR</t>
  </si>
  <si>
    <t>KABAG UMUM/KEPEGAWAIAN</t>
  </si>
  <si>
    <t>ASRA</t>
  </si>
  <si>
    <t>KABAG KEUANGAN</t>
  </si>
  <si>
    <t>SITTI RAHMA</t>
  </si>
  <si>
    <t>KABAG PRODUKSI</t>
  </si>
  <si>
    <t>KABAG PENGELOLAAN</t>
  </si>
  <si>
    <t>KABAG HUKUM DAN HUMAS</t>
  </si>
  <si>
    <t>KABAG ASET</t>
  </si>
  <si>
    <t>KABAG PENGEMBANGAN</t>
  </si>
  <si>
    <t>KABAG KERJA SAMA</t>
  </si>
  <si>
    <t>PAKAIAN DINAS LAPANGAN</t>
  </si>
  <si>
    <t>- ROMPI DAN TOPI</t>
  </si>
  <si>
    <t>SOPIR DIREKSI</t>
  </si>
  <si>
    <t>Mobil Operasional</t>
  </si>
  <si>
    <t>FS (Kajian Awal)</t>
  </si>
  <si>
    <t>FGD (Forum Group Discusion)</t>
  </si>
  <si>
    <t>TANTIEM 5% ( DARI PENGURANGAN LABA DENGAN CADANGAN)</t>
  </si>
  <si>
    <t>Total Pendapatan</t>
  </si>
  <si>
    <t>TOTAL PENDAPATAN BERSIH</t>
  </si>
  <si>
    <t>Retur dan potongan - PARKIR TJU</t>
  </si>
  <si>
    <t>MAKASSAR,  23 NOVEMBER 2022</t>
  </si>
  <si>
    <t>Total retur dan potongan</t>
  </si>
  <si>
    <t>Jumlah Return dan Potongan</t>
  </si>
  <si>
    <t>OFFICE 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</si>
</sst>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#,##0;[Red]#,##0"/>
    <numFmt numFmtId="169" formatCode="_-* #,##0_-;\-* #,##0_-;_-* &quot;-&quot;??_-;_-@_-"/>
    <numFmt numFmtId="170" formatCode="_([$Rp-421]* #,##0_);_([$Rp-421]* \(#,##0\);_([$Rp-421]* &quot;-&quot;_);_(@_)"/>
  </numFmts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3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9"/>
      <name val="Arial Narrow"/>
      <family val="2"/>
    </font>
    <font>
      <u val="singleAccounting"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u/>
      <sz val="10"/>
      <name val="Arial Narrow"/>
      <family val="2"/>
    </font>
    <font>
      <sz val="10"/>
      <color rgb="FFFF0000"/>
      <name val="Arial Narrow"/>
      <family val="2"/>
    </font>
    <font>
      <u val="singleAccounting"/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1"/>
      <color theme="1"/>
      <name val="Arial Narrow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rgb="FFFF0000"/>
      <name val="Arial Narrow"/>
      <family val="2"/>
    </font>
    <font>
      <b/>
      <sz val="10"/>
      <color rgb="FFC00000"/>
      <name val="Arial Narrow"/>
      <family val="2"/>
    </font>
    <font>
      <sz val="11"/>
      <color theme="1"/>
      <name val="Calibri"/>
      <family val="2"/>
      <charset val="1"/>
      <scheme val="minor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  <charset val="1"/>
    </font>
    <font>
      <b/>
      <sz val="9"/>
      <color indexed="8"/>
      <name val="Arial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202124"/>
      <name val="Arial"/>
      <family val="2"/>
    </font>
    <font>
      <sz val="11"/>
      <color indexed="8"/>
      <name val="Arial"/>
      <family val="2"/>
    </font>
    <font>
      <b/>
      <sz val="9"/>
      <name val="Arial Narrow"/>
      <family val="2"/>
    </font>
    <font>
      <sz val="9"/>
      <color indexed="8"/>
      <name val="Arial Narrow"/>
      <family val="2"/>
    </font>
    <font>
      <sz val="9"/>
      <color theme="0"/>
      <name val="Arial"/>
      <family val="2"/>
    </font>
    <font>
      <b/>
      <sz val="9"/>
      <color indexed="8"/>
      <name val="Arial Narrow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b/>
      <u/>
      <sz val="12"/>
      <color indexed="8"/>
      <name val="Arial"/>
      <family val="2"/>
    </font>
    <font>
      <u val="singleAccounting"/>
      <sz val="11"/>
      <color indexed="8"/>
      <name val="Arial"/>
      <family val="2"/>
    </font>
    <font>
      <b/>
      <sz val="12"/>
      <color indexed="8"/>
      <name val="Arial"/>
      <family val="2"/>
    </font>
    <font>
      <b/>
      <u val="singleAccounting"/>
      <sz val="12"/>
      <color indexed="8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u val="singleAccounting"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u val="singleAccounting"/>
      <sz val="9"/>
      <color indexed="8"/>
      <name val="Arial"/>
      <family val="2"/>
    </font>
    <font>
      <sz val="7"/>
      <name val="Arial Narrow"/>
      <family val="2"/>
    </font>
    <font>
      <u val="singleAccounting"/>
      <sz val="7"/>
      <name val="Arial Narrow"/>
      <family val="2"/>
    </font>
    <font>
      <b/>
      <sz val="18"/>
      <name val="Arial"/>
      <family val="2"/>
    </font>
    <font>
      <sz val="11"/>
      <color theme="1"/>
      <name val="Arial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3" tint="0.39997558519241921"/>
      <name val="Arial Narrow"/>
      <family val="2"/>
    </font>
    <font>
      <b/>
      <sz val="13"/>
      <name val="Arial"/>
      <family val="2"/>
    </font>
    <font>
      <b/>
      <sz val="11"/>
      <name val="Arial Narrow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 val="singleAccounting"/>
      <sz val="10"/>
      <name val="Arial Narrow"/>
      <family val="2"/>
    </font>
    <font>
      <b/>
      <sz val="14"/>
      <color theme="1"/>
      <name val="Arial Narrow"/>
      <family val="2"/>
    </font>
    <font>
      <b/>
      <sz val="18"/>
      <name val="Arial Narrow"/>
      <family val="2"/>
    </font>
    <font>
      <b/>
      <sz val="9"/>
      <color theme="1"/>
      <name val="Arial"/>
      <family val="2"/>
    </font>
    <font>
      <b/>
      <sz val="11"/>
      <color rgb="FFFF0000"/>
      <name val="Arial Narrow"/>
      <family val="2"/>
    </font>
    <font>
      <u/>
      <sz val="11"/>
      <color theme="1"/>
      <name val="Arial Narrow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u/>
      <sz val="10"/>
      <color theme="1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 Narrow"/>
      <family val="2"/>
    </font>
    <font>
      <b/>
      <sz val="12"/>
      <color rgb="FFFF0000"/>
      <name val="Arial Narrow"/>
      <family val="2"/>
    </font>
    <font>
      <u/>
      <sz val="9"/>
      <color indexed="8"/>
      <name val="Arial"/>
      <family val="2"/>
    </font>
    <font>
      <b/>
      <sz val="13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3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>
        <bgColor indexed="9"/>
      </patternFill>
    </fill>
    <fill>
      <patternFill patternType="solid">
        <fgColor theme="0" tint="-0.249977111117893"/>
        <bgColor indexed="64"/>
      </patternFill>
    </fill>
  </fills>
  <borders count="18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23" fillId="0" borderId="0"/>
    <xf numFmtId="164" fontId="27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4">
    <xf numFmtId="0" fontId="0" fillId="0" borderId="0" xfId="0"/>
    <xf numFmtId="0" fontId="7" fillId="0" borderId="14" xfId="3" applyFont="1" applyBorder="1" applyAlignment="1">
      <alignment horizontal="center" vertical="center"/>
    </xf>
    <xf numFmtId="0" fontId="4" fillId="0" borderId="16" xfId="3" applyFont="1" applyBorder="1" applyAlignment="1">
      <alignment horizontal="center" vertical="center"/>
    </xf>
    <xf numFmtId="0" fontId="4" fillId="0" borderId="17" xfId="3" quotePrefix="1" applyFont="1" applyBorder="1" applyAlignment="1">
      <alignment horizontal="left" vertical="center" wrapText="1"/>
    </xf>
    <xf numFmtId="0" fontId="4" fillId="0" borderId="17" xfId="3" applyFont="1" applyBorder="1" applyAlignment="1">
      <alignment vertical="center" wrapText="1"/>
    </xf>
    <xf numFmtId="0" fontId="4" fillId="0" borderId="18" xfId="3" applyFont="1" applyBorder="1" applyAlignment="1">
      <alignment horizontal="center" vertical="center"/>
    </xf>
    <xf numFmtId="0" fontId="7" fillId="0" borderId="19" xfId="3" applyFont="1" applyBorder="1" applyAlignment="1">
      <alignment horizontal="right" vertical="center" wrapText="1"/>
    </xf>
    <xf numFmtId="0" fontId="7" fillId="0" borderId="16" xfId="3" applyFont="1" applyBorder="1" applyAlignment="1">
      <alignment horizontal="center" vertical="center"/>
    </xf>
    <xf numFmtId="0" fontId="4" fillId="0" borderId="17" xfId="3" quotePrefix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0" borderId="19" xfId="3" quotePrefix="1" applyFont="1" applyBorder="1" applyAlignment="1">
      <alignment horizontal="right" vertical="center" wrapText="1"/>
    </xf>
    <xf numFmtId="0" fontId="9" fillId="0" borderId="17" xfId="3" applyFont="1" applyBorder="1" applyAlignment="1">
      <alignment horizontal="left" vertical="center" wrapText="1"/>
    </xf>
    <xf numFmtId="0" fontId="4" fillId="0" borderId="17" xfId="3" applyFont="1" applyBorder="1" applyAlignment="1">
      <alignment horizontal="left" vertical="center" wrapText="1"/>
    </xf>
    <xf numFmtId="0" fontId="4" fillId="0" borderId="17" xfId="3" applyFont="1" applyBorder="1" applyAlignment="1">
      <alignment horizontal="right" vertical="center" wrapText="1"/>
    </xf>
    <xf numFmtId="0" fontId="4" fillId="2" borderId="17" xfId="3" applyFont="1" applyFill="1" applyBorder="1" applyAlignment="1">
      <alignment horizontal="left" vertical="center" wrapText="1"/>
    </xf>
    <xf numFmtId="0" fontId="4" fillId="0" borderId="17" xfId="3" applyFont="1" applyBorder="1" applyAlignment="1">
      <alignment horizontal="center" vertical="center" wrapText="1"/>
    </xf>
    <xf numFmtId="0" fontId="4" fillId="0" borderId="20" xfId="3" applyFont="1" applyBorder="1" applyAlignment="1">
      <alignment horizontal="center" vertical="center"/>
    </xf>
    <xf numFmtId="0" fontId="4" fillId="0" borderId="24" xfId="3" applyFont="1" applyBorder="1" applyAlignment="1">
      <alignment horizontal="left" vertical="center" wrapText="1"/>
    </xf>
    <xf numFmtId="0" fontId="4" fillId="0" borderId="24" xfId="3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/>
    </xf>
    <xf numFmtId="0" fontId="4" fillId="0" borderId="16" xfId="5" applyFont="1" applyBorder="1" applyAlignment="1">
      <alignment horizontal="center" vertical="center"/>
    </xf>
    <xf numFmtId="9" fontId="4" fillId="0" borderId="17" xfId="2" applyFont="1" applyFill="1" applyBorder="1" applyAlignment="1">
      <alignment horizontal="right" vertical="center"/>
    </xf>
    <xf numFmtId="164" fontId="4" fillId="0" borderId="17" xfId="6" applyFont="1" applyFill="1" applyBorder="1" applyAlignment="1">
      <alignment vertical="center"/>
    </xf>
    <xf numFmtId="3" fontId="4" fillId="0" borderId="17" xfId="4" quotePrefix="1" applyNumberFormat="1" applyFont="1" applyFill="1" applyBorder="1" applyAlignment="1">
      <alignment horizontal="left" vertical="center"/>
    </xf>
    <xf numFmtId="9" fontId="4" fillId="0" borderId="17" xfId="5" applyNumberFormat="1" applyFont="1" applyBorder="1" applyAlignment="1">
      <alignment horizontal="center" vertical="center"/>
    </xf>
    <xf numFmtId="3" fontId="13" fillId="0" borderId="17" xfId="4" applyNumberFormat="1" applyFont="1" applyFill="1" applyBorder="1" applyAlignment="1">
      <alignment horizontal="right" vertical="center"/>
    </xf>
    <xf numFmtId="0" fontId="4" fillId="0" borderId="18" xfId="5" applyFont="1" applyBorder="1" applyAlignment="1">
      <alignment horizontal="center" vertical="center"/>
    </xf>
    <xf numFmtId="167" fontId="7" fillId="0" borderId="19" xfId="4" applyNumberFormat="1" applyFont="1" applyFill="1" applyBorder="1" applyAlignment="1">
      <alignment horizontal="right" vertical="center"/>
    </xf>
    <xf numFmtId="0" fontId="4" fillId="0" borderId="14" xfId="3" applyFont="1" applyBorder="1" applyAlignment="1">
      <alignment horizontal="center" vertical="center"/>
    </xf>
    <xf numFmtId="164" fontId="4" fillId="0" borderId="17" xfId="6" applyFont="1" applyFill="1" applyBorder="1" applyAlignment="1">
      <alignment horizontal="center" vertical="center"/>
    </xf>
    <xf numFmtId="164" fontId="4" fillId="0" borderId="17" xfId="6" applyFont="1" applyFill="1" applyBorder="1" applyAlignment="1">
      <alignment vertical="center" wrapText="1"/>
    </xf>
    <xf numFmtId="164" fontId="4" fillId="0" borderId="17" xfId="6" applyFont="1" applyFill="1" applyBorder="1" applyAlignment="1">
      <alignment horizontal="center" vertical="center" wrapText="1"/>
    </xf>
    <xf numFmtId="164" fontId="4" fillId="0" borderId="17" xfId="6" applyFont="1" applyFill="1" applyBorder="1" applyAlignment="1">
      <alignment horizontal="justify" vertical="center"/>
    </xf>
    <xf numFmtId="164" fontId="9" fillId="0" borderId="17" xfId="6" applyFont="1" applyFill="1" applyBorder="1" applyAlignment="1">
      <alignment vertical="center" wrapText="1"/>
    </xf>
    <xf numFmtId="164" fontId="9" fillId="0" borderId="17" xfId="6" applyFont="1" applyFill="1" applyBorder="1" applyAlignment="1">
      <alignment horizontal="center" vertical="center" wrapText="1"/>
    </xf>
    <xf numFmtId="164" fontId="4" fillId="0" borderId="17" xfId="6" applyFont="1" applyFill="1" applyBorder="1" applyAlignment="1">
      <alignment horizontal="left" vertical="center" wrapText="1"/>
    </xf>
    <xf numFmtId="164" fontId="4" fillId="0" borderId="17" xfId="6" applyFont="1" applyFill="1" applyBorder="1" applyAlignment="1">
      <alignment horizontal="left" vertical="center"/>
    </xf>
    <xf numFmtId="164" fontId="7" fillId="0" borderId="19" xfId="6" applyFont="1" applyFill="1" applyBorder="1" applyAlignment="1">
      <alignment horizontal="justify" vertical="center"/>
    </xf>
    <xf numFmtId="164" fontId="10" fillId="0" borderId="15" xfId="6" applyFont="1" applyFill="1" applyBorder="1" applyAlignment="1">
      <alignment horizontal="justify" vertical="center"/>
    </xf>
    <xf numFmtId="164" fontId="10" fillId="0" borderId="17" xfId="6" applyFont="1" applyFill="1" applyBorder="1" applyAlignment="1">
      <alignment horizontal="justify" vertical="center"/>
    </xf>
    <xf numFmtId="164" fontId="7" fillId="0" borderId="19" xfId="6" applyFont="1" applyFill="1" applyBorder="1" applyAlignment="1">
      <alignment horizontal="center" vertical="center"/>
    </xf>
    <xf numFmtId="9" fontId="4" fillId="0" borderId="17" xfId="6" quotePrefix="1" applyNumberFormat="1" applyFont="1" applyFill="1" applyBorder="1" applyAlignment="1">
      <alignment horizontal="center" vertical="center" wrapText="1"/>
    </xf>
    <xf numFmtId="167" fontId="4" fillId="0" borderId="17" xfId="4" applyNumberFormat="1" applyFont="1" applyFill="1" applyBorder="1" applyAlignment="1">
      <alignment vertical="center"/>
    </xf>
    <xf numFmtId="167" fontId="7" fillId="0" borderId="19" xfId="4" applyNumberFormat="1" applyFont="1" applyFill="1" applyBorder="1" applyAlignment="1">
      <alignment vertical="center"/>
    </xf>
    <xf numFmtId="167" fontId="4" fillId="0" borderId="17" xfId="4" applyNumberFormat="1" applyFont="1" applyFill="1" applyBorder="1" applyAlignment="1">
      <alignment horizontal="right" vertical="center"/>
    </xf>
    <xf numFmtId="167" fontId="10" fillId="0" borderId="17" xfId="4" applyNumberFormat="1" applyFont="1" applyFill="1" applyBorder="1" applyAlignment="1">
      <alignment horizontal="right" vertical="center"/>
    </xf>
    <xf numFmtId="0" fontId="4" fillId="0" borderId="17" xfId="6" applyNumberFormat="1" applyFont="1" applyFill="1" applyBorder="1" applyAlignment="1">
      <alignment horizontal="center" vertical="center" wrapText="1"/>
    </xf>
    <xf numFmtId="167" fontId="4" fillId="0" borderId="17" xfId="6" applyNumberFormat="1" applyFont="1" applyFill="1" applyBorder="1" applyAlignment="1">
      <alignment horizontal="center" vertical="center" wrapText="1"/>
    </xf>
    <xf numFmtId="164" fontId="4" fillId="0" borderId="17" xfId="6" quotePrefix="1" applyFont="1" applyFill="1" applyBorder="1" applyAlignment="1">
      <alignment horizontal="left" vertical="center" wrapText="1"/>
    </xf>
    <xf numFmtId="164" fontId="10" fillId="0" borderId="17" xfId="6" quotePrefix="1" applyFont="1" applyFill="1" applyBorder="1" applyAlignment="1">
      <alignment horizontal="justify" vertical="center"/>
    </xf>
    <xf numFmtId="164" fontId="7" fillId="0" borderId="19" xfId="6" applyFont="1" applyFill="1" applyBorder="1" applyAlignment="1">
      <alignment horizontal="left" vertical="center"/>
    </xf>
    <xf numFmtId="164" fontId="10" fillId="0" borderId="17" xfId="6" applyFont="1" applyFill="1" applyBorder="1" applyAlignment="1">
      <alignment horizontal="left" vertical="center"/>
    </xf>
    <xf numFmtId="167" fontId="4" fillId="0" borderId="17" xfId="4" applyNumberFormat="1" applyFont="1" applyFill="1" applyBorder="1" applyAlignment="1">
      <alignment horizontal="left" vertical="center" wrapText="1"/>
    </xf>
    <xf numFmtId="167" fontId="4" fillId="0" borderId="17" xfId="4" applyNumberFormat="1" applyFont="1" applyFill="1" applyBorder="1" applyAlignment="1">
      <alignment vertical="center" wrapText="1"/>
    </xf>
    <xf numFmtId="164" fontId="10" fillId="0" borderId="24" xfId="6" applyFont="1" applyFill="1" applyBorder="1" applyAlignment="1">
      <alignment horizontal="justify" vertical="center"/>
    </xf>
    <xf numFmtId="167" fontId="4" fillId="0" borderId="17" xfId="4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9" xfId="0" applyBorder="1"/>
    <xf numFmtId="0" fontId="0" fillId="0" borderId="34" xfId="0" applyBorder="1"/>
    <xf numFmtId="164" fontId="4" fillId="0" borderId="28" xfId="6" applyFont="1" applyFill="1" applyBorder="1" applyAlignment="1">
      <alignment horizontal="justify" vertical="center"/>
    </xf>
    <xf numFmtId="164" fontId="4" fillId="0" borderId="28" xfId="6" applyFont="1" applyFill="1" applyBorder="1" applyAlignment="1">
      <alignment horizontal="center" vertical="center"/>
    </xf>
    <xf numFmtId="0" fontId="7" fillId="0" borderId="37" xfId="3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/>
    <xf numFmtId="164" fontId="10" fillId="0" borderId="38" xfId="6" applyFont="1" applyFill="1" applyBorder="1" applyAlignment="1">
      <alignment horizontal="justify" vertical="center"/>
    </xf>
    <xf numFmtId="0" fontId="11" fillId="0" borderId="28" xfId="3" applyFont="1" applyBorder="1" applyAlignment="1">
      <alignment horizontal="left" vertical="center" wrapText="1"/>
    </xf>
    <xf numFmtId="0" fontId="4" fillId="0" borderId="28" xfId="3" quotePrefix="1" applyFont="1" applyBorder="1" applyAlignment="1">
      <alignment horizontal="center" vertical="center" wrapText="1"/>
    </xf>
    <xf numFmtId="0" fontId="9" fillId="0" borderId="28" xfId="3" applyFont="1" applyBorder="1" applyAlignment="1">
      <alignment horizontal="left" vertical="center" wrapText="1"/>
    </xf>
    <xf numFmtId="9" fontId="4" fillId="0" borderId="28" xfId="6" quotePrefix="1" applyNumberFormat="1" applyFont="1" applyFill="1" applyBorder="1" applyAlignment="1">
      <alignment horizontal="center" vertical="center" wrapText="1"/>
    </xf>
    <xf numFmtId="164" fontId="4" fillId="0" borderId="28" xfId="6" applyFont="1" applyFill="1" applyBorder="1" applyAlignment="1">
      <alignment horizontal="center" vertical="center" wrapText="1"/>
    </xf>
    <xf numFmtId="167" fontId="4" fillId="0" borderId="28" xfId="4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43" xfId="0" applyFont="1" applyBorder="1" applyAlignment="1">
      <alignment horizontal="center" vertical="center"/>
    </xf>
    <xf numFmtId="164" fontId="4" fillId="0" borderId="43" xfId="6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7" fillId="3" borderId="29" xfId="3" applyFont="1" applyFill="1" applyBorder="1" applyAlignment="1">
      <alignment horizontal="center" vertical="center"/>
    </xf>
    <xf numFmtId="0" fontId="4" fillId="0" borderId="28" xfId="3" applyFont="1" applyBorder="1" applyAlignment="1">
      <alignment horizontal="left" vertical="center" wrapText="1"/>
    </xf>
    <xf numFmtId="0" fontId="4" fillId="0" borderId="28" xfId="3" applyFont="1" applyBorder="1" applyAlignment="1">
      <alignment horizontal="right" vertical="center" wrapText="1"/>
    </xf>
    <xf numFmtId="164" fontId="4" fillId="0" borderId="28" xfId="6" applyFont="1" applyFill="1" applyBorder="1" applyAlignment="1">
      <alignment vertical="center"/>
    </xf>
    <xf numFmtId="167" fontId="4" fillId="0" borderId="28" xfId="4" applyNumberFormat="1" applyFont="1" applyFill="1" applyBorder="1" applyAlignment="1">
      <alignment horizontal="right" vertical="center"/>
    </xf>
    <xf numFmtId="0" fontId="0" fillId="0" borderId="27" xfId="0" applyBorder="1"/>
    <xf numFmtId="0" fontId="4" fillId="0" borderId="15" xfId="6" applyNumberFormat="1" applyFont="1" applyFill="1" applyBorder="1" applyAlignment="1">
      <alignment vertical="center" wrapText="1"/>
    </xf>
    <xf numFmtId="164" fontId="4" fillId="0" borderId="15" xfId="6" applyFont="1" applyFill="1" applyBorder="1" applyAlignment="1">
      <alignment horizontal="justify" vertical="center"/>
    </xf>
    <xf numFmtId="0" fontId="4" fillId="0" borderId="15" xfId="6" applyNumberFormat="1" applyFont="1" applyFill="1" applyBorder="1" applyAlignment="1">
      <alignment horizontal="center" vertical="center" wrapText="1"/>
    </xf>
    <xf numFmtId="164" fontId="4" fillId="0" borderId="15" xfId="6" applyFont="1" applyFill="1" applyBorder="1" applyAlignment="1">
      <alignment vertical="center"/>
    </xf>
    <xf numFmtId="167" fontId="4" fillId="0" borderId="15" xfId="4" applyNumberFormat="1" applyFont="1" applyFill="1" applyBorder="1" applyAlignment="1">
      <alignment horizontal="right" vertical="center"/>
    </xf>
    <xf numFmtId="0" fontId="4" fillId="0" borderId="15" xfId="3" quotePrefix="1" applyFont="1" applyBorder="1" applyAlignment="1">
      <alignment horizontal="left" vertical="center" wrapText="1"/>
    </xf>
    <xf numFmtId="164" fontId="4" fillId="0" borderId="15" xfId="6" applyFont="1" applyFill="1" applyBorder="1" applyAlignment="1">
      <alignment horizontal="center" vertical="center"/>
    </xf>
    <xf numFmtId="164" fontId="4" fillId="0" borderId="15" xfId="6" quotePrefix="1" applyFont="1" applyFill="1" applyBorder="1" applyAlignment="1">
      <alignment horizontal="left" vertical="center" wrapText="1"/>
    </xf>
    <xf numFmtId="0" fontId="4" fillId="0" borderId="15" xfId="3" applyFont="1" applyBorder="1" applyAlignment="1">
      <alignment horizontal="left" vertical="center" wrapText="1"/>
    </xf>
    <xf numFmtId="0" fontId="4" fillId="0" borderId="15" xfId="3" applyFont="1" applyBorder="1" applyAlignment="1">
      <alignment horizontal="right" vertical="center" wrapText="1"/>
    </xf>
    <xf numFmtId="0" fontId="4" fillId="0" borderId="15" xfId="3" applyFont="1" applyBorder="1" applyAlignment="1">
      <alignment horizontal="center" vertical="center" wrapText="1"/>
    </xf>
    <xf numFmtId="164" fontId="4" fillId="0" borderId="15" xfId="6" applyFont="1" applyFill="1" applyBorder="1" applyAlignment="1">
      <alignment horizontal="left" vertical="center" wrapText="1"/>
    </xf>
    <xf numFmtId="41" fontId="2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4" fillId="0" borderId="28" xfId="6" applyNumberFormat="1" applyFont="1" applyFill="1" applyBorder="1" applyAlignment="1">
      <alignment horizontal="center" vertical="center" wrapText="1"/>
    </xf>
    <xf numFmtId="9" fontId="4" fillId="0" borderId="17" xfId="6" applyNumberFormat="1" applyFont="1" applyFill="1" applyBorder="1" applyAlignment="1">
      <alignment horizontal="center" vertical="center" wrapText="1"/>
    </xf>
    <xf numFmtId="9" fontId="4" fillId="0" borderId="15" xfId="3" applyNumberFormat="1" applyFont="1" applyBorder="1" applyAlignment="1">
      <alignment horizontal="center" vertical="center" wrapText="1"/>
    </xf>
    <xf numFmtId="164" fontId="4" fillId="0" borderId="15" xfId="6" applyFont="1" applyFill="1" applyBorder="1" applyAlignment="1">
      <alignment horizontal="left" vertical="center"/>
    </xf>
    <xf numFmtId="0" fontId="4" fillId="0" borderId="15" xfId="3" applyFont="1" applyBorder="1" applyAlignment="1">
      <alignment vertical="center" wrapText="1"/>
    </xf>
    <xf numFmtId="9" fontId="4" fillId="0" borderId="15" xfId="3" applyNumberFormat="1" applyFont="1" applyBorder="1" applyAlignment="1">
      <alignment vertical="center" wrapText="1"/>
    </xf>
    <xf numFmtId="0" fontId="4" fillId="0" borderId="15" xfId="5" quotePrefix="1" applyFont="1" applyBorder="1" applyAlignment="1">
      <alignment vertical="center"/>
    </xf>
    <xf numFmtId="9" fontId="4" fillId="0" borderId="15" xfId="2" applyFont="1" applyFill="1" applyBorder="1" applyAlignment="1">
      <alignment horizontal="right" vertical="center"/>
    </xf>
    <xf numFmtId="0" fontId="4" fillId="0" borderId="15" xfId="5" applyFont="1" applyBorder="1" applyAlignment="1">
      <alignment horizontal="center" vertical="center"/>
    </xf>
    <xf numFmtId="3" fontId="4" fillId="0" borderId="15" xfId="4" applyNumberFormat="1" applyFont="1" applyFill="1" applyBorder="1" applyAlignment="1">
      <alignment horizontal="right" vertical="center"/>
    </xf>
    <xf numFmtId="41" fontId="0" fillId="0" borderId="11" xfId="1" applyFont="1" applyBorder="1"/>
    <xf numFmtId="164" fontId="4" fillId="0" borderId="15" xfId="6" applyFont="1" applyFill="1" applyBorder="1" applyAlignment="1">
      <alignment horizontal="center" vertical="center" wrapText="1"/>
    </xf>
    <xf numFmtId="164" fontId="14" fillId="0" borderId="15" xfId="6" applyFont="1" applyFill="1" applyBorder="1" applyAlignment="1">
      <alignment horizontal="justify" vertical="center"/>
    </xf>
    <xf numFmtId="167" fontId="2" fillId="0" borderId="49" xfId="0" applyNumberFormat="1" applyFont="1" applyBorder="1"/>
    <xf numFmtId="164" fontId="7" fillId="0" borderId="48" xfId="6" applyFont="1" applyFill="1" applyBorder="1" applyAlignment="1">
      <alignment horizontal="justify" vertical="center"/>
    </xf>
    <xf numFmtId="164" fontId="7" fillId="0" borderId="11" xfId="6" applyFont="1" applyFill="1" applyBorder="1" applyAlignment="1">
      <alignment horizontal="justify" vertical="center"/>
    </xf>
    <xf numFmtId="164" fontId="7" fillId="0" borderId="27" xfId="6" applyFont="1" applyFill="1" applyBorder="1" applyAlignment="1">
      <alignment horizontal="justify" vertical="center"/>
    </xf>
    <xf numFmtId="164" fontId="4" fillId="0" borderId="21" xfId="6" applyFont="1" applyFill="1" applyBorder="1" applyAlignment="1">
      <alignment horizontal="justify" vertical="center"/>
    </xf>
    <xf numFmtId="164" fontId="0" fillId="0" borderId="17" xfId="0" applyNumberFormat="1" applyBorder="1"/>
    <xf numFmtId="164" fontId="15" fillId="0" borderId="17" xfId="0" applyNumberFormat="1" applyFont="1" applyBorder="1"/>
    <xf numFmtId="164" fontId="2" fillId="0" borderId="19" xfId="0" applyNumberFormat="1" applyFont="1" applyBorder="1"/>
    <xf numFmtId="164" fontId="11" fillId="0" borderId="47" xfId="6" applyFont="1" applyFill="1" applyBorder="1" applyAlignment="1">
      <alignment horizontal="justify" vertical="center"/>
    </xf>
    <xf numFmtId="164" fontId="2" fillId="0" borderId="35" xfId="0" applyNumberFormat="1" applyFont="1" applyBorder="1"/>
    <xf numFmtId="0" fontId="7" fillId="0" borderId="15" xfId="3" applyFont="1" applyBorder="1" applyAlignment="1">
      <alignment horizontal="left" vertical="center" wrapText="1"/>
    </xf>
    <xf numFmtId="164" fontId="11" fillId="0" borderId="43" xfId="0" applyNumberFormat="1" applyFont="1" applyBorder="1"/>
    <xf numFmtId="0" fontId="0" fillId="0" borderId="43" xfId="0" applyBorder="1" applyAlignment="1">
      <alignment horizontal="center" vertical="center"/>
    </xf>
    <xf numFmtId="0" fontId="3" fillId="0" borderId="43" xfId="3" applyBorder="1" applyAlignment="1">
      <alignment horizontal="left" vertical="center" wrapText="1" indent="1"/>
    </xf>
    <xf numFmtId="41" fontId="0" fillId="0" borderId="43" xfId="1" applyFont="1" applyBorder="1" applyAlignment="1">
      <alignment horizontal="center" vertical="center"/>
    </xf>
    <xf numFmtId="41" fontId="0" fillId="0" borderId="52" xfId="1" applyFont="1" applyBorder="1" applyAlignment="1">
      <alignment horizontal="center" vertical="center"/>
    </xf>
    <xf numFmtId="41" fontId="0" fillId="0" borderId="44" xfId="1" applyFont="1" applyBorder="1" applyAlignment="1">
      <alignment horizontal="center" vertical="center"/>
    </xf>
    <xf numFmtId="0" fontId="24" fillId="0" borderId="0" xfId="8" applyFont="1" applyAlignment="1">
      <alignment horizontal="left" vertical="center"/>
    </xf>
    <xf numFmtId="0" fontId="24" fillId="0" borderId="0" xfId="8" applyFont="1" applyAlignment="1">
      <alignment horizontal="center" vertical="center"/>
    </xf>
    <xf numFmtId="0" fontId="24" fillId="0" borderId="0" xfId="8" applyFont="1" applyAlignment="1">
      <alignment vertical="center"/>
    </xf>
    <xf numFmtId="164" fontId="24" fillId="0" borderId="0" xfId="6" applyFont="1" applyFill="1" applyAlignment="1">
      <alignment vertical="center"/>
    </xf>
    <xf numFmtId="9" fontId="24" fillId="0" borderId="0" xfId="2" applyFont="1" applyFill="1" applyAlignment="1">
      <alignment vertical="center"/>
    </xf>
    <xf numFmtId="0" fontId="25" fillId="0" borderId="0" xfId="8" applyFont="1" applyAlignment="1">
      <alignment horizontal="left" vertical="center"/>
    </xf>
    <xf numFmtId="0" fontId="26" fillId="5" borderId="10" xfId="8" applyFont="1" applyFill="1" applyBorder="1" applyAlignment="1">
      <alignment horizontal="center" vertical="center" wrapText="1"/>
    </xf>
    <xf numFmtId="164" fontId="26" fillId="5" borderId="10" xfId="6" applyFont="1" applyFill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6" fillId="0" borderId="10" xfId="6" applyFont="1" applyFill="1" applyBorder="1" applyAlignment="1">
      <alignment horizontal="center" vertical="center"/>
    </xf>
    <xf numFmtId="164" fontId="28" fillId="0" borderId="10" xfId="6" applyFont="1" applyFill="1" applyBorder="1" applyAlignment="1">
      <alignment vertical="center"/>
    </xf>
    <xf numFmtId="0" fontId="24" fillId="0" borderId="26" xfId="8" applyFont="1" applyBorder="1" applyAlignment="1">
      <alignment horizontal="center" vertical="center"/>
    </xf>
    <xf numFmtId="0" fontId="26" fillId="0" borderId="26" xfId="8" applyFont="1" applyBorder="1" applyAlignment="1">
      <alignment horizontal="center" vertical="center"/>
    </xf>
    <xf numFmtId="0" fontId="29" fillId="0" borderId="26" xfId="8" applyFont="1" applyBorder="1" applyAlignment="1">
      <alignment horizontal="left" vertical="center"/>
    </xf>
    <xf numFmtId="0" fontId="26" fillId="0" borderId="26" xfId="8" applyFont="1" applyBorder="1" applyAlignment="1">
      <alignment vertical="center"/>
    </xf>
    <xf numFmtId="0" fontId="26" fillId="0" borderId="26" xfId="8" applyFont="1" applyBorder="1" applyAlignment="1">
      <alignment horizontal="left" vertical="center"/>
    </xf>
    <xf numFmtId="164" fontId="26" fillId="0" borderId="26" xfId="6" applyFont="1" applyFill="1" applyBorder="1" applyAlignment="1">
      <alignment horizontal="center" vertical="center"/>
    </xf>
    <xf numFmtId="166" fontId="26" fillId="0" borderId="26" xfId="9" applyNumberFormat="1" applyFont="1" applyFill="1" applyBorder="1" applyAlignment="1">
      <alignment horizontal="center" vertical="center"/>
    </xf>
    <xf numFmtId="164" fontId="28" fillId="0" borderId="26" xfId="6" applyFont="1" applyFill="1" applyBorder="1" applyAlignment="1">
      <alignment vertical="center"/>
    </xf>
    <xf numFmtId="0" fontId="30" fillId="0" borderId="10" xfId="8" applyFont="1" applyBorder="1" applyAlignment="1">
      <alignment horizontal="center" vertical="center"/>
    </xf>
    <xf numFmtId="0" fontId="31" fillId="0" borderId="10" xfId="8" applyFont="1" applyBorder="1" applyAlignment="1">
      <alignment horizontal="left" vertical="center"/>
    </xf>
    <xf numFmtId="0" fontId="24" fillId="0" borderId="10" xfId="8" applyFont="1" applyBorder="1" applyAlignment="1">
      <alignment horizontal="left" vertical="center"/>
    </xf>
    <xf numFmtId="164" fontId="31" fillId="0" borderId="10" xfId="6" applyFont="1" applyFill="1" applyBorder="1" applyAlignment="1">
      <alignment horizontal="center" vertical="center"/>
    </xf>
    <xf numFmtId="164" fontId="31" fillId="0" borderId="10" xfId="6" applyFont="1" applyFill="1" applyBorder="1" applyAlignment="1">
      <alignment vertical="center"/>
    </xf>
    <xf numFmtId="164" fontId="32" fillId="0" borderId="10" xfId="6" applyFont="1" applyFill="1" applyBorder="1" applyAlignment="1">
      <alignment vertical="center"/>
    </xf>
    <xf numFmtId="167" fontId="31" fillId="2" borderId="10" xfId="4" applyNumberFormat="1" applyFont="1" applyFill="1" applyBorder="1" applyAlignment="1">
      <alignment vertical="center"/>
    </xf>
    <xf numFmtId="164" fontId="24" fillId="0" borderId="10" xfId="6" applyFont="1" applyFill="1" applyBorder="1" applyAlignment="1">
      <alignment vertical="center"/>
    </xf>
    <xf numFmtId="164" fontId="24" fillId="0" borderId="10" xfId="8" applyNumberFormat="1" applyFont="1" applyBorder="1" applyAlignment="1">
      <alignment vertical="center"/>
    </xf>
    <xf numFmtId="164" fontId="24" fillId="0" borderId="0" xfId="8" applyNumberFormat="1" applyFont="1" applyAlignment="1">
      <alignment vertical="center"/>
    </xf>
    <xf numFmtId="164" fontId="19" fillId="6" borderId="10" xfId="6" applyFont="1" applyFill="1" applyBorder="1" applyAlignment="1">
      <alignment horizontal="center" vertical="center"/>
    </xf>
    <xf numFmtId="164" fontId="28" fillId="0" borderId="10" xfId="8" applyNumberFormat="1" applyFont="1" applyBorder="1" applyAlignment="1">
      <alignment vertical="center"/>
    </xf>
    <xf numFmtId="0" fontId="30" fillId="0" borderId="0" xfId="8" applyFont="1" applyAlignment="1">
      <alignment horizontal="center" vertical="center"/>
    </xf>
    <xf numFmtId="0" fontId="31" fillId="0" borderId="0" xfId="8" applyFont="1" applyAlignment="1">
      <alignment horizontal="left" vertical="center"/>
    </xf>
    <xf numFmtId="164" fontId="31" fillId="0" borderId="0" xfId="6" applyFont="1" applyFill="1" applyBorder="1" applyAlignment="1">
      <alignment horizontal="center" vertical="center"/>
    </xf>
    <xf numFmtId="164" fontId="26" fillId="0" borderId="0" xfId="6" applyFont="1" applyFill="1" applyBorder="1" applyAlignment="1">
      <alignment horizontal="center" vertical="center"/>
    </xf>
    <xf numFmtId="166" fontId="26" fillId="0" borderId="0" xfId="9" applyNumberFormat="1" applyFont="1" applyFill="1" applyBorder="1" applyAlignment="1">
      <alignment horizontal="center" vertical="center"/>
    </xf>
    <xf numFmtId="164" fontId="28" fillId="0" borderId="0" xfId="6" applyFont="1" applyFill="1" applyBorder="1" applyAlignment="1">
      <alignment vertical="center"/>
    </xf>
    <xf numFmtId="0" fontId="24" fillId="0" borderId="9" xfId="8" applyFont="1" applyBorder="1" applyAlignment="1">
      <alignment horizontal="center" vertical="center"/>
    </xf>
    <xf numFmtId="0" fontId="30" fillId="0" borderId="9" xfId="8" applyFont="1" applyBorder="1" applyAlignment="1">
      <alignment horizontal="center" vertical="center"/>
    </xf>
    <xf numFmtId="0" fontId="29" fillId="0" borderId="9" xfId="8" applyFont="1" applyBorder="1" applyAlignment="1">
      <alignment horizontal="left" vertical="center"/>
    </xf>
    <xf numFmtId="0" fontId="31" fillId="0" borderId="9" xfId="8" applyFont="1" applyBorder="1" applyAlignment="1">
      <alignment horizontal="left" vertical="center"/>
    </xf>
    <xf numFmtId="164" fontId="31" fillId="0" borderId="9" xfId="6" applyFont="1" applyFill="1" applyBorder="1" applyAlignment="1">
      <alignment horizontal="center" vertical="center"/>
    </xf>
    <xf numFmtId="164" fontId="26" fillId="0" borderId="9" xfId="6" applyFont="1" applyFill="1" applyBorder="1" applyAlignment="1">
      <alignment horizontal="center" vertical="center"/>
    </xf>
    <xf numFmtId="166" fontId="26" fillId="0" borderId="9" xfId="9" applyNumberFormat="1" applyFont="1" applyFill="1" applyBorder="1" applyAlignment="1">
      <alignment horizontal="center" vertical="center"/>
    </xf>
    <xf numFmtId="164" fontId="28" fillId="0" borderId="9" xfId="6" applyFont="1" applyFill="1" applyBorder="1" applyAlignment="1">
      <alignment vertical="center"/>
    </xf>
    <xf numFmtId="0" fontId="29" fillId="0" borderId="0" xfId="8" applyFont="1" applyAlignment="1">
      <alignment horizontal="left" vertical="center"/>
    </xf>
    <xf numFmtId="0" fontId="28" fillId="0" borderId="0" xfId="8" applyFont="1" applyAlignment="1">
      <alignment vertical="center"/>
    </xf>
    <xf numFmtId="0" fontId="31" fillId="0" borderId="10" xfId="8" applyFont="1" applyBorder="1" applyAlignment="1">
      <alignment horizontal="left" vertical="center" wrapText="1"/>
    </xf>
    <xf numFmtId="164" fontId="31" fillId="0" borderId="10" xfId="6" applyFont="1" applyFill="1" applyBorder="1" applyAlignment="1">
      <alignment horizontal="center" vertical="center" wrapText="1"/>
    </xf>
    <xf numFmtId="0" fontId="31" fillId="0" borderId="10" xfId="8" applyFont="1" applyBorder="1" applyAlignment="1">
      <alignment horizontal="center" vertical="center"/>
    </xf>
    <xf numFmtId="0" fontId="31" fillId="0" borderId="0" xfId="8" applyFont="1" applyAlignment="1">
      <alignment horizontal="center" vertical="center"/>
    </xf>
    <xf numFmtId="164" fontId="24" fillId="0" borderId="0" xfId="6" applyFont="1" applyFill="1" applyBorder="1" applyAlignment="1">
      <alignment vertical="center"/>
    </xf>
    <xf numFmtId="0" fontId="24" fillId="0" borderId="10" xfId="8" applyFont="1" applyBorder="1" applyAlignment="1">
      <alignment vertical="center"/>
    </xf>
    <xf numFmtId="0" fontId="28" fillId="0" borderId="10" xfId="8" applyFont="1" applyBorder="1" applyAlignment="1">
      <alignment vertical="center"/>
    </xf>
    <xf numFmtId="0" fontId="33" fillId="0" borderId="0" xfId="8" applyFont="1" applyAlignment="1">
      <alignment horizontal="center" vertical="center"/>
    </xf>
    <xf numFmtId="0" fontId="34" fillId="5" borderId="10" xfId="8" applyFont="1" applyFill="1" applyBorder="1" applyAlignment="1">
      <alignment horizontal="center" vertical="center" wrapText="1"/>
    </xf>
    <xf numFmtId="164" fontId="34" fillId="5" borderId="10" xfId="6" applyFont="1" applyFill="1" applyBorder="1" applyAlignment="1">
      <alignment horizontal="center" vertical="center" wrapText="1"/>
    </xf>
    <xf numFmtId="0" fontId="35" fillId="0" borderId="10" xfId="8" applyFont="1" applyBorder="1" applyAlignment="1">
      <alignment horizontal="center" vertical="center"/>
    </xf>
    <xf numFmtId="0" fontId="34" fillId="0" borderId="10" xfId="3" quotePrefix="1" applyFont="1" applyBorder="1" applyAlignment="1">
      <alignment horizontal="left" vertical="center"/>
    </xf>
    <xf numFmtId="167" fontId="34" fillId="0" borderId="10" xfId="4" applyNumberFormat="1" applyFont="1" applyFill="1" applyBorder="1" applyAlignment="1">
      <alignment vertical="center" wrapText="1"/>
    </xf>
    <xf numFmtId="0" fontId="9" fillId="0" borderId="10" xfId="3" applyFont="1" applyBorder="1" applyAlignment="1">
      <alignment horizontal="justify" vertical="center"/>
    </xf>
    <xf numFmtId="164" fontId="9" fillId="0" borderId="10" xfId="6" applyFont="1" applyFill="1" applyBorder="1" applyAlignment="1">
      <alignment vertical="center"/>
    </xf>
    <xf numFmtId="164" fontId="35" fillId="0" borderId="10" xfId="6" applyFont="1" applyFill="1" applyBorder="1" applyAlignment="1">
      <alignment vertical="center"/>
    </xf>
    <xf numFmtId="164" fontId="35" fillId="0" borderId="10" xfId="8" applyNumberFormat="1" applyFont="1" applyBorder="1" applyAlignment="1">
      <alignment vertical="center"/>
    </xf>
    <xf numFmtId="164" fontId="31" fillId="0" borderId="10" xfId="8" applyNumberFormat="1" applyFont="1" applyBorder="1" applyAlignment="1">
      <alignment vertical="center"/>
    </xf>
    <xf numFmtId="0" fontId="35" fillId="0" borderId="10" xfId="8" applyFont="1" applyBorder="1" applyAlignment="1">
      <alignment vertical="center"/>
    </xf>
    <xf numFmtId="0" fontId="34" fillId="0" borderId="10" xfId="3" quotePrefix="1" applyFont="1" applyBorder="1" applyAlignment="1">
      <alignment horizontal="left" vertical="center" wrapText="1"/>
    </xf>
    <xf numFmtId="0" fontId="36" fillId="0" borderId="0" xfId="8" applyFont="1" applyAlignment="1">
      <alignment vertical="center"/>
    </xf>
    <xf numFmtId="164" fontId="36" fillId="0" borderId="0" xfId="8" applyNumberFormat="1" applyFont="1" applyAlignment="1">
      <alignment vertical="center"/>
    </xf>
    <xf numFmtId="164" fontId="37" fillId="0" borderId="10" xfId="8" applyNumberFormat="1" applyFont="1" applyBorder="1" applyAlignment="1">
      <alignment vertical="center"/>
    </xf>
    <xf numFmtId="164" fontId="26" fillId="0" borderId="10" xfId="8" applyNumberFormat="1" applyFont="1" applyBorder="1" applyAlignment="1">
      <alignment vertical="center"/>
    </xf>
    <xf numFmtId="164" fontId="25" fillId="0" borderId="0" xfId="8" applyNumberFormat="1" applyFont="1" applyAlignment="1">
      <alignment vertical="center"/>
    </xf>
    <xf numFmtId="43" fontId="36" fillId="0" borderId="0" xfId="8" applyNumberFormat="1" applyFont="1" applyAlignment="1">
      <alignment vertical="center"/>
    </xf>
    <xf numFmtId="0" fontId="31" fillId="0" borderId="10" xfId="3" quotePrefix="1" applyFont="1" applyBorder="1" applyAlignment="1">
      <alignment horizontal="left" vertical="center"/>
    </xf>
    <xf numFmtId="167" fontId="9" fillId="0" borderId="10" xfId="4" applyNumberFormat="1" applyFont="1" applyFill="1" applyBorder="1" applyAlignment="1">
      <alignment vertical="center" wrapText="1"/>
    </xf>
    <xf numFmtId="167" fontId="9" fillId="0" borderId="10" xfId="4" applyNumberFormat="1" applyFont="1" applyFill="1" applyBorder="1" applyAlignment="1">
      <alignment horizontal="left" vertical="center" wrapText="1"/>
    </xf>
    <xf numFmtId="169" fontId="9" fillId="0" borderId="10" xfId="6" applyNumberFormat="1" applyFont="1" applyFill="1" applyBorder="1" applyAlignment="1">
      <alignment vertical="center"/>
    </xf>
    <xf numFmtId="0" fontId="38" fillId="5" borderId="10" xfId="8" applyFont="1" applyFill="1" applyBorder="1" applyAlignment="1">
      <alignment horizontal="center" vertical="center" wrapText="1"/>
    </xf>
    <xf numFmtId="0" fontId="26" fillId="0" borderId="10" xfId="3" quotePrefix="1" applyFont="1" applyBorder="1" applyAlignment="1">
      <alignment horizontal="left" vertical="center"/>
    </xf>
    <xf numFmtId="167" fontId="26" fillId="0" borderId="10" xfId="4" applyNumberFormat="1" applyFont="1" applyFill="1" applyBorder="1" applyAlignment="1">
      <alignment vertical="center" wrapText="1"/>
    </xf>
    <xf numFmtId="0" fontId="24" fillId="7" borderId="0" xfId="8" applyFont="1" applyFill="1" applyAlignment="1">
      <alignment vertical="center"/>
    </xf>
    <xf numFmtId="0" fontId="24" fillId="7" borderId="0" xfId="8" applyFont="1" applyFill="1" applyAlignment="1">
      <alignment horizontal="center" vertical="center"/>
    </xf>
    <xf numFmtId="164" fontId="24" fillId="7" borderId="0" xfId="6" applyFont="1" applyFill="1" applyAlignment="1">
      <alignment vertical="center"/>
    </xf>
    <xf numFmtId="164" fontId="39" fillId="7" borderId="0" xfId="8" applyNumberFormat="1" applyFont="1" applyFill="1" applyAlignment="1">
      <alignment vertical="center"/>
    </xf>
    <xf numFmtId="0" fontId="24" fillId="8" borderId="0" xfId="8" applyFont="1" applyFill="1" applyAlignment="1">
      <alignment horizontal="center" vertical="center"/>
    </xf>
    <xf numFmtId="0" fontId="40" fillId="8" borderId="0" xfId="8" applyFont="1" applyFill="1" applyAlignment="1">
      <alignment vertical="center"/>
    </xf>
    <xf numFmtId="0" fontId="24" fillId="8" borderId="0" xfId="8" applyFont="1" applyFill="1" applyAlignment="1">
      <alignment vertical="center"/>
    </xf>
    <xf numFmtId="0" fontId="33" fillId="8" borderId="0" xfId="8" applyFont="1" applyFill="1" applyAlignment="1">
      <alignment horizontal="left" vertical="center"/>
    </xf>
    <xf numFmtId="164" fontId="33" fillId="8" borderId="0" xfId="6" applyFont="1" applyFill="1" applyAlignment="1">
      <alignment vertical="center"/>
    </xf>
    <xf numFmtId="164" fontId="33" fillId="0" borderId="0" xfId="8" applyNumberFormat="1" applyFont="1" applyAlignment="1">
      <alignment vertical="center"/>
    </xf>
    <xf numFmtId="164" fontId="33" fillId="0" borderId="0" xfId="6" applyFont="1" applyFill="1" applyAlignment="1">
      <alignment vertical="center"/>
    </xf>
    <xf numFmtId="0" fontId="33" fillId="8" borderId="0" xfId="8" applyFont="1" applyFill="1" applyAlignment="1">
      <alignment vertical="center"/>
    </xf>
    <xf numFmtId="0" fontId="33" fillId="0" borderId="0" xfId="8" applyFont="1" applyAlignment="1">
      <alignment vertical="center"/>
    </xf>
    <xf numFmtId="164" fontId="33" fillId="8" borderId="0" xfId="6" applyFont="1" applyFill="1" applyAlignment="1">
      <alignment horizontal="right" vertical="center"/>
    </xf>
    <xf numFmtId="164" fontId="33" fillId="0" borderId="0" xfId="6" applyFont="1" applyFill="1" applyAlignment="1">
      <alignment horizontal="right" vertical="center"/>
    </xf>
    <xf numFmtId="164" fontId="41" fillId="8" borderId="0" xfId="6" applyFont="1" applyFill="1" applyAlignment="1">
      <alignment vertical="center"/>
    </xf>
    <xf numFmtId="164" fontId="41" fillId="0" borderId="0" xfId="6" applyFont="1" applyFill="1" applyAlignment="1">
      <alignment vertical="center"/>
    </xf>
    <xf numFmtId="164" fontId="25" fillId="8" borderId="0" xfId="8" applyNumberFormat="1" applyFont="1" applyFill="1" applyAlignment="1">
      <alignment vertical="center"/>
    </xf>
    <xf numFmtId="164" fontId="41" fillId="0" borderId="0" xfId="8" applyNumberFormat="1" applyFont="1" applyAlignment="1">
      <alignment vertical="center"/>
    </xf>
    <xf numFmtId="0" fontId="40" fillId="0" borderId="0" xfId="8" applyFont="1" applyAlignment="1">
      <alignment vertical="center"/>
    </xf>
    <xf numFmtId="164" fontId="42" fillId="0" borderId="0" xfId="6" applyFont="1" applyFill="1" applyAlignment="1">
      <alignment vertical="center"/>
    </xf>
    <xf numFmtId="0" fontId="25" fillId="0" borderId="0" xfId="8" applyFont="1" applyAlignment="1">
      <alignment vertical="center"/>
    </xf>
    <xf numFmtId="164" fontId="42" fillId="0" borderId="0" xfId="6" applyFont="1" applyFill="1" applyAlignment="1">
      <alignment horizontal="right" vertical="center"/>
    </xf>
    <xf numFmtId="164" fontId="43" fillId="0" borderId="0" xfId="6" applyFont="1" applyFill="1" applyAlignment="1">
      <alignment vertical="center"/>
    </xf>
    <xf numFmtId="164" fontId="44" fillId="0" borderId="0" xfId="6" applyFont="1" applyFill="1" applyAlignment="1">
      <alignment vertical="center"/>
    </xf>
    <xf numFmtId="164" fontId="42" fillId="0" borderId="0" xfId="8" applyNumberFormat="1" applyFont="1" applyAlignment="1">
      <alignment vertical="center"/>
    </xf>
    <xf numFmtId="164" fontId="45" fillId="0" borderId="0" xfId="8" applyNumberFormat="1" applyFont="1" applyAlignment="1">
      <alignment vertical="center"/>
    </xf>
    <xf numFmtId="164" fontId="46" fillId="0" borderId="0" xfId="8" applyNumberFormat="1" applyFont="1" applyAlignment="1">
      <alignment vertical="center"/>
    </xf>
    <xf numFmtId="164" fontId="47" fillId="0" borderId="0" xfId="8" applyNumberFormat="1" applyFont="1" applyAlignment="1">
      <alignment vertical="center"/>
    </xf>
    <xf numFmtId="164" fontId="48" fillId="0" borderId="0" xfId="8" applyNumberFormat="1" applyFont="1" applyAlignment="1">
      <alignment vertical="center"/>
    </xf>
    <xf numFmtId="164" fontId="49" fillId="0" borderId="0" xfId="8" applyNumberFormat="1" applyFont="1" applyAlignment="1">
      <alignment vertical="center"/>
    </xf>
    <xf numFmtId="0" fontId="8" fillId="0" borderId="53" xfId="3" applyFont="1" applyBorder="1" applyAlignment="1">
      <alignment horizontal="left" vertical="center"/>
    </xf>
    <xf numFmtId="0" fontId="4" fillId="0" borderId="53" xfId="3" applyFont="1" applyBorder="1" applyAlignment="1">
      <alignment vertical="center"/>
    </xf>
    <xf numFmtId="164" fontId="4" fillId="0" borderId="53" xfId="6" applyFont="1" applyFill="1" applyBorder="1" applyAlignment="1">
      <alignment vertical="center"/>
    </xf>
    <xf numFmtId="164" fontId="7" fillId="0" borderId="10" xfId="6" applyFont="1" applyFill="1" applyBorder="1" applyAlignment="1">
      <alignment horizontal="right" vertical="center"/>
    </xf>
    <xf numFmtId="164" fontId="7" fillId="0" borderId="10" xfId="6" applyFont="1" applyFill="1" applyBorder="1" applyAlignment="1">
      <alignment horizontal="justify" vertical="center"/>
    </xf>
    <xf numFmtId="0" fontId="7" fillId="4" borderId="10" xfId="3" applyFont="1" applyFill="1" applyBorder="1" applyAlignment="1">
      <alignment horizontal="center" vertical="center"/>
    </xf>
    <xf numFmtId="0" fontId="12" fillId="4" borderId="10" xfId="3" applyFont="1" applyFill="1" applyBorder="1" applyAlignment="1">
      <alignment horizontal="center" vertical="center"/>
    </xf>
    <xf numFmtId="0" fontId="4" fillId="4" borderId="10" xfId="3" applyFont="1" applyFill="1" applyBorder="1" applyAlignment="1">
      <alignment horizontal="center" vertical="center"/>
    </xf>
    <xf numFmtId="164" fontId="7" fillId="4" borderId="11" xfId="6" applyFont="1" applyFill="1" applyBorder="1" applyAlignment="1">
      <alignment horizontal="justify" vertical="center"/>
    </xf>
    <xf numFmtId="164" fontId="4" fillId="0" borderId="53" xfId="6" applyFont="1" applyFill="1" applyBorder="1" applyAlignment="1">
      <alignment horizontal="center" vertical="center"/>
    </xf>
    <xf numFmtId="41" fontId="11" fillId="0" borderId="15" xfId="1" applyFont="1" applyFill="1" applyBorder="1" applyAlignment="1">
      <alignment horizontal="center" vertical="center"/>
    </xf>
    <xf numFmtId="0" fontId="4" fillId="0" borderId="15" xfId="3" applyFont="1" applyBorder="1" applyAlignment="1">
      <alignment horizontal="center" vertical="center"/>
    </xf>
    <xf numFmtId="164" fontId="4" fillId="0" borderId="15" xfId="6" applyFont="1" applyFill="1" applyBorder="1" applyAlignment="1">
      <alignment horizontal="right" vertical="center"/>
    </xf>
    <xf numFmtId="164" fontId="4" fillId="0" borderId="56" xfId="6" applyFont="1" applyFill="1" applyBorder="1" applyAlignment="1">
      <alignment horizontal="right" vertical="center"/>
    </xf>
    <xf numFmtId="164" fontId="11" fillId="0" borderId="17" xfId="6" applyFont="1" applyFill="1" applyBorder="1" applyAlignment="1">
      <alignment horizontal="center" vertical="center"/>
    </xf>
    <xf numFmtId="0" fontId="4" fillId="0" borderId="17" xfId="3" applyFont="1" applyBorder="1" applyAlignment="1">
      <alignment horizontal="center" vertical="center"/>
    </xf>
    <xf numFmtId="0" fontId="4" fillId="0" borderId="17" xfId="3" applyFont="1" applyBorder="1" applyAlignment="1">
      <alignment horizontal="right" vertical="center"/>
    </xf>
    <xf numFmtId="164" fontId="4" fillId="0" borderId="17" xfId="6" applyFont="1" applyFill="1" applyBorder="1" applyAlignment="1">
      <alignment horizontal="right" vertical="center"/>
    </xf>
    <xf numFmtId="164" fontId="4" fillId="0" borderId="57" xfId="6" applyFont="1" applyFill="1" applyBorder="1" applyAlignment="1">
      <alignment horizontal="right" vertical="center"/>
    </xf>
    <xf numFmtId="164" fontId="10" fillId="0" borderId="17" xfId="6" applyFont="1" applyFill="1" applyBorder="1" applyAlignment="1">
      <alignment horizontal="right" vertical="center"/>
    </xf>
    <xf numFmtId="0" fontId="7" fillId="0" borderId="19" xfId="3" applyFont="1" applyBorder="1" applyAlignment="1">
      <alignment horizontal="right" vertical="center"/>
    </xf>
    <xf numFmtId="0" fontId="7" fillId="0" borderId="19" xfId="3" applyFont="1" applyBorder="1" applyAlignment="1">
      <alignment horizontal="center" vertical="center"/>
    </xf>
    <xf numFmtId="164" fontId="7" fillId="0" borderId="19" xfId="6" applyFont="1" applyFill="1" applyBorder="1" applyAlignment="1">
      <alignment horizontal="right" vertical="center"/>
    </xf>
    <xf numFmtId="164" fontId="7" fillId="0" borderId="58" xfId="6" applyFont="1" applyFill="1" applyBorder="1" applyAlignment="1">
      <alignment horizontal="right" vertical="center"/>
    </xf>
    <xf numFmtId="9" fontId="4" fillId="0" borderId="15" xfId="6" applyNumberFormat="1" applyFont="1" applyFill="1" applyBorder="1" applyAlignment="1">
      <alignment horizontal="center" vertical="center" wrapText="1"/>
    </xf>
    <xf numFmtId="0" fontId="4" fillId="0" borderId="19" xfId="3" applyFont="1" applyBorder="1" applyAlignment="1">
      <alignment horizontal="center" vertical="center"/>
    </xf>
    <xf numFmtId="164" fontId="4" fillId="0" borderId="56" xfId="6" applyFont="1" applyFill="1" applyBorder="1" applyAlignment="1">
      <alignment horizontal="justify" vertical="center"/>
    </xf>
    <xf numFmtId="164" fontId="4" fillId="0" borderId="57" xfId="6" applyFont="1" applyFill="1" applyBorder="1" applyAlignment="1">
      <alignment horizontal="justify" vertical="center"/>
    </xf>
    <xf numFmtId="0" fontId="7" fillId="4" borderId="36" xfId="3" applyFont="1" applyFill="1" applyBorder="1" applyAlignment="1">
      <alignment horizontal="center" vertical="center"/>
    </xf>
    <xf numFmtId="0" fontId="7" fillId="0" borderId="17" xfId="3" applyFont="1" applyBorder="1" applyAlignment="1">
      <alignment horizontal="right" vertical="center"/>
    </xf>
    <xf numFmtId="164" fontId="7" fillId="0" borderId="17" xfId="6" applyFont="1" applyFill="1" applyBorder="1" applyAlignment="1">
      <alignment horizontal="right" vertical="center"/>
    </xf>
    <xf numFmtId="164" fontId="11" fillId="0" borderId="17" xfId="6" applyFont="1" applyFill="1" applyBorder="1" applyAlignment="1">
      <alignment horizontal="justify" vertical="center"/>
    </xf>
    <xf numFmtId="164" fontId="4" fillId="0" borderId="19" xfId="6" applyFont="1" applyFill="1" applyBorder="1" applyAlignment="1">
      <alignment horizontal="left" vertical="center" wrapText="1"/>
    </xf>
    <xf numFmtId="164" fontId="4" fillId="0" borderId="19" xfId="6" applyFont="1" applyFill="1" applyBorder="1" applyAlignment="1">
      <alignment horizontal="center" vertical="center" wrapText="1"/>
    </xf>
    <xf numFmtId="164" fontId="4" fillId="0" borderId="19" xfId="6" applyFont="1" applyFill="1" applyBorder="1" applyAlignment="1">
      <alignment horizontal="justify" vertical="center"/>
    </xf>
    <xf numFmtId="164" fontId="7" fillId="0" borderId="58" xfId="6" applyFont="1" applyFill="1" applyBorder="1" applyAlignment="1">
      <alignment horizontal="justify" vertical="center"/>
    </xf>
    <xf numFmtId="164" fontId="10" fillId="0" borderId="57" xfId="6" applyFont="1" applyFill="1" applyBorder="1" applyAlignment="1">
      <alignment horizontal="right" vertical="center"/>
    </xf>
    <xf numFmtId="164" fontId="10" fillId="0" borderId="57" xfId="6" applyFont="1" applyFill="1" applyBorder="1" applyAlignment="1">
      <alignment horizontal="justify" vertical="center"/>
    </xf>
    <xf numFmtId="0" fontId="4" fillId="0" borderId="23" xfId="3" applyFont="1" applyBorder="1" applyAlignment="1">
      <alignment horizontal="center" vertical="center"/>
    </xf>
    <xf numFmtId="164" fontId="7" fillId="0" borderId="0" xfId="6" applyFont="1" applyFill="1" applyBorder="1" applyAlignment="1">
      <alignment horizontal="right" vertical="center"/>
    </xf>
    <xf numFmtId="0" fontId="7" fillId="0" borderId="0" xfId="3" applyFont="1" applyAlignment="1">
      <alignment horizontal="center" vertical="center"/>
    </xf>
    <xf numFmtId="0" fontId="7" fillId="0" borderId="0" xfId="3" applyFont="1" applyAlignment="1">
      <alignment horizontal="right" vertical="center"/>
    </xf>
    <xf numFmtId="164" fontId="4" fillId="0" borderId="15" xfId="6" applyFont="1" applyFill="1" applyBorder="1" applyAlignment="1">
      <alignment vertical="center" wrapText="1"/>
    </xf>
    <xf numFmtId="164" fontId="7" fillId="0" borderId="35" xfId="6" applyFont="1" applyFill="1" applyBorder="1" applyAlignment="1">
      <alignment horizontal="justify" vertical="center"/>
    </xf>
    <xf numFmtId="0" fontId="7" fillId="0" borderId="18" xfId="3" applyFont="1" applyBorder="1" applyAlignment="1">
      <alignment horizontal="center" vertical="center"/>
    </xf>
    <xf numFmtId="9" fontId="4" fillId="0" borderId="15" xfId="6" applyNumberFormat="1" applyFont="1" applyFill="1" applyBorder="1" applyAlignment="1">
      <alignment horizontal="center" vertical="center"/>
    </xf>
    <xf numFmtId="9" fontId="4" fillId="0" borderId="17" xfId="6" applyNumberFormat="1" applyFont="1" applyFill="1" applyBorder="1" applyAlignment="1">
      <alignment horizontal="center" vertical="center"/>
    </xf>
    <xf numFmtId="164" fontId="7" fillId="0" borderId="19" xfId="3" applyNumberFormat="1" applyFont="1" applyBorder="1" applyAlignment="1">
      <alignment horizontal="right" vertical="center"/>
    </xf>
    <xf numFmtId="9" fontId="4" fillId="0" borderId="15" xfId="3" applyNumberFormat="1" applyFont="1" applyBorder="1" applyAlignment="1">
      <alignment horizontal="center" vertical="center"/>
    </xf>
    <xf numFmtId="3" fontId="4" fillId="0" borderId="15" xfId="3" applyNumberFormat="1" applyFont="1" applyBorder="1" applyAlignment="1">
      <alignment horizontal="right" vertical="center"/>
    </xf>
    <xf numFmtId="9" fontId="4" fillId="0" borderId="17" xfId="3" applyNumberFormat="1" applyFont="1" applyBorder="1" applyAlignment="1">
      <alignment horizontal="center" vertical="center"/>
    </xf>
    <xf numFmtId="3" fontId="4" fillId="0" borderId="17" xfId="3" applyNumberFormat="1" applyFont="1" applyBorder="1" applyAlignment="1">
      <alignment horizontal="right" vertical="center"/>
    </xf>
    <xf numFmtId="9" fontId="4" fillId="0" borderId="19" xfId="6" applyNumberFormat="1" applyFont="1" applyFill="1" applyBorder="1" applyAlignment="1">
      <alignment horizontal="center" vertical="center"/>
    </xf>
    <xf numFmtId="0" fontId="4" fillId="0" borderId="15" xfId="6" applyNumberFormat="1" applyFont="1" applyFill="1" applyBorder="1" applyAlignment="1">
      <alignment horizontal="center" vertical="center"/>
    </xf>
    <xf numFmtId="0" fontId="4" fillId="0" borderId="17" xfId="6" applyNumberFormat="1" applyFont="1" applyFill="1" applyBorder="1" applyAlignment="1">
      <alignment horizontal="center" vertical="center"/>
    </xf>
    <xf numFmtId="0" fontId="4" fillId="0" borderId="19" xfId="3" applyFont="1" applyBorder="1" applyAlignment="1">
      <alignment vertical="center"/>
    </xf>
    <xf numFmtId="164" fontId="4" fillId="0" borderId="15" xfId="3" applyNumberFormat="1" applyFont="1" applyBorder="1" applyAlignment="1">
      <alignment horizontal="right" vertical="center"/>
    </xf>
    <xf numFmtId="164" fontId="4" fillId="0" borderId="17" xfId="3" applyNumberFormat="1" applyFont="1" applyBorder="1" applyAlignment="1">
      <alignment horizontal="right" vertical="center"/>
    </xf>
    <xf numFmtId="164" fontId="4" fillId="0" borderId="19" xfId="6" applyFont="1" applyFill="1" applyBorder="1" applyAlignment="1">
      <alignment horizontal="left" vertical="center"/>
    </xf>
    <xf numFmtId="9" fontId="4" fillId="0" borderId="17" xfId="6" applyNumberFormat="1" applyFont="1" applyFill="1" applyBorder="1" applyAlignment="1">
      <alignment horizontal="left" vertical="center"/>
    </xf>
    <xf numFmtId="9" fontId="4" fillId="0" borderId="19" xfId="6" applyNumberFormat="1" applyFont="1" applyFill="1" applyBorder="1" applyAlignment="1">
      <alignment horizontal="left" vertical="center"/>
    </xf>
    <xf numFmtId="9" fontId="4" fillId="0" borderId="15" xfId="6" applyNumberFormat="1" applyFont="1" applyFill="1" applyBorder="1" applyAlignment="1">
      <alignment horizontal="left" vertical="center"/>
    </xf>
    <xf numFmtId="164" fontId="10" fillId="0" borderId="56" xfId="6" applyFont="1" applyFill="1" applyBorder="1" applyAlignment="1">
      <alignment horizontal="justify" vertical="center"/>
    </xf>
    <xf numFmtId="164" fontId="50" fillId="0" borderId="15" xfId="6" applyFont="1" applyFill="1" applyBorder="1" applyAlignment="1">
      <alignment horizontal="justify" vertical="center"/>
    </xf>
    <xf numFmtId="164" fontId="50" fillId="0" borderId="17" xfId="6" applyFont="1" applyFill="1" applyBorder="1" applyAlignment="1">
      <alignment horizontal="left" vertical="center" wrapText="1"/>
    </xf>
    <xf numFmtId="164" fontId="50" fillId="0" borderId="17" xfId="6" applyFont="1" applyFill="1" applyBorder="1" applyAlignment="1">
      <alignment horizontal="left" vertical="center"/>
    </xf>
    <xf numFmtId="0" fontId="11" fillId="0" borderId="17" xfId="6" applyNumberFormat="1" applyFont="1" applyFill="1" applyBorder="1" applyAlignment="1">
      <alignment horizontal="center" vertical="center"/>
    </xf>
    <xf numFmtId="164" fontId="51" fillId="0" borderId="17" xfId="6" applyFont="1" applyFill="1" applyBorder="1" applyAlignment="1">
      <alignment horizontal="left" vertical="center"/>
    </xf>
    <xf numFmtId="164" fontId="4" fillId="0" borderId="19" xfId="6" applyFont="1" applyFill="1" applyBorder="1" applyAlignment="1">
      <alignment horizontal="center" vertical="center"/>
    </xf>
    <xf numFmtId="0" fontId="7" fillId="0" borderId="15" xfId="3" applyFont="1" applyBorder="1" applyAlignment="1">
      <alignment horizontal="right" vertical="center"/>
    </xf>
    <xf numFmtId="164" fontId="11" fillId="0" borderId="15" xfId="3" applyNumberFormat="1" applyFont="1" applyBorder="1" applyAlignment="1">
      <alignment horizontal="right" vertical="center"/>
    </xf>
    <xf numFmtId="164" fontId="11" fillId="0" borderId="17" xfId="3" applyNumberFormat="1" applyFont="1" applyBorder="1" applyAlignment="1">
      <alignment horizontal="right" vertical="center"/>
    </xf>
    <xf numFmtId="164" fontId="4" fillId="0" borderId="19" xfId="3" applyNumberFormat="1" applyFont="1" applyBorder="1" applyAlignment="1">
      <alignment horizontal="right" vertical="center"/>
    </xf>
    <xf numFmtId="41" fontId="7" fillId="0" borderId="10" xfId="1" applyFont="1" applyFill="1" applyBorder="1" applyAlignment="1">
      <alignment horizontal="right" vertical="center"/>
    </xf>
    <xf numFmtId="41" fontId="2" fillId="0" borderId="36" xfId="1" applyFont="1" applyFill="1" applyBorder="1"/>
    <xf numFmtId="164" fontId="7" fillId="4" borderId="11" xfId="6" applyFont="1" applyFill="1" applyBorder="1" applyAlignment="1">
      <alignment horizontal="right" vertical="center"/>
    </xf>
    <xf numFmtId="41" fontId="2" fillId="4" borderId="11" xfId="1" applyFont="1" applyFill="1" applyBorder="1"/>
    <xf numFmtId="41" fontId="12" fillId="4" borderId="11" xfId="1" applyFont="1" applyFill="1" applyBorder="1"/>
    <xf numFmtId="164" fontId="31" fillId="0" borderId="10" xfId="8" applyNumberFormat="1" applyFont="1" applyBorder="1" applyAlignment="1">
      <alignment horizontal="left" vertical="center"/>
    </xf>
    <xf numFmtId="167" fontId="4" fillId="0" borderId="67" xfId="4" applyNumberFormat="1" applyFont="1" applyFill="1" applyBorder="1" applyAlignment="1">
      <alignment horizontal="justify" vertical="center"/>
    </xf>
    <xf numFmtId="164" fontId="12" fillId="4" borderId="12" xfId="0" applyNumberFormat="1" applyFont="1" applyFill="1" applyBorder="1" applyAlignment="1">
      <alignment horizontal="center" vertical="center"/>
    </xf>
    <xf numFmtId="164" fontId="10" fillId="0" borderId="17" xfId="6" applyFont="1" applyFill="1" applyBorder="1" applyAlignment="1">
      <alignment horizontal="center" vertical="center"/>
    </xf>
    <xf numFmtId="167" fontId="4" fillId="0" borderId="69" xfId="4" applyNumberFormat="1" applyFont="1" applyFill="1" applyBorder="1" applyAlignment="1">
      <alignment horizontal="justify" vertical="center"/>
    </xf>
    <xf numFmtId="0" fontId="21" fillId="4" borderId="46" xfId="0" applyFont="1" applyFill="1" applyBorder="1" applyAlignment="1">
      <alignment horizontal="center" vertical="center"/>
    </xf>
    <xf numFmtId="164" fontId="12" fillId="4" borderId="26" xfId="0" applyNumberFormat="1" applyFont="1" applyFill="1" applyBorder="1"/>
    <xf numFmtId="9" fontId="4" fillId="0" borderId="28" xfId="6" applyNumberFormat="1" applyFont="1" applyFill="1" applyBorder="1" applyAlignment="1">
      <alignment horizontal="center" vertical="center"/>
    </xf>
    <xf numFmtId="164" fontId="4" fillId="0" borderId="28" xfId="6" applyFont="1" applyFill="1" applyBorder="1" applyAlignment="1">
      <alignment horizontal="right" vertical="center"/>
    </xf>
    <xf numFmtId="164" fontId="4" fillId="0" borderId="68" xfId="6" applyFont="1" applyFill="1" applyBorder="1" applyAlignment="1">
      <alignment horizontal="right" vertical="center"/>
    </xf>
    <xf numFmtId="164" fontId="17" fillId="4" borderId="26" xfId="0" applyNumberFormat="1" applyFont="1" applyFill="1" applyBorder="1"/>
    <xf numFmtId="164" fontId="4" fillId="0" borderId="67" xfId="6" applyFont="1" applyFill="1" applyBorder="1" applyAlignment="1">
      <alignment horizontal="right" vertical="center"/>
    </xf>
    <xf numFmtId="164" fontId="4" fillId="0" borderId="38" xfId="6" applyFont="1" applyFill="1" applyBorder="1" applyAlignment="1">
      <alignment horizontal="right" vertical="center"/>
    </xf>
    <xf numFmtId="164" fontId="4" fillId="0" borderId="24" xfId="6" applyFont="1" applyFill="1" applyBorder="1" applyAlignment="1">
      <alignment horizontal="right" vertical="center"/>
    </xf>
    <xf numFmtId="164" fontId="7" fillId="0" borderId="35" xfId="6" applyFont="1" applyFill="1" applyBorder="1" applyAlignment="1">
      <alignment horizontal="right" vertical="center"/>
    </xf>
    <xf numFmtId="164" fontId="7" fillId="0" borderId="71" xfId="6" applyFont="1" applyFill="1" applyBorder="1" applyAlignment="1">
      <alignment horizontal="right" vertical="center"/>
    </xf>
    <xf numFmtId="164" fontId="4" fillId="0" borderId="69" xfId="6" applyFont="1" applyFill="1" applyBorder="1" applyAlignment="1">
      <alignment horizontal="right" vertical="center"/>
    </xf>
    <xf numFmtId="164" fontId="10" fillId="0" borderId="68" xfId="6" applyFont="1" applyFill="1" applyBorder="1" applyAlignment="1">
      <alignment horizontal="right" vertical="center"/>
    </xf>
    <xf numFmtId="164" fontId="0" fillId="0" borderId="0" xfId="0" applyNumberFormat="1"/>
    <xf numFmtId="164" fontId="0" fillId="0" borderId="9" xfId="0" applyNumberFormat="1" applyBorder="1"/>
    <xf numFmtId="0" fontId="52" fillId="0" borderId="0" xfId="0" applyFont="1" applyAlignment="1">
      <alignment horizontal="center" vertical="center"/>
    </xf>
    <xf numFmtId="0" fontId="6" fillId="0" borderId="0" xfId="3" applyFont="1" applyAlignment="1">
      <alignment vertical="center"/>
    </xf>
    <xf numFmtId="41" fontId="0" fillId="0" borderId="0" xfId="1" applyFont="1"/>
    <xf numFmtId="0" fontId="18" fillId="4" borderId="6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4" fillId="0" borderId="44" xfId="6" applyFont="1" applyFill="1" applyBorder="1" applyAlignment="1">
      <alignment horizontal="center" vertical="center"/>
    </xf>
    <xf numFmtId="0" fontId="4" fillId="0" borderId="74" xfId="3" applyFont="1" applyBorder="1" applyAlignment="1">
      <alignment horizontal="center" vertical="center"/>
    </xf>
    <xf numFmtId="164" fontId="4" fillId="0" borderId="17" xfId="6" quotePrefix="1" applyFont="1" applyFill="1" applyBorder="1" applyAlignment="1">
      <alignment horizontal="justify" vertical="center"/>
    </xf>
    <xf numFmtId="167" fontId="10" fillId="0" borderId="17" xfId="4" applyNumberFormat="1" applyFont="1" applyFill="1" applyBorder="1" applyAlignment="1">
      <alignment vertical="center"/>
    </xf>
    <xf numFmtId="0" fontId="12" fillId="4" borderId="12" xfId="3" applyFont="1" applyFill="1" applyBorder="1" applyAlignment="1">
      <alignment vertical="center"/>
    </xf>
    <xf numFmtId="0" fontId="12" fillId="4" borderId="13" xfId="3" applyFont="1" applyFill="1" applyBorder="1" applyAlignment="1">
      <alignment vertical="center"/>
    </xf>
    <xf numFmtId="164" fontId="7" fillId="4" borderId="27" xfId="6" applyFont="1" applyFill="1" applyBorder="1" applyAlignment="1">
      <alignment vertical="center"/>
    </xf>
    <xf numFmtId="164" fontId="7" fillId="4" borderId="26" xfId="6" applyFont="1" applyFill="1" applyBorder="1" applyAlignment="1">
      <alignment vertical="center"/>
    </xf>
    <xf numFmtId="164" fontId="7" fillId="4" borderId="39" xfId="6" applyFont="1" applyFill="1" applyBorder="1" applyAlignment="1">
      <alignment vertical="center"/>
    </xf>
    <xf numFmtId="0" fontId="7" fillId="4" borderId="27" xfId="3" applyFont="1" applyFill="1" applyBorder="1" applyAlignment="1">
      <alignment vertical="center" wrapText="1"/>
    </xf>
    <xf numFmtId="0" fontId="7" fillId="4" borderId="26" xfId="3" applyFont="1" applyFill="1" applyBorder="1" applyAlignment="1">
      <alignment vertical="center" wrapText="1"/>
    </xf>
    <xf numFmtId="0" fontId="7" fillId="4" borderId="39" xfId="3" applyFont="1" applyFill="1" applyBorder="1" applyAlignment="1">
      <alignment vertical="center" wrapText="1"/>
    </xf>
    <xf numFmtId="0" fontId="7" fillId="4" borderId="27" xfId="3" applyFont="1" applyFill="1" applyBorder="1" applyAlignment="1">
      <alignment vertical="center"/>
    </xf>
    <xf numFmtId="0" fontId="7" fillId="4" borderId="26" xfId="3" applyFont="1" applyFill="1" applyBorder="1" applyAlignment="1">
      <alignment vertical="center"/>
    </xf>
    <xf numFmtId="0" fontId="7" fillId="4" borderId="39" xfId="3" applyFont="1" applyFill="1" applyBorder="1" applyAlignment="1">
      <alignment vertical="center"/>
    </xf>
    <xf numFmtId="0" fontId="12" fillId="4" borderId="11" xfId="3" applyFont="1" applyFill="1" applyBorder="1" applyAlignment="1">
      <alignment vertical="center"/>
    </xf>
    <xf numFmtId="0" fontId="7" fillId="4" borderId="11" xfId="3" applyFont="1" applyFill="1" applyBorder="1" applyAlignment="1">
      <alignment vertical="center"/>
    </xf>
    <xf numFmtId="0" fontId="7" fillId="4" borderId="12" xfId="3" applyFont="1" applyFill="1" applyBorder="1" applyAlignment="1">
      <alignment vertical="center"/>
    </xf>
    <xf numFmtId="0" fontId="7" fillId="4" borderId="13" xfId="3" applyFont="1" applyFill="1" applyBorder="1" applyAlignment="1">
      <alignment vertical="center"/>
    </xf>
    <xf numFmtId="0" fontId="12" fillId="4" borderId="11" xfId="3" quotePrefix="1" applyFont="1" applyFill="1" applyBorder="1" applyAlignment="1">
      <alignment vertical="center"/>
    </xf>
    <xf numFmtId="0" fontId="7" fillId="0" borderId="49" xfId="3" applyFont="1" applyBorder="1" applyAlignment="1">
      <alignment vertical="center"/>
    </xf>
    <xf numFmtId="164" fontId="4" fillId="0" borderId="17" xfId="6" quotePrefix="1" applyFont="1" applyFill="1" applyBorder="1" applyAlignment="1">
      <alignment horizontal="center" vertical="center"/>
    </xf>
    <xf numFmtId="0" fontId="4" fillId="0" borderId="26" xfId="3" applyFont="1" applyBorder="1" applyAlignment="1">
      <alignment horizontal="center" vertical="center"/>
    </xf>
    <xf numFmtId="167" fontId="4" fillId="0" borderId="21" xfId="4" applyNumberFormat="1" applyFont="1" applyFill="1" applyBorder="1" applyAlignment="1">
      <alignment vertical="center"/>
    </xf>
    <xf numFmtId="167" fontId="10" fillId="0" borderId="21" xfId="4" applyNumberFormat="1" applyFont="1" applyFill="1" applyBorder="1" applyAlignment="1">
      <alignment vertical="center"/>
    </xf>
    <xf numFmtId="167" fontId="7" fillId="0" borderId="61" xfId="4" applyNumberFormat="1" applyFont="1" applyFill="1" applyBorder="1" applyAlignment="1">
      <alignment vertical="center"/>
    </xf>
    <xf numFmtId="164" fontId="4" fillId="0" borderId="50" xfId="6" applyFont="1" applyFill="1" applyBorder="1" applyAlignment="1">
      <alignment horizontal="justify" vertical="center"/>
    </xf>
    <xf numFmtId="164" fontId="10" fillId="0" borderId="21" xfId="6" applyFont="1" applyFill="1" applyBorder="1" applyAlignment="1">
      <alignment horizontal="justify" vertical="center"/>
    </xf>
    <xf numFmtId="164" fontId="7" fillId="0" borderId="61" xfId="6" applyFont="1" applyFill="1" applyBorder="1" applyAlignment="1">
      <alignment horizontal="justify" vertical="center"/>
    </xf>
    <xf numFmtId="164" fontId="10" fillId="0" borderId="50" xfId="6" applyFont="1" applyFill="1" applyBorder="1" applyAlignment="1">
      <alignment horizontal="justify" vertical="center"/>
    </xf>
    <xf numFmtId="0" fontId="4" fillId="0" borderId="12" xfId="3" applyFont="1" applyBorder="1" applyAlignment="1">
      <alignment horizontal="center" vertical="center"/>
    </xf>
    <xf numFmtId="0" fontId="7" fillId="0" borderId="12" xfId="3" applyFont="1" applyBorder="1" applyAlignment="1">
      <alignment horizontal="left" vertical="center"/>
    </xf>
    <xf numFmtId="164" fontId="7" fillId="0" borderId="12" xfId="6" applyFont="1" applyFill="1" applyBorder="1" applyAlignment="1">
      <alignment horizontal="justify" vertical="center"/>
    </xf>
    <xf numFmtId="164" fontId="7" fillId="0" borderId="12" xfId="6" applyFont="1" applyFill="1" applyBorder="1" applyAlignment="1">
      <alignment horizontal="right" vertical="center"/>
    </xf>
    <xf numFmtId="0" fontId="4" fillId="0" borderId="17" xfId="3" applyFont="1" applyBorder="1" applyAlignment="1">
      <alignment horizontal="justify" vertical="center"/>
    </xf>
    <xf numFmtId="0" fontId="4" fillId="0" borderId="76" xfId="3" applyFont="1" applyBorder="1" applyAlignment="1">
      <alignment horizontal="center" vertical="center"/>
    </xf>
    <xf numFmtId="164" fontId="4" fillId="0" borderId="73" xfId="6" applyFont="1" applyFill="1" applyBorder="1" applyAlignment="1">
      <alignment horizontal="justify" vertical="center"/>
    </xf>
    <xf numFmtId="0" fontId="7" fillId="0" borderId="26" xfId="3" applyFont="1" applyBorder="1" applyAlignment="1">
      <alignment horizontal="left" vertical="center"/>
    </xf>
    <xf numFmtId="164" fontId="7" fillId="0" borderId="26" xfId="6" applyFont="1" applyFill="1" applyBorder="1" applyAlignment="1">
      <alignment horizontal="justify" vertical="center"/>
    </xf>
    <xf numFmtId="164" fontId="7" fillId="0" borderId="26" xfId="6" applyFont="1" applyFill="1" applyBorder="1" applyAlignment="1">
      <alignment horizontal="right" vertical="center"/>
    </xf>
    <xf numFmtId="164" fontId="4" fillId="0" borderId="24" xfId="6" applyFont="1" applyFill="1" applyBorder="1" applyAlignment="1">
      <alignment horizontal="justify" vertical="center"/>
    </xf>
    <xf numFmtId="164" fontId="4" fillId="0" borderId="28" xfId="6" applyFont="1" applyFill="1" applyBorder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56" fillId="0" borderId="0" xfId="3" applyFont="1" applyAlignment="1">
      <alignment horizontal="left" vertical="center" wrapText="1"/>
    </xf>
    <xf numFmtId="0" fontId="4" fillId="0" borderId="0" xfId="3" quotePrefix="1" applyFont="1" applyAlignment="1">
      <alignment horizontal="left" vertical="center" wrapText="1"/>
    </xf>
    <xf numFmtId="164" fontId="4" fillId="0" borderId="28" xfId="6" quotePrefix="1" applyFont="1" applyFill="1" applyBorder="1" applyAlignment="1">
      <alignment horizontal="left" vertical="center"/>
    </xf>
    <xf numFmtId="164" fontId="4" fillId="0" borderId="28" xfId="6" quotePrefix="1" applyFont="1" applyFill="1" applyBorder="1" applyAlignment="1">
      <alignment horizontal="justify" vertical="center"/>
    </xf>
    <xf numFmtId="164" fontId="4" fillId="0" borderId="28" xfId="6" quotePrefix="1" applyFont="1" applyFill="1" applyBorder="1" applyAlignment="1">
      <alignment horizontal="center" vertical="center"/>
    </xf>
    <xf numFmtId="164" fontId="4" fillId="0" borderId="17" xfId="6" quotePrefix="1" applyFont="1" applyFill="1" applyBorder="1" applyAlignment="1">
      <alignment horizontal="left" vertical="center"/>
    </xf>
    <xf numFmtId="164" fontId="4" fillId="0" borderId="21" xfId="6" applyFont="1" applyFill="1" applyBorder="1" applyAlignment="1">
      <alignment horizontal="left" vertical="center"/>
    </xf>
    <xf numFmtId="164" fontId="4" fillId="0" borderId="23" xfId="6" applyFont="1" applyFill="1" applyBorder="1" applyAlignment="1">
      <alignment horizontal="left" vertical="center"/>
    </xf>
    <xf numFmtId="164" fontId="4" fillId="0" borderId="24" xfId="6" applyFont="1" applyFill="1" applyBorder="1" applyAlignment="1">
      <alignment horizontal="left" vertical="center" wrapText="1"/>
    </xf>
    <xf numFmtId="0" fontId="7" fillId="0" borderId="0" xfId="3" applyFont="1" applyAlignment="1">
      <alignment horizontal="right" vertical="center" wrapText="1"/>
    </xf>
    <xf numFmtId="164" fontId="7" fillId="0" borderId="0" xfId="6" applyFont="1" applyFill="1" applyBorder="1" applyAlignment="1">
      <alignment horizontal="justify" vertical="center"/>
    </xf>
    <xf numFmtId="0" fontId="4" fillId="0" borderId="9" xfId="3" applyFont="1" applyBorder="1" applyAlignment="1">
      <alignment horizontal="center" vertical="center"/>
    </xf>
    <xf numFmtId="164" fontId="7" fillId="0" borderId="9" xfId="6" applyFont="1" applyFill="1" applyBorder="1" applyAlignment="1">
      <alignment horizontal="right" vertical="center"/>
    </xf>
    <xf numFmtId="164" fontId="7" fillId="0" borderId="61" xfId="6" applyFont="1" applyFill="1" applyBorder="1" applyAlignment="1">
      <alignment horizontal="right" vertical="center"/>
    </xf>
    <xf numFmtId="0" fontId="4" fillId="0" borderId="28" xfId="6" applyNumberFormat="1" applyFont="1" applyFill="1" applyBorder="1" applyAlignment="1">
      <alignment horizontal="center" vertical="center"/>
    </xf>
    <xf numFmtId="167" fontId="4" fillId="0" borderId="50" xfId="4" applyNumberFormat="1" applyFont="1" applyFill="1" applyBorder="1" applyAlignment="1">
      <alignment vertical="center"/>
    </xf>
    <xf numFmtId="164" fontId="4" fillId="0" borderId="21" xfId="6" applyFont="1" applyFill="1" applyBorder="1" applyAlignment="1">
      <alignment vertical="center"/>
    </xf>
    <xf numFmtId="164" fontId="4" fillId="0" borderId="23" xfId="6" applyFont="1" applyFill="1" applyBorder="1" applyAlignment="1">
      <alignment vertical="center"/>
    </xf>
    <xf numFmtId="164" fontId="4" fillId="0" borderId="62" xfId="6" applyFont="1" applyFill="1" applyBorder="1" applyAlignment="1">
      <alignment vertical="center"/>
    </xf>
    <xf numFmtId="164" fontId="4" fillId="0" borderId="60" xfId="6" applyFont="1" applyFill="1" applyBorder="1" applyAlignment="1">
      <alignment vertical="center"/>
    </xf>
    <xf numFmtId="164" fontId="10" fillId="0" borderId="64" xfId="6" applyFont="1" applyFill="1" applyBorder="1" applyAlignment="1">
      <alignment horizontal="justify" vertical="center"/>
    </xf>
    <xf numFmtId="164" fontId="4" fillId="0" borderId="0" xfId="6" applyFont="1" applyFill="1" applyBorder="1" applyAlignment="1">
      <alignment horizontal="justify" vertical="center"/>
    </xf>
    <xf numFmtId="164" fontId="4" fillId="0" borderId="0" xfId="6" quotePrefix="1" applyFont="1" applyFill="1" applyBorder="1" applyAlignment="1">
      <alignment horizontal="justify" vertical="center"/>
    </xf>
    <xf numFmtId="164" fontId="4" fillId="0" borderId="50" xfId="6" applyFont="1" applyFill="1" applyBorder="1" applyAlignment="1">
      <alignment horizontal="left" vertical="center"/>
    </xf>
    <xf numFmtId="164" fontId="4" fillId="0" borderId="59" xfId="6" applyFont="1" applyFill="1" applyBorder="1" applyAlignment="1">
      <alignment horizontal="left" vertical="center"/>
    </xf>
    <xf numFmtId="0" fontId="4" fillId="0" borderId="79" xfId="3" applyFont="1" applyBorder="1" applyAlignment="1">
      <alignment horizontal="center" vertical="center"/>
    </xf>
    <xf numFmtId="0" fontId="4" fillId="0" borderId="80" xfId="3" applyFont="1" applyBorder="1" applyAlignment="1">
      <alignment horizontal="justify" vertical="center"/>
    </xf>
    <xf numFmtId="167" fontId="4" fillId="0" borderId="24" xfId="4" applyNumberFormat="1" applyFont="1" applyFill="1" applyBorder="1" applyAlignment="1">
      <alignment vertical="center"/>
    </xf>
    <xf numFmtId="0" fontId="4" fillId="0" borderId="73" xfId="3" applyFont="1" applyBorder="1" applyAlignment="1">
      <alignment horizontal="justify" vertical="center"/>
    </xf>
    <xf numFmtId="164" fontId="4" fillId="0" borderId="50" xfId="6" applyFont="1" applyFill="1" applyBorder="1" applyAlignment="1">
      <alignment horizontal="right" vertical="center"/>
    </xf>
    <xf numFmtId="164" fontId="4" fillId="0" borderId="21" xfId="6" applyFont="1" applyFill="1" applyBorder="1" applyAlignment="1">
      <alignment horizontal="right" vertical="center"/>
    </xf>
    <xf numFmtId="164" fontId="10" fillId="0" borderId="21" xfId="6" applyFont="1" applyFill="1" applyBorder="1" applyAlignment="1">
      <alignment horizontal="right" vertical="center"/>
    </xf>
    <xf numFmtId="164" fontId="10" fillId="0" borderId="21" xfId="6" applyFont="1" applyFill="1" applyBorder="1" applyAlignment="1">
      <alignment horizontal="left" vertical="center"/>
    </xf>
    <xf numFmtId="164" fontId="7" fillId="0" borderId="10" xfId="6" applyFont="1" applyFill="1" applyBorder="1" applyAlignment="1">
      <alignment horizontal="center" vertical="center"/>
    </xf>
    <xf numFmtId="164" fontId="7" fillId="0" borderId="9" xfId="6" applyFont="1" applyFill="1" applyBorder="1" applyAlignment="1">
      <alignment horizontal="justify" vertical="center"/>
    </xf>
    <xf numFmtId="164" fontId="7" fillId="0" borderId="11" xfId="6" applyFont="1" applyFill="1" applyBorder="1" applyAlignment="1">
      <alignment horizontal="center" vertical="center"/>
    </xf>
    <xf numFmtId="164" fontId="7" fillId="0" borderId="27" xfId="6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0" fontId="53" fillId="0" borderId="3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3" fillId="0" borderId="26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41" fontId="12" fillId="0" borderId="10" xfId="1" applyFont="1" applyBorder="1" applyAlignment="1">
      <alignment horizontal="center" vertical="center"/>
    </xf>
    <xf numFmtId="41" fontId="17" fillId="0" borderId="11" xfId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4" fillId="0" borderId="81" xfId="3" applyFont="1" applyBorder="1" applyAlignment="1">
      <alignment horizontal="center" vertical="center"/>
    </xf>
    <xf numFmtId="0" fontId="4" fillId="0" borderId="77" xfId="3" applyFont="1" applyBorder="1" applyAlignment="1">
      <alignment horizontal="center" vertical="center"/>
    </xf>
    <xf numFmtId="164" fontId="4" fillId="0" borderId="23" xfId="6" applyFont="1" applyFill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7" fillId="0" borderId="9" xfId="3" applyFont="1" applyBorder="1" applyAlignment="1">
      <alignment horizontal="left" vertical="center"/>
    </xf>
    <xf numFmtId="0" fontId="7" fillId="0" borderId="0" xfId="3" applyFont="1" applyAlignment="1">
      <alignment horizontal="left" vertical="center"/>
    </xf>
    <xf numFmtId="164" fontId="4" fillId="0" borderId="56" xfId="6" quotePrefix="1" applyFont="1" applyFill="1" applyBorder="1" applyAlignment="1">
      <alignment horizontal="left" vertical="center" wrapText="1"/>
    </xf>
    <xf numFmtId="164" fontId="10" fillId="0" borderId="57" xfId="6" quotePrefix="1" applyFont="1" applyFill="1" applyBorder="1" applyAlignment="1">
      <alignment horizontal="left" vertical="center" wrapText="1"/>
    </xf>
    <xf numFmtId="164" fontId="4" fillId="0" borderId="56" xfId="6" applyFont="1" applyFill="1" applyBorder="1" applyAlignment="1">
      <alignment vertical="center"/>
    </xf>
    <xf numFmtId="164" fontId="10" fillId="0" borderId="57" xfId="6" applyFont="1" applyFill="1" applyBorder="1" applyAlignment="1">
      <alignment vertical="center"/>
    </xf>
    <xf numFmtId="0" fontId="29" fillId="0" borderId="73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left" vertical="center"/>
    </xf>
    <xf numFmtId="0" fontId="54" fillId="0" borderId="0" xfId="0" applyFont="1"/>
    <xf numFmtId="41" fontId="11" fillId="0" borderId="0" xfId="1" applyFont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41" fontId="11" fillId="0" borderId="40" xfId="1" applyFont="1" applyBorder="1" applyAlignment="1">
      <alignment horizontal="left" vertical="center"/>
    </xf>
    <xf numFmtId="0" fontId="12" fillId="4" borderId="10" xfId="0" applyFont="1" applyFill="1" applyBorder="1" applyAlignment="1">
      <alignment horizontal="center" vertical="center"/>
    </xf>
    <xf numFmtId="164" fontId="7" fillId="4" borderId="29" xfId="6" applyFont="1" applyFill="1" applyBorder="1" applyAlignment="1">
      <alignment horizontal="justify" vertical="center"/>
    </xf>
    <xf numFmtId="164" fontId="2" fillId="4" borderId="30" xfId="0" applyNumberFormat="1" applyFont="1" applyFill="1" applyBorder="1"/>
    <xf numFmtId="164" fontId="12" fillId="4" borderId="30" xfId="0" applyNumberFormat="1" applyFont="1" applyFill="1" applyBorder="1"/>
    <xf numFmtId="0" fontId="22" fillId="4" borderId="46" xfId="0" applyFont="1" applyFill="1" applyBorder="1" applyAlignment="1">
      <alignment horizontal="center" vertical="center"/>
    </xf>
    <xf numFmtId="41" fontId="0" fillId="4" borderId="29" xfId="1" applyFont="1" applyFill="1" applyBorder="1"/>
    <xf numFmtId="41" fontId="2" fillId="4" borderId="29" xfId="1" applyFont="1" applyFill="1" applyBorder="1"/>
    <xf numFmtId="167" fontId="12" fillId="4" borderId="30" xfId="0" applyNumberFormat="1" applyFont="1" applyFill="1" applyBorder="1"/>
    <xf numFmtId="0" fontId="12" fillId="4" borderId="46" xfId="0" applyFont="1" applyFill="1" applyBorder="1" applyAlignment="1">
      <alignment horizontal="center" vertical="center"/>
    </xf>
    <xf numFmtId="41" fontId="12" fillId="4" borderId="29" xfId="1" applyFont="1" applyFill="1" applyBorder="1"/>
    <xf numFmtId="167" fontId="7" fillId="4" borderId="29" xfId="4" applyNumberFormat="1" applyFont="1" applyFill="1" applyBorder="1" applyAlignment="1">
      <alignment horizontal="right" vertical="center"/>
    </xf>
    <xf numFmtId="164" fontId="7" fillId="4" borderId="29" xfId="6" applyFont="1" applyFill="1" applyBorder="1" applyAlignment="1">
      <alignment vertical="center"/>
    </xf>
    <xf numFmtId="164" fontId="17" fillId="4" borderId="30" xfId="0" applyNumberFormat="1" applyFont="1" applyFill="1" applyBorder="1"/>
    <xf numFmtId="164" fontId="7" fillId="4" borderId="29" xfId="6" applyFont="1" applyFill="1" applyBorder="1" applyAlignment="1">
      <alignment horizontal="left" vertical="center"/>
    </xf>
    <xf numFmtId="3" fontId="7" fillId="4" borderId="29" xfId="4" applyNumberFormat="1" applyFont="1" applyFill="1" applyBorder="1" applyAlignment="1">
      <alignment horizontal="right" vertical="center"/>
    </xf>
    <xf numFmtId="164" fontId="0" fillId="4" borderId="30" xfId="0" applyNumberFormat="1" applyFill="1" applyBorder="1"/>
    <xf numFmtId="0" fontId="4" fillId="4" borderId="29" xfId="3" applyFont="1" applyFill="1" applyBorder="1" applyAlignment="1">
      <alignment horizontal="center" vertical="center"/>
    </xf>
    <xf numFmtId="0" fontId="4" fillId="4" borderId="29" xfId="5" applyFont="1" applyFill="1" applyBorder="1" applyAlignment="1">
      <alignment horizontal="center" vertical="center"/>
    </xf>
    <xf numFmtId="0" fontId="7" fillId="4" borderId="29" xfId="3" applyFont="1" applyFill="1" applyBorder="1" applyAlignment="1">
      <alignment horizontal="center" vertical="center"/>
    </xf>
    <xf numFmtId="0" fontId="7" fillId="4" borderId="37" xfId="3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64" fontId="7" fillId="4" borderId="11" xfId="6" applyFont="1" applyFill="1" applyBorder="1" applyAlignment="1">
      <alignment horizontal="center" vertical="center"/>
    </xf>
    <xf numFmtId="46" fontId="7" fillId="4" borderId="10" xfId="3" applyNumberFormat="1" applyFont="1" applyFill="1" applyBorder="1" applyAlignment="1">
      <alignment horizontal="center" vertical="center"/>
    </xf>
    <xf numFmtId="41" fontId="17" fillId="4" borderId="11" xfId="1" applyFont="1" applyFill="1" applyBorder="1" applyAlignment="1">
      <alignment horizontal="center" vertical="center"/>
    </xf>
    <xf numFmtId="167" fontId="7" fillId="4" borderId="29" xfId="4" applyNumberFormat="1" applyFont="1" applyFill="1" applyBorder="1" applyAlignment="1">
      <alignment horizontal="center" vertical="center"/>
    </xf>
    <xf numFmtId="41" fontId="12" fillId="4" borderId="11" xfId="1" applyFont="1" applyFill="1" applyBorder="1" applyAlignment="1">
      <alignment horizontal="center" vertical="center"/>
    </xf>
    <xf numFmtId="41" fontId="12" fillId="4" borderId="12" xfId="0" applyNumberFormat="1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164" fontId="7" fillId="4" borderId="11" xfId="6" quotePrefix="1" applyFont="1" applyFill="1" applyBorder="1" applyAlignment="1">
      <alignment horizontal="center" vertical="center" wrapText="1"/>
    </xf>
    <xf numFmtId="164" fontId="7" fillId="4" borderId="29" xfId="6" applyFont="1" applyFill="1" applyBorder="1" applyAlignment="1">
      <alignment horizontal="center" vertical="center"/>
    </xf>
    <xf numFmtId="41" fontId="12" fillId="4" borderId="12" xfId="1" applyFont="1" applyFill="1" applyBorder="1" applyAlignment="1">
      <alignment horizontal="center" vertical="center"/>
    </xf>
    <xf numFmtId="164" fontId="12" fillId="4" borderId="12" xfId="0" applyNumberFormat="1" applyFont="1" applyFill="1" applyBorder="1" applyAlignment="1">
      <alignment horizontal="right" vertical="center"/>
    </xf>
    <xf numFmtId="41" fontId="17" fillId="4" borderId="12" xfId="1" applyFont="1" applyFill="1" applyBorder="1" applyAlignment="1">
      <alignment horizontal="center" vertical="center"/>
    </xf>
    <xf numFmtId="41" fontId="11" fillId="4" borderId="11" xfId="1" applyFont="1" applyFill="1" applyBorder="1" applyAlignment="1">
      <alignment horizontal="center" vertical="center"/>
    </xf>
    <xf numFmtId="0" fontId="26" fillId="4" borderId="10" xfId="8" applyFont="1" applyFill="1" applyBorder="1" applyAlignment="1">
      <alignment horizontal="center" vertical="center" wrapText="1"/>
    </xf>
    <xf numFmtId="164" fontId="26" fillId="4" borderId="10" xfId="6" applyFont="1" applyFill="1" applyBorder="1" applyAlignment="1">
      <alignment horizontal="center" vertical="center" wrapText="1"/>
    </xf>
    <xf numFmtId="0" fontId="24" fillId="4" borderId="10" xfId="8" applyFont="1" applyFill="1" applyBorder="1" applyAlignment="1">
      <alignment horizontal="center" vertical="center"/>
    </xf>
    <xf numFmtId="0" fontId="26" fillId="4" borderId="10" xfId="8" applyFont="1" applyFill="1" applyBorder="1" applyAlignment="1">
      <alignment horizontal="center" vertical="center"/>
    </xf>
    <xf numFmtId="0" fontId="26" fillId="4" borderId="10" xfId="8" applyFont="1" applyFill="1" applyBorder="1" applyAlignment="1">
      <alignment horizontal="left" vertical="center"/>
    </xf>
    <xf numFmtId="0" fontId="26" fillId="4" borderId="10" xfId="8" applyFont="1" applyFill="1" applyBorder="1" applyAlignment="1">
      <alignment vertical="center"/>
    </xf>
    <xf numFmtId="164" fontId="26" fillId="4" borderId="10" xfId="6" applyFont="1" applyFill="1" applyBorder="1" applyAlignment="1">
      <alignment horizontal="center" vertical="center"/>
    </xf>
    <xf numFmtId="166" fontId="26" fillId="4" borderId="10" xfId="9" applyNumberFormat="1" applyFont="1" applyFill="1" applyBorder="1" applyAlignment="1">
      <alignment horizontal="center" vertical="center"/>
    </xf>
    <xf numFmtId="164" fontId="28" fillId="4" borderId="10" xfId="6" applyFont="1" applyFill="1" applyBorder="1" applyAlignment="1">
      <alignment vertical="center"/>
    </xf>
    <xf numFmtId="0" fontId="24" fillId="4" borderId="0" xfId="8" applyFont="1" applyFill="1" applyAlignment="1">
      <alignment vertical="center"/>
    </xf>
    <xf numFmtId="41" fontId="0" fillId="4" borderId="26" xfId="0" applyNumberFormat="1" applyFill="1" applyBorder="1"/>
    <xf numFmtId="41" fontId="0" fillId="4" borderId="26" xfId="1" applyFont="1" applyFill="1" applyBorder="1"/>
    <xf numFmtId="0" fontId="7" fillId="0" borderId="9" xfId="3" applyFont="1" applyBorder="1" applyAlignment="1">
      <alignment horizontal="center" vertical="center"/>
    </xf>
    <xf numFmtId="0" fontId="7" fillId="0" borderId="75" xfId="3" applyFont="1" applyBorder="1" applyAlignment="1">
      <alignment horizontal="center" vertical="center"/>
    </xf>
    <xf numFmtId="164" fontId="7" fillId="0" borderId="35" xfId="3" applyNumberFormat="1" applyFont="1" applyBorder="1" applyAlignment="1">
      <alignment horizontal="right" vertical="center"/>
    </xf>
    <xf numFmtId="164" fontId="12" fillId="4" borderId="12" xfId="0" applyNumberFormat="1" applyFont="1" applyFill="1" applyBorder="1"/>
    <xf numFmtId="41" fontId="0" fillId="4" borderId="12" xfId="0" applyNumberFormat="1" applyFill="1" applyBorder="1"/>
    <xf numFmtId="41" fontId="12" fillId="4" borderId="12" xfId="0" applyNumberFormat="1" applyFont="1" applyFill="1" applyBorder="1"/>
    <xf numFmtId="41" fontId="17" fillId="4" borderId="11" xfId="1" applyFont="1" applyFill="1" applyBorder="1"/>
    <xf numFmtId="41" fontId="17" fillId="0" borderId="10" xfId="1" applyFont="1" applyBorder="1"/>
    <xf numFmtId="0" fontId="34" fillId="0" borderId="10" xfId="4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/>
    </xf>
    <xf numFmtId="0" fontId="4" fillId="0" borderId="14" xfId="3" applyFont="1" applyBorder="1" applyAlignment="1">
      <alignment vertical="center"/>
    </xf>
    <xf numFmtId="41" fontId="4" fillId="0" borderId="17" xfId="3" applyNumberFormat="1" applyFont="1" applyBorder="1" applyAlignment="1">
      <alignment vertical="center"/>
    </xf>
    <xf numFmtId="41" fontId="4" fillId="0" borderId="57" xfId="3" applyNumberFormat="1" applyFont="1" applyBorder="1" applyAlignment="1">
      <alignment vertical="center"/>
    </xf>
    <xf numFmtId="41" fontId="10" fillId="0" borderId="17" xfId="3" applyNumberFormat="1" applyFont="1" applyBorder="1" applyAlignment="1">
      <alignment vertical="center"/>
    </xf>
    <xf numFmtId="41" fontId="10" fillId="0" borderId="57" xfId="3" applyNumberFormat="1" applyFont="1" applyBorder="1" applyAlignment="1">
      <alignment vertical="center"/>
    </xf>
    <xf numFmtId="0" fontId="17" fillId="0" borderId="26" xfId="0" applyFont="1" applyBorder="1"/>
    <xf numFmtId="0" fontId="15" fillId="0" borderId="0" xfId="0" applyFont="1"/>
    <xf numFmtId="0" fontId="20" fillId="0" borderId="88" xfId="0" applyFont="1" applyBorder="1" applyAlignment="1">
      <alignment horizontal="center" vertical="center" wrapText="1"/>
    </xf>
    <xf numFmtId="0" fontId="20" fillId="0" borderId="89" xfId="0" applyFont="1" applyBorder="1" applyAlignment="1">
      <alignment horizontal="center" vertical="center" wrapText="1"/>
    </xf>
    <xf numFmtId="0" fontId="55" fillId="0" borderId="9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164" fontId="12" fillId="4" borderId="89" xfId="1" applyNumberFormat="1" applyFont="1" applyFill="1" applyBorder="1" applyAlignment="1">
      <alignment horizontal="left" vertical="center"/>
    </xf>
    <xf numFmtId="0" fontId="7" fillId="0" borderId="9" xfId="3" applyFont="1" applyBorder="1" applyAlignment="1">
      <alignment horizontal="center" vertical="center" wrapText="1"/>
    </xf>
    <xf numFmtId="0" fontId="7" fillId="4" borderId="95" xfId="3" applyFont="1" applyFill="1" applyBorder="1" applyAlignment="1">
      <alignment horizontal="center" vertical="center" wrapText="1"/>
    </xf>
    <xf numFmtId="164" fontId="7" fillId="4" borderId="99" xfId="6" applyFont="1" applyFill="1" applyBorder="1" applyAlignment="1">
      <alignment horizontal="center" vertical="center" wrapText="1"/>
    </xf>
    <xf numFmtId="164" fontId="7" fillId="0" borderId="99" xfId="6" applyFont="1" applyFill="1" applyBorder="1" applyAlignment="1">
      <alignment horizontal="center" vertical="center" wrapText="1"/>
    </xf>
    <xf numFmtId="164" fontId="7" fillId="4" borderId="100" xfId="6" applyFont="1" applyFill="1" applyBorder="1" applyAlignment="1">
      <alignment horizontal="center" vertical="center" wrapText="1"/>
    </xf>
    <xf numFmtId="0" fontId="7" fillId="0" borderId="89" xfId="3" applyFont="1" applyBorder="1" applyAlignment="1">
      <alignment horizontal="center" vertical="center" wrapText="1"/>
    </xf>
    <xf numFmtId="0" fontId="7" fillId="0" borderId="90" xfId="3" applyFont="1" applyBorder="1" applyAlignment="1">
      <alignment horizontal="center" vertical="center" wrapText="1"/>
    </xf>
    <xf numFmtId="0" fontId="7" fillId="0" borderId="88" xfId="3" applyFont="1" applyBorder="1" applyAlignment="1">
      <alignment vertical="center" wrapText="1"/>
    </xf>
    <xf numFmtId="0" fontId="7" fillId="0" borderId="89" xfId="3" applyFont="1" applyBorder="1" applyAlignment="1">
      <alignment vertical="center" wrapText="1"/>
    </xf>
    <xf numFmtId="0" fontId="7" fillId="0" borderId="90" xfId="3" applyFont="1" applyBorder="1" applyAlignment="1">
      <alignment vertical="center" wrapText="1"/>
    </xf>
    <xf numFmtId="164" fontId="12" fillId="0" borderId="104" xfId="0" applyNumberFormat="1" applyFont="1" applyBorder="1" applyAlignment="1">
      <alignment horizontal="center" vertical="center"/>
    </xf>
    <xf numFmtId="164" fontId="12" fillId="4" borderId="105" xfId="0" applyNumberFormat="1" applyFont="1" applyFill="1" applyBorder="1" applyAlignment="1">
      <alignment horizontal="center" vertical="center"/>
    </xf>
    <xf numFmtId="164" fontId="12" fillId="4" borderId="102" xfId="0" applyNumberFormat="1" applyFont="1" applyFill="1" applyBorder="1" applyAlignment="1">
      <alignment horizontal="center" vertical="center"/>
    </xf>
    <xf numFmtId="0" fontId="7" fillId="4" borderId="106" xfId="0" applyFont="1" applyFill="1" applyBorder="1" applyAlignment="1">
      <alignment horizontal="center" vertical="center"/>
    </xf>
    <xf numFmtId="0" fontId="6" fillId="0" borderId="3" xfId="3" applyFont="1" applyBorder="1" applyAlignment="1">
      <alignment vertical="center"/>
    </xf>
    <xf numFmtId="0" fontId="7" fillId="0" borderId="89" xfId="0" applyFont="1" applyBorder="1" applyAlignment="1">
      <alignment horizontal="center" vertical="center" wrapText="1"/>
    </xf>
    <xf numFmtId="164" fontId="7" fillId="0" borderId="90" xfId="6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6" applyFont="1" applyFill="1" applyBorder="1" applyAlignment="1">
      <alignment horizontal="center" vertical="center" wrapText="1"/>
    </xf>
    <xf numFmtId="41" fontId="12" fillId="0" borderId="109" xfId="1" applyFont="1" applyFill="1" applyBorder="1"/>
    <xf numFmtId="41" fontId="12" fillId="4" borderId="109" xfId="1" applyFont="1" applyFill="1" applyBorder="1"/>
    <xf numFmtId="0" fontId="7" fillId="4" borderId="11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top"/>
    </xf>
    <xf numFmtId="0" fontId="8" fillId="4" borderId="99" xfId="3" applyFont="1" applyFill="1" applyBorder="1" applyAlignment="1">
      <alignment horizontal="center" vertical="center" wrapText="1"/>
    </xf>
    <xf numFmtId="0" fontId="7" fillId="4" borderId="99" xfId="3" applyFont="1" applyFill="1" applyBorder="1" applyAlignment="1">
      <alignment horizontal="center" vertical="center" wrapText="1"/>
    </xf>
    <xf numFmtId="0" fontId="7" fillId="4" borderId="100" xfId="3" applyFont="1" applyFill="1" applyBorder="1" applyAlignment="1">
      <alignment horizontal="center" vertical="center" wrapText="1"/>
    </xf>
    <xf numFmtId="0" fontId="7" fillId="0" borderId="111" xfId="3" applyFont="1" applyBorder="1" applyAlignment="1">
      <alignment horizontal="center" vertical="center" wrapText="1"/>
    </xf>
    <xf numFmtId="0" fontId="8" fillId="0" borderId="112" xfId="3" applyFont="1" applyBorder="1" applyAlignment="1">
      <alignment horizontal="center" vertical="center" wrapText="1"/>
    </xf>
    <xf numFmtId="0" fontId="7" fillId="0" borderId="112" xfId="3" applyFont="1" applyBorder="1" applyAlignment="1">
      <alignment horizontal="center" vertical="center" wrapText="1"/>
    </xf>
    <xf numFmtId="164" fontId="7" fillId="0" borderId="112" xfId="6" applyFont="1" applyFill="1" applyBorder="1" applyAlignment="1">
      <alignment horizontal="center" vertical="center" wrapText="1"/>
    </xf>
    <xf numFmtId="164" fontId="7" fillId="0" borderId="89" xfId="6" applyFont="1" applyFill="1" applyBorder="1" applyAlignment="1">
      <alignment horizontal="center" vertical="center" wrapText="1"/>
    </xf>
    <xf numFmtId="164" fontId="12" fillId="0" borderId="105" xfId="0" applyNumberFormat="1" applyFont="1" applyBorder="1"/>
    <xf numFmtId="164" fontId="12" fillId="4" borderId="113" xfId="0" applyNumberFormat="1" applyFont="1" applyFill="1" applyBorder="1"/>
    <xf numFmtId="0" fontId="12" fillId="4" borderId="106" xfId="0" applyFont="1" applyFill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0" fontId="20" fillId="0" borderId="114" xfId="0" applyFont="1" applyBorder="1" applyAlignment="1">
      <alignment horizontal="center" vertical="center" wrapText="1"/>
    </xf>
    <xf numFmtId="0" fontId="20" fillId="0" borderId="115" xfId="0" applyFont="1" applyBorder="1" applyAlignment="1">
      <alignment horizontal="center" vertical="center" wrapText="1"/>
    </xf>
    <xf numFmtId="0" fontId="2" fillId="0" borderId="116" xfId="0" applyFont="1" applyBorder="1" applyAlignment="1">
      <alignment horizontal="center" vertical="center"/>
    </xf>
    <xf numFmtId="0" fontId="20" fillId="0" borderId="102" xfId="0" applyFont="1" applyBorder="1" applyAlignment="1">
      <alignment horizontal="center" vertical="center" wrapText="1"/>
    </xf>
    <xf numFmtId="0" fontId="2" fillId="0" borderId="102" xfId="0" applyFont="1" applyBorder="1" applyAlignment="1">
      <alignment horizontal="center" vertical="center"/>
    </xf>
    <xf numFmtId="0" fontId="3" fillId="0" borderId="83" xfId="3" applyBorder="1" applyAlignment="1">
      <alignment horizontal="center" vertical="center"/>
    </xf>
    <xf numFmtId="0" fontId="3" fillId="0" borderId="84" xfId="3" applyBorder="1" applyAlignment="1">
      <alignment horizontal="left" vertical="center" wrapText="1" indent="1"/>
    </xf>
    <xf numFmtId="41" fontId="0" fillId="0" borderId="84" xfId="1" applyFont="1" applyBorder="1" applyAlignment="1">
      <alignment horizontal="center" vertical="center"/>
    </xf>
    <xf numFmtId="0" fontId="3" fillId="0" borderId="118" xfId="3" applyBorder="1" applyAlignment="1">
      <alignment horizontal="center" vertical="center"/>
    </xf>
    <xf numFmtId="0" fontId="14" fillId="0" borderId="119" xfId="0" applyFont="1" applyBorder="1" applyAlignment="1">
      <alignment horizontal="center" vertical="center"/>
    </xf>
    <xf numFmtId="0" fontId="11" fillId="0" borderId="119" xfId="0" applyFont="1" applyBorder="1" applyAlignment="1">
      <alignment horizontal="center" vertical="center"/>
    </xf>
    <xf numFmtId="41" fontId="2" fillId="0" borderId="109" xfId="1" applyFont="1" applyFill="1" applyBorder="1" applyAlignment="1">
      <alignment horizontal="center" vertical="center"/>
    </xf>
    <xf numFmtId="41" fontId="2" fillId="4" borderId="109" xfId="1" applyFont="1" applyFill="1" applyBorder="1" applyAlignment="1">
      <alignment horizontal="center" vertical="center"/>
    </xf>
    <xf numFmtId="164" fontId="2" fillId="4" borderId="109" xfId="1" applyNumberFormat="1" applyFont="1" applyFill="1" applyBorder="1" applyAlignment="1">
      <alignment horizontal="center" vertical="center"/>
    </xf>
    <xf numFmtId="0" fontId="12" fillId="4" borderId="110" xfId="0" applyFont="1" applyFill="1" applyBorder="1" applyAlignment="1">
      <alignment horizontal="center" vertical="center"/>
    </xf>
    <xf numFmtId="164" fontId="7" fillId="0" borderId="99" xfId="6" applyFont="1" applyFill="1" applyBorder="1" applyAlignment="1" applyProtection="1">
      <alignment horizontal="center" vertical="center" wrapText="1"/>
      <protection locked="0"/>
    </xf>
    <xf numFmtId="164" fontId="7" fillId="4" borderId="99" xfId="6" applyFont="1" applyFill="1" applyBorder="1" applyAlignment="1" applyProtection="1">
      <alignment horizontal="center" vertical="center" wrapText="1"/>
      <protection locked="0"/>
    </xf>
    <xf numFmtId="0" fontId="7" fillId="0" borderId="88" xfId="3" applyFont="1" applyBorder="1" applyAlignment="1">
      <alignment horizontal="center" vertical="center" wrapText="1"/>
    </xf>
    <xf numFmtId="164" fontId="7" fillId="0" borderId="89" xfId="6" applyFont="1" applyFill="1" applyBorder="1" applyAlignment="1" applyProtection="1">
      <alignment horizontal="center" vertical="center" wrapText="1"/>
      <protection locked="0"/>
    </xf>
    <xf numFmtId="164" fontId="17" fillId="0" borderId="104" xfId="0" applyNumberFormat="1" applyFont="1" applyBorder="1"/>
    <xf numFmtId="164" fontId="17" fillId="4" borderId="105" xfId="0" applyNumberFormat="1" applyFont="1" applyFill="1" applyBorder="1"/>
    <xf numFmtId="41" fontId="17" fillId="4" borderId="102" xfId="1" applyFont="1" applyFill="1" applyBorder="1"/>
    <xf numFmtId="164" fontId="17" fillId="4" borderId="102" xfId="0" applyNumberFormat="1" applyFont="1" applyFill="1" applyBorder="1"/>
    <xf numFmtId="0" fontId="5" fillId="0" borderId="0" xfId="3" applyFont="1" applyAlignment="1">
      <alignment horizontal="left" vertical="center"/>
    </xf>
    <xf numFmtId="0" fontId="63" fillId="0" borderId="0" xfId="3" applyFont="1" applyAlignment="1">
      <alignment horizontal="left"/>
    </xf>
    <xf numFmtId="0" fontId="31" fillId="2" borderId="0" xfId="7" applyFont="1" applyFill="1" applyAlignment="1">
      <alignment horizontal="center" vertical="center"/>
    </xf>
    <xf numFmtId="0" fontId="31" fillId="2" borderId="0" xfId="7" applyFont="1" applyFill="1" applyAlignment="1">
      <alignment vertical="center" wrapText="1"/>
    </xf>
    <xf numFmtId="0" fontId="31" fillId="2" borderId="0" xfId="7" applyFont="1" applyFill="1" applyAlignment="1">
      <alignment vertical="center"/>
    </xf>
    <xf numFmtId="0" fontId="30" fillId="0" borderId="0" xfId="7" applyFont="1" applyAlignment="1">
      <alignment vertical="center"/>
    </xf>
    <xf numFmtId="0" fontId="59" fillId="0" borderId="0" xfId="0" applyFont="1"/>
    <xf numFmtId="0" fontId="20" fillId="0" borderId="0" xfId="7" applyFont="1" applyAlignment="1">
      <alignment horizontal="center" vertical="center" wrapText="1"/>
    </xf>
    <xf numFmtId="0" fontId="20" fillId="2" borderId="0" xfId="7" applyFont="1" applyFill="1" applyAlignment="1">
      <alignment horizontal="center" vertical="center" wrapText="1"/>
    </xf>
    <xf numFmtId="0" fontId="55" fillId="0" borderId="0" xfId="7" applyFont="1" applyAlignment="1">
      <alignment horizontal="center" vertical="center" wrapText="1"/>
    </xf>
    <xf numFmtId="0" fontId="7" fillId="0" borderId="0" xfId="7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0" fillId="0" borderId="123" xfId="7" applyFont="1" applyBorder="1" applyAlignment="1">
      <alignment horizontal="center" vertical="center" wrapText="1"/>
    </xf>
    <xf numFmtId="0" fontId="55" fillId="0" borderId="123" xfId="7" applyFont="1" applyBorder="1" applyAlignment="1">
      <alignment horizontal="center" vertical="center" wrapText="1"/>
    </xf>
    <xf numFmtId="0" fontId="7" fillId="0" borderId="123" xfId="7" applyFont="1" applyBorder="1" applyAlignment="1">
      <alignment horizontal="center" vertical="center" wrapText="1"/>
    </xf>
    <xf numFmtId="0" fontId="12" fillId="0" borderId="123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41" fontId="11" fillId="0" borderId="42" xfId="1" applyFont="1" applyBorder="1" applyAlignment="1">
      <alignment horizontal="center" vertical="center"/>
    </xf>
    <xf numFmtId="164" fontId="11" fillId="0" borderId="52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7" fillId="0" borderId="88" xfId="0" applyFont="1" applyBorder="1" applyAlignment="1">
      <alignment horizontal="center" vertical="center" wrapText="1"/>
    </xf>
    <xf numFmtId="0" fontId="54" fillId="0" borderId="124" xfId="0" applyFont="1" applyBorder="1" applyAlignment="1">
      <alignment horizontal="center" vertical="center"/>
    </xf>
    <xf numFmtId="0" fontId="54" fillId="0" borderId="126" xfId="0" applyFont="1" applyBorder="1" applyAlignment="1">
      <alignment horizontal="center" vertical="center"/>
    </xf>
    <xf numFmtId="41" fontId="11" fillId="0" borderId="126" xfId="0" applyNumberFormat="1" applyFont="1" applyBorder="1"/>
    <xf numFmtId="41" fontId="12" fillId="4" borderId="82" xfId="0" applyNumberFormat="1" applyFont="1" applyFill="1" applyBorder="1"/>
    <xf numFmtId="164" fontId="12" fillId="4" borderId="82" xfId="0" applyNumberFormat="1" applyFont="1" applyFill="1" applyBorder="1"/>
    <xf numFmtId="0" fontId="55" fillId="4" borderId="82" xfId="0" applyFont="1" applyFill="1" applyBorder="1" applyAlignment="1">
      <alignment horizontal="center" vertical="center"/>
    </xf>
    <xf numFmtId="0" fontId="55" fillId="4" borderId="82" xfId="0" applyFont="1" applyFill="1" applyBorder="1" applyAlignment="1">
      <alignment horizontal="center"/>
    </xf>
    <xf numFmtId="0" fontId="54" fillId="0" borderId="132" xfId="0" applyFont="1" applyBorder="1" applyAlignment="1">
      <alignment horizontal="center" vertical="center"/>
    </xf>
    <xf numFmtId="41" fontId="11" fillId="0" borderId="27" xfId="1" applyFont="1" applyBorder="1"/>
    <xf numFmtId="41" fontId="12" fillId="0" borderId="82" xfId="0" applyNumberFormat="1" applyFont="1" applyBorder="1"/>
    <xf numFmtId="164" fontId="4" fillId="0" borderId="60" xfId="6" applyFont="1" applyFill="1" applyBorder="1" applyAlignment="1">
      <alignment horizontal="left" vertical="center"/>
    </xf>
    <xf numFmtId="0" fontId="3" fillId="2" borderId="1" xfId="5" applyFill="1" applyBorder="1" applyAlignment="1">
      <alignment vertical="center"/>
    </xf>
    <xf numFmtId="0" fontId="3" fillId="2" borderId="4" xfId="5" applyFill="1" applyBorder="1" applyAlignment="1">
      <alignment vertical="center"/>
    </xf>
    <xf numFmtId="0" fontId="3" fillId="2" borderId="6" xfId="5" applyFill="1" applyBorder="1" applyAlignment="1">
      <alignment vertical="center"/>
    </xf>
    <xf numFmtId="0" fontId="3" fillId="2" borderId="2" xfId="5" applyFill="1" applyBorder="1" applyAlignment="1">
      <alignment vertical="center"/>
    </xf>
    <xf numFmtId="0" fontId="3" fillId="2" borderId="5" xfId="5" applyFill="1" applyBorder="1" applyAlignment="1">
      <alignment vertical="center"/>
    </xf>
    <xf numFmtId="0" fontId="3" fillId="2" borderId="7" xfId="5" applyFill="1" applyBorder="1" applyAlignment="1">
      <alignment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vertical="center"/>
    </xf>
    <xf numFmtId="0" fontId="4" fillId="2" borderId="17" xfId="5" applyFont="1" applyFill="1" applyBorder="1" applyAlignment="1">
      <alignment horizontal="center" vertical="center"/>
    </xf>
    <xf numFmtId="0" fontId="7" fillId="2" borderId="17" xfId="5" applyFont="1" applyFill="1" applyBorder="1" applyAlignment="1">
      <alignment vertical="center"/>
    </xf>
    <xf numFmtId="164" fontId="4" fillId="2" borderId="17" xfId="6" applyFont="1" applyFill="1" applyBorder="1" applyAlignment="1">
      <alignment vertical="center"/>
    </xf>
    <xf numFmtId="164" fontId="7" fillId="4" borderId="10" xfId="6" applyFont="1" applyFill="1" applyBorder="1" applyAlignment="1">
      <alignment horizontal="center" vertical="center" wrapText="1"/>
    </xf>
    <xf numFmtId="164" fontId="7" fillId="0" borderId="10" xfId="6" applyFont="1" applyFill="1" applyBorder="1" applyAlignment="1">
      <alignment horizontal="center" vertical="center" wrapText="1"/>
    </xf>
    <xf numFmtId="41" fontId="11" fillId="0" borderId="0" xfId="1" applyFont="1"/>
    <xf numFmtId="0" fontId="4" fillId="2" borderId="22" xfId="5" applyFont="1" applyFill="1" applyBorder="1" applyAlignment="1">
      <alignment horizontal="center" vertical="center"/>
    </xf>
    <xf numFmtId="0" fontId="4" fillId="2" borderId="14" xfId="5" applyFont="1" applyFill="1" applyBorder="1" applyAlignment="1">
      <alignment horizontal="center" vertical="center"/>
    </xf>
    <xf numFmtId="0" fontId="7" fillId="2" borderId="15" xfId="5" applyFont="1" applyFill="1" applyBorder="1" applyAlignment="1">
      <alignment vertical="center"/>
    </xf>
    <xf numFmtId="0" fontId="4" fillId="2" borderId="15" xfId="5" applyFont="1" applyFill="1" applyBorder="1" applyAlignment="1">
      <alignment vertical="center"/>
    </xf>
    <xf numFmtId="164" fontId="4" fillId="2" borderId="15" xfId="6" applyFont="1" applyFill="1" applyBorder="1" applyAlignment="1">
      <alignment vertical="center"/>
    </xf>
    <xf numFmtId="167" fontId="4" fillId="2" borderId="56" xfId="4" applyNumberFormat="1" applyFont="1" applyFill="1" applyBorder="1" applyAlignment="1">
      <alignment horizontal="right" vertical="center"/>
    </xf>
    <xf numFmtId="167" fontId="10" fillId="2" borderId="57" xfId="4" applyNumberFormat="1" applyFont="1" applyFill="1" applyBorder="1" applyAlignment="1">
      <alignment horizontal="right" vertical="center"/>
    </xf>
    <xf numFmtId="0" fontId="4" fillId="2" borderId="33" xfId="5" applyFont="1" applyFill="1" applyBorder="1" applyAlignment="1">
      <alignment horizontal="center" vertical="center"/>
    </xf>
    <xf numFmtId="164" fontId="4" fillId="2" borderId="9" xfId="6" applyFont="1" applyFill="1" applyBorder="1" applyAlignment="1">
      <alignment vertical="center"/>
    </xf>
    <xf numFmtId="167" fontId="7" fillId="2" borderId="34" xfId="4" applyNumberFormat="1" applyFont="1" applyFill="1" applyBorder="1" applyAlignment="1">
      <alignment horizontal="right" vertical="center"/>
    </xf>
    <xf numFmtId="41" fontId="11" fillId="0" borderId="31" xfId="1" applyFont="1" applyBorder="1"/>
    <xf numFmtId="41" fontId="11" fillId="0" borderId="0" xfId="1" applyFont="1" applyBorder="1"/>
    <xf numFmtId="41" fontId="11" fillId="0" borderId="33" xfId="1" applyFont="1" applyBorder="1"/>
    <xf numFmtId="41" fontId="11" fillId="0" borderId="9" xfId="1" applyFont="1" applyBorder="1"/>
    <xf numFmtId="0" fontId="11" fillId="0" borderId="9" xfId="0" applyFont="1" applyBorder="1"/>
    <xf numFmtId="0" fontId="7" fillId="4" borderId="29" xfId="5" applyFont="1" applyFill="1" applyBorder="1" applyAlignment="1">
      <alignment horizontal="center" vertical="center"/>
    </xf>
    <xf numFmtId="41" fontId="12" fillId="0" borderId="10" xfId="1" applyFont="1" applyBorder="1"/>
    <xf numFmtId="3" fontId="4" fillId="2" borderId="17" xfId="4" applyNumberFormat="1" applyFont="1" applyFill="1" applyBorder="1" applyAlignment="1">
      <alignment horizontal="left" vertical="center"/>
    </xf>
    <xf numFmtId="3" fontId="4" fillId="2" borderId="17" xfId="4" applyNumberFormat="1" applyFont="1" applyFill="1" applyBorder="1" applyAlignment="1">
      <alignment horizontal="right" vertical="center"/>
    </xf>
    <xf numFmtId="0" fontId="0" fillId="0" borderId="13" xfId="0" applyBorder="1"/>
    <xf numFmtId="3" fontId="4" fillId="2" borderId="15" xfId="4" applyNumberFormat="1" applyFont="1" applyFill="1" applyBorder="1" applyAlignment="1">
      <alignment horizontal="left" vertical="center"/>
    </xf>
    <xf numFmtId="0" fontId="4" fillId="2" borderId="15" xfId="5" applyFont="1" applyFill="1" applyBorder="1" applyAlignment="1">
      <alignment horizontal="center" vertical="center"/>
    </xf>
    <xf numFmtId="3" fontId="13" fillId="2" borderId="56" xfId="4" applyNumberFormat="1" applyFont="1" applyFill="1" applyBorder="1" applyAlignment="1">
      <alignment horizontal="right" vertical="center"/>
    </xf>
    <xf numFmtId="3" fontId="17" fillId="0" borderId="34" xfId="0" applyNumberFormat="1" applyFont="1" applyBorder="1"/>
    <xf numFmtId="3" fontId="4" fillId="2" borderId="15" xfId="4" applyNumberFormat="1" applyFont="1" applyFill="1" applyBorder="1" applyAlignment="1">
      <alignment horizontal="right" vertical="center"/>
    </xf>
    <xf numFmtId="3" fontId="4" fillId="2" borderId="56" xfId="4" applyNumberFormat="1" applyFont="1" applyFill="1" applyBorder="1" applyAlignment="1">
      <alignment horizontal="right" vertical="center"/>
    </xf>
    <xf numFmtId="3" fontId="13" fillId="2" borderId="57" xfId="4" applyNumberFormat="1" applyFont="1" applyFill="1" applyBorder="1" applyAlignment="1">
      <alignment horizontal="right" vertical="center"/>
    </xf>
    <xf numFmtId="3" fontId="2" fillId="0" borderId="34" xfId="0" applyNumberFormat="1" applyFont="1" applyBorder="1"/>
    <xf numFmtId="0" fontId="7" fillId="4" borderId="10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left" vertical="center" indent="1"/>
    </xf>
    <xf numFmtId="0" fontId="4" fillId="2" borderId="15" xfId="5" applyFont="1" applyFill="1" applyBorder="1" applyAlignment="1">
      <alignment horizontal="left" vertical="center" indent="1"/>
    </xf>
    <xf numFmtId="164" fontId="4" fillId="2" borderId="56" xfId="6" applyFont="1" applyFill="1" applyBorder="1" applyAlignment="1">
      <alignment horizontal="right" vertical="center"/>
    </xf>
    <xf numFmtId="164" fontId="4" fillId="2" borderId="57" xfId="6" applyFont="1" applyFill="1" applyBorder="1" applyAlignment="1">
      <alignment horizontal="right" vertical="center"/>
    </xf>
    <xf numFmtId="164" fontId="10" fillId="2" borderId="57" xfId="6" applyFont="1" applyFill="1" applyBorder="1" applyAlignment="1">
      <alignment vertical="center"/>
    </xf>
    <xf numFmtId="164" fontId="12" fillId="0" borderId="34" xfId="0" applyNumberFormat="1" applyFont="1" applyBorder="1"/>
    <xf numFmtId="3" fontId="4" fillId="2" borderId="17" xfId="4" quotePrefix="1" applyNumberFormat="1" applyFont="1" applyFill="1" applyBorder="1" applyAlignment="1">
      <alignment horizontal="left" vertical="center"/>
    </xf>
    <xf numFmtId="41" fontId="0" fillId="0" borderId="31" xfId="1" applyFont="1" applyBorder="1"/>
    <xf numFmtId="41" fontId="0" fillId="0" borderId="0" xfId="1" applyFont="1" applyBorder="1"/>
    <xf numFmtId="41" fontId="0" fillId="0" borderId="33" xfId="1" applyFont="1" applyBorder="1"/>
    <xf numFmtId="41" fontId="0" fillId="0" borderId="9" xfId="1" applyFont="1" applyBorder="1"/>
    <xf numFmtId="3" fontId="4" fillId="2" borderId="15" xfId="4" quotePrefix="1" applyNumberFormat="1" applyFont="1" applyFill="1" applyBorder="1" applyAlignment="1">
      <alignment horizontal="left" vertical="center"/>
    </xf>
    <xf numFmtId="164" fontId="4" fillId="2" borderId="56" xfId="6" applyFont="1" applyFill="1" applyBorder="1" applyAlignment="1">
      <alignment vertical="center"/>
    </xf>
    <xf numFmtId="164" fontId="4" fillId="2" borderId="57" xfId="6" applyFont="1" applyFill="1" applyBorder="1" applyAlignment="1">
      <alignment vertical="center"/>
    </xf>
    <xf numFmtId="164" fontId="0" fillId="0" borderId="34" xfId="0" applyNumberFormat="1" applyBorder="1"/>
    <xf numFmtId="0" fontId="4" fillId="2" borderId="77" xfId="5" applyFont="1" applyFill="1" applyBorder="1" applyAlignment="1">
      <alignment horizontal="center" vertical="center"/>
    </xf>
    <xf numFmtId="0" fontId="12" fillId="4" borderId="10" xfId="5" applyFont="1" applyFill="1" applyBorder="1" applyAlignment="1">
      <alignment horizontal="center" vertical="center"/>
    </xf>
    <xf numFmtId="41" fontId="0" fillId="0" borderId="27" xfId="1" applyFont="1" applyBorder="1"/>
    <xf numFmtId="0" fontId="4" fillId="2" borderId="137" xfId="5" applyFont="1" applyFill="1" applyBorder="1" applyAlignment="1">
      <alignment horizontal="center" vertical="center"/>
    </xf>
    <xf numFmtId="164" fontId="10" fillId="2" borderId="56" xfId="6" applyFont="1" applyFill="1" applyBorder="1" applyAlignment="1">
      <alignment vertical="center"/>
    </xf>
    <xf numFmtId="164" fontId="17" fillId="0" borderId="34" xfId="0" applyNumberFormat="1" applyFont="1" applyBorder="1"/>
    <xf numFmtId="0" fontId="7" fillId="0" borderId="16" xfId="5" applyFont="1" applyBorder="1" applyAlignment="1">
      <alignment horizontal="center" vertical="center"/>
    </xf>
    <xf numFmtId="0" fontId="7" fillId="0" borderId="17" xfId="5" applyFont="1" applyBorder="1" applyAlignment="1">
      <alignment vertical="center"/>
    </xf>
    <xf numFmtId="0" fontId="4" fillId="0" borderId="17" xfId="4" applyNumberFormat="1" applyFont="1" applyFill="1" applyBorder="1" applyAlignment="1">
      <alignment horizontal="left" vertical="center"/>
    </xf>
    <xf numFmtId="0" fontId="4" fillId="0" borderId="17" xfId="5" applyFont="1" applyBorder="1" applyAlignment="1">
      <alignment horizontal="center" vertical="center"/>
    </xf>
    <xf numFmtId="0" fontId="7" fillId="0" borderId="14" xfId="5" applyFont="1" applyBorder="1" applyAlignment="1">
      <alignment horizontal="center" vertical="center"/>
    </xf>
    <xf numFmtId="0" fontId="7" fillId="0" borderId="15" xfId="5" applyFont="1" applyBorder="1" applyAlignment="1">
      <alignment vertical="center"/>
    </xf>
    <xf numFmtId="0" fontId="4" fillId="0" borderId="15" xfId="4" applyNumberFormat="1" applyFont="1" applyFill="1" applyBorder="1" applyAlignment="1">
      <alignment horizontal="left" vertical="center"/>
    </xf>
    <xf numFmtId="3" fontId="4" fillId="0" borderId="56" xfId="4" applyNumberFormat="1" applyFont="1" applyFill="1" applyBorder="1" applyAlignment="1">
      <alignment horizontal="right" vertical="center"/>
    </xf>
    <xf numFmtId="3" fontId="4" fillId="2" borderId="57" xfId="4" applyNumberFormat="1" applyFont="1" applyFill="1" applyBorder="1" applyAlignment="1">
      <alignment horizontal="right" vertical="center"/>
    </xf>
    <xf numFmtId="3" fontId="12" fillId="0" borderId="34" xfId="0" applyNumberFormat="1" applyFont="1" applyBorder="1"/>
    <xf numFmtId="0" fontId="7" fillId="2" borderId="16" xfId="5" applyFont="1" applyFill="1" applyBorder="1" applyAlignment="1">
      <alignment horizontal="center" vertical="center"/>
    </xf>
    <xf numFmtId="3" fontId="4" fillId="2" borderId="17" xfId="11" applyNumberFormat="1" applyFont="1" applyFill="1" applyBorder="1" applyAlignment="1">
      <alignment horizontal="right" vertical="center"/>
    </xf>
    <xf numFmtId="0" fontId="4" fillId="2" borderId="17" xfId="10" applyFont="1" applyFill="1" applyBorder="1" applyAlignment="1">
      <alignment horizontal="center" vertical="center"/>
    </xf>
    <xf numFmtId="0" fontId="4" fillId="2" borderId="17" xfId="10" applyFont="1" applyFill="1" applyBorder="1" applyAlignment="1">
      <alignment vertical="center"/>
    </xf>
    <xf numFmtId="3" fontId="4" fillId="2" borderId="17" xfId="11" quotePrefix="1" applyNumberFormat="1" applyFont="1" applyFill="1" applyBorder="1" applyAlignment="1">
      <alignment horizontal="left" vertical="center"/>
    </xf>
    <xf numFmtId="3" fontId="7" fillId="2" borderId="17" xfId="4" applyNumberFormat="1" applyFont="1" applyFill="1" applyBorder="1" applyAlignment="1">
      <alignment horizontal="right" vertical="center"/>
    </xf>
    <xf numFmtId="0" fontId="7" fillId="2" borderId="17" xfId="5" applyFont="1" applyFill="1" applyBorder="1" applyAlignment="1">
      <alignment horizontal="center" vertical="center"/>
    </xf>
    <xf numFmtId="164" fontId="7" fillId="2" borderId="17" xfId="6" applyFont="1" applyFill="1" applyBorder="1" applyAlignment="1">
      <alignment vertical="center"/>
    </xf>
    <xf numFmtId="3" fontId="4" fillId="2" borderId="22" xfId="4" applyNumberFormat="1" applyFont="1" applyFill="1" applyBorder="1" applyAlignment="1">
      <alignment horizontal="left" vertical="center"/>
    </xf>
    <xf numFmtId="41" fontId="12" fillId="4" borderId="40" xfId="1" applyFont="1" applyFill="1" applyBorder="1"/>
    <xf numFmtId="41" fontId="17" fillId="4" borderId="36" xfId="1" applyFont="1" applyFill="1" applyBorder="1"/>
    <xf numFmtId="41" fontId="17" fillId="4" borderId="40" xfId="1" applyFont="1" applyFill="1" applyBorder="1"/>
    <xf numFmtId="164" fontId="7" fillId="0" borderId="136" xfId="6" applyFont="1" applyFill="1" applyBorder="1" applyAlignment="1">
      <alignment vertical="center"/>
    </xf>
    <xf numFmtId="164" fontId="7" fillId="0" borderId="138" xfId="6" applyFont="1" applyFill="1" applyBorder="1" applyAlignment="1">
      <alignment vertical="center"/>
    </xf>
    <xf numFmtId="0" fontId="4" fillId="2" borderId="54" xfId="5" applyFont="1" applyFill="1" applyBorder="1" applyAlignment="1">
      <alignment horizontal="left" vertical="center"/>
    </xf>
    <xf numFmtId="0" fontId="4" fillId="2" borderId="54" xfId="5" applyFont="1" applyFill="1" applyBorder="1" applyAlignment="1">
      <alignment horizontal="right" vertical="center"/>
    </xf>
    <xf numFmtId="0" fontId="4" fillId="2" borderId="54" xfId="5" applyFont="1" applyFill="1" applyBorder="1" applyAlignment="1">
      <alignment horizontal="center" vertical="center"/>
    </xf>
    <xf numFmtId="164" fontId="4" fillId="2" borderId="54" xfId="6" applyFont="1" applyFill="1" applyBorder="1" applyAlignment="1">
      <alignment horizontal="center" vertical="center"/>
    </xf>
    <xf numFmtId="164" fontId="7" fillId="2" borderId="136" xfId="6" applyFont="1" applyFill="1" applyBorder="1" applyAlignment="1">
      <alignment horizontal="center" vertical="center"/>
    </xf>
    <xf numFmtId="3" fontId="4" fillId="2" borderId="57" xfId="11" applyNumberFormat="1" applyFont="1" applyFill="1" applyBorder="1" applyAlignment="1">
      <alignment horizontal="right" vertical="center"/>
    </xf>
    <xf numFmtId="3" fontId="7" fillId="2" borderId="57" xfId="11" applyNumberFormat="1" applyFont="1" applyFill="1" applyBorder="1" applyAlignment="1">
      <alignment horizontal="right" vertical="center"/>
    </xf>
    <xf numFmtId="3" fontId="7" fillId="2" borderId="57" xfId="4" applyNumberFormat="1" applyFont="1" applyFill="1" applyBorder="1" applyAlignment="1">
      <alignment horizontal="right" vertical="center"/>
    </xf>
    <xf numFmtId="0" fontId="4" fillId="2" borderId="75" xfId="5" applyFont="1" applyFill="1" applyBorder="1" applyAlignment="1">
      <alignment horizontal="center" vertical="center"/>
    </xf>
    <xf numFmtId="3" fontId="4" fillId="2" borderId="55" xfId="4" applyNumberFormat="1" applyFont="1" applyFill="1" applyBorder="1" applyAlignment="1">
      <alignment horizontal="left" vertical="center"/>
    </xf>
    <xf numFmtId="3" fontId="4" fillId="2" borderId="19" xfId="4" applyNumberFormat="1" applyFont="1" applyFill="1" applyBorder="1" applyAlignment="1">
      <alignment horizontal="left" vertical="center"/>
    </xf>
    <xf numFmtId="0" fontId="4" fillId="2" borderId="55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vertical="center"/>
    </xf>
    <xf numFmtId="164" fontId="4" fillId="2" borderId="19" xfId="6" applyFont="1" applyFill="1" applyBorder="1" applyAlignment="1">
      <alignment vertical="center"/>
    </xf>
    <xf numFmtId="164" fontId="4" fillId="2" borderId="58" xfId="6" applyFont="1" applyFill="1" applyBorder="1" applyAlignment="1">
      <alignment horizontal="right" vertical="center"/>
    </xf>
    <xf numFmtId="0" fontId="14" fillId="2" borderId="15" xfId="5" applyFont="1" applyFill="1" applyBorder="1" applyAlignment="1">
      <alignment vertical="center"/>
    </xf>
    <xf numFmtId="164" fontId="10" fillId="2" borderId="15" xfId="6" applyFont="1" applyFill="1" applyBorder="1" applyAlignment="1">
      <alignment vertical="center"/>
    </xf>
    <xf numFmtId="0" fontId="0" fillId="4" borderId="10" xfId="0" applyFill="1" applyBorder="1"/>
    <xf numFmtId="0" fontId="7" fillId="2" borderId="14" xfId="5" applyFont="1" applyFill="1" applyBorder="1" applyAlignment="1">
      <alignment vertical="center"/>
    </xf>
    <xf numFmtId="0" fontId="7" fillId="2" borderId="16" xfId="5" applyFont="1" applyFill="1" applyBorder="1" applyAlignment="1">
      <alignment vertical="center"/>
    </xf>
    <xf numFmtId="0" fontId="7" fillId="4" borderId="36" xfId="5" applyFont="1" applyFill="1" applyBorder="1" applyAlignment="1">
      <alignment horizontal="center" vertical="center"/>
    </xf>
    <xf numFmtId="0" fontId="7" fillId="0" borderId="137" xfId="5" applyFont="1" applyBorder="1" applyAlignment="1">
      <alignment horizontal="center" vertical="center"/>
    </xf>
    <xf numFmtId="0" fontId="4" fillId="0" borderId="15" xfId="5" applyFont="1" applyBorder="1" applyAlignment="1">
      <alignment vertical="center"/>
    </xf>
    <xf numFmtId="3" fontId="7" fillId="0" borderId="15" xfId="4" applyNumberFormat="1" applyFont="1" applyFill="1" applyBorder="1" applyAlignment="1">
      <alignment horizontal="right" vertical="center"/>
    </xf>
    <xf numFmtId="0" fontId="7" fillId="0" borderId="15" xfId="5" applyFont="1" applyBorder="1" applyAlignment="1">
      <alignment horizontal="center" vertical="center"/>
    </xf>
    <xf numFmtId="164" fontId="7" fillId="0" borderId="15" xfId="6" applyFont="1" applyFill="1" applyBorder="1" applyAlignment="1">
      <alignment vertical="center"/>
    </xf>
    <xf numFmtId="0" fontId="7" fillId="0" borderId="75" xfId="5" applyFont="1" applyBorder="1" applyAlignment="1">
      <alignment horizontal="center" vertical="center"/>
    </xf>
    <xf numFmtId="164" fontId="7" fillId="0" borderId="19" xfId="6" applyFont="1" applyFill="1" applyBorder="1" applyAlignment="1">
      <alignment vertical="center"/>
    </xf>
    <xf numFmtId="41" fontId="7" fillId="0" borderId="58" xfId="1" applyFont="1" applyFill="1" applyBorder="1" applyAlignment="1">
      <alignment horizontal="right" vertical="center"/>
    </xf>
    <xf numFmtId="3" fontId="7" fillId="0" borderId="27" xfId="4" applyNumberFormat="1" applyFont="1" applyFill="1" applyBorder="1" applyAlignment="1">
      <alignment horizontal="right" vertical="center"/>
    </xf>
    <xf numFmtId="3" fontId="7" fillId="0" borderId="31" xfId="4" applyNumberFormat="1" applyFont="1" applyFill="1" applyBorder="1" applyAlignment="1">
      <alignment horizontal="right" vertical="center"/>
    </xf>
    <xf numFmtId="3" fontId="4" fillId="0" borderId="31" xfId="4" applyNumberFormat="1" applyFont="1" applyFill="1" applyBorder="1" applyAlignment="1">
      <alignment horizontal="right" vertical="center"/>
    </xf>
    <xf numFmtId="164" fontId="7" fillId="4" borderId="13" xfId="6" applyFont="1" applyFill="1" applyBorder="1" applyAlignment="1">
      <alignment horizontal="center" vertical="center" wrapText="1"/>
    </xf>
    <xf numFmtId="0" fontId="4" fillId="2" borderId="9" xfId="5" applyFont="1" applyFill="1" applyBorder="1" applyAlignment="1">
      <alignment horizontal="center" vertical="center"/>
    </xf>
    <xf numFmtId="0" fontId="8" fillId="2" borderId="9" xfId="5" applyFont="1" applyFill="1" applyBorder="1" applyAlignment="1">
      <alignment vertical="center"/>
    </xf>
    <xf numFmtId="0" fontId="4" fillId="2" borderId="9" xfId="5" applyFont="1" applyFill="1" applyBorder="1" applyAlignment="1">
      <alignment vertical="center"/>
    </xf>
    <xf numFmtId="0" fontId="7" fillId="4" borderId="37" xfId="5" applyFont="1" applyFill="1" applyBorder="1" applyAlignment="1">
      <alignment horizontal="center" vertical="center" wrapText="1"/>
    </xf>
    <xf numFmtId="0" fontId="8" fillId="4" borderId="38" xfId="5" applyFont="1" applyFill="1" applyBorder="1" applyAlignment="1">
      <alignment horizontal="center" vertical="center" wrapText="1"/>
    </xf>
    <xf numFmtId="164" fontId="7" fillId="4" borderId="38" xfId="6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4" fillId="0" borderId="37" xfId="3" applyFont="1" applyBorder="1" applyAlignment="1">
      <alignment horizontal="center" vertical="center"/>
    </xf>
    <xf numFmtId="0" fontId="4" fillId="0" borderId="33" xfId="3" applyFont="1" applyBorder="1" applyAlignment="1">
      <alignment horizontal="center" vertical="center"/>
    </xf>
    <xf numFmtId="0" fontId="4" fillId="0" borderId="66" xfId="6" applyNumberFormat="1" applyFont="1" applyFill="1" applyBorder="1" applyAlignment="1">
      <alignment horizontal="center" vertical="center"/>
    </xf>
    <xf numFmtId="164" fontId="4" fillId="0" borderId="66" xfId="6" applyFont="1" applyFill="1" applyBorder="1" applyAlignment="1">
      <alignment horizontal="center" vertical="center"/>
    </xf>
    <xf numFmtId="164" fontId="4" fillId="0" borderId="66" xfId="6" applyFont="1" applyFill="1" applyBorder="1" applyAlignment="1">
      <alignment horizontal="left" vertical="center"/>
    </xf>
    <xf numFmtId="164" fontId="4" fillId="0" borderId="66" xfId="6" applyFont="1" applyFill="1" applyBorder="1" applyAlignment="1">
      <alignment horizontal="justify" vertical="center"/>
    </xf>
    <xf numFmtId="164" fontId="7" fillId="0" borderId="66" xfId="6" applyFont="1" applyFill="1" applyBorder="1" applyAlignment="1">
      <alignment horizontal="justify" vertical="center"/>
    </xf>
    <xf numFmtId="164" fontId="4" fillId="0" borderId="60" xfId="6" applyFont="1" applyFill="1" applyBorder="1" applyAlignment="1">
      <alignment horizontal="center" vertical="center"/>
    </xf>
    <xf numFmtId="164" fontId="4" fillId="0" borderId="60" xfId="6" applyFont="1" applyFill="1" applyBorder="1" applyAlignment="1">
      <alignment horizontal="justify" vertical="center"/>
    </xf>
    <xf numFmtId="164" fontId="4" fillId="0" borderId="23" xfId="6" applyFont="1" applyFill="1" applyBorder="1" applyAlignment="1">
      <alignment horizontal="center" vertical="center"/>
    </xf>
    <xf numFmtId="164" fontId="4" fillId="0" borderId="23" xfId="6" applyFont="1" applyFill="1" applyBorder="1" applyAlignment="1">
      <alignment horizontal="justify" vertical="center"/>
    </xf>
    <xf numFmtId="164" fontId="10" fillId="0" borderId="23" xfId="6" applyFont="1" applyFill="1" applyBorder="1" applyAlignment="1">
      <alignment horizontal="justify" vertical="center"/>
    </xf>
    <xf numFmtId="164" fontId="11" fillId="0" borderId="28" xfId="0" applyNumberFormat="1" applyFont="1" applyBorder="1"/>
    <xf numFmtId="167" fontId="7" fillId="0" borderId="35" xfId="3" applyNumberFormat="1" applyFont="1" applyBorder="1" applyAlignment="1">
      <alignment horizontal="right" vertical="center"/>
    </xf>
    <xf numFmtId="0" fontId="4" fillId="0" borderId="17" xfId="10" applyFont="1" applyBorder="1" applyAlignment="1">
      <alignment vertical="center"/>
    </xf>
    <xf numFmtId="41" fontId="12" fillId="0" borderId="11" xfId="1" applyFont="1" applyBorder="1"/>
    <xf numFmtId="41" fontId="7" fillId="0" borderId="11" xfId="1" applyFont="1" applyFill="1" applyBorder="1" applyAlignment="1">
      <alignment vertical="center"/>
    </xf>
    <xf numFmtId="164" fontId="7" fillId="0" borderId="11" xfId="6" applyFont="1" applyFill="1" applyBorder="1" applyAlignment="1">
      <alignment vertical="center"/>
    </xf>
    <xf numFmtId="164" fontId="12" fillId="0" borderId="11" xfId="6" applyFont="1" applyFill="1" applyBorder="1" applyAlignment="1">
      <alignment vertical="center"/>
    </xf>
    <xf numFmtId="41" fontId="12" fillId="4" borderId="27" xfId="1" applyFont="1" applyFill="1" applyBorder="1"/>
    <xf numFmtId="41" fontId="12" fillId="4" borderId="30" xfId="1" applyFont="1" applyFill="1" applyBorder="1"/>
    <xf numFmtId="0" fontId="11" fillId="4" borderId="46" xfId="0" applyFont="1" applyFill="1" applyBorder="1" applyAlignment="1">
      <alignment horizontal="center" vertical="center"/>
    </xf>
    <xf numFmtId="41" fontId="12" fillId="4" borderId="30" xfId="0" applyNumberFormat="1" applyFont="1" applyFill="1" applyBorder="1"/>
    <xf numFmtId="41" fontId="11" fillId="4" borderId="29" xfId="1" applyFont="1" applyFill="1" applyBorder="1"/>
    <xf numFmtId="41" fontId="11" fillId="4" borderId="30" xfId="0" applyNumberFormat="1" applyFont="1" applyFill="1" applyBorder="1"/>
    <xf numFmtId="41" fontId="53" fillId="4" borderId="30" xfId="0" applyNumberFormat="1" applyFont="1" applyFill="1" applyBorder="1"/>
    <xf numFmtId="41" fontId="2" fillId="4" borderId="30" xfId="0" applyNumberFormat="1" applyFont="1" applyFill="1" applyBorder="1"/>
    <xf numFmtId="41" fontId="12" fillId="4" borderId="29" xfId="0" applyNumberFormat="1" applyFont="1" applyFill="1" applyBorder="1"/>
    <xf numFmtId="41" fontId="0" fillId="4" borderId="30" xfId="1" applyFont="1" applyFill="1" applyBorder="1"/>
    <xf numFmtId="41" fontId="17" fillId="4" borderId="29" xfId="1" applyFont="1" applyFill="1" applyBorder="1"/>
    <xf numFmtId="41" fontId="17" fillId="4" borderId="30" xfId="0" applyNumberFormat="1" applyFont="1" applyFill="1" applyBorder="1"/>
    <xf numFmtId="0" fontId="14" fillId="4" borderId="46" xfId="0" applyFont="1" applyFill="1" applyBorder="1" applyAlignment="1">
      <alignment horizontal="center" vertical="center"/>
    </xf>
    <xf numFmtId="41" fontId="11" fillId="0" borderId="124" xfId="0" applyNumberFormat="1" applyFont="1" applyBorder="1"/>
    <xf numFmtId="41" fontId="11" fillId="0" borderId="132" xfId="0" applyNumberFormat="1" applyFont="1" applyBorder="1"/>
    <xf numFmtId="41" fontId="0" fillId="0" borderId="0" xfId="0" applyNumberFormat="1"/>
    <xf numFmtId="164" fontId="4" fillId="0" borderId="125" xfId="6" applyFont="1" applyFill="1" applyBorder="1" applyAlignment="1">
      <alignment vertical="center"/>
    </xf>
    <xf numFmtId="164" fontId="11" fillId="0" borderId="125" xfId="6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3" fillId="0" borderId="10" xfId="0" applyFont="1" applyBorder="1"/>
    <xf numFmtId="41" fontId="53" fillId="0" borderId="10" xfId="0" applyNumberFormat="1" applyFont="1" applyBorder="1"/>
    <xf numFmtId="41" fontId="53" fillId="0" borderId="10" xfId="1" applyFont="1" applyBorder="1"/>
    <xf numFmtId="3" fontId="53" fillId="0" borderId="10" xfId="0" applyNumberFormat="1" applyFont="1" applyBorder="1"/>
    <xf numFmtId="41" fontId="17" fillId="0" borderId="10" xfId="0" applyNumberFormat="1" applyFont="1" applyBorder="1"/>
    <xf numFmtId="164" fontId="53" fillId="0" borderId="10" xfId="0" applyNumberFormat="1" applyFont="1" applyBorder="1"/>
    <xf numFmtId="0" fontId="65" fillId="4" borderId="106" xfId="0" applyFont="1" applyFill="1" applyBorder="1" applyAlignment="1">
      <alignment horizontal="center" vertical="center"/>
    </xf>
    <xf numFmtId="0" fontId="0" fillId="0" borderId="17" xfId="0" applyBorder="1"/>
    <xf numFmtId="0" fontId="11" fillId="0" borderId="17" xfId="0" applyFont="1" applyBorder="1"/>
    <xf numFmtId="167" fontId="10" fillId="0" borderId="140" xfId="4" applyNumberFormat="1" applyFont="1" applyFill="1" applyBorder="1" applyAlignment="1">
      <alignment vertical="center"/>
    </xf>
    <xf numFmtId="0" fontId="4" fillId="0" borderId="21" xfId="3" applyFont="1" applyBorder="1" applyAlignment="1">
      <alignment horizontal="justify" vertical="center"/>
    </xf>
    <xf numFmtId="0" fontId="53" fillId="0" borderId="141" xfId="0" applyFont="1" applyBorder="1"/>
    <xf numFmtId="0" fontId="11" fillId="0" borderId="142" xfId="0" applyFont="1" applyBorder="1" applyAlignment="1">
      <alignment horizontal="center" vertical="center"/>
    </xf>
    <xf numFmtId="0" fontId="0" fillId="0" borderId="143" xfId="0" applyBorder="1"/>
    <xf numFmtId="0" fontId="0" fillId="0" borderId="127" xfId="0" applyBorder="1"/>
    <xf numFmtId="41" fontId="17" fillId="0" borderId="89" xfId="0" applyNumberFormat="1" applyFont="1" applyBorder="1"/>
    <xf numFmtId="41" fontId="17" fillId="4" borderId="89" xfId="0" applyNumberFormat="1" applyFont="1" applyFill="1" applyBorder="1"/>
    <xf numFmtId="164" fontId="17" fillId="4" borderId="94" xfId="0" applyNumberFormat="1" applyFont="1" applyFill="1" applyBorder="1"/>
    <xf numFmtId="0" fontId="11" fillId="4" borderId="144" xfId="0" applyFont="1" applyFill="1" applyBorder="1" applyAlignment="1">
      <alignment horizontal="center" vertical="center"/>
    </xf>
    <xf numFmtId="41" fontId="17" fillId="4" borderId="145" xfId="0" applyNumberFormat="1" applyFont="1" applyFill="1" applyBorder="1"/>
    <xf numFmtId="0" fontId="53" fillId="0" borderId="0" xfId="0" applyFont="1"/>
    <xf numFmtId="0" fontId="53" fillId="0" borderId="0" xfId="0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/>
    <xf numFmtId="0" fontId="55" fillId="0" borderId="0" xfId="0" applyFont="1"/>
    <xf numFmtId="0" fontId="67" fillId="0" borderId="0" xfId="0" applyFont="1"/>
    <xf numFmtId="0" fontId="68" fillId="0" borderId="0" xfId="0" applyFont="1"/>
    <xf numFmtId="0" fontId="17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69" fillId="0" borderId="0" xfId="0" applyFont="1"/>
    <xf numFmtId="0" fontId="70" fillId="0" borderId="0" xfId="0" applyFont="1"/>
    <xf numFmtId="0" fontId="54" fillId="0" borderId="124" xfId="0" applyFont="1" applyBorder="1"/>
    <xf numFmtId="0" fontId="54" fillId="0" borderId="132" xfId="0" applyFont="1" applyBorder="1"/>
    <xf numFmtId="0" fontId="54" fillId="0" borderId="125" xfId="0" applyFont="1" applyBorder="1" applyAlignment="1">
      <alignment horizontal="center" vertical="center"/>
    </xf>
    <xf numFmtId="41" fontId="11" fillId="0" borderId="124" xfId="1" applyFont="1" applyBorder="1" applyAlignment="1">
      <alignment horizontal="center" vertical="center"/>
    </xf>
    <xf numFmtId="41" fontId="11" fillId="0" borderId="132" xfId="1" applyFont="1" applyBorder="1" applyAlignment="1">
      <alignment horizontal="center" vertical="center"/>
    </xf>
    <xf numFmtId="164" fontId="11" fillId="0" borderId="124" xfId="1" applyNumberFormat="1" applyFont="1" applyBorder="1" applyAlignment="1">
      <alignment horizontal="center" vertical="center"/>
    </xf>
    <xf numFmtId="164" fontId="11" fillId="0" borderId="132" xfId="1" applyNumberFormat="1" applyFont="1" applyBorder="1" applyAlignment="1">
      <alignment horizontal="center" vertical="center"/>
    </xf>
    <xf numFmtId="0" fontId="54" fillId="0" borderId="132" xfId="0" applyFont="1" applyBorder="1" applyAlignment="1">
      <alignment horizontal="center"/>
    </xf>
    <xf numFmtId="0" fontId="54" fillId="0" borderId="125" xfId="0" applyFont="1" applyBorder="1" applyAlignment="1">
      <alignment horizontal="center"/>
    </xf>
    <xf numFmtId="0" fontId="54" fillId="0" borderId="125" xfId="0" applyFont="1" applyBorder="1"/>
    <xf numFmtId="0" fontId="54" fillId="0" borderId="83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84" xfId="0" applyFont="1" applyBorder="1" applyAlignment="1">
      <alignment horizontal="left" vertical="center"/>
    </xf>
    <xf numFmtId="0" fontId="54" fillId="0" borderId="43" xfId="0" applyFont="1" applyBorder="1" applyAlignment="1">
      <alignment horizontal="left" vertical="center"/>
    </xf>
    <xf numFmtId="0" fontId="54" fillId="0" borderId="25" xfId="0" applyFont="1" applyBorder="1" applyAlignment="1">
      <alignment horizontal="left" vertical="center"/>
    </xf>
    <xf numFmtId="41" fontId="11" fillId="0" borderId="84" xfId="1" applyFont="1" applyBorder="1" applyAlignment="1">
      <alignment horizontal="left" vertical="center"/>
    </xf>
    <xf numFmtId="41" fontId="11" fillId="0" borderId="43" xfId="1" applyFont="1" applyBorder="1" applyAlignment="1">
      <alignment horizontal="left" vertical="center"/>
    </xf>
    <xf numFmtId="41" fontId="11" fillId="0" borderId="25" xfId="1" applyFont="1" applyBorder="1" applyAlignment="1">
      <alignment horizontal="left" vertical="center"/>
    </xf>
    <xf numFmtId="41" fontId="11" fillId="0" borderId="44" xfId="1" applyFont="1" applyBorder="1" applyAlignment="1">
      <alignment horizontal="left" vertical="center"/>
    </xf>
    <xf numFmtId="164" fontId="11" fillId="0" borderId="84" xfId="1" applyNumberFormat="1" applyFont="1" applyBorder="1" applyAlignment="1">
      <alignment horizontal="left" vertical="center"/>
    </xf>
    <xf numFmtId="164" fontId="11" fillId="0" borderId="43" xfId="1" applyNumberFormat="1" applyFont="1" applyBorder="1" applyAlignment="1">
      <alignment horizontal="left" vertical="center"/>
    </xf>
    <xf numFmtId="0" fontId="4" fillId="0" borderId="117" xfId="0" applyFont="1" applyBorder="1" applyAlignment="1">
      <alignment horizontal="center" vertical="center"/>
    </xf>
    <xf numFmtId="0" fontId="4" fillId="0" borderId="119" xfId="0" applyFont="1" applyBorder="1" applyAlignment="1">
      <alignment horizontal="center" vertical="center"/>
    </xf>
    <xf numFmtId="0" fontId="4" fillId="0" borderId="146" xfId="0" applyFont="1" applyBorder="1" applyAlignment="1">
      <alignment horizontal="center" vertical="center"/>
    </xf>
    <xf numFmtId="0" fontId="11" fillId="0" borderId="83" xfId="0" applyFont="1" applyBorder="1" applyAlignment="1">
      <alignment horizontal="center" vertical="center"/>
    </xf>
    <xf numFmtId="41" fontId="11" fillId="0" borderId="84" xfId="1" applyFont="1" applyBorder="1"/>
    <xf numFmtId="164" fontId="11" fillId="0" borderId="84" xfId="0" applyNumberFormat="1" applyFont="1" applyBorder="1"/>
    <xf numFmtId="0" fontId="11" fillId="0" borderId="118" xfId="0" applyFont="1" applyBorder="1" applyAlignment="1">
      <alignment horizontal="center" vertical="center"/>
    </xf>
    <xf numFmtId="41" fontId="11" fillId="0" borderId="43" xfId="1" applyFont="1" applyBorder="1"/>
    <xf numFmtId="46" fontId="11" fillId="0" borderId="118" xfId="0" applyNumberFormat="1" applyFont="1" applyBorder="1" applyAlignment="1">
      <alignment horizontal="center" vertical="center"/>
    </xf>
    <xf numFmtId="0" fontId="11" fillId="0" borderId="86" xfId="0" applyFont="1" applyBorder="1" applyAlignment="1">
      <alignment horizontal="center" vertical="center"/>
    </xf>
    <xf numFmtId="41" fontId="11" fillId="0" borderId="25" xfId="1" applyFont="1" applyBorder="1"/>
    <xf numFmtId="0" fontId="0" fillId="0" borderId="15" xfId="0" applyBorder="1"/>
    <xf numFmtId="164" fontId="4" fillId="0" borderId="62" xfId="6" applyFont="1" applyFill="1" applyBorder="1" applyAlignment="1">
      <alignment horizontal="left" vertical="center"/>
    </xf>
    <xf numFmtId="167" fontId="10" fillId="0" borderId="28" xfId="4" applyNumberFormat="1" applyFont="1" applyFill="1" applyBorder="1" applyAlignment="1">
      <alignment vertical="center"/>
    </xf>
    <xf numFmtId="41" fontId="17" fillId="0" borderId="0" xfId="0" applyNumberFormat="1" applyFont="1"/>
    <xf numFmtId="167" fontId="10" fillId="0" borderId="69" xfId="4" applyNumberFormat="1" applyFont="1" applyFill="1" applyBorder="1" applyAlignment="1">
      <alignment horizontal="justify" vertical="center"/>
    </xf>
    <xf numFmtId="164" fontId="10" fillId="0" borderId="69" xfId="6" applyFont="1" applyFill="1" applyBorder="1" applyAlignment="1">
      <alignment horizontal="right" vertical="center"/>
    </xf>
    <xf numFmtId="43" fontId="4" fillId="0" borderId="57" xfId="6" applyNumberFormat="1" applyFont="1" applyFill="1" applyBorder="1" applyAlignment="1">
      <alignment horizontal="justify" vertical="center"/>
    </xf>
    <xf numFmtId="43" fontId="10" fillId="0" borderId="57" xfId="6" applyNumberFormat="1" applyFont="1" applyFill="1" applyBorder="1" applyAlignment="1">
      <alignment horizontal="justify" vertical="center"/>
    </xf>
    <xf numFmtId="0" fontId="7" fillId="0" borderId="74" xfId="3" applyFont="1" applyBorder="1" applyAlignment="1">
      <alignment horizontal="center" vertical="center"/>
    </xf>
    <xf numFmtId="164" fontId="50" fillId="0" borderId="28" xfId="6" applyFont="1" applyFill="1" applyBorder="1" applyAlignment="1">
      <alignment horizontal="justify" vertical="center"/>
    </xf>
    <xf numFmtId="164" fontId="7" fillId="0" borderId="17" xfId="6" applyFont="1" applyFill="1" applyBorder="1" applyAlignment="1">
      <alignment horizontal="center" vertical="center"/>
    </xf>
    <xf numFmtId="0" fontId="8" fillId="0" borderId="17" xfId="3" applyFont="1" applyBorder="1" applyAlignment="1">
      <alignment horizontal="left" vertical="center" wrapText="1"/>
    </xf>
    <xf numFmtId="0" fontId="4" fillId="0" borderId="17" xfId="3" quotePrefix="1" applyFont="1" applyBorder="1" applyAlignment="1">
      <alignment vertical="center" wrapText="1"/>
    </xf>
    <xf numFmtId="0" fontId="4" fillId="0" borderId="17" xfId="6" applyNumberFormat="1" applyFont="1" applyFill="1" applyBorder="1" applyAlignment="1">
      <alignment vertical="center" wrapText="1"/>
    </xf>
    <xf numFmtId="167" fontId="4" fillId="0" borderId="17" xfId="4" applyNumberFormat="1" applyFont="1" applyFill="1" applyBorder="1" applyAlignment="1">
      <alignment horizontal="left" vertical="center"/>
    </xf>
    <xf numFmtId="168" fontId="4" fillId="0" borderId="17" xfId="3" applyNumberFormat="1" applyFont="1" applyBorder="1" applyAlignment="1">
      <alignment horizontal="right" vertical="center" wrapText="1"/>
    </xf>
    <xf numFmtId="0" fontId="4" fillId="0" borderId="50" xfId="3" applyFont="1" applyBorder="1" applyAlignment="1">
      <alignment horizontal="left" vertical="center"/>
    </xf>
    <xf numFmtId="0" fontId="7" fillId="0" borderId="63" xfId="3" applyFont="1" applyBorder="1" applyAlignment="1">
      <alignment horizontal="left" vertical="center"/>
    </xf>
    <xf numFmtId="164" fontId="4" fillId="0" borderId="63" xfId="6" applyFont="1" applyFill="1" applyBorder="1" applyAlignment="1">
      <alignment horizontal="left" vertical="center"/>
    </xf>
    <xf numFmtId="164" fontId="61" fillId="0" borderId="59" xfId="3" applyNumberFormat="1" applyFont="1" applyBorder="1" applyAlignment="1">
      <alignment horizontal="left" vertical="center"/>
    </xf>
    <xf numFmtId="0" fontId="4" fillId="0" borderId="63" xfId="3" applyFont="1" applyBorder="1" applyAlignment="1">
      <alignment horizontal="left" vertical="center"/>
    </xf>
    <xf numFmtId="164" fontId="4" fillId="0" borderId="59" xfId="6" applyFont="1" applyFill="1" applyBorder="1" applyAlignment="1">
      <alignment horizontal="justify" vertical="center"/>
    </xf>
    <xf numFmtId="164" fontId="4" fillId="0" borderId="64" xfId="6" applyFont="1" applyFill="1" applyBorder="1" applyAlignment="1">
      <alignment horizontal="justify" vertical="center"/>
    </xf>
    <xf numFmtId="0" fontId="53" fillId="2" borderId="0" xfId="0" applyFont="1" applyFill="1" applyAlignment="1">
      <alignment horizontal="center" vertical="center"/>
    </xf>
    <xf numFmtId="0" fontId="71" fillId="2" borderId="0" xfId="0" applyFont="1" applyFill="1"/>
    <xf numFmtId="41" fontId="71" fillId="2" borderId="0" xfId="0" applyNumberFormat="1" applyFont="1" applyFill="1"/>
    <xf numFmtId="9" fontId="71" fillId="2" borderId="0" xfId="2" applyFont="1" applyFill="1"/>
    <xf numFmtId="41" fontId="71" fillId="2" borderId="0" xfId="2" applyNumberFormat="1" applyFont="1" applyFill="1"/>
    <xf numFmtId="0" fontId="54" fillId="0" borderId="77" xfId="0" applyFont="1" applyBorder="1" applyAlignment="1">
      <alignment horizontal="left" vertical="center"/>
    </xf>
    <xf numFmtId="0" fontId="54" fillId="0" borderId="78" xfId="0" applyFont="1" applyBorder="1" applyAlignment="1">
      <alignment horizontal="left" vertical="center"/>
    </xf>
    <xf numFmtId="9" fontId="4" fillId="0" borderId="15" xfId="12" applyNumberFormat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56" xfId="0" applyBorder="1"/>
    <xf numFmtId="9" fontId="4" fillId="0" borderId="17" xfId="12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57" xfId="0" applyBorder="1"/>
    <xf numFmtId="0" fontId="0" fillId="0" borderId="18" xfId="0" applyBorder="1"/>
    <xf numFmtId="0" fontId="0" fillId="0" borderId="19" xfId="0" applyBorder="1"/>
    <xf numFmtId="0" fontId="0" fillId="0" borderId="58" xfId="0" applyBorder="1"/>
    <xf numFmtId="0" fontId="4" fillId="0" borderId="15" xfId="3" applyFont="1" applyBorder="1" applyAlignment="1">
      <alignment horizontal="right" vertical="center"/>
    </xf>
    <xf numFmtId="0" fontId="10" fillId="0" borderId="17" xfId="3" applyFont="1" applyBorder="1" applyAlignment="1">
      <alignment horizontal="right" vertical="center"/>
    </xf>
    <xf numFmtId="164" fontId="10" fillId="0" borderId="24" xfId="6" applyFont="1" applyFill="1" applyBorder="1" applyAlignment="1">
      <alignment horizontal="right" vertical="center"/>
    </xf>
    <xf numFmtId="0" fontId="72" fillId="0" borderId="0" xfId="0" applyFont="1"/>
    <xf numFmtId="0" fontId="4" fillId="0" borderId="0" xfId="3" applyFont="1" applyAlignment="1">
      <alignment vertical="center"/>
    </xf>
    <xf numFmtId="165" fontId="31" fillId="2" borderId="10" xfId="4" applyFont="1" applyFill="1" applyBorder="1" applyAlignment="1">
      <alignment vertical="center"/>
    </xf>
    <xf numFmtId="43" fontId="24" fillId="0" borderId="10" xfId="8" applyNumberFormat="1" applyFont="1" applyBorder="1" applyAlignment="1">
      <alignment vertical="center"/>
    </xf>
    <xf numFmtId="0" fontId="73" fillId="0" borderId="39" xfId="0" applyFont="1" applyBorder="1" applyAlignment="1">
      <alignment horizontal="center" vertical="center"/>
    </xf>
    <xf numFmtId="0" fontId="73" fillId="0" borderId="32" xfId="0" applyFont="1" applyBorder="1" applyAlignment="1">
      <alignment horizontal="center" vertical="center"/>
    </xf>
    <xf numFmtId="0" fontId="73" fillId="0" borderId="34" xfId="0" applyFont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4" borderId="111" xfId="0" applyFont="1" applyFill="1" applyBorder="1"/>
    <xf numFmtId="0" fontId="54" fillId="4" borderId="151" xfId="0" applyFont="1" applyFill="1" applyBorder="1"/>
    <xf numFmtId="41" fontId="12" fillId="0" borderId="122" xfId="0" applyNumberFormat="1" applyFont="1" applyBorder="1"/>
    <xf numFmtId="169" fontId="11" fillId="0" borderId="126" xfId="0" applyNumberFormat="1" applyFont="1" applyBorder="1"/>
    <xf numFmtId="41" fontId="12" fillId="0" borderId="126" xfId="0" applyNumberFormat="1" applyFont="1" applyBorder="1"/>
    <xf numFmtId="0" fontId="55" fillId="0" borderId="123" xfId="0" applyFont="1" applyBorder="1" applyAlignment="1">
      <alignment horizontal="center" vertical="center"/>
    </xf>
    <xf numFmtId="169" fontId="74" fillId="0" borderId="123" xfId="0" applyNumberFormat="1" applyFont="1" applyBorder="1"/>
    <xf numFmtId="41" fontId="12" fillId="0" borderId="109" xfId="1" applyFont="1" applyFill="1" applyBorder="1" applyAlignment="1">
      <alignment horizontal="left" vertical="center"/>
    </xf>
    <xf numFmtId="41" fontId="12" fillId="4" borderId="109" xfId="1" applyFont="1" applyFill="1" applyBorder="1" applyAlignment="1">
      <alignment horizontal="left" vertical="center"/>
    </xf>
    <xf numFmtId="41" fontId="7" fillId="0" borderId="14" xfId="1" applyFont="1" applyFill="1" applyBorder="1" applyAlignment="1">
      <alignment horizontal="right" vertical="center"/>
    </xf>
    <xf numFmtId="41" fontId="12" fillId="0" borderId="15" xfId="1" applyFont="1" applyFill="1" applyBorder="1"/>
    <xf numFmtId="0" fontId="12" fillId="0" borderId="15" xfId="0" applyFont="1" applyBorder="1"/>
    <xf numFmtId="0" fontId="11" fillId="0" borderId="15" xfId="0" applyFont="1" applyBorder="1"/>
    <xf numFmtId="0" fontId="11" fillId="0" borderId="56" xfId="0" applyFont="1" applyBorder="1"/>
    <xf numFmtId="0" fontId="72" fillId="0" borderId="56" xfId="0" applyFont="1" applyBorder="1"/>
    <xf numFmtId="0" fontId="72" fillId="0" borderId="57" xfId="0" applyFont="1" applyBorder="1"/>
    <xf numFmtId="0" fontId="72" fillId="0" borderId="58" xfId="0" applyFont="1" applyBorder="1"/>
    <xf numFmtId="0" fontId="4" fillId="0" borderId="56" xfId="3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7" fillId="0" borderId="9" xfId="3" applyFont="1" applyBorder="1" applyAlignment="1">
      <alignment horizontal="right" vertical="center"/>
    </xf>
    <xf numFmtId="0" fontId="4" fillId="0" borderId="38" xfId="3" applyFont="1" applyBorder="1" applyAlignment="1">
      <alignment vertical="center"/>
    </xf>
    <xf numFmtId="0" fontId="4" fillId="0" borderId="38" xfId="3" applyFont="1" applyBorder="1" applyAlignment="1">
      <alignment horizontal="center" vertical="center"/>
    </xf>
    <xf numFmtId="41" fontId="4" fillId="0" borderId="38" xfId="1" applyFont="1" applyFill="1" applyBorder="1" applyAlignment="1">
      <alignment horizontal="center" vertical="center"/>
    </xf>
    <xf numFmtId="41" fontId="4" fillId="0" borderId="38" xfId="3" applyNumberFormat="1" applyFont="1" applyBorder="1" applyAlignment="1">
      <alignment vertical="center"/>
    </xf>
    <xf numFmtId="41" fontId="4" fillId="0" borderId="67" xfId="3" applyNumberFormat="1" applyFont="1" applyBorder="1" applyAlignment="1">
      <alignment vertical="center"/>
    </xf>
    <xf numFmtId="0" fontId="4" fillId="0" borderId="17" xfId="3" applyFont="1" applyBorder="1" applyAlignment="1">
      <alignment vertical="center"/>
    </xf>
    <xf numFmtId="41" fontId="4" fillId="0" borderId="17" xfId="1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/>
    </xf>
    <xf numFmtId="0" fontId="11" fillId="2" borderId="11" xfId="3" applyFont="1" applyFill="1" applyBorder="1" applyAlignment="1">
      <alignment vertical="center"/>
    </xf>
    <xf numFmtId="0" fontId="75" fillId="0" borderId="0" xfId="8" applyFont="1" applyAlignment="1">
      <alignment vertical="center"/>
    </xf>
    <xf numFmtId="167" fontId="10" fillId="0" borderId="64" xfId="4" applyNumberFormat="1" applyFont="1" applyFill="1" applyBorder="1" applyAlignment="1">
      <alignment vertical="center"/>
    </xf>
    <xf numFmtId="164" fontId="10" fillId="0" borderId="140" xfId="6" applyFont="1" applyFill="1" applyBorder="1" applyAlignment="1">
      <alignment horizontal="justify" vertical="center"/>
    </xf>
    <xf numFmtId="0" fontId="14" fillId="2" borderId="17" xfId="3" applyFont="1" applyFill="1" applyBorder="1" applyAlignment="1">
      <alignment horizontal="left" vertical="center" wrapText="1"/>
    </xf>
    <xf numFmtId="164" fontId="12" fillId="4" borderId="41" xfId="0" applyNumberFormat="1" applyFont="1" applyFill="1" applyBorder="1" applyAlignment="1">
      <alignment vertical="center"/>
    </xf>
    <xf numFmtId="164" fontId="11" fillId="0" borderId="52" xfId="0" applyNumberFormat="1" applyFont="1" applyBorder="1" applyAlignment="1">
      <alignment vertical="center"/>
    </xf>
    <xf numFmtId="164" fontId="17" fillId="4" borderId="1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4" fontId="12" fillId="0" borderId="10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164" fontId="12" fillId="4" borderId="10" xfId="0" applyNumberFormat="1" applyFont="1" applyFill="1" applyBorder="1" applyAlignment="1">
      <alignment vertical="center"/>
    </xf>
    <xf numFmtId="0" fontId="77" fillId="0" borderId="0" xfId="0" applyFont="1" applyAlignment="1">
      <alignment horizontal="center"/>
    </xf>
    <xf numFmtId="0" fontId="78" fillId="9" borderId="10" xfId="0" applyFont="1" applyFill="1" applyBorder="1" applyAlignment="1">
      <alignment horizontal="center" vertical="center"/>
    </xf>
    <xf numFmtId="0" fontId="79" fillId="0" borderId="10" xfId="0" applyFont="1" applyBorder="1" applyAlignment="1">
      <alignment horizontal="center" vertical="center"/>
    </xf>
    <xf numFmtId="0" fontId="79" fillId="0" borderId="10" xfId="0" applyFont="1" applyBorder="1" applyAlignment="1">
      <alignment vertical="center"/>
    </xf>
    <xf numFmtId="41" fontId="79" fillId="0" borderId="11" xfId="1" applyFont="1" applyBorder="1" applyAlignment="1">
      <alignment vertical="center"/>
    </xf>
    <xf numFmtId="41" fontId="79" fillId="0" borderId="13" xfId="1" applyFont="1" applyBorder="1" applyAlignment="1">
      <alignment vertical="center"/>
    </xf>
    <xf numFmtId="164" fontId="79" fillId="0" borderId="10" xfId="0" applyNumberFormat="1" applyFont="1" applyBorder="1" applyAlignment="1">
      <alignment vertical="center"/>
    </xf>
    <xf numFmtId="0" fontId="79" fillId="0" borderId="10" xfId="0" quotePrefix="1" applyFont="1" applyBorder="1" applyAlignment="1">
      <alignment vertical="center"/>
    </xf>
    <xf numFmtId="41" fontId="79" fillId="0" borderId="13" xfId="1" applyFont="1" applyBorder="1" applyAlignment="1">
      <alignment horizontal="left" vertical="center"/>
    </xf>
    <xf numFmtId="164" fontId="79" fillId="0" borderId="11" xfId="0" applyNumberFormat="1" applyFont="1" applyBorder="1" applyAlignment="1">
      <alignment vertical="center"/>
    </xf>
    <xf numFmtId="164" fontId="79" fillId="0" borderId="13" xfId="0" quotePrefix="1" applyNumberFormat="1" applyFont="1" applyBorder="1" applyAlignment="1">
      <alignment vertical="center"/>
    </xf>
    <xf numFmtId="41" fontId="79" fillId="0" borderId="13" xfId="1" quotePrefix="1" applyFont="1" applyBorder="1" applyAlignment="1">
      <alignment vertical="center"/>
    </xf>
    <xf numFmtId="0" fontId="79" fillId="0" borderId="10" xfId="0" applyFont="1" applyBorder="1"/>
    <xf numFmtId="164" fontId="78" fillId="9" borderId="10" xfId="0" applyNumberFormat="1" applyFont="1" applyFill="1" applyBorder="1"/>
    <xf numFmtId="0" fontId="79" fillId="0" borderId="36" xfId="0" quotePrefix="1" applyFont="1" applyBorder="1" applyAlignment="1">
      <alignment horizontal="left" vertical="center" wrapText="1"/>
    </xf>
    <xf numFmtId="0" fontId="79" fillId="0" borderId="36" xfId="0" applyFont="1" applyBorder="1" applyAlignment="1">
      <alignment horizontal="center" vertical="center"/>
    </xf>
    <xf numFmtId="0" fontId="79" fillId="0" borderId="10" xfId="0" applyFont="1" applyBorder="1" applyAlignment="1">
      <alignment vertical="center" wrapText="1"/>
    </xf>
    <xf numFmtId="0" fontId="3" fillId="0" borderId="0" xfId="5"/>
    <xf numFmtId="0" fontId="20" fillId="10" borderId="159" xfId="5" applyFont="1" applyFill="1" applyBorder="1" applyAlignment="1">
      <alignment horizontal="center" vertical="center"/>
    </xf>
    <xf numFmtId="0" fontId="3" fillId="0" borderId="161" xfId="5" applyBorder="1" applyAlignment="1">
      <alignment horizontal="center" vertical="center"/>
    </xf>
    <xf numFmtId="0" fontId="3" fillId="2" borderId="162" xfId="5" applyFill="1" applyBorder="1" applyAlignment="1">
      <alignment vertical="center"/>
    </xf>
    <xf numFmtId="0" fontId="3" fillId="0" borderId="162" xfId="5" applyBorder="1" applyAlignment="1">
      <alignment vertical="center"/>
    </xf>
    <xf numFmtId="0" fontId="3" fillId="2" borderId="162" xfId="5" applyFill="1" applyBorder="1" applyAlignment="1">
      <alignment horizontal="center" vertical="center"/>
    </xf>
    <xf numFmtId="170" fontId="3" fillId="2" borderId="163" xfId="5" applyNumberFormat="1" applyFill="1" applyBorder="1" applyAlignment="1">
      <alignment vertical="center"/>
    </xf>
    <xf numFmtId="0" fontId="3" fillId="0" borderId="164" xfId="5" applyBorder="1" applyAlignment="1">
      <alignment vertical="center"/>
    </xf>
    <xf numFmtId="0" fontId="3" fillId="0" borderId="165" xfId="5" applyBorder="1" applyAlignment="1">
      <alignment horizontal="center" vertical="center"/>
    </xf>
    <xf numFmtId="0" fontId="3" fillId="2" borderId="52" xfId="5" applyFill="1" applyBorder="1" applyAlignment="1">
      <alignment vertical="center"/>
    </xf>
    <xf numFmtId="0" fontId="3" fillId="0" borderId="52" xfId="5" applyBorder="1" applyAlignment="1">
      <alignment vertical="center"/>
    </xf>
    <xf numFmtId="0" fontId="3" fillId="2" borderId="52" xfId="5" applyFill="1" applyBorder="1" applyAlignment="1">
      <alignment horizontal="center" vertical="center"/>
    </xf>
    <xf numFmtId="170" fontId="3" fillId="2" borderId="81" xfId="5" applyNumberFormat="1" applyFill="1" applyBorder="1" applyAlignment="1">
      <alignment vertical="center"/>
    </xf>
    <xf numFmtId="0" fontId="3" fillId="0" borderId="166" xfId="5" applyBorder="1" applyAlignment="1">
      <alignment vertical="center"/>
    </xf>
    <xf numFmtId="0" fontId="20" fillId="0" borderId="168" xfId="5" applyFont="1" applyBorder="1" applyAlignment="1">
      <alignment horizontal="center" vertical="center"/>
    </xf>
    <xf numFmtId="170" fontId="20" fillId="0" borderId="168" xfId="5" applyNumberFormat="1" applyFont="1" applyBorder="1" applyAlignment="1">
      <alignment vertical="center"/>
    </xf>
    <xf numFmtId="0" fontId="3" fillId="0" borderId="169" xfId="5" applyBorder="1" applyAlignment="1">
      <alignment vertical="center"/>
    </xf>
    <xf numFmtId="0" fontId="80" fillId="11" borderId="10" xfId="0" applyFont="1" applyFill="1" applyBorder="1" applyAlignment="1">
      <alignment horizontal="center" vertical="center" wrapText="1"/>
    </xf>
    <xf numFmtId="0" fontId="80" fillId="0" borderId="11" xfId="0" applyFont="1" applyBorder="1" applyAlignment="1">
      <alignment vertical="center"/>
    </xf>
    <xf numFmtId="0" fontId="81" fillId="0" borderId="12" xfId="0" applyFont="1" applyBorder="1" applyAlignment="1">
      <alignment vertical="center"/>
    </xf>
    <xf numFmtId="0" fontId="81" fillId="0" borderId="13" xfId="0" applyFont="1" applyBorder="1" applyAlignment="1">
      <alignment vertical="center"/>
    </xf>
    <xf numFmtId="0" fontId="81" fillId="0" borderId="10" xfId="0" applyFont="1" applyBorder="1" applyAlignment="1">
      <alignment vertical="center"/>
    </xf>
    <xf numFmtId="0" fontId="81" fillId="0" borderId="11" xfId="0" applyFont="1" applyBorder="1" applyAlignment="1">
      <alignment vertical="center"/>
    </xf>
    <xf numFmtId="41" fontId="80" fillId="0" borderId="10" xfId="1" applyFont="1" applyBorder="1" applyAlignment="1">
      <alignment vertical="center"/>
    </xf>
    <xf numFmtId="164" fontId="80" fillId="0" borderId="10" xfId="0" applyNumberFormat="1" applyFont="1" applyBorder="1" applyAlignment="1">
      <alignment vertical="center"/>
    </xf>
    <xf numFmtId="164" fontId="80" fillId="11" borderId="10" xfId="0" applyNumberFormat="1" applyFont="1" applyFill="1" applyBorder="1" applyAlignment="1">
      <alignment vertical="center"/>
    </xf>
    <xf numFmtId="0" fontId="0" fillId="0" borderId="0" xfId="0" applyAlignment="1">
      <alignment horizontal="left" indent="4"/>
    </xf>
    <xf numFmtId="0" fontId="82" fillId="0" borderId="0" xfId="0" applyFont="1"/>
    <xf numFmtId="0" fontId="82" fillId="0" borderId="0" xfId="0" applyFont="1" applyAlignment="1">
      <alignment horizontal="left" indent="4"/>
    </xf>
    <xf numFmtId="0" fontId="82" fillId="0" borderId="0" xfId="0" applyFont="1" applyAlignment="1">
      <alignment horizontal="left" indent="5"/>
    </xf>
    <xf numFmtId="0" fontId="0" fillId="0" borderId="0" xfId="0" applyAlignment="1">
      <alignment horizontal="left" indent="5"/>
    </xf>
    <xf numFmtId="0" fontId="14" fillId="0" borderId="15" xfId="3" applyFont="1" applyBorder="1" applyAlignment="1">
      <alignment horizontal="left" vertical="center" wrapText="1"/>
    </xf>
    <xf numFmtId="0" fontId="83" fillId="0" borderId="0" xfId="0" applyFont="1"/>
    <xf numFmtId="167" fontId="0" fillId="0" borderId="0" xfId="12" applyNumberFormat="1" applyFont="1"/>
    <xf numFmtId="43" fontId="0" fillId="0" borderId="0" xfId="12" applyFont="1"/>
    <xf numFmtId="0" fontId="2" fillId="0" borderId="0" xfId="0" applyFont="1" applyAlignment="1">
      <alignment horizontal="center"/>
    </xf>
    <xf numFmtId="43" fontId="2" fillId="0" borderId="0" xfId="12" applyFont="1"/>
    <xf numFmtId="165" fontId="2" fillId="0" borderId="0" xfId="0" applyNumberFormat="1" applyFont="1"/>
    <xf numFmtId="164" fontId="4" fillId="0" borderId="21" xfId="3" applyNumberFormat="1" applyFont="1" applyBorder="1" applyAlignment="1">
      <alignment horizontal="left" vertical="center" wrapText="1"/>
    </xf>
    <xf numFmtId="164" fontId="4" fillId="0" borderId="22" xfId="3" applyNumberFormat="1" applyFont="1" applyBorder="1" applyAlignment="1">
      <alignment horizontal="left" vertical="center" wrapText="1"/>
    </xf>
    <xf numFmtId="164" fontId="4" fillId="0" borderId="23" xfId="3" applyNumberFormat="1" applyFont="1" applyBorder="1" applyAlignment="1">
      <alignment horizontal="left" vertical="center" wrapText="1"/>
    </xf>
    <xf numFmtId="164" fontId="4" fillId="0" borderId="21" xfId="3" applyNumberFormat="1" applyFont="1" applyBorder="1" applyAlignment="1">
      <alignment horizontal="left" vertical="center"/>
    </xf>
    <xf numFmtId="164" fontId="4" fillId="0" borderId="22" xfId="3" applyNumberFormat="1" applyFont="1" applyBorder="1" applyAlignment="1">
      <alignment horizontal="left" vertical="center"/>
    </xf>
    <xf numFmtId="164" fontId="4" fillId="0" borderId="23" xfId="3" applyNumberFormat="1" applyFont="1" applyBorder="1" applyAlignment="1">
      <alignment horizontal="left" vertical="center"/>
    </xf>
    <xf numFmtId="0" fontId="11" fillId="0" borderId="170" xfId="0" applyFont="1" applyBorder="1" applyAlignment="1">
      <alignment horizontal="center" vertical="center"/>
    </xf>
    <xf numFmtId="0" fontId="11" fillId="0" borderId="172" xfId="0" applyFont="1" applyBorder="1" applyAlignment="1">
      <alignment horizontal="center" vertical="center"/>
    </xf>
    <xf numFmtId="0" fontId="4" fillId="2" borderId="43" xfId="3" applyFont="1" applyFill="1" applyBorder="1" applyAlignment="1">
      <alignment horizontal="center" vertical="center"/>
    </xf>
    <xf numFmtId="0" fontId="11" fillId="2" borderId="77" xfId="3" applyFont="1" applyFill="1" applyBorder="1" applyAlignment="1">
      <alignment vertical="center"/>
    </xf>
    <xf numFmtId="0" fontId="11" fillId="2" borderId="78" xfId="3" applyFont="1" applyFill="1" applyBorder="1" applyAlignment="1">
      <alignment vertical="center"/>
    </xf>
    <xf numFmtId="41" fontId="11" fillId="0" borderId="44" xfId="1" applyFont="1" applyBorder="1"/>
    <xf numFmtId="41" fontId="11" fillId="0" borderId="52" xfId="1" applyFont="1" applyBorder="1"/>
    <xf numFmtId="169" fontId="11" fillId="2" borderId="43" xfId="12" applyNumberFormat="1" applyFont="1" applyFill="1" applyBorder="1" applyAlignment="1">
      <alignment vertical="center"/>
    </xf>
    <xf numFmtId="0" fontId="31" fillId="0" borderId="36" xfId="8" applyFont="1" applyBorder="1" applyAlignment="1">
      <alignment horizontal="left" vertical="center"/>
    </xf>
    <xf numFmtId="164" fontId="31" fillId="0" borderId="36" xfId="6" applyFont="1" applyFill="1" applyBorder="1" applyAlignment="1">
      <alignment horizontal="center" vertical="center"/>
    </xf>
    <xf numFmtId="164" fontId="31" fillId="0" borderId="36" xfId="6" applyFont="1" applyFill="1" applyBorder="1" applyAlignment="1">
      <alignment vertical="center"/>
    </xf>
    <xf numFmtId="167" fontId="31" fillId="2" borderId="36" xfId="4" applyNumberFormat="1" applyFont="1" applyFill="1" applyBorder="1" applyAlignment="1">
      <alignment vertical="center"/>
    </xf>
    <xf numFmtId="164" fontId="24" fillId="0" borderId="36" xfId="6" applyFont="1" applyFill="1" applyBorder="1" applyAlignment="1">
      <alignment vertical="center"/>
    </xf>
    <xf numFmtId="0" fontId="24" fillId="0" borderId="174" xfId="8" applyFont="1" applyBorder="1" applyAlignment="1">
      <alignment horizontal="center" vertical="center"/>
    </xf>
    <xf numFmtId="0" fontId="30" fillId="0" borderId="174" xfId="8" applyFont="1" applyBorder="1" applyAlignment="1">
      <alignment horizontal="center" vertical="center"/>
    </xf>
    <xf numFmtId="0" fontId="31" fillId="0" borderId="174" xfId="8" applyFont="1" applyBorder="1" applyAlignment="1">
      <alignment horizontal="left" vertical="center"/>
    </xf>
    <xf numFmtId="164" fontId="26" fillId="0" borderId="174" xfId="6" applyFont="1" applyFill="1" applyBorder="1" applyAlignment="1">
      <alignment horizontal="center" vertical="center"/>
    </xf>
    <xf numFmtId="164" fontId="31" fillId="0" borderId="174" xfId="6" applyFont="1" applyFill="1" applyBorder="1" applyAlignment="1">
      <alignment horizontal="center" vertical="center"/>
    </xf>
    <xf numFmtId="43" fontId="24" fillId="0" borderId="174" xfId="8" applyNumberFormat="1" applyFont="1" applyBorder="1" applyAlignment="1">
      <alignment vertical="center"/>
    </xf>
    <xf numFmtId="164" fontId="32" fillId="0" borderId="0" xfId="6" applyFont="1" applyFill="1" applyBorder="1" applyAlignment="1">
      <alignment vertical="center"/>
    </xf>
    <xf numFmtId="164" fontId="31" fillId="0" borderId="0" xfId="6" applyFont="1" applyFill="1" applyBorder="1" applyAlignment="1">
      <alignment vertical="center"/>
    </xf>
    <xf numFmtId="167" fontId="31" fillId="2" borderId="0" xfId="4" applyNumberFormat="1" applyFont="1" applyFill="1" applyBorder="1" applyAlignment="1">
      <alignment vertical="center"/>
    </xf>
    <xf numFmtId="43" fontId="24" fillId="0" borderId="0" xfId="8" applyNumberFormat="1" applyFont="1" applyAlignment="1">
      <alignment vertical="center"/>
    </xf>
    <xf numFmtId="0" fontId="26" fillId="0" borderId="0" xfId="8" applyFont="1" applyAlignment="1">
      <alignment horizontal="left" vertical="center"/>
    </xf>
    <xf numFmtId="164" fontId="4" fillId="0" borderId="38" xfId="6" applyFont="1" applyFill="1" applyBorder="1" applyAlignment="1">
      <alignment horizontal="justify" vertical="center"/>
    </xf>
    <xf numFmtId="164" fontId="4" fillId="0" borderId="67" xfId="6" applyFont="1" applyFill="1" applyBorder="1" applyAlignment="1">
      <alignment horizontal="justify" vertical="center"/>
    </xf>
    <xf numFmtId="0" fontId="24" fillId="0" borderId="14" xfId="8" applyFont="1" applyBorder="1" applyAlignment="1">
      <alignment horizontal="center" vertical="center"/>
    </xf>
    <xf numFmtId="0" fontId="30" fillId="0" borderId="15" xfId="8" applyFont="1" applyBorder="1" applyAlignment="1">
      <alignment horizontal="center" vertical="center"/>
    </xf>
    <xf numFmtId="0" fontId="24" fillId="0" borderId="20" xfId="8" applyFont="1" applyBorder="1" applyAlignment="1">
      <alignment horizontal="center" vertical="center"/>
    </xf>
    <xf numFmtId="0" fontId="30" fillId="0" borderId="24" xfId="8" applyFont="1" applyBorder="1" applyAlignment="1">
      <alignment horizontal="center" vertical="center"/>
    </xf>
    <xf numFmtId="0" fontId="24" fillId="0" borderId="175" xfId="8" applyFont="1" applyBorder="1" applyAlignment="1">
      <alignment horizontal="center" vertical="center"/>
    </xf>
    <xf numFmtId="0" fontId="30" fillId="0" borderId="176" xfId="8" applyFont="1" applyBorder="1" applyAlignment="1">
      <alignment horizontal="center" vertical="center"/>
    </xf>
    <xf numFmtId="0" fontId="31" fillId="0" borderId="176" xfId="8" applyFont="1" applyBorder="1" applyAlignment="1">
      <alignment horizontal="left" vertical="center"/>
    </xf>
    <xf numFmtId="164" fontId="26" fillId="0" borderId="176" xfId="6" applyFont="1" applyFill="1" applyBorder="1" applyAlignment="1">
      <alignment horizontal="center" vertical="center"/>
    </xf>
    <xf numFmtId="0" fontId="24" fillId="0" borderId="67" xfId="8" applyFont="1" applyBorder="1" applyAlignment="1">
      <alignment vertical="center"/>
    </xf>
    <xf numFmtId="0" fontId="24" fillId="0" borderId="3" xfId="8" applyFont="1" applyBorder="1" applyAlignment="1">
      <alignment horizontal="center" vertical="center"/>
    </xf>
    <xf numFmtId="0" fontId="30" fillId="0" borderId="3" xfId="8" applyFont="1" applyBorder="1" applyAlignment="1">
      <alignment horizontal="center" vertical="center"/>
    </xf>
    <xf numFmtId="0" fontId="31" fillId="0" borderId="3" xfId="8" applyFont="1" applyBorder="1" applyAlignment="1">
      <alignment horizontal="left" vertical="center"/>
    </xf>
    <xf numFmtId="164" fontId="31" fillId="0" borderId="3" xfId="6" applyFont="1" applyFill="1" applyBorder="1" applyAlignment="1">
      <alignment horizontal="center" vertical="center"/>
    </xf>
    <xf numFmtId="164" fontId="26" fillId="0" borderId="3" xfId="6" applyFont="1" applyFill="1" applyBorder="1" applyAlignment="1">
      <alignment horizontal="center" vertical="center"/>
    </xf>
    <xf numFmtId="166" fontId="26" fillId="0" borderId="3" xfId="9" applyNumberFormat="1" applyFont="1" applyFill="1" applyBorder="1" applyAlignment="1">
      <alignment horizontal="center" vertical="center"/>
    </xf>
    <xf numFmtId="164" fontId="28" fillId="0" borderId="3" xfId="6" applyFont="1" applyFill="1" applyBorder="1" applyAlignment="1">
      <alignment vertical="center"/>
    </xf>
    <xf numFmtId="0" fontId="24" fillId="0" borderId="3" xfId="8" applyFont="1" applyBorder="1" applyAlignment="1">
      <alignment vertical="center"/>
    </xf>
    <xf numFmtId="0" fontId="85" fillId="0" borderId="0" xfId="8" applyFont="1" applyAlignment="1">
      <alignment horizontal="left" vertical="center"/>
    </xf>
    <xf numFmtId="0" fontId="4" fillId="0" borderId="23" xfId="6" applyNumberFormat="1" applyFont="1" applyFill="1" applyBorder="1" applyAlignment="1">
      <alignment horizontal="center" vertical="center"/>
    </xf>
    <xf numFmtId="0" fontId="4" fillId="0" borderId="24" xfId="6" applyNumberFormat="1" applyFont="1" applyFill="1" applyBorder="1" applyAlignment="1">
      <alignment horizontal="center" vertical="center"/>
    </xf>
    <xf numFmtId="9" fontId="4" fillId="0" borderId="24" xfId="6" applyNumberFormat="1" applyFont="1" applyFill="1" applyBorder="1" applyAlignment="1">
      <alignment horizontal="left" vertical="center"/>
    </xf>
    <xf numFmtId="164" fontId="9" fillId="0" borderId="21" xfId="6" applyFont="1" applyFill="1" applyBorder="1" applyAlignment="1">
      <alignment horizontal="left" vertical="center" wrapText="1"/>
    </xf>
    <xf numFmtId="164" fontId="9" fillId="0" borderId="22" xfId="6" applyFont="1" applyFill="1" applyBorder="1" applyAlignment="1">
      <alignment horizontal="left" vertical="center" wrapText="1"/>
    </xf>
    <xf numFmtId="164" fontId="9" fillId="0" borderId="23" xfId="6" applyFont="1" applyFill="1" applyBorder="1" applyAlignment="1">
      <alignment horizontal="left" vertical="center" wrapText="1"/>
    </xf>
    <xf numFmtId="164" fontId="4" fillId="0" borderId="38" xfId="6" applyFont="1" applyFill="1" applyBorder="1" applyAlignment="1">
      <alignment horizontal="left" vertical="center" wrapText="1"/>
    </xf>
    <xf numFmtId="164" fontId="4" fillId="0" borderId="28" xfId="6" applyFont="1" applyFill="1" applyBorder="1" applyAlignment="1">
      <alignment horizontal="left" vertical="center" wrapText="1"/>
    </xf>
    <xf numFmtId="0" fontId="26" fillId="0" borderId="10" xfId="8" applyFont="1" applyBorder="1" applyAlignment="1">
      <alignment horizontal="center" vertical="center"/>
    </xf>
    <xf numFmtId="164" fontId="4" fillId="0" borderId="38" xfId="6" applyFont="1" applyFill="1" applyBorder="1" applyAlignment="1">
      <alignment horizontal="center" vertical="center"/>
    </xf>
    <xf numFmtId="164" fontId="4" fillId="0" borderId="38" xfId="3" applyNumberFormat="1" applyFont="1" applyBorder="1" applyAlignment="1">
      <alignment horizontal="right" vertical="center"/>
    </xf>
    <xf numFmtId="0" fontId="7" fillId="2" borderId="36" xfId="3" applyFont="1" applyFill="1" applyBorder="1" applyAlignment="1">
      <alignment horizontal="center" vertical="center"/>
    </xf>
    <xf numFmtId="164" fontId="4" fillId="2" borderId="43" xfId="6" applyFont="1" applyFill="1" applyBorder="1" applyAlignment="1">
      <alignment horizontal="justify" vertical="center"/>
    </xf>
    <xf numFmtId="164" fontId="11" fillId="2" borderId="78" xfId="0" applyNumberFormat="1" applyFont="1" applyFill="1" applyBorder="1"/>
    <xf numFmtId="0" fontId="20" fillId="0" borderId="0" xfId="8" applyFont="1" applyAlignment="1">
      <alignment horizontal="left" vertical="center"/>
    </xf>
    <xf numFmtId="0" fontId="11" fillId="0" borderId="0" xfId="0" applyFont="1" applyAlignment="1">
      <alignment vertical="center"/>
    </xf>
    <xf numFmtId="164" fontId="11" fillId="0" borderId="41" xfId="0" applyNumberFormat="1" applyFont="1" applyBorder="1" applyAlignment="1">
      <alignment vertical="center"/>
    </xf>
    <xf numFmtId="164" fontId="11" fillId="0" borderId="43" xfId="0" applyNumberFormat="1" applyFont="1" applyBorder="1" applyAlignment="1">
      <alignment vertical="center"/>
    </xf>
    <xf numFmtId="3" fontId="13" fillId="0" borderId="57" xfId="4" applyNumberFormat="1" applyFont="1" applyFill="1" applyBorder="1" applyAlignment="1">
      <alignment horizontal="right" vertical="center"/>
    </xf>
    <xf numFmtId="0" fontId="4" fillId="2" borderId="31" xfId="5" applyFont="1" applyFill="1" applyBorder="1" applyAlignment="1">
      <alignment horizontal="center" vertical="center"/>
    </xf>
    <xf numFmtId="0" fontId="4" fillId="2" borderId="0" xfId="5" applyFont="1" applyFill="1" applyAlignment="1">
      <alignment vertical="center"/>
    </xf>
    <xf numFmtId="3" fontId="4" fillId="2" borderId="0" xfId="4" quotePrefix="1" applyNumberFormat="1" applyFont="1" applyFill="1" applyBorder="1" applyAlignment="1">
      <alignment horizontal="left" vertical="center"/>
    </xf>
    <xf numFmtId="0" fontId="4" fillId="2" borderId="0" xfId="5" applyFont="1" applyFill="1" applyAlignment="1">
      <alignment horizontal="center" vertical="center"/>
    </xf>
    <xf numFmtId="164" fontId="4" fillId="2" borderId="0" xfId="6" applyFont="1" applyFill="1" applyBorder="1" applyAlignment="1">
      <alignment vertical="center"/>
    </xf>
    <xf numFmtId="41" fontId="0" fillId="0" borderId="26" xfId="1" applyFont="1" applyBorder="1"/>
    <xf numFmtId="164" fontId="4" fillId="2" borderId="28" xfId="6" applyFont="1" applyFill="1" applyBorder="1" applyAlignment="1">
      <alignment vertical="center"/>
    </xf>
    <xf numFmtId="164" fontId="10" fillId="2" borderId="68" xfId="6" applyFont="1" applyFill="1" applyBorder="1" applyAlignment="1">
      <alignment vertical="center"/>
    </xf>
    <xf numFmtId="0" fontId="4" fillId="2" borderId="28" xfId="5" applyFont="1" applyFill="1" applyBorder="1" applyAlignment="1">
      <alignment vertical="center"/>
    </xf>
    <xf numFmtId="3" fontId="4" fillId="2" borderId="28" xfId="4" quotePrefix="1" applyNumberFormat="1" applyFont="1" applyFill="1" applyBorder="1" applyAlignment="1">
      <alignment horizontal="left" vertical="center"/>
    </xf>
    <xf numFmtId="0" fontId="4" fillId="2" borderId="28" xfId="5" applyFont="1" applyFill="1" applyBorder="1" applyAlignment="1">
      <alignment horizontal="center" vertical="center"/>
    </xf>
    <xf numFmtId="0" fontId="4" fillId="2" borderId="50" xfId="5" applyFont="1" applyFill="1" applyBorder="1" applyAlignment="1">
      <alignment vertical="center"/>
    </xf>
    <xf numFmtId="164" fontId="4" fillId="2" borderId="39" xfId="6" applyFont="1" applyFill="1" applyBorder="1" applyAlignment="1">
      <alignment vertical="center"/>
    </xf>
    <xf numFmtId="0" fontId="14" fillId="0" borderId="73" xfId="3" applyFont="1" applyBorder="1" applyAlignment="1">
      <alignment horizontal="left" vertical="center" wrapText="1"/>
    </xf>
    <xf numFmtId="0" fontId="4" fillId="0" borderId="73" xfId="3" applyFont="1" applyBorder="1" applyAlignment="1">
      <alignment horizontal="center" vertical="center" wrapText="1"/>
    </xf>
    <xf numFmtId="164" fontId="4" fillId="0" borderId="73" xfId="6" applyFont="1" applyFill="1" applyBorder="1" applyAlignment="1">
      <alignment horizontal="center" vertical="center"/>
    </xf>
    <xf numFmtId="164" fontId="4" fillId="0" borderId="73" xfId="6" applyFont="1" applyFill="1" applyBorder="1" applyAlignment="1">
      <alignment vertical="center"/>
    </xf>
    <xf numFmtId="167" fontId="10" fillId="0" borderId="73" xfId="4" applyNumberFormat="1" applyFont="1" applyFill="1" applyBorder="1" applyAlignment="1">
      <alignment horizontal="right" vertical="center"/>
    </xf>
    <xf numFmtId="164" fontId="7" fillId="0" borderId="35" xfId="6" applyFont="1" applyFill="1" applyBorder="1" applyAlignment="1">
      <alignment horizontal="left" vertical="center"/>
    </xf>
    <xf numFmtId="167" fontId="4" fillId="0" borderId="30" xfId="4" applyNumberFormat="1" applyFont="1" applyFill="1" applyBorder="1" applyAlignment="1">
      <alignment horizontal="right" vertical="center"/>
    </xf>
    <xf numFmtId="0" fontId="54" fillId="0" borderId="177" xfId="0" applyFont="1" applyBorder="1" applyAlignment="1">
      <alignment horizontal="center" vertical="center"/>
    </xf>
    <xf numFmtId="0" fontId="54" fillId="0" borderId="177" xfId="0" applyFont="1" applyBorder="1"/>
    <xf numFmtId="41" fontId="11" fillId="0" borderId="177" xfId="0" applyNumberFormat="1" applyFont="1" applyBorder="1"/>
    <xf numFmtId="0" fontId="54" fillId="0" borderId="177" xfId="0" applyFont="1" applyBorder="1" applyAlignment="1">
      <alignment horizontal="center"/>
    </xf>
    <xf numFmtId="164" fontId="11" fillId="0" borderId="42" xfId="0" applyNumberFormat="1" applyFont="1" applyBorder="1" applyAlignment="1">
      <alignment vertical="center"/>
    </xf>
    <xf numFmtId="164" fontId="4" fillId="0" borderId="42" xfId="6" applyFont="1" applyFill="1" applyBorder="1" applyAlignment="1">
      <alignment horizontal="center" vertical="center"/>
    </xf>
    <xf numFmtId="164" fontId="11" fillId="0" borderId="4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4" fillId="0" borderId="0" xfId="6" applyFont="1" applyFill="1" applyBorder="1" applyAlignment="1">
      <alignment horizontal="center" vertical="center"/>
    </xf>
    <xf numFmtId="0" fontId="4" fillId="0" borderId="77" xfId="0" applyFont="1" applyBorder="1" applyAlignment="1">
      <alignment horizontal="left" vertical="center" wrapText="1"/>
    </xf>
    <xf numFmtId="0" fontId="4" fillId="0" borderId="79" xfId="0" applyFont="1" applyBorder="1" applyAlignment="1">
      <alignment horizontal="left" vertical="center" wrapText="1"/>
    </xf>
    <xf numFmtId="0" fontId="54" fillId="0" borderId="149" xfId="0" applyFont="1" applyBorder="1" applyAlignment="1">
      <alignment horizontal="center" vertical="center"/>
    </xf>
    <xf numFmtId="0" fontId="54" fillId="0" borderId="143" xfId="0" applyFont="1" applyBorder="1" applyAlignment="1">
      <alignment horizontal="center" vertical="center"/>
    </xf>
    <xf numFmtId="0" fontId="54" fillId="0" borderId="122" xfId="0" applyFont="1" applyBorder="1"/>
    <xf numFmtId="0" fontId="54" fillId="0" borderId="126" xfId="0" applyFont="1" applyBorder="1"/>
    <xf numFmtId="0" fontId="54" fillId="0" borderId="126" xfId="0" applyFont="1" applyBorder="1" applyAlignment="1">
      <alignment wrapText="1"/>
    </xf>
    <xf numFmtId="41" fontId="12" fillId="4" borderId="123" xfId="0" applyNumberFormat="1" applyFont="1" applyFill="1" applyBorder="1"/>
    <xf numFmtId="41" fontId="11" fillId="0" borderId="178" xfId="1" applyFont="1" applyBorder="1" applyAlignment="1">
      <alignment horizontal="center" vertical="center"/>
    </xf>
    <xf numFmtId="41" fontId="11" fillId="0" borderId="179" xfId="1" applyFont="1" applyBorder="1" applyAlignment="1">
      <alignment horizontal="center" vertical="center"/>
    </xf>
    <xf numFmtId="0" fontId="54" fillId="0" borderId="180" xfId="0" applyFont="1" applyBorder="1" applyAlignment="1">
      <alignment horizontal="center" vertical="center"/>
    </xf>
    <xf numFmtId="0" fontId="54" fillId="0" borderId="181" xfId="0" applyFont="1" applyBorder="1" applyAlignment="1">
      <alignment horizontal="center" vertical="center"/>
    </xf>
    <xf numFmtId="0" fontId="54" fillId="0" borderId="127" xfId="0" applyFont="1" applyBorder="1" applyAlignment="1">
      <alignment horizontal="center" vertical="center"/>
    </xf>
    <xf numFmtId="164" fontId="12" fillId="4" borderId="123" xfId="0" applyNumberFormat="1" applyFont="1" applyFill="1" applyBorder="1"/>
    <xf numFmtId="41" fontId="11" fillId="0" borderId="122" xfId="1" applyFont="1" applyBorder="1" applyAlignment="1">
      <alignment horizontal="center" vertical="center"/>
    </xf>
    <xf numFmtId="41" fontId="11" fillId="0" borderId="126" xfId="1" applyFont="1" applyBorder="1" applyAlignment="1">
      <alignment horizontal="center" vertical="center"/>
    </xf>
    <xf numFmtId="41" fontId="11" fillId="0" borderId="123" xfId="1" applyFont="1" applyBorder="1" applyAlignment="1">
      <alignment horizontal="center" vertical="center"/>
    </xf>
    <xf numFmtId="164" fontId="11" fillId="0" borderId="122" xfId="1" applyNumberFormat="1" applyFont="1" applyBorder="1" applyAlignment="1">
      <alignment horizontal="center" vertical="center"/>
    </xf>
    <xf numFmtId="164" fontId="11" fillId="0" borderId="126" xfId="1" applyNumberFormat="1" applyFont="1" applyBorder="1" applyAlignment="1">
      <alignment horizontal="center" vertical="center"/>
    </xf>
    <xf numFmtId="164" fontId="11" fillId="0" borderId="123" xfId="1" applyNumberFormat="1" applyFont="1" applyBorder="1" applyAlignment="1">
      <alignment horizontal="center" vertical="center"/>
    </xf>
    <xf numFmtId="43" fontId="54" fillId="0" borderId="0" xfId="0" applyNumberFormat="1" applyFont="1"/>
    <xf numFmtId="43" fontId="0" fillId="0" borderId="0" xfId="0" applyNumberFormat="1"/>
    <xf numFmtId="43" fontId="11" fillId="0" borderId="0" xfId="0" applyNumberFormat="1" applyFont="1" applyAlignment="1">
      <alignment horizontal="left"/>
    </xf>
    <xf numFmtId="0" fontId="11" fillId="0" borderId="120" xfId="0" applyFont="1" applyBorder="1" applyAlignment="1">
      <alignment horizontal="center" vertical="center"/>
    </xf>
    <xf numFmtId="0" fontId="14" fillId="0" borderId="117" xfId="0" applyFont="1" applyBorder="1" applyAlignment="1">
      <alignment horizontal="center" vertical="center"/>
    </xf>
    <xf numFmtId="164" fontId="4" fillId="0" borderId="21" xfId="6" quotePrefix="1" applyFont="1" applyFill="1" applyBorder="1" applyAlignment="1">
      <alignment horizontal="left" vertical="center"/>
    </xf>
    <xf numFmtId="164" fontId="4" fillId="0" borderId="22" xfId="6" quotePrefix="1" applyFont="1" applyFill="1" applyBorder="1" applyAlignment="1">
      <alignment horizontal="left" vertical="center"/>
    </xf>
    <xf numFmtId="164" fontId="4" fillId="0" borderId="23" xfId="6" quotePrefix="1" applyFont="1" applyFill="1" applyBorder="1" applyAlignment="1">
      <alignment horizontal="left" vertical="center"/>
    </xf>
    <xf numFmtId="0" fontId="14" fillId="0" borderId="146" xfId="0" applyFont="1" applyBorder="1" applyAlignment="1">
      <alignment horizontal="center" vertical="center"/>
    </xf>
    <xf numFmtId="0" fontId="21" fillId="4" borderId="110" xfId="0" applyFont="1" applyFill="1" applyBorder="1" applyAlignment="1">
      <alignment horizontal="center" vertical="center"/>
    </xf>
    <xf numFmtId="43" fontId="4" fillId="0" borderId="68" xfId="6" applyNumberFormat="1" applyFont="1" applyFill="1" applyBorder="1" applyAlignment="1">
      <alignment horizontal="justify" vertical="center"/>
    </xf>
    <xf numFmtId="43" fontId="24" fillId="0" borderId="0" xfId="6" applyNumberFormat="1" applyFont="1" applyFill="1" applyAlignment="1">
      <alignment vertical="center"/>
    </xf>
    <xf numFmtId="2" fontId="24" fillId="0" borderId="0" xfId="2" applyNumberFormat="1" applyFont="1" applyFill="1" applyAlignment="1">
      <alignment vertical="center"/>
    </xf>
    <xf numFmtId="164" fontId="7" fillId="0" borderId="0" xfId="3" applyNumberFormat="1" applyFont="1" applyAlignment="1">
      <alignment horizontal="right" vertical="center"/>
    </xf>
    <xf numFmtId="164" fontId="4" fillId="0" borderId="73" xfId="3" applyNumberFormat="1" applyFont="1" applyBorder="1" applyAlignment="1">
      <alignment horizontal="left" vertical="center"/>
    </xf>
    <xf numFmtId="164" fontId="4" fillId="0" borderId="73" xfId="6" applyFont="1" applyFill="1" applyBorder="1" applyAlignment="1">
      <alignment horizontal="left" vertical="center"/>
    </xf>
    <xf numFmtId="164" fontId="10" fillId="0" borderId="73" xfId="6" applyFont="1" applyFill="1" applyBorder="1" applyAlignment="1">
      <alignment horizontal="justify" vertical="center"/>
    </xf>
    <xf numFmtId="164" fontId="10" fillId="0" borderId="182" xfId="6" applyFont="1" applyFill="1" applyBorder="1" applyAlignment="1">
      <alignment horizontal="justify" vertical="center"/>
    </xf>
    <xf numFmtId="0" fontId="26" fillId="0" borderId="0" xfId="8" applyFont="1" applyAlignment="1">
      <alignment horizontal="center" vertical="center"/>
    </xf>
    <xf numFmtId="164" fontId="28" fillId="0" borderId="0" xfId="8" applyNumberFormat="1" applyFont="1" applyAlignment="1">
      <alignment vertical="center"/>
    </xf>
    <xf numFmtId="43" fontId="10" fillId="0" borderId="17" xfId="6" applyNumberFormat="1" applyFont="1" applyFill="1" applyBorder="1" applyAlignment="1">
      <alignment horizontal="justify" vertical="center"/>
    </xf>
    <xf numFmtId="164" fontId="4" fillId="0" borderId="28" xfId="3" applyNumberFormat="1" applyFont="1" applyBorder="1" applyAlignment="1">
      <alignment horizontal="left" vertical="center"/>
    </xf>
    <xf numFmtId="164" fontId="21" fillId="0" borderId="48" xfId="6" applyFont="1" applyFill="1" applyBorder="1" applyAlignment="1">
      <alignment horizontal="justify" vertical="center"/>
    </xf>
    <xf numFmtId="164" fontId="21" fillId="0" borderId="11" xfId="6" applyFont="1" applyFill="1" applyBorder="1" applyAlignment="1">
      <alignment horizontal="justify" vertical="center"/>
    </xf>
    <xf numFmtId="164" fontId="53" fillId="0" borderId="0" xfId="0" applyNumberFormat="1" applyFont="1" applyAlignment="1">
      <alignment horizontal="center" vertical="center"/>
    </xf>
    <xf numFmtId="41" fontId="84" fillId="0" borderId="0" xfId="1" applyFont="1" applyFill="1" applyBorder="1"/>
    <xf numFmtId="41" fontId="0" fillId="0" borderId="0" xfId="1" applyFont="1" applyFill="1" applyBorder="1"/>
    <xf numFmtId="0" fontId="4" fillId="0" borderId="0" xfId="3" applyFont="1" applyAlignment="1">
      <alignment horizontal="left" vertical="center"/>
    </xf>
    <xf numFmtId="0" fontId="4" fillId="0" borderId="59" xfId="3" applyFont="1" applyBorder="1" applyAlignment="1">
      <alignment horizontal="left" vertical="center"/>
    </xf>
    <xf numFmtId="43" fontId="4" fillId="0" borderId="24" xfId="12" applyFont="1" applyFill="1" applyBorder="1" applyAlignment="1">
      <alignment horizontal="right" vertical="center"/>
    </xf>
    <xf numFmtId="164" fontId="0" fillId="0" borderId="31" xfId="0" applyNumberFormat="1" applyBorder="1"/>
    <xf numFmtId="43" fontId="31" fillId="0" borderId="0" xfId="12" applyFont="1" applyFill="1" applyBorder="1" applyAlignment="1">
      <alignment horizontal="center" vertical="center"/>
    </xf>
    <xf numFmtId="43" fontId="31" fillId="0" borderId="0" xfId="12" applyFont="1" applyFill="1" applyBorder="1" applyAlignment="1">
      <alignment vertical="center"/>
    </xf>
    <xf numFmtId="43" fontId="31" fillId="2" borderId="0" xfId="12" applyFont="1" applyFill="1" applyBorder="1" applyAlignment="1">
      <alignment vertical="center"/>
    </xf>
    <xf numFmtId="9" fontId="31" fillId="0" borderId="0" xfId="8" applyNumberFormat="1" applyFont="1" applyAlignment="1">
      <alignment horizontal="left" vertical="center"/>
    </xf>
    <xf numFmtId="164" fontId="31" fillId="0" borderId="0" xfId="8" applyNumberFormat="1" applyFont="1" applyAlignment="1">
      <alignment horizontal="left" vertical="center"/>
    </xf>
    <xf numFmtId="43" fontId="31" fillId="0" borderId="0" xfId="8" applyNumberFormat="1" applyFont="1" applyAlignment="1">
      <alignment horizontal="left" vertical="center"/>
    </xf>
    <xf numFmtId="169" fontId="4" fillId="0" borderId="28" xfId="12" applyNumberFormat="1" applyFont="1" applyFill="1" applyBorder="1" applyAlignment="1">
      <alignment horizontal="left" vertical="center"/>
    </xf>
    <xf numFmtId="169" fontId="4" fillId="0" borderId="17" xfId="12" applyNumberFormat="1" applyFont="1" applyFill="1" applyBorder="1" applyAlignment="1">
      <alignment horizontal="right" vertical="center"/>
    </xf>
    <xf numFmtId="169" fontId="4" fillId="0" borderId="17" xfId="12" applyNumberFormat="1" applyFont="1" applyFill="1" applyBorder="1" applyAlignment="1">
      <alignment horizontal="left" vertical="center"/>
    </xf>
    <xf numFmtId="43" fontId="10" fillId="0" borderId="68" xfId="6" applyNumberFormat="1" applyFont="1" applyFill="1" applyBorder="1" applyAlignment="1">
      <alignment horizontal="justify" vertical="center"/>
    </xf>
    <xf numFmtId="41" fontId="14" fillId="0" borderId="43" xfId="1" applyFont="1" applyBorder="1"/>
    <xf numFmtId="164" fontId="4" fillId="0" borderId="61" xfId="6" applyFont="1" applyFill="1" applyBorder="1" applyAlignment="1">
      <alignment horizontal="justify" vertical="center"/>
    </xf>
    <xf numFmtId="164" fontId="7" fillId="0" borderId="138" xfId="6" applyFont="1" applyFill="1" applyBorder="1" applyAlignment="1">
      <alignment horizontal="justify" vertical="center"/>
    </xf>
    <xf numFmtId="164" fontId="10" fillId="0" borderId="28" xfId="6" applyFont="1" applyFill="1" applyBorder="1" applyAlignment="1">
      <alignment horizontal="justify" vertical="center"/>
    </xf>
    <xf numFmtId="166" fontId="86" fillId="0" borderId="10" xfId="8" applyNumberFormat="1" applyFont="1" applyBorder="1" applyAlignment="1">
      <alignment horizontal="left" vertical="center"/>
    </xf>
    <xf numFmtId="43" fontId="0" fillId="0" borderId="31" xfId="0" applyNumberFormat="1" applyBorder="1"/>
    <xf numFmtId="164" fontId="4" fillId="0" borderId="10" xfId="6" applyFont="1" applyFill="1" applyBorder="1" applyAlignment="1">
      <alignment horizontal="right" vertical="center"/>
    </xf>
    <xf numFmtId="9" fontId="4" fillId="0" borderId="28" xfId="6" applyNumberFormat="1" applyFont="1" applyFill="1" applyBorder="1" applyAlignment="1">
      <alignment horizontal="left" vertical="center"/>
    </xf>
    <xf numFmtId="0" fontId="7" fillId="0" borderId="20" xfId="3" applyFont="1" applyBorder="1" applyAlignment="1">
      <alignment horizontal="center" vertical="center"/>
    </xf>
    <xf numFmtId="0" fontId="11" fillId="0" borderId="24" xfId="6" applyNumberFormat="1" applyFont="1" applyFill="1" applyBorder="1" applyAlignment="1">
      <alignment horizontal="center" vertical="center"/>
    </xf>
    <xf numFmtId="164" fontId="51" fillId="0" borderId="24" xfId="6" applyFont="1" applyFill="1" applyBorder="1" applyAlignment="1">
      <alignment horizontal="left" vertical="center"/>
    </xf>
    <xf numFmtId="41" fontId="87" fillId="2" borderId="0" xfId="0" applyNumberFormat="1" applyFont="1" applyFill="1"/>
    <xf numFmtId="0" fontId="87" fillId="2" borderId="0" xfId="0" applyFont="1" applyFill="1"/>
    <xf numFmtId="43" fontId="87" fillId="2" borderId="0" xfId="0" applyNumberFormat="1" applyFont="1" applyFill="1"/>
    <xf numFmtId="164" fontId="4" fillId="0" borderId="24" xfId="6" applyFont="1" applyFill="1" applyBorder="1" applyAlignment="1">
      <alignment horizontal="left" vertical="center"/>
    </xf>
    <xf numFmtId="164" fontId="7" fillId="0" borderId="59" xfId="3" applyNumberFormat="1" applyFont="1" applyBorder="1" applyAlignment="1">
      <alignment horizontal="left" vertical="center"/>
    </xf>
    <xf numFmtId="3" fontId="4" fillId="2" borderId="17" xfId="4" applyNumberFormat="1" applyFont="1" applyFill="1" applyBorder="1" applyAlignment="1">
      <alignment horizontal="left" vertical="center" wrapText="1"/>
    </xf>
    <xf numFmtId="0" fontId="11" fillId="0" borderId="117" xfId="0" applyFont="1" applyBorder="1" applyAlignment="1">
      <alignment horizontal="center" vertical="center"/>
    </xf>
    <xf numFmtId="41" fontId="12" fillId="0" borderId="0" xfId="0" applyNumberFormat="1" applyFont="1"/>
    <xf numFmtId="41" fontId="12" fillId="0" borderId="82" xfId="0" applyNumberFormat="1" applyFont="1" applyBorder="1" applyAlignment="1">
      <alignment vertical="center"/>
    </xf>
    <xf numFmtId="41" fontId="12" fillId="0" borderId="0" xfId="0" applyNumberFormat="1" applyFont="1" applyAlignment="1">
      <alignment vertical="center"/>
    </xf>
    <xf numFmtId="0" fontId="54" fillId="0" borderId="122" xfId="0" applyFont="1" applyBorder="1" applyAlignment="1">
      <alignment horizontal="center" vertical="center"/>
    </xf>
    <xf numFmtId="0" fontId="55" fillId="0" borderId="126" xfId="0" applyFont="1" applyBorder="1" applyAlignment="1">
      <alignment horizontal="center" vertical="center"/>
    </xf>
    <xf numFmtId="169" fontId="88" fillId="0" borderId="123" xfId="0" applyNumberFormat="1" applyFont="1" applyBorder="1"/>
    <xf numFmtId="0" fontId="89" fillId="0" borderId="0" xfId="0" applyFont="1"/>
    <xf numFmtId="0" fontId="4" fillId="0" borderId="3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64" fontId="4" fillId="0" borderId="10" xfId="6" applyFont="1" applyFill="1" applyBorder="1" applyAlignment="1">
      <alignment horizontal="center" vertical="center"/>
    </xf>
    <xf numFmtId="41" fontId="11" fillId="0" borderId="10" xfId="1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44" xfId="0" applyNumberFormat="1" applyFont="1" applyBorder="1" applyAlignment="1">
      <alignment vertical="center"/>
    </xf>
    <xf numFmtId="164" fontId="11" fillId="0" borderId="10" xfId="0" applyNumberFormat="1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4" borderId="10" xfId="0" applyNumberFormat="1" applyFill="1" applyBorder="1" applyAlignment="1">
      <alignment vertical="center"/>
    </xf>
    <xf numFmtId="164" fontId="12" fillId="4" borderId="36" xfId="0" applyNumberFormat="1" applyFont="1" applyFill="1" applyBorder="1" applyAlignment="1">
      <alignment vertical="center"/>
    </xf>
    <xf numFmtId="164" fontId="2" fillId="4" borderId="10" xfId="0" applyNumberFormat="1" applyFont="1" applyFill="1" applyBorder="1" applyAlignment="1">
      <alignment vertical="center"/>
    </xf>
    <xf numFmtId="164" fontId="90" fillId="4" borderId="10" xfId="0" applyNumberFormat="1" applyFont="1" applyFill="1" applyBorder="1" applyAlignment="1">
      <alignment vertical="center"/>
    </xf>
    <xf numFmtId="0" fontId="91" fillId="0" borderId="0" xfId="0" applyFont="1" applyAlignment="1">
      <alignment vertical="center"/>
    </xf>
    <xf numFmtId="164" fontId="90" fillId="0" borderId="10" xfId="0" applyNumberFormat="1" applyFont="1" applyBorder="1" applyAlignment="1">
      <alignment vertical="center"/>
    </xf>
    <xf numFmtId="0" fontId="90" fillId="0" borderId="0" xfId="0" applyFont="1" applyAlignment="1">
      <alignment vertical="center"/>
    </xf>
    <xf numFmtId="41" fontId="12" fillId="4" borderId="82" xfId="0" applyNumberFormat="1" applyFont="1" applyFill="1" applyBorder="1" applyAlignment="1">
      <alignment vertical="center"/>
    </xf>
    <xf numFmtId="41" fontId="12" fillId="4" borderId="101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4" xfId="0" applyNumberFormat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0" fillId="4" borderId="88" xfId="0" applyFont="1" applyFill="1" applyBorder="1" applyAlignment="1">
      <alignment horizontal="center" vertical="center" wrapText="1"/>
    </xf>
    <xf numFmtId="0" fontId="20" fillId="4" borderId="94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0" fillId="4" borderId="84" xfId="0" applyFont="1" applyFill="1" applyBorder="1" applyAlignment="1">
      <alignment horizontal="center" vertical="center" wrapText="1"/>
    </xf>
    <xf numFmtId="0" fontId="20" fillId="4" borderId="25" xfId="0" applyFont="1" applyFill="1" applyBorder="1" applyAlignment="1">
      <alignment horizontal="center" vertical="center" wrapText="1"/>
    </xf>
    <xf numFmtId="0" fontId="2" fillId="4" borderId="85" xfId="0" applyFont="1" applyFill="1" applyBorder="1" applyAlignment="1">
      <alignment horizontal="center" vertical="center"/>
    </xf>
    <xf numFmtId="0" fontId="2" fillId="4" borderId="87" xfId="0" applyFont="1" applyFill="1" applyBorder="1" applyAlignment="1">
      <alignment horizontal="center" vertical="center"/>
    </xf>
    <xf numFmtId="0" fontId="57" fillId="4" borderId="4" xfId="0" applyFont="1" applyFill="1" applyBorder="1" applyAlignment="1">
      <alignment horizontal="center" vertical="center"/>
    </xf>
    <xf numFmtId="0" fontId="57" fillId="4" borderId="0" xfId="0" applyFont="1" applyFill="1" applyAlignment="1">
      <alignment horizontal="center" vertical="center"/>
    </xf>
    <xf numFmtId="0" fontId="57" fillId="4" borderId="5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20" fillId="4" borderId="91" xfId="0" applyFont="1" applyFill="1" applyBorder="1" applyAlignment="1">
      <alignment horizontal="center" vertical="center" wrapText="1"/>
    </xf>
    <xf numFmtId="0" fontId="20" fillId="4" borderId="93" xfId="0" applyFont="1" applyFill="1" applyBorder="1" applyAlignment="1">
      <alignment horizontal="center" vertical="center" wrapText="1"/>
    </xf>
    <xf numFmtId="0" fontId="20" fillId="4" borderId="92" xfId="0" applyFont="1" applyFill="1" applyBorder="1" applyAlignment="1">
      <alignment horizontal="center" vertical="center" wrapText="1"/>
    </xf>
    <xf numFmtId="0" fontId="20" fillId="4" borderId="40" xfId="0" applyFont="1" applyFill="1" applyBorder="1" applyAlignment="1">
      <alignment horizontal="center" vertical="center" wrapText="1"/>
    </xf>
    <xf numFmtId="0" fontId="20" fillId="0" borderId="9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6" fillId="4" borderId="99" xfId="0" applyFont="1" applyFill="1" applyBorder="1" applyAlignment="1">
      <alignment horizontal="center" vertical="center" wrapText="1"/>
    </xf>
    <xf numFmtId="0" fontId="26" fillId="4" borderId="10" xfId="0" applyFont="1" applyFill="1" applyBorder="1" applyAlignment="1">
      <alignment horizontal="center" vertical="center" wrapText="1"/>
    </xf>
    <xf numFmtId="0" fontId="20" fillId="4" borderId="99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0" fontId="12" fillId="4" borderId="101" xfId="0" applyFont="1" applyFill="1" applyBorder="1" applyAlignment="1">
      <alignment horizontal="center"/>
    </xf>
    <xf numFmtId="0" fontId="12" fillId="4" borderId="102" xfId="0" applyFont="1" applyFill="1" applyBorder="1" applyAlignment="1">
      <alignment horizontal="center"/>
    </xf>
    <xf numFmtId="0" fontId="7" fillId="4" borderId="48" xfId="3" applyFont="1" applyFill="1" applyBorder="1" applyAlignment="1">
      <alignment horizontal="left" vertical="center"/>
    </xf>
    <xf numFmtId="0" fontId="7" fillId="4" borderId="12" xfId="3" applyFont="1" applyFill="1" applyBorder="1" applyAlignment="1">
      <alignment horizontal="left" vertical="center"/>
    </xf>
    <xf numFmtId="0" fontId="7" fillId="4" borderId="13" xfId="3" applyFont="1" applyFill="1" applyBorder="1" applyAlignment="1">
      <alignment horizontal="left" vertical="center"/>
    </xf>
    <xf numFmtId="164" fontId="4" fillId="0" borderId="15" xfId="6" applyFont="1" applyFill="1" applyBorder="1" applyAlignment="1">
      <alignment horizontal="center" vertical="center" wrapText="1"/>
    </xf>
    <xf numFmtId="0" fontId="7" fillId="0" borderId="19" xfId="3" applyFont="1" applyBorder="1" applyAlignment="1">
      <alignment horizontal="center" vertical="center" wrapText="1"/>
    </xf>
    <xf numFmtId="0" fontId="7" fillId="4" borderId="48" xfId="5" applyFont="1" applyFill="1" applyBorder="1" applyAlignment="1">
      <alignment horizontal="left" vertical="center"/>
    </xf>
    <xf numFmtId="0" fontId="7" fillId="4" borderId="12" xfId="5" applyFont="1" applyFill="1" applyBorder="1" applyAlignment="1">
      <alignment horizontal="left" vertical="center"/>
    </xf>
    <xf numFmtId="0" fontId="7" fillId="4" borderId="13" xfId="5" applyFont="1" applyFill="1" applyBorder="1" applyAlignment="1">
      <alignment horizontal="left" vertical="center"/>
    </xf>
    <xf numFmtId="0" fontId="7" fillId="0" borderId="62" xfId="3" applyFont="1" applyBorder="1" applyAlignment="1">
      <alignment horizontal="left" vertical="center"/>
    </xf>
    <xf numFmtId="0" fontId="7" fillId="0" borderId="54" xfId="3" applyFont="1" applyBorder="1" applyAlignment="1">
      <alignment horizontal="left" vertical="center"/>
    </xf>
    <xf numFmtId="0" fontId="7" fillId="0" borderId="60" xfId="3" applyFont="1" applyBorder="1" applyAlignment="1">
      <alignment horizontal="left" vertical="center"/>
    </xf>
    <xf numFmtId="0" fontId="7" fillId="4" borderId="30" xfId="3" applyFont="1" applyFill="1" applyBorder="1" applyAlignment="1">
      <alignment horizontal="left" vertical="center"/>
    </xf>
    <xf numFmtId="0" fontId="7" fillId="4" borderId="46" xfId="3" applyFont="1" applyFill="1" applyBorder="1" applyAlignment="1">
      <alignment horizontal="left" vertical="center"/>
    </xf>
    <xf numFmtId="164" fontId="4" fillId="0" borderId="15" xfId="6" applyFont="1" applyFill="1" applyBorder="1" applyAlignment="1">
      <alignment horizontal="center" vertical="center"/>
    </xf>
    <xf numFmtId="164" fontId="7" fillId="0" borderId="19" xfId="3" applyNumberFormat="1" applyFont="1" applyBorder="1" applyAlignment="1">
      <alignment horizontal="center" vertical="center" wrapText="1"/>
    </xf>
    <xf numFmtId="0" fontId="4" fillId="0" borderId="28" xfId="3" quotePrefix="1" applyFont="1" applyBorder="1" applyAlignment="1">
      <alignment horizontal="left" vertical="center" wrapText="1"/>
    </xf>
    <xf numFmtId="0" fontId="12" fillId="4" borderId="30" xfId="3" applyFont="1" applyFill="1" applyBorder="1" applyAlignment="1">
      <alignment horizontal="left" vertical="center"/>
    </xf>
    <xf numFmtId="0" fontId="7" fillId="4" borderId="38" xfId="3" applyFont="1" applyFill="1" applyBorder="1" applyAlignment="1">
      <alignment horizontal="left" vertical="center"/>
    </xf>
    <xf numFmtId="0" fontId="7" fillId="4" borderId="47" xfId="3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8" fillId="0" borderId="3" xfId="3" applyFont="1" applyBorder="1" applyAlignment="1">
      <alignment horizontal="left" vertical="center"/>
    </xf>
    <xf numFmtId="0" fontId="7" fillId="4" borderId="96" xfId="3" applyFont="1" applyFill="1" applyBorder="1" applyAlignment="1">
      <alignment horizontal="center" vertical="center" wrapText="1"/>
    </xf>
    <xf numFmtId="0" fontId="7" fillId="4" borderId="97" xfId="3" applyFont="1" applyFill="1" applyBorder="1" applyAlignment="1">
      <alignment horizontal="center" vertical="center" wrapText="1"/>
    </xf>
    <xf numFmtId="0" fontId="7" fillId="4" borderId="98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4" borderId="1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0" xfId="3" applyFont="1" applyFill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5" fillId="4" borderId="6" xfId="3" applyFont="1" applyFill="1" applyBorder="1" applyAlignment="1">
      <alignment horizontal="center" vertical="center"/>
    </xf>
    <xf numFmtId="0" fontId="5" fillId="4" borderId="8" xfId="3" applyFont="1" applyFill="1" applyBorder="1" applyAlignment="1">
      <alignment horizontal="center" vertical="center"/>
    </xf>
    <xf numFmtId="0" fontId="5" fillId="4" borderId="7" xfId="3" applyFont="1" applyFill="1" applyBorder="1" applyAlignment="1">
      <alignment horizontal="center" vertical="center"/>
    </xf>
    <xf numFmtId="164" fontId="39" fillId="7" borderId="0" xfId="6" applyFont="1" applyFill="1" applyAlignment="1">
      <alignment horizontal="right" vertical="center"/>
    </xf>
    <xf numFmtId="0" fontId="7" fillId="0" borderId="89" xfId="0" applyFont="1" applyBorder="1" applyAlignment="1">
      <alignment horizontal="center" vertical="center" wrapText="1"/>
    </xf>
    <xf numFmtId="0" fontId="54" fillId="0" borderId="77" xfId="0" applyFont="1" applyBorder="1" applyAlignment="1">
      <alignment horizontal="left" vertical="center" wrapText="1"/>
    </xf>
    <xf numFmtId="0" fontId="54" fillId="0" borderId="78" xfId="0" applyFont="1" applyBorder="1" applyAlignment="1">
      <alignment horizontal="left" vertical="center" wrapText="1"/>
    </xf>
    <xf numFmtId="0" fontId="54" fillId="0" borderId="77" xfId="0" applyFont="1" applyBorder="1" applyAlignment="1">
      <alignment horizontal="left" vertical="center"/>
    </xf>
    <xf numFmtId="0" fontId="54" fillId="0" borderId="78" xfId="0" applyFont="1" applyBorder="1" applyAlignment="1">
      <alignment horizontal="left" vertical="center"/>
    </xf>
    <xf numFmtId="0" fontId="54" fillId="0" borderId="147" xfId="1" applyNumberFormat="1" applyFont="1" applyBorder="1" applyAlignment="1">
      <alignment horizontal="left" vertical="center"/>
    </xf>
    <xf numFmtId="0" fontId="54" fillId="0" borderId="148" xfId="1" applyNumberFormat="1" applyFont="1" applyBorder="1" applyAlignment="1">
      <alignment horizontal="left" vertical="center"/>
    </xf>
    <xf numFmtId="0" fontId="54" fillId="0" borderId="79" xfId="0" applyFont="1" applyBorder="1" applyAlignment="1">
      <alignment horizontal="left" vertical="center"/>
    </xf>
    <xf numFmtId="0" fontId="54" fillId="0" borderId="171" xfId="0" applyFont="1" applyBorder="1" applyAlignment="1">
      <alignment horizontal="left" vertical="center"/>
    </xf>
    <xf numFmtId="0" fontId="54" fillId="0" borderId="81" xfId="0" applyFont="1" applyBorder="1" applyAlignment="1">
      <alignment horizontal="left" vertical="center"/>
    </xf>
    <xf numFmtId="0" fontId="54" fillId="0" borderId="173" xfId="0" applyFont="1" applyBorder="1" applyAlignment="1">
      <alignment horizontal="left" vertical="center"/>
    </xf>
    <xf numFmtId="0" fontId="55" fillId="4" borderId="88" xfId="0" applyFont="1" applyFill="1" applyBorder="1" applyAlignment="1">
      <alignment horizontal="center" vertical="center"/>
    </xf>
    <xf numFmtId="0" fontId="55" fillId="4" borderId="94" xfId="0" applyFont="1" applyFill="1" applyBorder="1" applyAlignment="1">
      <alignment horizontal="center" vertical="center"/>
    </xf>
    <xf numFmtId="0" fontId="54" fillId="0" borderId="77" xfId="0" applyFont="1" applyBorder="1" applyAlignment="1">
      <alignment horizontal="left" wrapText="1"/>
    </xf>
    <xf numFmtId="0" fontId="54" fillId="0" borderId="78" xfId="0" applyFont="1" applyBorder="1" applyAlignment="1">
      <alignment horizontal="left" wrapText="1"/>
    </xf>
    <xf numFmtId="0" fontId="54" fillId="0" borderId="75" xfId="0" applyFont="1" applyBorder="1" applyAlignment="1">
      <alignment horizontal="left" wrapText="1"/>
    </xf>
    <xf numFmtId="0" fontId="54" fillId="0" borderId="138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7" fillId="4" borderId="100" xfId="6" applyFont="1" applyFill="1" applyBorder="1" applyAlignment="1">
      <alignment horizontal="center" vertical="center" wrapText="1"/>
    </xf>
    <xf numFmtId="164" fontId="7" fillId="4" borderId="108" xfId="6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7" fillId="4" borderId="91" xfId="0" applyFont="1" applyFill="1" applyBorder="1" applyAlignment="1">
      <alignment horizontal="center" vertical="center" wrapText="1"/>
    </xf>
    <xf numFmtId="0" fontId="7" fillId="4" borderId="93" xfId="0" applyFont="1" applyFill="1" applyBorder="1" applyAlignment="1">
      <alignment horizontal="center" vertical="center" wrapText="1"/>
    </xf>
    <xf numFmtId="0" fontId="7" fillId="4" borderId="9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0" borderId="9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4" borderId="84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8" fillId="0" borderId="1" xfId="3" applyFont="1" applyBorder="1" applyAlignment="1">
      <alignment horizontal="left" vertical="center"/>
    </xf>
    <xf numFmtId="0" fontId="7" fillId="4" borderId="92" xfId="0" applyFont="1" applyFill="1" applyBorder="1" applyAlignment="1">
      <alignment horizontal="center" vertical="center" wrapText="1"/>
    </xf>
    <xf numFmtId="0" fontId="7" fillId="4" borderId="107" xfId="0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164" fontId="4" fillId="0" borderId="17" xfId="6" applyFont="1" applyFill="1" applyBorder="1" applyAlignment="1">
      <alignment horizontal="left" vertical="center"/>
    </xf>
    <xf numFmtId="164" fontId="4" fillId="0" borderId="17" xfId="6" applyFont="1" applyFill="1" applyBorder="1" applyAlignment="1">
      <alignment horizontal="left" vertical="center" wrapText="1"/>
    </xf>
    <xf numFmtId="164" fontId="4" fillId="0" borderId="17" xfId="3" applyNumberFormat="1" applyFont="1" applyBorder="1" applyAlignment="1">
      <alignment horizontal="left" vertical="center"/>
    </xf>
    <xf numFmtId="164" fontId="4" fillId="0" borderId="15" xfId="3" applyNumberFormat="1" applyFont="1" applyBorder="1" applyAlignment="1">
      <alignment horizontal="left" vertical="center"/>
    </xf>
    <xf numFmtId="0" fontId="7" fillId="0" borderId="19" xfId="3" applyFont="1" applyBorder="1" applyAlignment="1">
      <alignment horizontal="right" vertical="center"/>
    </xf>
    <xf numFmtId="164" fontId="4" fillId="0" borderId="17" xfId="3" applyNumberFormat="1" applyFont="1" applyBorder="1" applyAlignment="1">
      <alignment horizontal="left" vertical="center" wrapText="1"/>
    </xf>
    <xf numFmtId="164" fontId="4" fillId="0" borderId="15" xfId="6" applyFont="1" applyFill="1" applyBorder="1" applyAlignment="1">
      <alignment horizontal="left" vertical="center"/>
    </xf>
    <xf numFmtId="0" fontId="7" fillId="4" borderId="11" xfId="3" applyFont="1" applyFill="1" applyBorder="1" applyAlignment="1">
      <alignment horizontal="left" vertical="center" wrapText="1"/>
    </xf>
    <xf numFmtId="0" fontId="7" fillId="4" borderId="12" xfId="3" applyFont="1" applyFill="1" applyBorder="1" applyAlignment="1">
      <alignment horizontal="left" vertical="center" wrapText="1"/>
    </xf>
    <xf numFmtId="0" fontId="7" fillId="4" borderId="13" xfId="3" applyFont="1" applyFill="1" applyBorder="1" applyAlignment="1">
      <alignment horizontal="left" vertical="center" wrapText="1"/>
    </xf>
    <xf numFmtId="164" fontId="4" fillId="0" borderId="21" xfId="3" applyNumberFormat="1" applyFont="1" applyBorder="1" applyAlignment="1">
      <alignment horizontal="left" vertical="center"/>
    </xf>
    <xf numFmtId="164" fontId="4" fillId="0" borderId="22" xfId="3" applyNumberFormat="1" applyFont="1" applyBorder="1" applyAlignment="1">
      <alignment horizontal="left" vertical="center"/>
    </xf>
    <xf numFmtId="164" fontId="4" fillId="0" borderId="23" xfId="3" applyNumberFormat="1" applyFont="1" applyBorder="1" applyAlignment="1">
      <alignment horizontal="left" vertical="center"/>
    </xf>
    <xf numFmtId="0" fontId="5" fillId="0" borderId="9" xfId="3" applyFont="1" applyBorder="1" applyAlignment="1">
      <alignment horizontal="left" wrapText="1"/>
    </xf>
    <xf numFmtId="0" fontId="16" fillId="0" borderId="3" xfId="3" applyFont="1" applyBorder="1" applyAlignment="1">
      <alignment horizontal="left" vertical="center"/>
    </xf>
    <xf numFmtId="164" fontId="7" fillId="4" borderId="99" xfId="6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4" fillId="0" borderId="6" xfId="3" applyFont="1" applyBorder="1" applyAlignment="1">
      <alignment horizontal="center" vertical="center"/>
    </xf>
    <xf numFmtId="0" fontId="4" fillId="0" borderId="7" xfId="3" applyFont="1" applyBorder="1" applyAlignment="1">
      <alignment horizontal="center" vertical="center"/>
    </xf>
    <xf numFmtId="3" fontId="4" fillId="0" borderId="62" xfId="3" applyNumberFormat="1" applyFont="1" applyBorder="1" applyAlignment="1">
      <alignment horizontal="center" vertical="center"/>
    </xf>
    <xf numFmtId="3" fontId="4" fillId="0" borderId="60" xfId="3" applyNumberFormat="1" applyFont="1" applyBorder="1" applyAlignment="1">
      <alignment horizontal="center" vertical="center"/>
    </xf>
    <xf numFmtId="3" fontId="4" fillId="0" borderId="48" xfId="3" applyNumberFormat="1" applyFont="1" applyBorder="1" applyAlignment="1">
      <alignment horizontal="center" vertical="center"/>
    </xf>
    <xf numFmtId="3" fontId="4" fillId="0" borderId="70" xfId="3" applyNumberFormat="1" applyFont="1" applyBorder="1" applyAlignment="1">
      <alignment horizontal="center" vertical="center"/>
    </xf>
    <xf numFmtId="3" fontId="4" fillId="0" borderId="65" xfId="3" applyNumberFormat="1" applyFont="1" applyBorder="1" applyAlignment="1">
      <alignment horizontal="center" vertical="center"/>
    </xf>
    <xf numFmtId="3" fontId="4" fillId="0" borderId="66" xfId="3" applyNumberFormat="1" applyFont="1" applyBorder="1" applyAlignment="1">
      <alignment horizontal="center" vertical="center"/>
    </xf>
    <xf numFmtId="164" fontId="7" fillId="4" borderId="96" xfId="6" applyFont="1" applyFill="1" applyBorder="1" applyAlignment="1">
      <alignment horizontal="center" vertical="center" wrapText="1"/>
    </xf>
    <xf numFmtId="164" fontId="7" fillId="4" borderId="97" xfId="6" applyFont="1" applyFill="1" applyBorder="1" applyAlignment="1">
      <alignment horizontal="center" vertical="center" wrapText="1"/>
    </xf>
    <xf numFmtId="164" fontId="7" fillId="4" borderId="98" xfId="6" applyFont="1" applyFill="1" applyBorder="1" applyAlignment="1">
      <alignment horizontal="center" vertical="center" wrapText="1"/>
    </xf>
    <xf numFmtId="0" fontId="7" fillId="0" borderId="61" xfId="3" applyFont="1" applyBorder="1" applyAlignment="1">
      <alignment horizontal="right" vertical="center"/>
    </xf>
    <xf numFmtId="0" fontId="7" fillId="0" borderId="55" xfId="3" applyFont="1" applyBorder="1" applyAlignment="1">
      <alignment horizontal="right" vertical="center"/>
    </xf>
    <xf numFmtId="0" fontId="7" fillId="0" borderId="49" xfId="3" applyFont="1" applyBorder="1" applyAlignment="1">
      <alignment horizontal="right" vertical="center"/>
    </xf>
    <xf numFmtId="164" fontId="4" fillId="0" borderId="62" xfId="3" applyNumberFormat="1" applyFont="1" applyBorder="1" applyAlignment="1">
      <alignment horizontal="left" vertical="center"/>
    </xf>
    <xf numFmtId="164" fontId="4" fillId="0" borderId="54" xfId="3" applyNumberFormat="1" applyFont="1" applyBorder="1" applyAlignment="1">
      <alignment horizontal="left" vertical="center"/>
    </xf>
    <xf numFmtId="164" fontId="4" fillId="0" borderId="60" xfId="3" applyNumberFormat="1" applyFont="1" applyBorder="1" applyAlignment="1">
      <alignment horizontal="left" vertical="center"/>
    </xf>
    <xf numFmtId="0" fontId="4" fillId="0" borderId="17" xfId="6" applyNumberFormat="1" applyFont="1" applyFill="1" applyBorder="1" applyAlignment="1">
      <alignment horizontal="center" vertical="center"/>
    </xf>
    <xf numFmtId="9" fontId="4" fillId="0" borderId="15" xfId="3" applyNumberFormat="1" applyFont="1" applyBorder="1" applyAlignment="1">
      <alignment horizontal="center" vertical="center"/>
    </xf>
    <xf numFmtId="9" fontId="4" fillId="0" borderId="21" xfId="3" applyNumberFormat="1" applyFont="1" applyBorder="1" applyAlignment="1">
      <alignment horizontal="center" vertical="center"/>
    </xf>
    <xf numFmtId="9" fontId="4" fillId="0" borderId="22" xfId="3" applyNumberFormat="1" applyFont="1" applyBorder="1" applyAlignment="1">
      <alignment horizontal="center" vertical="center"/>
    </xf>
    <xf numFmtId="9" fontId="4" fillId="0" borderId="23" xfId="3" applyNumberFormat="1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9" fontId="4" fillId="0" borderId="17" xfId="3" applyNumberFormat="1" applyFont="1" applyBorder="1" applyAlignment="1">
      <alignment horizontal="center" vertical="center"/>
    </xf>
    <xf numFmtId="164" fontId="11" fillId="2" borderId="17" xfId="6" applyFont="1" applyFill="1" applyBorder="1" applyAlignment="1">
      <alignment horizontal="left" vertical="center"/>
    </xf>
    <xf numFmtId="164" fontId="4" fillId="0" borderId="21" xfId="3" applyNumberFormat="1" applyFont="1" applyBorder="1" applyAlignment="1">
      <alignment horizontal="left" vertical="center" wrapText="1"/>
    </xf>
    <xf numFmtId="164" fontId="4" fillId="0" borderId="22" xfId="3" applyNumberFormat="1" applyFont="1" applyBorder="1" applyAlignment="1">
      <alignment horizontal="left" vertical="center" wrapText="1"/>
    </xf>
    <xf numFmtId="164" fontId="4" fillId="0" borderId="23" xfId="3" applyNumberFormat="1" applyFont="1" applyBorder="1" applyAlignment="1">
      <alignment horizontal="left" vertical="center" wrapText="1"/>
    </xf>
    <xf numFmtId="0" fontId="7" fillId="0" borderId="65" xfId="3" applyFont="1" applyBorder="1" applyAlignment="1">
      <alignment horizontal="right" vertical="center"/>
    </xf>
    <xf numFmtId="0" fontId="7" fillId="0" borderId="9" xfId="3" applyFont="1" applyBorder="1" applyAlignment="1">
      <alignment horizontal="right" vertical="center"/>
    </xf>
    <xf numFmtId="0" fontId="7" fillId="0" borderId="66" xfId="3" applyFont="1" applyBorder="1" applyAlignment="1">
      <alignment horizontal="right" vertical="center"/>
    </xf>
    <xf numFmtId="164" fontId="4" fillId="0" borderId="50" xfId="3" applyNumberFormat="1" applyFont="1" applyBorder="1" applyAlignment="1">
      <alignment horizontal="left" vertical="center"/>
    </xf>
    <xf numFmtId="164" fontId="4" fillId="0" borderId="63" xfId="3" applyNumberFormat="1" applyFont="1" applyBorder="1" applyAlignment="1">
      <alignment horizontal="left" vertical="center"/>
    </xf>
    <xf numFmtId="164" fontId="4" fillId="0" borderId="59" xfId="3" applyNumberFormat="1" applyFont="1" applyBorder="1" applyAlignment="1">
      <alignment horizontal="left" vertical="center"/>
    </xf>
    <xf numFmtId="0" fontId="4" fillId="0" borderId="17" xfId="3" applyFont="1" applyBorder="1" applyAlignment="1">
      <alignment horizontal="center" vertical="center"/>
    </xf>
    <xf numFmtId="0" fontId="4" fillId="0" borderId="15" xfId="3" applyFont="1" applyBorder="1" applyAlignment="1">
      <alignment horizontal="center" vertical="center"/>
    </xf>
    <xf numFmtId="164" fontId="11" fillId="0" borderId="15" xfId="3" applyNumberFormat="1" applyFont="1" applyBorder="1" applyAlignment="1">
      <alignment horizontal="left" vertical="center"/>
    </xf>
    <xf numFmtId="164" fontId="4" fillId="0" borderId="28" xfId="3" applyNumberFormat="1" applyFont="1" applyBorder="1" applyAlignment="1">
      <alignment horizontal="left" vertical="center"/>
    </xf>
    <xf numFmtId="164" fontId="11" fillId="0" borderId="62" xfId="3" applyNumberFormat="1" applyFont="1" applyBorder="1" applyAlignment="1">
      <alignment horizontal="left" vertical="center"/>
    </xf>
    <xf numFmtId="164" fontId="11" fillId="0" borderId="54" xfId="3" applyNumberFormat="1" applyFont="1" applyBorder="1" applyAlignment="1">
      <alignment horizontal="left" vertical="center"/>
    </xf>
    <xf numFmtId="164" fontId="11" fillId="0" borderId="60" xfId="3" applyNumberFormat="1" applyFont="1" applyBorder="1" applyAlignment="1">
      <alignment horizontal="left" vertical="center"/>
    </xf>
    <xf numFmtId="164" fontId="11" fillId="2" borderId="21" xfId="6" applyFont="1" applyFill="1" applyBorder="1" applyAlignment="1">
      <alignment horizontal="left" vertical="center"/>
    </xf>
    <xf numFmtId="164" fontId="11" fillId="2" borderId="22" xfId="6" applyFont="1" applyFill="1" applyBorder="1" applyAlignment="1">
      <alignment horizontal="left" vertical="center"/>
    </xf>
    <xf numFmtId="164" fontId="11" fillId="2" borderId="23" xfId="6" applyFont="1" applyFill="1" applyBorder="1" applyAlignment="1">
      <alignment horizontal="left" vertical="center"/>
    </xf>
    <xf numFmtId="0" fontId="62" fillId="0" borderId="9" xfId="0" applyFont="1" applyBorder="1" applyAlignment="1">
      <alignment horizontal="left"/>
    </xf>
    <xf numFmtId="10" fontId="7" fillId="0" borderId="17" xfId="3" applyNumberFormat="1" applyFont="1" applyBorder="1" applyAlignment="1">
      <alignment horizontal="center" vertical="center"/>
    </xf>
    <xf numFmtId="10" fontId="7" fillId="0" borderId="15" xfId="3" applyNumberFormat="1" applyFont="1" applyBorder="1" applyAlignment="1">
      <alignment horizontal="center" vertical="center"/>
    </xf>
    <xf numFmtId="164" fontId="4" fillId="0" borderId="38" xfId="3" applyNumberFormat="1" applyFont="1" applyBorder="1" applyAlignment="1">
      <alignment horizontal="left" vertical="center"/>
    </xf>
    <xf numFmtId="164" fontId="9" fillId="0" borderId="17" xfId="6" applyFont="1" applyFill="1" applyBorder="1" applyAlignment="1">
      <alignment horizontal="left" vertical="center" wrapText="1"/>
    </xf>
    <xf numFmtId="164" fontId="4" fillId="0" borderId="21" xfId="6" applyFont="1" applyFill="1" applyBorder="1" applyAlignment="1">
      <alignment horizontal="left" vertical="center"/>
    </xf>
    <xf numFmtId="164" fontId="4" fillId="0" borderId="22" xfId="6" applyFont="1" applyFill="1" applyBorder="1" applyAlignment="1">
      <alignment horizontal="left" vertical="center"/>
    </xf>
    <xf numFmtId="164" fontId="4" fillId="0" borderId="23" xfId="6" applyFont="1" applyFill="1" applyBorder="1" applyAlignment="1">
      <alignment horizontal="left" vertical="center"/>
    </xf>
    <xf numFmtId="0" fontId="55" fillId="4" borderId="101" xfId="0" applyFont="1" applyFill="1" applyBorder="1" applyAlignment="1">
      <alignment horizontal="center"/>
    </xf>
    <xf numFmtId="0" fontId="55" fillId="4" borderId="102" xfId="0" applyFont="1" applyFill="1" applyBorder="1" applyAlignment="1">
      <alignment horizontal="center"/>
    </xf>
    <xf numFmtId="0" fontId="55" fillId="4" borderId="103" xfId="0" applyFont="1" applyFill="1" applyBorder="1" applyAlignment="1">
      <alignment horizontal="center"/>
    </xf>
    <xf numFmtId="0" fontId="4" fillId="0" borderId="62" xfId="3" applyFont="1" applyBorder="1" applyAlignment="1">
      <alignment horizontal="left" vertical="center"/>
    </xf>
    <xf numFmtId="0" fontId="4" fillId="0" borderId="54" xfId="3" applyFont="1" applyBorder="1" applyAlignment="1">
      <alignment horizontal="left" vertical="center"/>
    </xf>
    <xf numFmtId="0" fontId="4" fillId="0" borderId="60" xfId="3" applyFont="1" applyBorder="1" applyAlignment="1">
      <alignment horizontal="left" vertical="center"/>
    </xf>
    <xf numFmtId="164" fontId="4" fillId="0" borderId="61" xfId="6" applyFont="1" applyFill="1" applyBorder="1" applyAlignment="1">
      <alignment horizontal="center" vertical="center"/>
    </xf>
    <xf numFmtId="164" fontId="4" fillId="0" borderId="55" xfId="6" applyFont="1" applyFill="1" applyBorder="1" applyAlignment="1">
      <alignment horizontal="center" vertical="center"/>
    </xf>
    <xf numFmtId="164" fontId="4" fillId="0" borderId="49" xfId="6" applyFont="1" applyFill="1" applyBorder="1" applyAlignment="1">
      <alignment horizontal="center" vertical="center"/>
    </xf>
    <xf numFmtId="0" fontId="7" fillId="0" borderId="35" xfId="3" applyFont="1" applyBorder="1" applyAlignment="1">
      <alignment horizontal="right" vertical="center"/>
    </xf>
    <xf numFmtId="0" fontId="4" fillId="0" borderId="15" xfId="6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4" borderId="1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0" fontId="3" fillId="0" borderId="72" xfId="0" applyFont="1" applyBorder="1" applyAlignment="1">
      <alignment horizontal="center" vertical="center"/>
    </xf>
    <xf numFmtId="0" fontId="55" fillId="4" borderId="85" xfId="0" applyFont="1" applyFill="1" applyBorder="1" applyAlignment="1">
      <alignment horizontal="center" vertical="center"/>
    </xf>
    <xf numFmtId="0" fontId="55" fillId="4" borderId="87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0" fillId="4" borderId="83" xfId="0" applyFont="1" applyFill="1" applyBorder="1" applyAlignment="1">
      <alignment horizontal="center" vertical="center" wrapText="1"/>
    </xf>
    <xf numFmtId="0" fontId="20" fillId="4" borderId="86" xfId="0" applyFont="1" applyFill="1" applyBorder="1" applyAlignment="1">
      <alignment horizontal="center" vertical="center" wrapText="1"/>
    </xf>
    <xf numFmtId="0" fontId="26" fillId="4" borderId="84" xfId="0" applyFont="1" applyFill="1" applyBorder="1" applyAlignment="1">
      <alignment horizontal="center" vertical="center" wrapText="1"/>
    </xf>
    <xf numFmtId="0" fontId="26" fillId="4" borderId="25" xfId="0" applyFont="1" applyFill="1" applyBorder="1" applyAlignment="1">
      <alignment horizontal="center" vertical="center" wrapText="1"/>
    </xf>
    <xf numFmtId="0" fontId="20" fillId="0" borderId="8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11" fillId="0" borderId="17" xfId="3" applyFont="1" applyBorder="1" applyAlignment="1">
      <alignment horizontal="left" vertical="center"/>
    </xf>
    <xf numFmtId="0" fontId="4" fillId="0" borderId="17" xfId="3" applyFont="1" applyBorder="1" applyAlignment="1">
      <alignment horizontal="left" vertical="center"/>
    </xf>
    <xf numFmtId="164" fontId="4" fillId="0" borderId="17" xfId="6" applyFont="1" applyFill="1" applyBorder="1" applyAlignment="1">
      <alignment horizontal="center" vertical="center"/>
    </xf>
    <xf numFmtId="0" fontId="4" fillId="0" borderId="15" xfId="3" applyFont="1" applyBorder="1" applyAlignment="1">
      <alignment horizontal="left" vertical="center"/>
    </xf>
    <xf numFmtId="0" fontId="4" fillId="0" borderId="21" xfId="3" applyFont="1" applyBorder="1" applyAlignment="1">
      <alignment horizontal="left" vertical="center"/>
    </xf>
    <xf numFmtId="0" fontId="4" fillId="0" borderId="23" xfId="3" applyFont="1" applyBorder="1" applyAlignment="1">
      <alignment horizontal="left" vertical="center"/>
    </xf>
    <xf numFmtId="0" fontId="7" fillId="0" borderId="18" xfId="3" applyFont="1" applyBorder="1" applyAlignment="1">
      <alignment horizontal="right" vertical="center"/>
    </xf>
    <xf numFmtId="0" fontId="4" fillId="0" borderId="15" xfId="3" applyFont="1" applyBorder="1" applyAlignment="1">
      <alignment horizontal="left" vertical="center" wrapText="1"/>
    </xf>
    <xf numFmtId="0" fontId="4" fillId="0" borderId="22" xfId="3" applyFont="1" applyBorder="1" applyAlignment="1">
      <alignment horizontal="left" vertical="center"/>
    </xf>
    <xf numFmtId="0" fontId="7" fillId="4" borderId="101" xfId="3" applyFont="1" applyFill="1" applyBorder="1" applyAlignment="1">
      <alignment horizontal="center" vertical="center"/>
    </xf>
    <xf numFmtId="0" fontId="7" fillId="4" borderId="102" xfId="3" applyFont="1" applyFill="1" applyBorder="1" applyAlignment="1">
      <alignment horizontal="center" vertical="center"/>
    </xf>
    <xf numFmtId="0" fontId="7" fillId="4" borderId="103" xfId="3" applyFont="1" applyFill="1" applyBorder="1" applyAlignment="1">
      <alignment horizontal="center" vertical="center"/>
    </xf>
    <xf numFmtId="0" fontId="7" fillId="0" borderId="75" xfId="3" applyFont="1" applyBorder="1" applyAlignment="1">
      <alignment horizontal="right" vertical="center"/>
    </xf>
    <xf numFmtId="0" fontId="4" fillId="0" borderId="15" xfId="3" quotePrefix="1" applyFont="1" applyBorder="1" applyAlignment="1">
      <alignment horizontal="left" vertical="center" wrapText="1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164" fontId="4" fillId="0" borderId="61" xfId="3" applyNumberFormat="1" applyFont="1" applyBorder="1" applyAlignment="1">
      <alignment horizontal="left" vertical="center"/>
    </xf>
    <xf numFmtId="164" fontId="4" fillId="0" borderId="49" xfId="3" applyNumberFormat="1" applyFont="1" applyBorder="1" applyAlignment="1">
      <alignment horizontal="left" vertical="center"/>
    </xf>
    <xf numFmtId="0" fontId="7" fillId="4" borderId="11" xfId="3" applyFont="1" applyFill="1" applyBorder="1" applyAlignment="1">
      <alignment horizontal="left" vertical="center"/>
    </xf>
    <xf numFmtId="0" fontId="7" fillId="4" borderId="27" xfId="3" applyFont="1" applyFill="1" applyBorder="1" applyAlignment="1">
      <alignment horizontal="left" vertical="center"/>
    </xf>
    <xf numFmtId="0" fontId="7" fillId="4" borderId="26" xfId="3" applyFont="1" applyFill="1" applyBorder="1" applyAlignment="1">
      <alignment horizontal="left" vertical="center"/>
    </xf>
    <xf numFmtId="0" fontId="7" fillId="4" borderId="39" xfId="3" applyFont="1" applyFill="1" applyBorder="1" applyAlignment="1">
      <alignment horizontal="left" vertical="center"/>
    </xf>
    <xf numFmtId="0" fontId="4" fillId="0" borderId="62" xfId="3" quotePrefix="1" applyFont="1" applyBorder="1" applyAlignment="1">
      <alignment horizontal="left" vertical="center"/>
    </xf>
    <xf numFmtId="0" fontId="4" fillId="0" borderId="54" xfId="3" quotePrefix="1" applyFont="1" applyBorder="1" applyAlignment="1">
      <alignment horizontal="left" vertical="center"/>
    </xf>
    <xf numFmtId="0" fontId="4" fillId="0" borderId="60" xfId="3" quotePrefix="1" applyFont="1" applyBorder="1" applyAlignment="1">
      <alignment horizontal="left" vertical="center"/>
    </xf>
    <xf numFmtId="0" fontId="7" fillId="0" borderId="61" xfId="3" applyFont="1" applyBorder="1" applyAlignment="1">
      <alignment horizontal="center" vertical="center"/>
    </xf>
    <xf numFmtId="0" fontId="7" fillId="0" borderId="55" xfId="3" applyFont="1" applyBorder="1" applyAlignment="1">
      <alignment horizontal="center" vertical="center"/>
    </xf>
    <xf numFmtId="0" fontId="7" fillId="0" borderId="49" xfId="3" applyFont="1" applyBorder="1" applyAlignment="1">
      <alignment horizontal="center" vertical="center"/>
    </xf>
    <xf numFmtId="0" fontId="4" fillId="0" borderId="17" xfId="3" quotePrefix="1" applyFont="1" applyBorder="1" applyAlignment="1">
      <alignment horizontal="left" vertical="center"/>
    </xf>
    <xf numFmtId="0" fontId="4" fillId="0" borderId="15" xfId="3" quotePrefix="1" applyFont="1" applyBorder="1" applyAlignment="1">
      <alignment horizontal="left" vertical="center"/>
    </xf>
    <xf numFmtId="0" fontId="4" fillId="0" borderId="15" xfId="6" applyNumberFormat="1" applyFont="1" applyFill="1" applyBorder="1" applyAlignment="1">
      <alignment horizontal="left" vertical="center"/>
    </xf>
    <xf numFmtId="0" fontId="4" fillId="0" borderId="17" xfId="3" quotePrefix="1" applyFont="1" applyBorder="1" applyAlignment="1">
      <alignment horizontal="left" vertical="center" wrapText="1"/>
    </xf>
    <xf numFmtId="164" fontId="4" fillId="0" borderId="62" xfId="6" applyFont="1" applyFill="1" applyBorder="1" applyAlignment="1">
      <alignment horizontal="left" vertical="center"/>
    </xf>
    <xf numFmtId="164" fontId="4" fillId="0" borderId="54" xfId="6" applyFont="1" applyFill="1" applyBorder="1" applyAlignment="1">
      <alignment horizontal="left" vertical="center"/>
    </xf>
    <xf numFmtId="164" fontId="4" fillId="0" borderId="60" xfId="6" applyFont="1" applyFill="1" applyBorder="1" applyAlignment="1">
      <alignment horizontal="left" vertical="center"/>
    </xf>
    <xf numFmtId="0" fontId="4" fillId="0" borderId="77" xfId="3" applyFont="1" applyBorder="1" applyAlignment="1">
      <alignment horizontal="center" vertical="center"/>
    </xf>
    <xf numFmtId="0" fontId="4" fillId="0" borderId="22" xfId="3" applyFont="1" applyBorder="1" applyAlignment="1">
      <alignment horizontal="center" vertical="center"/>
    </xf>
    <xf numFmtId="0" fontId="4" fillId="0" borderId="78" xfId="3" applyFont="1" applyBorder="1" applyAlignment="1">
      <alignment horizontal="center" vertical="center"/>
    </xf>
    <xf numFmtId="0" fontId="7" fillId="0" borderId="21" xfId="3" applyFont="1" applyBorder="1" applyAlignment="1">
      <alignment horizontal="left" vertical="center"/>
    </xf>
    <xf numFmtId="0" fontId="7" fillId="0" borderId="22" xfId="3" applyFont="1" applyBorder="1" applyAlignment="1">
      <alignment horizontal="left" vertical="center"/>
    </xf>
    <xf numFmtId="0" fontId="7" fillId="0" borderId="78" xfId="3" applyFont="1" applyBorder="1" applyAlignment="1">
      <alignment horizontal="left" vertical="center"/>
    </xf>
    <xf numFmtId="164" fontId="4" fillId="0" borderId="21" xfId="6" quotePrefix="1" applyFont="1" applyFill="1" applyBorder="1" applyAlignment="1">
      <alignment horizontal="left" vertical="center"/>
    </xf>
    <xf numFmtId="164" fontId="4" fillId="0" borderId="22" xfId="6" quotePrefix="1" applyFont="1" applyFill="1" applyBorder="1" applyAlignment="1">
      <alignment horizontal="left" vertical="center"/>
    </xf>
    <xf numFmtId="164" fontId="4" fillId="0" borderId="23" xfId="6" quotePrefix="1" applyFont="1" applyFill="1" applyBorder="1" applyAlignment="1">
      <alignment horizontal="left" vertical="center"/>
    </xf>
    <xf numFmtId="164" fontId="4" fillId="0" borderId="50" xfId="6" applyFont="1" applyFill="1" applyBorder="1" applyAlignment="1">
      <alignment horizontal="left" vertical="center"/>
    </xf>
    <xf numFmtId="164" fontId="4" fillId="0" borderId="59" xfId="6" applyFont="1" applyFill="1" applyBorder="1" applyAlignment="1">
      <alignment horizontal="left" vertical="center"/>
    </xf>
    <xf numFmtId="0" fontId="7" fillId="0" borderId="15" xfId="3" quotePrefix="1" applyFont="1" applyBorder="1" applyAlignment="1">
      <alignment horizontal="left" vertical="center" wrapText="1"/>
    </xf>
    <xf numFmtId="0" fontId="7" fillId="0" borderId="56" xfId="3" quotePrefix="1" applyFont="1" applyBorder="1" applyAlignment="1">
      <alignment horizontal="left" vertical="center" wrapText="1"/>
    </xf>
    <xf numFmtId="0" fontId="4" fillId="0" borderId="17" xfId="3" applyFont="1" applyBorder="1" applyAlignment="1">
      <alignment horizontal="left" vertical="center" wrapText="1"/>
    </xf>
    <xf numFmtId="0" fontId="4" fillId="0" borderId="18" xfId="3" quotePrefix="1" applyFont="1" applyBorder="1" applyAlignment="1">
      <alignment horizontal="left" vertical="center"/>
    </xf>
    <xf numFmtId="0" fontId="4" fillId="0" borderId="19" xfId="3" quotePrefix="1" applyFont="1" applyBorder="1" applyAlignment="1">
      <alignment horizontal="left" vertical="center"/>
    </xf>
    <xf numFmtId="0" fontId="4" fillId="0" borderId="58" xfId="3" quotePrefix="1" applyFont="1" applyBorder="1" applyAlignment="1">
      <alignment horizontal="left" vertical="center"/>
    </xf>
    <xf numFmtId="0" fontId="4" fillId="0" borderId="16" xfId="3" quotePrefix="1" applyFont="1" applyBorder="1" applyAlignment="1">
      <alignment horizontal="left" vertical="center"/>
    </xf>
    <xf numFmtId="0" fontId="4" fillId="0" borderId="57" xfId="3" quotePrefix="1" applyFont="1" applyBorder="1" applyAlignment="1">
      <alignment horizontal="left" vertical="center"/>
    </xf>
    <xf numFmtId="0" fontId="4" fillId="0" borderId="14" xfId="3" quotePrefix="1" applyFont="1" applyBorder="1" applyAlignment="1">
      <alignment horizontal="left" vertical="center"/>
    </xf>
    <xf numFmtId="0" fontId="4" fillId="0" borderId="56" xfId="3" quotePrefix="1" applyFont="1" applyBorder="1" applyAlignment="1">
      <alignment horizontal="left" vertical="center"/>
    </xf>
    <xf numFmtId="0" fontId="4" fillId="0" borderId="62" xfId="3" applyFont="1" applyBorder="1" applyAlignment="1">
      <alignment horizontal="left" vertical="center" wrapText="1"/>
    </xf>
    <xf numFmtId="0" fontId="4" fillId="0" borderId="54" xfId="3" applyFont="1" applyBorder="1" applyAlignment="1">
      <alignment horizontal="left" vertical="center" wrapText="1"/>
    </xf>
    <xf numFmtId="0" fontId="4" fillId="0" borderId="60" xfId="3" applyFont="1" applyBorder="1" applyAlignment="1">
      <alignment horizontal="left" vertical="center" wrapText="1"/>
    </xf>
    <xf numFmtId="0" fontId="4" fillId="0" borderId="21" xfId="3" applyFont="1" applyBorder="1" applyAlignment="1">
      <alignment horizontal="left" vertical="center" wrapText="1"/>
    </xf>
    <xf numFmtId="0" fontId="4" fillId="0" borderId="22" xfId="3" applyFont="1" applyBorder="1" applyAlignment="1">
      <alignment horizontal="left" vertical="center" wrapText="1"/>
    </xf>
    <xf numFmtId="0" fontId="4" fillId="0" borderId="23" xfId="3" applyFont="1" applyBorder="1" applyAlignment="1">
      <alignment horizontal="left" vertical="center" wrapText="1"/>
    </xf>
    <xf numFmtId="0" fontId="11" fillId="0" borderId="62" xfId="3" applyFont="1" applyBorder="1" applyAlignment="1">
      <alignment horizontal="left" vertical="center"/>
    </xf>
    <xf numFmtId="0" fontId="11" fillId="0" borderId="54" xfId="3" applyFont="1" applyBorder="1" applyAlignment="1">
      <alignment horizontal="left" vertical="center"/>
    </xf>
    <xf numFmtId="0" fontId="11" fillId="0" borderId="60" xfId="3" applyFont="1" applyBorder="1" applyAlignment="1">
      <alignment horizontal="left" vertical="center"/>
    </xf>
    <xf numFmtId="0" fontId="11" fillId="0" borderId="21" xfId="3" applyFont="1" applyBorder="1" applyAlignment="1">
      <alignment horizontal="left" vertical="center"/>
    </xf>
    <xf numFmtId="0" fontId="11" fillId="0" borderId="22" xfId="3" applyFont="1" applyBorder="1" applyAlignment="1">
      <alignment horizontal="left" vertical="center"/>
    </xf>
    <xf numFmtId="0" fontId="11" fillId="0" borderId="23" xfId="3" applyFont="1" applyBorder="1" applyAlignment="1">
      <alignment horizontal="left" vertical="center"/>
    </xf>
    <xf numFmtId="0" fontId="4" fillId="0" borderId="21" xfId="3" quotePrefix="1" applyFont="1" applyBorder="1" applyAlignment="1">
      <alignment horizontal="left" vertical="center"/>
    </xf>
    <xf numFmtId="0" fontId="4" fillId="0" borderId="22" xfId="3" quotePrefix="1" applyFont="1" applyBorder="1" applyAlignment="1">
      <alignment horizontal="left" vertical="center"/>
    </xf>
    <xf numFmtId="0" fontId="4" fillId="0" borderId="23" xfId="3" quotePrefix="1" applyFont="1" applyBorder="1" applyAlignment="1">
      <alignment horizontal="left" vertical="center"/>
    </xf>
    <xf numFmtId="167" fontId="4" fillId="0" borderId="21" xfId="4" quotePrefix="1" applyNumberFormat="1" applyFont="1" applyFill="1" applyBorder="1" applyAlignment="1">
      <alignment horizontal="center" vertical="center"/>
    </xf>
    <xf numFmtId="167" fontId="4" fillId="0" borderId="23" xfId="4" quotePrefix="1" applyNumberFormat="1" applyFont="1" applyFill="1" applyBorder="1" applyAlignment="1">
      <alignment horizontal="center" vertical="center"/>
    </xf>
    <xf numFmtId="0" fontId="8" fillId="4" borderId="96" xfId="3" applyFont="1" applyFill="1" applyBorder="1" applyAlignment="1">
      <alignment horizontal="center" vertical="center" wrapText="1"/>
    </xf>
    <xf numFmtId="0" fontId="8" fillId="4" borderId="97" xfId="3" applyFont="1" applyFill="1" applyBorder="1" applyAlignment="1">
      <alignment horizontal="center" vertical="center" wrapText="1"/>
    </xf>
    <xf numFmtId="0" fontId="8" fillId="4" borderId="98" xfId="3" applyFont="1" applyFill="1" applyBorder="1" applyAlignment="1">
      <alignment horizontal="center" vertical="center" wrapText="1"/>
    </xf>
    <xf numFmtId="167" fontId="4" fillId="0" borderId="21" xfId="4" applyNumberFormat="1" applyFont="1" applyFill="1" applyBorder="1" applyAlignment="1">
      <alignment horizontal="center" vertical="center"/>
    </xf>
    <xf numFmtId="167" fontId="4" fillId="0" borderId="23" xfId="4" applyNumberFormat="1" applyFont="1" applyFill="1" applyBorder="1" applyAlignment="1">
      <alignment horizontal="center" vertical="center"/>
    </xf>
    <xf numFmtId="0" fontId="4" fillId="0" borderId="62" xfId="6" applyNumberFormat="1" applyFont="1" applyFill="1" applyBorder="1" applyAlignment="1">
      <alignment horizontal="left" vertical="center"/>
    </xf>
    <xf numFmtId="0" fontId="4" fillId="0" borderId="54" xfId="6" applyNumberFormat="1" applyFont="1" applyFill="1" applyBorder="1" applyAlignment="1">
      <alignment horizontal="left" vertical="center"/>
    </xf>
    <xf numFmtId="0" fontId="4" fillId="0" borderId="60" xfId="6" applyNumberFormat="1" applyFont="1" applyFill="1" applyBorder="1" applyAlignment="1">
      <alignment horizontal="left" vertical="center"/>
    </xf>
    <xf numFmtId="0" fontId="31" fillId="0" borderId="45" xfId="7" applyFont="1" applyBorder="1" applyAlignment="1">
      <alignment horizontal="center" vertical="center"/>
    </xf>
    <xf numFmtId="0" fontId="31" fillId="0" borderId="51" xfId="7" applyFont="1" applyBorder="1" applyAlignment="1">
      <alignment horizontal="center" vertical="center"/>
    </xf>
    <xf numFmtId="0" fontId="31" fillId="0" borderId="72" xfId="7" applyFont="1" applyBorder="1" applyAlignment="1">
      <alignment horizontal="center" vertical="center"/>
    </xf>
    <xf numFmtId="0" fontId="12" fillId="4" borderId="122" xfId="0" applyFont="1" applyFill="1" applyBorder="1" applyAlignment="1">
      <alignment horizontal="center" vertical="center"/>
    </xf>
    <xf numFmtId="0" fontId="12" fillId="4" borderId="133" xfId="0" applyFont="1" applyFill="1" applyBorder="1" applyAlignment="1">
      <alignment horizontal="center" vertical="center"/>
    </xf>
    <xf numFmtId="0" fontId="19" fillId="4" borderId="6" xfId="7" applyFont="1" applyFill="1" applyBorder="1" applyAlignment="1">
      <alignment horizontal="center" vertical="center"/>
    </xf>
    <xf numFmtId="0" fontId="19" fillId="4" borderId="8" xfId="7" applyFont="1" applyFill="1" applyBorder="1" applyAlignment="1">
      <alignment horizontal="center" vertical="center"/>
    </xf>
    <xf numFmtId="0" fontId="19" fillId="4" borderId="7" xfId="7" applyFont="1" applyFill="1" applyBorder="1" applyAlignment="1">
      <alignment horizontal="center" vertical="center"/>
    </xf>
    <xf numFmtId="0" fontId="19" fillId="4" borderId="4" xfId="7" applyFont="1" applyFill="1" applyBorder="1" applyAlignment="1">
      <alignment horizontal="center" vertical="center"/>
    </xf>
    <xf numFmtId="0" fontId="19" fillId="4" borderId="0" xfId="7" applyFont="1" applyFill="1" applyAlignment="1">
      <alignment horizontal="center" vertical="center"/>
    </xf>
    <xf numFmtId="0" fontId="19" fillId="4" borderId="5" xfId="7" applyFont="1" applyFill="1" applyBorder="1" applyAlignment="1">
      <alignment horizontal="center" vertical="center"/>
    </xf>
    <xf numFmtId="0" fontId="18" fillId="4" borderId="1" xfId="7" applyFont="1" applyFill="1" applyBorder="1" applyAlignment="1">
      <alignment horizontal="center" vertical="center"/>
    </xf>
    <xf numFmtId="0" fontId="18" fillId="4" borderId="3" xfId="7" applyFont="1" applyFill="1" applyBorder="1" applyAlignment="1">
      <alignment horizontal="center" vertical="center"/>
    </xf>
    <xf numFmtId="0" fontId="18" fillId="4" borderId="2" xfId="7" applyFont="1" applyFill="1" applyBorder="1" applyAlignment="1">
      <alignment horizontal="center" vertical="center"/>
    </xf>
    <xf numFmtId="0" fontId="20" fillId="4" borderId="122" xfId="7" applyFont="1" applyFill="1" applyBorder="1" applyAlignment="1">
      <alignment horizontal="center" vertical="center" wrapText="1"/>
    </xf>
    <xf numFmtId="0" fontId="20" fillId="4" borderId="123" xfId="7" applyFont="1" applyFill="1" applyBorder="1" applyAlignment="1">
      <alignment horizontal="center" vertical="center" wrapText="1"/>
    </xf>
    <xf numFmtId="0" fontId="20" fillId="0" borderId="122" xfId="7" applyFont="1" applyBorder="1" applyAlignment="1">
      <alignment horizontal="center" vertical="center" wrapText="1"/>
    </xf>
    <xf numFmtId="0" fontId="20" fillId="0" borderId="133" xfId="7" applyFont="1" applyBorder="1" applyAlignment="1">
      <alignment horizontal="center" vertical="center" wrapText="1"/>
    </xf>
    <xf numFmtId="0" fontId="55" fillId="4" borderId="121" xfId="7" applyFont="1" applyFill="1" applyBorder="1" applyAlignment="1">
      <alignment horizontal="center" vertical="center" wrapText="1"/>
    </xf>
    <xf numFmtId="0" fontId="55" fillId="4" borderId="134" xfId="7" applyFont="1" applyFill="1" applyBorder="1" applyAlignment="1">
      <alignment horizontal="center" vertical="center" wrapText="1"/>
    </xf>
    <xf numFmtId="0" fontId="20" fillId="4" borderId="121" xfId="7" applyFont="1" applyFill="1" applyBorder="1" applyAlignment="1">
      <alignment horizontal="center" vertical="center" wrapText="1"/>
    </xf>
    <xf numFmtId="0" fontId="20" fillId="4" borderId="134" xfId="7" applyFont="1" applyFill="1" applyBorder="1" applyAlignment="1">
      <alignment horizontal="center" vertical="center" wrapText="1"/>
    </xf>
    <xf numFmtId="0" fontId="7" fillId="4" borderId="124" xfId="7" applyFont="1" applyFill="1" applyBorder="1" applyAlignment="1">
      <alignment horizontal="center" vertical="center" wrapText="1"/>
    </xf>
    <xf numFmtId="0" fontId="7" fillId="4" borderId="135" xfId="7" applyFont="1" applyFill="1" applyBorder="1" applyAlignment="1">
      <alignment horizontal="center" vertical="center" wrapText="1"/>
    </xf>
    <xf numFmtId="0" fontId="54" fillId="4" borderId="101" xfId="0" applyFont="1" applyFill="1" applyBorder="1" applyAlignment="1">
      <alignment horizontal="center"/>
    </xf>
    <xf numFmtId="0" fontId="54" fillId="4" borderId="128" xfId="0" applyFont="1" applyFill="1" applyBorder="1" applyAlignment="1">
      <alignment horizontal="center"/>
    </xf>
    <xf numFmtId="0" fontId="29" fillId="0" borderId="0" xfId="7" applyFont="1" applyAlignment="1">
      <alignment horizontal="left" wrapText="1"/>
    </xf>
    <xf numFmtId="0" fontId="60" fillId="0" borderId="129" xfId="0" applyFont="1" applyBorder="1" applyAlignment="1">
      <alignment horizontal="left"/>
    </xf>
    <xf numFmtId="0" fontId="54" fillId="4" borderId="143" xfId="0" applyFont="1" applyFill="1" applyBorder="1"/>
    <xf numFmtId="0" fontId="54" fillId="4" borderId="127" xfId="0" applyFont="1" applyFill="1" applyBorder="1"/>
    <xf numFmtId="0" fontId="54" fillId="4" borderId="149" xfId="0" applyFont="1" applyFill="1" applyBorder="1"/>
    <xf numFmtId="0" fontId="54" fillId="4" borderId="150" xfId="0" applyFont="1" applyFill="1" applyBorder="1"/>
    <xf numFmtId="0" fontId="60" fillId="0" borderId="102" xfId="0" applyFont="1" applyBorder="1" applyAlignment="1">
      <alignment horizontal="left"/>
    </xf>
    <xf numFmtId="0" fontId="54" fillId="0" borderId="101" xfId="0" applyFont="1" applyBorder="1" applyAlignment="1">
      <alignment horizontal="center"/>
    </xf>
    <xf numFmtId="0" fontId="54" fillId="0" borderId="128" xfId="0" applyFont="1" applyBorder="1" applyAlignment="1">
      <alignment horizontal="center"/>
    </xf>
    <xf numFmtId="0" fontId="55" fillId="4" borderId="101" xfId="0" applyFont="1" applyFill="1" applyBorder="1" applyAlignment="1">
      <alignment horizontal="center" vertical="center"/>
    </xf>
    <xf numFmtId="0" fontId="55" fillId="4" borderId="128" xfId="0" applyFont="1" applyFill="1" applyBorder="1" applyAlignment="1">
      <alignment horizontal="center" vertical="center"/>
    </xf>
    <xf numFmtId="0" fontId="54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7" fillId="4" borderId="11" xfId="5" applyFont="1" applyFill="1" applyBorder="1" applyAlignment="1">
      <alignment horizontal="center" vertical="center"/>
    </xf>
    <xf numFmtId="0" fontId="7" fillId="4" borderId="12" xfId="5" applyFont="1" applyFill="1" applyBorder="1" applyAlignment="1">
      <alignment horizontal="center" vertical="center"/>
    </xf>
    <xf numFmtId="0" fontId="7" fillId="4" borderId="13" xfId="5" applyFont="1" applyFill="1" applyBorder="1" applyAlignment="1">
      <alignment horizontal="center" vertical="center"/>
    </xf>
    <xf numFmtId="0" fontId="4" fillId="2" borderId="11" xfId="5" applyFont="1" applyFill="1" applyBorder="1" applyAlignment="1">
      <alignment horizontal="center" vertical="center"/>
    </xf>
    <xf numFmtId="0" fontId="4" fillId="2" borderId="12" xfId="5" applyFont="1" applyFill="1" applyBorder="1" applyAlignment="1">
      <alignment horizontal="center" vertical="center"/>
    </xf>
    <xf numFmtId="0" fontId="4" fillId="2" borderId="13" xfId="5" applyFont="1" applyFill="1" applyBorder="1" applyAlignment="1">
      <alignment horizontal="center" vertical="center"/>
    </xf>
    <xf numFmtId="0" fontId="7" fillId="4" borderId="11" xfId="5" applyFont="1" applyFill="1" applyBorder="1" applyAlignment="1">
      <alignment horizontal="left" vertical="center"/>
    </xf>
    <xf numFmtId="0" fontId="7" fillId="2" borderId="55" xfId="5" applyFont="1" applyFill="1" applyBorder="1" applyAlignment="1">
      <alignment horizontal="right" vertic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7" fillId="4" borderId="27" xfId="5" applyFont="1" applyFill="1" applyBorder="1" applyAlignment="1">
      <alignment horizontal="left" vertical="center"/>
    </xf>
    <xf numFmtId="0" fontId="7" fillId="4" borderId="26" xfId="5" applyFont="1" applyFill="1" applyBorder="1" applyAlignment="1">
      <alignment horizontal="left" vertical="center"/>
    </xf>
    <xf numFmtId="0" fontId="7" fillId="4" borderId="39" xfId="5" applyFont="1" applyFill="1" applyBorder="1" applyAlignment="1">
      <alignment horizontal="left" vertical="center"/>
    </xf>
    <xf numFmtId="0" fontId="16" fillId="2" borderId="9" xfId="5" applyFont="1" applyFill="1" applyBorder="1" applyAlignment="1">
      <alignment horizontal="left" vertical="center"/>
    </xf>
    <xf numFmtId="0" fontId="12" fillId="4" borderId="11" xfId="5" applyFont="1" applyFill="1" applyBorder="1" applyAlignment="1">
      <alignment horizontal="left" vertical="center"/>
    </xf>
    <xf numFmtId="0" fontId="12" fillId="4" borderId="12" xfId="5" applyFont="1" applyFill="1" applyBorder="1" applyAlignment="1">
      <alignment horizontal="left" vertical="center"/>
    </xf>
    <xf numFmtId="0" fontId="12" fillId="4" borderId="13" xfId="5" applyFont="1" applyFill="1" applyBorder="1" applyAlignment="1">
      <alignment horizontal="left" vertical="center"/>
    </xf>
    <xf numFmtId="164" fontId="7" fillId="4" borderId="38" xfId="6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62" xfId="5" applyFont="1" applyFill="1" applyBorder="1" applyAlignment="1">
      <alignment horizontal="center" vertical="center"/>
    </xf>
    <xf numFmtId="0" fontId="4" fillId="2" borderId="60" xfId="5" applyFont="1" applyFill="1" applyBorder="1" applyAlignment="1">
      <alignment horizontal="center" vertical="center"/>
    </xf>
    <xf numFmtId="0" fontId="5" fillId="2" borderId="0" xfId="5" applyFont="1" applyFill="1" applyAlignment="1">
      <alignment horizontal="left" vertical="center"/>
    </xf>
    <xf numFmtId="0" fontId="5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7" fillId="0" borderId="141" xfId="0" applyFont="1" applyBorder="1"/>
    <xf numFmtId="0" fontId="17" fillId="0" borderId="10" xfId="0" applyFont="1" applyBorder="1"/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7" fillId="4" borderId="121" xfId="0" applyFont="1" applyFill="1" applyBorder="1" applyAlignment="1">
      <alignment horizontal="center" vertical="center" wrapText="1"/>
    </xf>
    <xf numFmtId="0" fontId="7" fillId="4" borderId="139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17" fillId="4" borderId="88" xfId="0" applyFont="1" applyFill="1" applyBorder="1" applyAlignment="1">
      <alignment horizontal="center" vertical="center"/>
    </xf>
    <xf numFmtId="0" fontId="17" fillId="4" borderId="94" xfId="0" applyFont="1" applyFill="1" applyBorder="1" applyAlignment="1">
      <alignment horizontal="center" vertical="center"/>
    </xf>
    <xf numFmtId="164" fontId="7" fillId="4" borderId="122" xfId="6" applyFont="1" applyFill="1" applyBorder="1" applyAlignment="1">
      <alignment horizontal="center" vertical="center" wrapText="1"/>
    </xf>
    <xf numFmtId="164" fontId="7" fillId="4" borderId="123" xfId="6" applyFont="1" applyFill="1" applyBorder="1" applyAlignment="1">
      <alignment horizontal="center" vertical="center" wrapText="1"/>
    </xf>
    <xf numFmtId="0" fontId="17" fillId="4" borderId="95" xfId="0" applyFont="1" applyFill="1" applyBorder="1" applyAlignment="1">
      <alignment horizontal="left"/>
    </xf>
    <xf numFmtId="0" fontId="17" fillId="4" borderId="99" xfId="0" applyFont="1" applyFill="1" applyBorder="1" applyAlignment="1">
      <alignment horizontal="left"/>
    </xf>
    <xf numFmtId="0" fontId="17" fillId="4" borderId="100" xfId="0" applyFont="1" applyFill="1" applyBorder="1" applyAlignment="1">
      <alignment horizontal="left"/>
    </xf>
    <xf numFmtId="0" fontId="17" fillId="4" borderId="130" xfId="0" applyFont="1" applyFill="1" applyBorder="1" applyAlignment="1">
      <alignment horizontal="left"/>
    </xf>
    <xf numFmtId="0" fontId="17" fillId="4" borderId="12" xfId="0" applyFont="1" applyFill="1" applyBorder="1" applyAlignment="1">
      <alignment horizontal="left"/>
    </xf>
    <xf numFmtId="0" fontId="17" fillId="4" borderId="131" xfId="0" applyFont="1" applyFill="1" applyBorder="1" applyAlignment="1">
      <alignment horizontal="left"/>
    </xf>
    <xf numFmtId="0" fontId="63" fillId="4" borderId="6" xfId="0" applyFont="1" applyFill="1" applyBorder="1" applyAlignment="1">
      <alignment horizontal="center" vertical="center"/>
    </xf>
    <xf numFmtId="0" fontId="63" fillId="4" borderId="8" xfId="0" applyFont="1" applyFill="1" applyBorder="1" applyAlignment="1">
      <alignment horizontal="center" vertical="center"/>
    </xf>
    <xf numFmtId="0" fontId="63" fillId="4" borderId="7" xfId="0" applyFont="1" applyFill="1" applyBorder="1" applyAlignment="1">
      <alignment horizontal="center" vertical="center"/>
    </xf>
    <xf numFmtId="0" fontId="64" fillId="4" borderId="122" xfId="0" applyFont="1" applyFill="1" applyBorder="1" applyAlignment="1">
      <alignment horizontal="center" vertical="center" wrapText="1"/>
    </xf>
    <xf numFmtId="0" fontId="64" fillId="4" borderId="123" xfId="0" applyFont="1" applyFill="1" applyBorder="1" applyAlignment="1">
      <alignment horizontal="center" vertical="center" wrapText="1"/>
    </xf>
    <xf numFmtId="0" fontId="17" fillId="0" borderId="141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7" fillId="4" borderId="122" xfId="0" applyFont="1" applyFill="1" applyBorder="1" applyAlignment="1">
      <alignment horizontal="center" vertical="center" wrapText="1"/>
    </xf>
    <xf numFmtId="0" fontId="7" fillId="4" borderId="123" xfId="0" applyFont="1" applyFill="1" applyBorder="1" applyAlignment="1">
      <alignment horizontal="center" vertical="center" wrapText="1"/>
    </xf>
    <xf numFmtId="0" fontId="7" fillId="0" borderId="121" xfId="0" applyFont="1" applyBorder="1" applyAlignment="1">
      <alignment horizontal="center" vertical="center" wrapText="1"/>
    </xf>
    <xf numFmtId="0" fontId="7" fillId="0" borderId="139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 wrapText="1"/>
    </xf>
    <xf numFmtId="0" fontId="7" fillId="4" borderId="41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/>
    </xf>
    <xf numFmtId="0" fontId="12" fillId="4" borderId="4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167" fontId="7" fillId="4" borderId="10" xfId="4" applyNumberFormat="1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167" fontId="7" fillId="4" borderId="39" xfId="4" applyNumberFormat="1" applyFont="1" applyFill="1" applyBorder="1" applyAlignment="1">
      <alignment horizontal="center" vertical="center" wrapText="1"/>
    </xf>
    <xf numFmtId="167" fontId="7" fillId="4" borderId="34" xfId="4" applyNumberFormat="1" applyFont="1" applyFill="1" applyBorder="1" applyAlignment="1">
      <alignment horizontal="center" vertical="center" wrapText="1"/>
    </xf>
    <xf numFmtId="167" fontId="7" fillId="4" borderId="36" xfId="4" applyNumberFormat="1" applyFont="1" applyFill="1" applyBorder="1" applyAlignment="1">
      <alignment horizontal="center" vertical="center" wrapText="1"/>
    </xf>
    <xf numFmtId="167" fontId="7" fillId="4" borderId="40" xfId="4" applyNumberFormat="1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 vertical="center" wrapText="1"/>
    </xf>
    <xf numFmtId="167" fontId="7" fillId="4" borderId="26" xfId="4" applyNumberFormat="1" applyFont="1" applyFill="1" applyBorder="1" applyAlignment="1">
      <alignment horizontal="center" vertical="center" wrapText="1"/>
    </xf>
    <xf numFmtId="167" fontId="7" fillId="4" borderId="9" xfId="4" applyNumberFormat="1" applyFont="1" applyFill="1" applyBorder="1" applyAlignment="1">
      <alignment horizontal="center" vertical="center" wrapText="1"/>
    </xf>
    <xf numFmtId="0" fontId="79" fillId="0" borderId="36" xfId="0" quotePrefix="1" applyFont="1" applyBorder="1" applyAlignment="1">
      <alignment horizontal="left" vertical="center" wrapText="1"/>
    </xf>
    <xf numFmtId="0" fontId="79" fillId="0" borderId="42" xfId="0" quotePrefix="1" applyFont="1" applyBorder="1" applyAlignment="1">
      <alignment horizontal="left" vertical="center" wrapText="1"/>
    </xf>
    <xf numFmtId="0" fontId="79" fillId="0" borderId="40" xfId="0" quotePrefix="1" applyFont="1" applyBorder="1" applyAlignment="1">
      <alignment horizontal="left" vertical="center" wrapText="1"/>
    </xf>
    <xf numFmtId="0" fontId="20" fillId="0" borderId="167" xfId="5" applyFont="1" applyBorder="1" applyAlignment="1">
      <alignment horizontal="center" vertical="center"/>
    </xf>
    <xf numFmtId="0" fontId="20" fillId="0" borderId="53" xfId="5" applyFont="1" applyBorder="1" applyAlignment="1">
      <alignment horizontal="center" vertical="center"/>
    </xf>
    <xf numFmtId="0" fontId="80" fillId="11" borderId="10" xfId="0" applyFont="1" applyFill="1" applyBorder="1" applyAlignment="1">
      <alignment horizontal="center" vertical="center"/>
    </xf>
    <xf numFmtId="0" fontId="80" fillId="11" borderId="11" xfId="0" applyFont="1" applyFill="1" applyBorder="1" applyAlignment="1">
      <alignment horizontal="right" vertical="center"/>
    </xf>
    <xf numFmtId="0" fontId="80" fillId="11" borderId="12" xfId="0" applyFont="1" applyFill="1" applyBorder="1" applyAlignment="1">
      <alignment horizontal="right" vertical="center"/>
    </xf>
    <xf numFmtId="0" fontId="80" fillId="11" borderId="13" xfId="0" applyFont="1" applyFill="1" applyBorder="1" applyAlignment="1">
      <alignment horizontal="right" vertical="center"/>
    </xf>
    <xf numFmtId="0" fontId="76" fillId="0" borderId="0" xfId="0" applyFont="1" applyAlignment="1">
      <alignment horizontal="center"/>
    </xf>
    <xf numFmtId="0" fontId="79" fillId="0" borderId="36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79" fillId="0" borderId="40" xfId="0" applyFont="1" applyBorder="1" applyAlignment="1">
      <alignment horizontal="left" vertical="center" wrapText="1"/>
    </xf>
    <xf numFmtId="0" fontId="78" fillId="9" borderId="10" xfId="0" applyFont="1" applyFill="1" applyBorder="1" applyAlignment="1">
      <alignment horizontal="center" vertical="center"/>
    </xf>
    <xf numFmtId="0" fontId="78" fillId="9" borderId="11" xfId="0" applyFont="1" applyFill="1" applyBorder="1" applyAlignment="1">
      <alignment horizontal="center" vertical="center"/>
    </xf>
    <xf numFmtId="0" fontId="78" fillId="9" borderId="13" xfId="0" applyFont="1" applyFill="1" applyBorder="1" applyAlignment="1">
      <alignment horizontal="center" vertical="center"/>
    </xf>
    <xf numFmtId="0" fontId="57" fillId="0" borderId="0" xfId="5" applyFont="1" applyAlignment="1">
      <alignment horizontal="center"/>
    </xf>
    <xf numFmtId="0" fontId="20" fillId="10" borderId="152" xfId="5" applyFont="1" applyFill="1" applyBorder="1" applyAlignment="1">
      <alignment horizontal="center" vertical="center"/>
    </xf>
    <xf numFmtId="0" fontId="20" fillId="10" borderId="157" xfId="5" applyFont="1" applyFill="1" applyBorder="1" applyAlignment="1">
      <alignment horizontal="center" vertical="center"/>
    </xf>
    <xf numFmtId="0" fontId="20" fillId="10" borderId="153" xfId="5" applyFont="1" applyFill="1" applyBorder="1" applyAlignment="1">
      <alignment horizontal="center" vertical="center"/>
    </xf>
    <xf numFmtId="0" fontId="20" fillId="10" borderId="158" xfId="5" applyFont="1" applyFill="1" applyBorder="1" applyAlignment="1">
      <alignment horizontal="center" vertical="center"/>
    </xf>
    <xf numFmtId="0" fontId="20" fillId="10" borderId="154" xfId="5" applyFont="1" applyFill="1" applyBorder="1" applyAlignment="1">
      <alignment horizontal="center" vertical="center"/>
    </xf>
    <xf numFmtId="0" fontId="20" fillId="10" borderId="155" xfId="5" applyFont="1" applyFill="1" applyBorder="1" applyAlignment="1">
      <alignment horizontal="center" vertical="center"/>
    </xf>
    <xf numFmtId="0" fontId="20" fillId="10" borderId="156" xfId="5" applyFont="1" applyFill="1" applyBorder="1" applyAlignment="1">
      <alignment horizontal="center" vertical="center"/>
    </xf>
    <xf numFmtId="0" fontId="20" fillId="10" borderId="160" xfId="5" applyFont="1" applyFill="1" applyBorder="1" applyAlignment="1">
      <alignment horizontal="center" vertical="center"/>
    </xf>
    <xf numFmtId="0" fontId="78" fillId="9" borderId="11" xfId="0" quotePrefix="1" applyFont="1" applyFill="1" applyBorder="1" applyAlignment="1">
      <alignment horizontal="right" vertical="center"/>
    </xf>
    <xf numFmtId="0" fontId="78" fillId="9" borderId="12" xfId="0" quotePrefix="1" applyFont="1" applyFill="1" applyBorder="1" applyAlignment="1">
      <alignment horizontal="right" vertical="center"/>
    </xf>
    <xf numFmtId="0" fontId="78" fillId="9" borderId="13" xfId="0" quotePrefix="1" applyFont="1" applyFill="1" applyBorder="1" applyAlignment="1">
      <alignment horizontal="right" vertical="center"/>
    </xf>
    <xf numFmtId="0" fontId="55" fillId="0" borderId="0" xfId="0" applyFont="1" applyAlignment="1">
      <alignment horizontal="left"/>
    </xf>
    <xf numFmtId="0" fontId="17" fillId="4" borderId="11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164" fontId="4" fillId="0" borderId="30" xfId="6" applyFont="1" applyFill="1" applyBorder="1" applyAlignment="1">
      <alignment horizontal="center" vertical="center"/>
    </xf>
    <xf numFmtId="0" fontId="12" fillId="4" borderId="46" xfId="3" applyFont="1" applyFill="1" applyBorder="1" applyAlignment="1">
      <alignment horizontal="left" vertical="center"/>
    </xf>
  </cellXfs>
  <cellStyles count="13">
    <cellStyle name="Comma" xfId="12" builtinId="3"/>
    <cellStyle name="Comma [0]" xfId="1" builtinId="6"/>
    <cellStyle name="Comma [0] 3" xfId="6" xr:uid="{00000000-0005-0000-0000-000002000000}"/>
    <cellStyle name="Comma [0] 5" xfId="9" xr:uid="{00000000-0005-0000-0000-000003000000}"/>
    <cellStyle name="Comma 2" xfId="4" xr:uid="{00000000-0005-0000-0000-000004000000}"/>
    <cellStyle name="Comma 2 2" xfId="11" xr:uid="{00000000-0005-0000-0000-000005000000}"/>
    <cellStyle name="Normal" xfId="0" builtinId="0"/>
    <cellStyle name="Normal 12 6" xfId="8" xr:uid="{00000000-0005-0000-0000-000007000000}"/>
    <cellStyle name="Normal 2" xfId="5" xr:uid="{00000000-0005-0000-0000-000008000000}"/>
    <cellStyle name="Normal 2 10" xfId="10" xr:uid="{00000000-0005-0000-0000-000009000000}"/>
    <cellStyle name="Normal 2 2" xfId="7" xr:uid="{00000000-0005-0000-0000-00000A000000}"/>
    <cellStyle name="Normal 3 2" xfId="3" xr:uid="{00000000-0005-0000-0000-00000B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</xdr:colOff>
      <xdr:row>2</xdr:row>
      <xdr:rowOff>15240</xdr:rowOff>
    </xdr:from>
    <xdr:to>
      <xdr:col>1</xdr:col>
      <xdr:colOff>822960</xdr:colOff>
      <xdr:row>5</xdr:row>
      <xdr:rowOff>188125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" y="266700"/>
          <a:ext cx="647700" cy="8166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1</xdr:row>
      <xdr:rowOff>68580</xdr:rowOff>
    </xdr:from>
    <xdr:to>
      <xdr:col>1</xdr:col>
      <xdr:colOff>1013460</xdr:colOff>
      <xdr:row>4</xdr:row>
      <xdr:rowOff>191770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" y="259080"/>
          <a:ext cx="647700" cy="8166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670560</xdr:colOff>
      <xdr:row>1</xdr:row>
      <xdr:rowOff>53340</xdr:rowOff>
    </xdr:from>
    <xdr:to>
      <xdr:col>2</xdr:col>
      <xdr:colOff>1318260</xdr:colOff>
      <xdr:row>4</xdr:row>
      <xdr:rowOff>176530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243840"/>
          <a:ext cx="647700" cy="816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2</xdr:row>
      <xdr:rowOff>7620</xdr:rowOff>
    </xdr:from>
    <xdr:to>
      <xdr:col>1</xdr:col>
      <xdr:colOff>274320</xdr:colOff>
      <xdr:row>5</xdr:row>
      <xdr:rowOff>168910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" y="236220"/>
          <a:ext cx="647700" cy="8166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</xdr:colOff>
      <xdr:row>1</xdr:row>
      <xdr:rowOff>53340</xdr:rowOff>
    </xdr:from>
    <xdr:to>
      <xdr:col>2</xdr:col>
      <xdr:colOff>784860</xdr:colOff>
      <xdr:row>4</xdr:row>
      <xdr:rowOff>176530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53340"/>
          <a:ext cx="647700" cy="8166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2</xdr:row>
      <xdr:rowOff>22860</xdr:rowOff>
    </xdr:from>
    <xdr:to>
      <xdr:col>1</xdr:col>
      <xdr:colOff>891540</xdr:colOff>
      <xdr:row>5</xdr:row>
      <xdr:rowOff>191770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" y="274320"/>
          <a:ext cx="647700" cy="8166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1005840</xdr:colOff>
      <xdr:row>1</xdr:row>
      <xdr:rowOff>60960</xdr:rowOff>
    </xdr:from>
    <xdr:to>
      <xdr:col>2</xdr:col>
      <xdr:colOff>1653540</xdr:colOff>
      <xdr:row>4</xdr:row>
      <xdr:rowOff>184150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0720" y="251460"/>
          <a:ext cx="647700" cy="8166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45720</xdr:rowOff>
    </xdr:from>
    <xdr:to>
      <xdr:col>1</xdr:col>
      <xdr:colOff>713649</xdr:colOff>
      <xdr:row>4</xdr:row>
      <xdr:rowOff>176530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36220"/>
          <a:ext cx="599349" cy="755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518160</xdr:colOff>
      <xdr:row>1</xdr:row>
      <xdr:rowOff>83820</xdr:rowOff>
    </xdr:from>
    <xdr:to>
      <xdr:col>2</xdr:col>
      <xdr:colOff>1117509</xdr:colOff>
      <xdr:row>4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274320"/>
          <a:ext cx="599349" cy="755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</xdr:row>
      <xdr:rowOff>15240</xdr:rowOff>
    </xdr:from>
    <xdr:to>
      <xdr:col>1</xdr:col>
      <xdr:colOff>1028700</xdr:colOff>
      <xdr:row>5</xdr:row>
      <xdr:rowOff>214630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259080"/>
          <a:ext cx="647700" cy="8166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OGRAM%20URAIAN%20PENGELUARAN%20ANGGARAN%2020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cb8dfcd13916548/Documents/PD%20PARKIR%20Makasssar%20Raya/FILE%20EXEL/FIX%20RK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IMASI BIAYA SD JUNI 2022"/>
      <sheetName val="JANUARI 2022"/>
      <sheetName val="FEB"/>
      <sheetName val="MARET"/>
      <sheetName val="APRIL"/>
      <sheetName val="MEI"/>
      <sheetName val="JUNI"/>
      <sheetName val="JULI (2)  (2)"/>
      <sheetName val="JULI (1)"/>
      <sheetName val="JULI ( FULL) "/>
      <sheetName val="AGUSTUS"/>
      <sheetName val="Sheet1"/>
      <sheetName val="Sheet2"/>
    </sheetNames>
    <sheetDataSet>
      <sheetData sheetId="0">
        <row r="12">
          <cell r="O12">
            <v>3895000</v>
          </cell>
        </row>
        <row r="42">
          <cell r="O42">
            <v>0</v>
          </cell>
        </row>
        <row r="45">
          <cell r="O45">
            <v>24856320</v>
          </cell>
        </row>
        <row r="61">
          <cell r="O61">
            <v>132000000</v>
          </cell>
        </row>
        <row r="66">
          <cell r="O66">
            <v>60500000</v>
          </cell>
        </row>
        <row r="67">
          <cell r="O67">
            <v>6550288</v>
          </cell>
        </row>
        <row r="82">
          <cell r="O82">
            <v>248976000</v>
          </cell>
        </row>
        <row r="85">
          <cell r="O85">
            <v>3950000</v>
          </cell>
        </row>
        <row r="87">
          <cell r="O87">
            <v>181200240</v>
          </cell>
        </row>
        <row r="90">
          <cell r="O90">
            <v>24081950</v>
          </cell>
        </row>
        <row r="92">
          <cell r="O92">
            <v>29283450</v>
          </cell>
        </row>
        <row r="94">
          <cell r="O94">
            <v>135000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-REALISTIS"/>
      <sheetName val="PEND"/>
      <sheetName val="OPS REK"/>
      <sheetName val="OPS RINCI"/>
      <sheetName val="GAJI"/>
      <sheetName val="GAJI REK"/>
      <sheetName val="GAJI RINCI"/>
      <sheetName val="UMUM REK"/>
      <sheetName val="UMUM RINCI"/>
      <sheetName val="INVEST REK"/>
      <sheetName val="INVEST RINCI"/>
      <sheetName val="POTENSI-TJU"/>
      <sheetName val="CATA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41"/>
  <sheetViews>
    <sheetView showGridLines="0" zoomScaleNormal="100" workbookViewId="0">
      <selection activeCell="J17" sqref="J17"/>
    </sheetView>
  </sheetViews>
  <sheetFormatPr defaultRowHeight="15" x14ac:dyDescent="0.25"/>
  <cols>
    <col min="1" max="1" width="1.42578125" customWidth="1"/>
    <col min="2" max="2" width="14.7109375" customWidth="1"/>
    <col min="3" max="3" width="43.7109375" customWidth="1"/>
    <col min="4" max="4" width="15.85546875" customWidth="1"/>
    <col min="5" max="5" width="14.140625" customWidth="1"/>
    <col min="6" max="6" width="17.42578125" customWidth="1"/>
    <col min="7" max="8" width="15.28515625" customWidth="1"/>
  </cols>
  <sheetData>
    <row r="1" spans="2:8" ht="10.9" customHeight="1" thickBot="1" x14ac:dyDescent="0.3"/>
    <row r="2" spans="2:8" ht="4.9000000000000004" customHeight="1" thickTop="1" x14ac:dyDescent="0.25">
      <c r="B2" s="1211"/>
      <c r="C2" s="1205"/>
      <c r="D2" s="1206"/>
      <c r="E2" s="1206"/>
      <c r="F2" s="1206"/>
      <c r="G2" s="1206"/>
      <c r="H2" s="1207"/>
    </row>
    <row r="3" spans="2:8" ht="18" x14ac:dyDescent="0.25">
      <c r="B3" s="1212"/>
      <c r="C3" s="1221" t="s">
        <v>94</v>
      </c>
      <c r="D3" s="1222"/>
      <c r="E3" s="1222"/>
      <c r="F3" s="1222"/>
      <c r="G3" s="1222"/>
      <c r="H3" s="1223"/>
    </row>
    <row r="4" spans="2:8" ht="16.5" x14ac:dyDescent="0.25">
      <c r="B4" s="1212"/>
      <c r="C4" s="1218" t="s">
        <v>118</v>
      </c>
      <c r="D4" s="1219"/>
      <c r="E4" s="1219"/>
      <c r="F4" s="1219"/>
      <c r="G4" s="1219"/>
      <c r="H4" s="1220"/>
    </row>
    <row r="5" spans="2:8" ht="16.5" x14ac:dyDescent="0.25">
      <c r="B5" s="1212"/>
      <c r="C5" s="1218" t="s">
        <v>569</v>
      </c>
      <c r="D5" s="1219"/>
      <c r="E5" s="1219"/>
      <c r="F5" s="1219"/>
      <c r="G5" s="1219"/>
      <c r="H5" s="1220"/>
    </row>
    <row r="6" spans="2:8" ht="16.5" x14ac:dyDescent="0.25">
      <c r="B6" s="1212"/>
      <c r="C6" s="1218" t="s">
        <v>119</v>
      </c>
      <c r="D6" s="1219"/>
      <c r="E6" s="1219"/>
      <c r="F6" s="1219"/>
      <c r="G6" s="1219"/>
      <c r="H6" s="1220"/>
    </row>
    <row r="7" spans="2:8" ht="5.45" customHeight="1" thickBot="1" x14ac:dyDescent="0.3">
      <c r="B7" s="1213"/>
      <c r="C7" s="346"/>
      <c r="D7" s="347"/>
      <c r="E7" s="347"/>
      <c r="F7" s="347"/>
      <c r="G7" s="347"/>
      <c r="H7" s="348"/>
    </row>
    <row r="8" spans="2:8" ht="6" customHeight="1" thickTop="1" thickBot="1" x14ac:dyDescent="0.3">
      <c r="B8" s="563"/>
      <c r="C8" s="1208"/>
      <c r="D8" s="1208"/>
      <c r="E8" s="1208"/>
      <c r="F8" s="1208"/>
      <c r="G8" s="1208"/>
      <c r="H8" s="1208"/>
    </row>
    <row r="9" spans="2:8" x14ac:dyDescent="0.25">
      <c r="B9" s="1224" t="s">
        <v>744</v>
      </c>
      <c r="C9" s="1226" t="s">
        <v>99</v>
      </c>
      <c r="D9" s="1228" t="s">
        <v>525</v>
      </c>
      <c r="E9" s="1230" t="s">
        <v>736</v>
      </c>
      <c r="F9" s="1232" t="s">
        <v>121</v>
      </c>
      <c r="G9" s="1214" t="s">
        <v>6</v>
      </c>
      <c r="H9" s="1216" t="s">
        <v>7</v>
      </c>
    </row>
    <row r="10" spans="2:8" ht="29.45" customHeight="1" x14ac:dyDescent="0.25">
      <c r="B10" s="1225"/>
      <c r="C10" s="1227"/>
      <c r="D10" s="1229"/>
      <c r="E10" s="1231"/>
      <c r="F10" s="1233"/>
      <c r="G10" s="1215"/>
      <c r="H10" s="1217"/>
    </row>
    <row r="11" spans="2:8" ht="14.45" customHeight="1" thickBot="1" x14ac:dyDescent="0.3">
      <c r="B11" s="564" t="s">
        <v>463</v>
      </c>
      <c r="C11" s="565"/>
      <c r="D11" s="565" t="s">
        <v>285</v>
      </c>
      <c r="E11" s="565" t="s">
        <v>286</v>
      </c>
      <c r="F11" s="565" t="s">
        <v>287</v>
      </c>
      <c r="G11" s="565" t="s">
        <v>740</v>
      </c>
      <c r="H11" s="566"/>
    </row>
    <row r="12" spans="2:8" ht="6" customHeight="1" thickBot="1" x14ac:dyDescent="0.3">
      <c r="B12" s="567"/>
      <c r="C12" s="567"/>
      <c r="D12" s="567"/>
      <c r="E12" s="567"/>
      <c r="F12" s="567"/>
      <c r="G12" s="567"/>
      <c r="H12" s="568"/>
    </row>
    <row r="13" spans="2:8" x14ac:dyDescent="0.25">
      <c r="B13" s="569">
        <v>1</v>
      </c>
      <c r="C13" s="570" t="str">
        <f>'Ops Rinci'!C11:H11</f>
        <v>BIAYA CETAKAN</v>
      </c>
      <c r="D13" s="571">
        <f>'Ops Rinci'!I11</f>
        <v>98160000</v>
      </c>
      <c r="E13" s="571">
        <f>'Ops Rinci'!J11</f>
        <v>139368000</v>
      </c>
      <c r="F13" s="571">
        <f>'Ops Rinci'!K11</f>
        <v>243400000</v>
      </c>
      <c r="G13" s="571">
        <f t="shared" ref="G13:G28" si="0">D13-F13</f>
        <v>-145240000</v>
      </c>
      <c r="H13" s="1176" t="str">
        <f>IF(G13&gt;0,"BERTAMBAH",IF(G13&lt;0,"BERKURANG","TETAP"))</f>
        <v>BERKURANG</v>
      </c>
    </row>
    <row r="14" spans="2:8" x14ac:dyDescent="0.25">
      <c r="B14" s="572">
        <v>2</v>
      </c>
      <c r="C14" s="130" t="str">
        <f>'Ops Rinci'!C27:H27</f>
        <v>BIAYA SURVEY / UJI PETIK</v>
      </c>
      <c r="D14" s="131">
        <f>'Ops Rinci'!I27</f>
        <v>410000000</v>
      </c>
      <c r="E14" s="131">
        <f>'Ops Rinci'!J27</f>
        <v>8620000</v>
      </c>
      <c r="F14" s="131">
        <f>'Ops Rinci'!K27</f>
        <v>508620000</v>
      </c>
      <c r="G14" s="132">
        <f>D14-F14</f>
        <v>-98620000</v>
      </c>
      <c r="H14" s="574" t="str">
        <f t="shared" ref="H14:H31" si="1">IF(G14&gt;0,"BERTAMBAH",IF(G14&lt;0,"BERKURANG","TETAP"))</f>
        <v>BERKURANG</v>
      </c>
    </row>
    <row r="15" spans="2:8" x14ac:dyDescent="0.25">
      <c r="B15" s="572">
        <v>3</v>
      </c>
      <c r="C15" s="130" t="str">
        <f>'Ops Rinci'!C31:H31</f>
        <v>BIAYA OPERASIONAL TIM PATROLI KHUSUS</v>
      </c>
      <c r="D15" s="131">
        <f>'Ops Rinci'!I31</f>
        <v>35000000</v>
      </c>
      <c r="E15" s="131">
        <f>'Ops Rinci'!J31</f>
        <v>0</v>
      </c>
      <c r="F15" s="131">
        <f>'Ops Rinci'!K31</f>
        <v>35000000</v>
      </c>
      <c r="G15" s="132">
        <f>D15-F15</f>
        <v>0</v>
      </c>
      <c r="H15" s="574" t="str">
        <f t="shared" si="1"/>
        <v>TETAP</v>
      </c>
    </row>
    <row r="16" spans="2:8" x14ac:dyDescent="0.25">
      <c r="B16" s="572">
        <v>4</v>
      </c>
      <c r="C16" s="130" t="str">
        <f>'Ops Rinci'!C36:H36</f>
        <v>BIAYA OPERASIONAL KOLEKTOR</v>
      </c>
      <c r="D16" s="131">
        <f>'Ops Rinci'!I36</f>
        <v>1083828000</v>
      </c>
      <c r="E16" s="131">
        <f>'Ops Rinci'!J36</f>
        <v>95092451</v>
      </c>
      <c r="F16" s="131">
        <f>'Ops Rinci'!K36</f>
        <v>311250000</v>
      </c>
      <c r="G16" s="132">
        <f>D16-F16</f>
        <v>772578000</v>
      </c>
      <c r="H16" s="574" t="str">
        <f t="shared" si="1"/>
        <v>BERTAMBAH</v>
      </c>
    </row>
    <row r="17" spans="2:8" x14ac:dyDescent="0.25">
      <c r="B17" s="572">
        <v>5</v>
      </c>
      <c r="C17" s="130" t="str">
        <f>'Ops Rinci'!C44:H44</f>
        <v>BIAYA OPERASIONAL PEGAWAI</v>
      </c>
      <c r="D17" s="131">
        <f>'Ops Rinci'!I44</f>
        <v>220200000</v>
      </c>
      <c r="E17" s="131">
        <f>'Ops Rinci'!J44</f>
        <v>185784000</v>
      </c>
      <c r="F17" s="131">
        <f>'Ops Rinci'!K44</f>
        <v>224490000</v>
      </c>
      <c r="G17" s="132">
        <f t="shared" si="0"/>
        <v>-4290000</v>
      </c>
      <c r="H17" s="574" t="str">
        <f t="shared" si="1"/>
        <v>BERKURANG</v>
      </c>
    </row>
    <row r="18" spans="2:8" x14ac:dyDescent="0.25">
      <c r="B18" s="572">
        <v>6</v>
      </c>
      <c r="C18" s="130" t="str">
        <f>'Ops Rinci'!C58:H58</f>
        <v xml:space="preserve">BIAYA PAKET THR </v>
      </c>
      <c r="D18" s="131">
        <f>'Ops Rinci'!I58</f>
        <v>332000000</v>
      </c>
      <c r="E18" s="131">
        <f>'Ops Rinci'!J58</f>
        <v>248976000</v>
      </c>
      <c r="F18" s="131">
        <f>'Ops Rinci'!K58</f>
        <v>248976000</v>
      </c>
      <c r="G18" s="132">
        <f t="shared" si="0"/>
        <v>83024000</v>
      </c>
      <c r="H18" s="574" t="str">
        <f t="shared" si="1"/>
        <v>BERTAMBAH</v>
      </c>
    </row>
    <row r="19" spans="2:8" ht="28.15" customHeight="1" x14ac:dyDescent="0.25">
      <c r="B19" s="572">
        <v>7</v>
      </c>
      <c r="C19" s="130" t="str">
        <f>'Ops Rinci'!C63:H63</f>
        <v>BIAYA ASURANSI DAN SANTUNAN JUKIR DAN PEGAWAI</v>
      </c>
      <c r="D19" s="131">
        <f>'Ops Rinci'!I63</f>
        <v>422800000</v>
      </c>
      <c r="E19" s="131">
        <f>'Ops Rinci'!J63</f>
        <v>215307600</v>
      </c>
      <c r="F19" s="131">
        <f>'Ops Rinci'!K63</f>
        <v>372154400</v>
      </c>
      <c r="G19" s="132">
        <f t="shared" si="0"/>
        <v>50645600</v>
      </c>
      <c r="H19" s="574" t="str">
        <f t="shared" si="1"/>
        <v>BERTAMBAH</v>
      </c>
    </row>
    <row r="20" spans="2:8" x14ac:dyDescent="0.25">
      <c r="B20" s="572">
        <v>8</v>
      </c>
      <c r="C20" s="130" t="str">
        <f>'Ops Rinci'!C72:H72</f>
        <v>BIAYA KELENGKAPAN JUKIR</v>
      </c>
      <c r="D20" s="131">
        <f>'Ops Rinci'!I72</f>
        <v>220000000</v>
      </c>
      <c r="E20" s="131">
        <f>'Ops Rinci'!J72</f>
        <v>0</v>
      </c>
      <c r="F20" s="131">
        <f>'Ops Rinci'!K72</f>
        <v>165000000</v>
      </c>
      <c r="G20" s="132">
        <f>D20-F20</f>
        <v>55000000</v>
      </c>
      <c r="H20" s="574" t="str">
        <f t="shared" si="1"/>
        <v>BERTAMBAH</v>
      </c>
    </row>
    <row r="21" spans="2:8" x14ac:dyDescent="0.25">
      <c r="B21" s="572">
        <v>9</v>
      </c>
      <c r="C21" s="130" t="str">
        <f>'Ops Rinci'!C78:H78</f>
        <v>BIAYA ID CARD</v>
      </c>
      <c r="D21" s="131">
        <f>'Ops Rinci'!I78</f>
        <v>3525000</v>
      </c>
      <c r="E21" s="131">
        <f>'Ops Rinci'!J78</f>
        <v>3950000</v>
      </c>
      <c r="F21" s="131">
        <f>'Ops Rinci'!K78</f>
        <v>20200000</v>
      </c>
      <c r="G21" s="132">
        <f>D21-F21</f>
        <v>-16675000</v>
      </c>
      <c r="H21" s="574" t="str">
        <f t="shared" si="1"/>
        <v>BERKURANG</v>
      </c>
    </row>
    <row r="22" spans="2:8" x14ac:dyDescent="0.25">
      <c r="B22" s="572">
        <v>10</v>
      </c>
      <c r="C22" s="130" t="str">
        <f>'Ops Rinci'!C82:H82</f>
        <v xml:space="preserve">BIAYA TIM PENEGAK PERDA </v>
      </c>
      <c r="D22" s="131">
        <f>'Ops Rinci'!I82</f>
        <v>370800000</v>
      </c>
      <c r="E22" s="131">
        <f>'Ops Rinci'!J82</f>
        <v>75112500</v>
      </c>
      <c r="F22" s="131">
        <f>'Ops Rinci'!K82</f>
        <v>415983750</v>
      </c>
      <c r="G22" s="132">
        <f t="shared" si="0"/>
        <v>-45183750</v>
      </c>
      <c r="H22" s="574" t="str">
        <f t="shared" si="1"/>
        <v>BERKURANG</v>
      </c>
    </row>
    <row r="23" spans="2:8" x14ac:dyDescent="0.25">
      <c r="B23" s="572">
        <v>11</v>
      </c>
      <c r="C23" s="130" t="str">
        <f>'Ops Rinci'!C91:H91</f>
        <v>BY PAJAK PARKIR PLB</v>
      </c>
      <c r="D23" s="131">
        <f>'Ops Rinci'!I91</f>
        <v>120000000</v>
      </c>
      <c r="E23" s="131">
        <f>'Ops Rinci'!J91</f>
        <v>181200240</v>
      </c>
      <c r="F23" s="131">
        <f>'Ops Rinci'!K91</f>
        <v>331200240</v>
      </c>
      <c r="G23" s="132">
        <f t="shared" si="0"/>
        <v>-211200240</v>
      </c>
      <c r="H23" s="574" t="str">
        <f t="shared" si="1"/>
        <v>BERKURANG</v>
      </c>
    </row>
    <row r="24" spans="2:8" ht="29.45" customHeight="1" x14ac:dyDescent="0.25">
      <c r="B24" s="572">
        <v>12</v>
      </c>
      <c r="C24" s="130" t="str">
        <f>'Ops Rinci'!C95:H95</f>
        <v>BIAYA BAHAN BAKAR KENDARAAN OPERASIONAL</v>
      </c>
      <c r="D24" s="131">
        <f>'Ops Rinci'!I95</f>
        <v>153120000</v>
      </c>
      <c r="E24" s="131">
        <f>'Ops Rinci'!J95</f>
        <v>36500000</v>
      </c>
      <c r="F24" s="131">
        <f>'Ops Rinci'!K95</f>
        <v>59562500</v>
      </c>
      <c r="G24" s="132">
        <f t="shared" si="0"/>
        <v>93557500</v>
      </c>
      <c r="H24" s="574" t="str">
        <f t="shared" si="1"/>
        <v>BERTAMBAH</v>
      </c>
    </row>
    <row r="25" spans="2:8" ht="28.9" customHeight="1" x14ac:dyDescent="0.25">
      <c r="B25" s="572">
        <v>13</v>
      </c>
      <c r="C25" s="130" t="str">
        <f>'Ops Rinci'!C101:H101</f>
        <v>BIAYA MAINTENANCE KENDARAAN OPERASIONAL</v>
      </c>
      <c r="D25" s="131">
        <f>'Ops Rinci'!I101</f>
        <v>41100000</v>
      </c>
      <c r="E25" s="131">
        <f>'Ops Rinci'!J101</f>
        <v>23760459</v>
      </c>
      <c r="F25" s="131">
        <f>'Ops Rinci'!K101</f>
        <v>36579959</v>
      </c>
      <c r="G25" s="132">
        <f t="shared" si="0"/>
        <v>4520041</v>
      </c>
      <c r="H25" s="574" t="str">
        <f t="shared" si="1"/>
        <v>BERTAMBAH</v>
      </c>
    </row>
    <row r="26" spans="2:8" x14ac:dyDescent="0.25">
      <c r="B26" s="572">
        <v>14</v>
      </c>
      <c r="C26" s="130" t="str">
        <f>'Ops Rinci'!C108:H108</f>
        <v>BIAYA SURAT KENDARAAN (STNK)</v>
      </c>
      <c r="D26" s="131">
        <f>'Ops Rinci'!I108</f>
        <v>19000000</v>
      </c>
      <c r="E26" s="131">
        <f>'Ops Rinci'!J108</f>
        <v>24081950</v>
      </c>
      <c r="F26" s="131">
        <f>'Ops Rinci'!K108</f>
        <v>29081950</v>
      </c>
      <c r="G26" s="132">
        <f t="shared" si="0"/>
        <v>-10081950</v>
      </c>
      <c r="H26" s="574" t="str">
        <f t="shared" si="1"/>
        <v>BERKURANG</v>
      </c>
    </row>
    <row r="27" spans="2:8" x14ac:dyDescent="0.25">
      <c r="B27" s="572">
        <v>15</v>
      </c>
      <c r="C27" s="130" t="str">
        <f>'Ops Rinci'!C113:H113</f>
        <v>BIAYA SHARING PENETAPAN BARU PLB</v>
      </c>
      <c r="D27" s="131">
        <f>'Ops Rinci'!I113</f>
        <v>90000000</v>
      </c>
      <c r="E27" s="131">
        <f>'Ops Rinci'!J113</f>
        <v>1770000</v>
      </c>
      <c r="F27" s="131">
        <f>'Ops Rinci'!K113</f>
        <v>36000000</v>
      </c>
      <c r="G27" s="132">
        <f t="shared" si="0"/>
        <v>54000000</v>
      </c>
      <c r="H27" s="574" t="str">
        <f t="shared" si="1"/>
        <v>BERTAMBAH</v>
      </c>
    </row>
    <row r="28" spans="2:8" x14ac:dyDescent="0.25">
      <c r="B28" s="572">
        <v>16</v>
      </c>
      <c r="C28" s="130" t="str">
        <f>'Ops Rinci'!C117:H117</f>
        <v>BIAYA SHARING PARKIR ELEKTRONIK</v>
      </c>
      <c r="D28" s="131">
        <f>'Ops Rinci'!I117</f>
        <v>228799620</v>
      </c>
      <c r="E28" s="131">
        <f>'Ops Rinci'!J117</f>
        <v>29283450</v>
      </c>
      <c r="F28" s="131">
        <f>'Ops Rinci'!K117</f>
        <v>46197550</v>
      </c>
      <c r="G28" s="132">
        <f t="shared" si="0"/>
        <v>182602070</v>
      </c>
      <c r="H28" s="574" t="str">
        <f t="shared" si="1"/>
        <v>BERTAMBAH</v>
      </c>
    </row>
    <row r="29" spans="2:8" x14ac:dyDescent="0.25">
      <c r="B29" s="572">
        <v>17</v>
      </c>
      <c r="C29" s="130" t="str">
        <f>'Ops Rinci'!C122:H122</f>
        <v>BIAYA SEWA KENDARAAN OPERASIONAL</v>
      </c>
      <c r="D29" s="131">
        <f>'Ops Rinci'!I122</f>
        <v>390000000</v>
      </c>
      <c r="E29" s="131">
        <f>'Ops Rinci'!J122</f>
        <v>0</v>
      </c>
      <c r="F29" s="131">
        <f>'Ops Rinci'!K122</f>
        <v>0</v>
      </c>
      <c r="G29" s="132">
        <f>D29-F29</f>
        <v>390000000</v>
      </c>
      <c r="H29" s="574" t="str">
        <f t="shared" si="1"/>
        <v>BERTAMBAH</v>
      </c>
    </row>
    <row r="30" spans="2:8" ht="25.5" x14ac:dyDescent="0.25">
      <c r="B30" s="572">
        <v>18</v>
      </c>
      <c r="C30" s="130" t="str">
        <f>'Ops Rinci'!C126:H126</f>
        <v>PERBAIKAN LAHAN SARANA DAN PRASARANA</v>
      </c>
      <c r="D30" s="131">
        <f>'Ops Rinci'!I126</f>
        <v>50000000</v>
      </c>
      <c r="E30" s="131">
        <f>'Ops Rinci'!J126</f>
        <v>135000</v>
      </c>
      <c r="F30" s="131">
        <f>'Ops Rinci'!K126</f>
        <v>20135000</v>
      </c>
      <c r="G30" s="132">
        <f>D30-F30</f>
        <v>29865000</v>
      </c>
      <c r="H30" s="574" t="str">
        <f t="shared" si="1"/>
        <v>BERTAMBAH</v>
      </c>
    </row>
    <row r="31" spans="2:8" ht="28.15" customHeight="1" x14ac:dyDescent="0.25">
      <c r="B31" s="572">
        <v>19</v>
      </c>
      <c r="C31" s="130" t="str">
        <f>'Ops Rinci'!C130:H130</f>
        <v>BIAYA MEMBER PARKING</v>
      </c>
      <c r="D31" s="133">
        <f>'Ops Rinci'!I130</f>
        <v>600000000</v>
      </c>
      <c r="E31" s="133">
        <f>'Ops Rinci'!J130</f>
        <v>0</v>
      </c>
      <c r="F31" s="133">
        <f>'Ops Rinci'!K130</f>
        <v>0</v>
      </c>
      <c r="G31" s="132">
        <f>D31-F31</f>
        <v>600000000</v>
      </c>
      <c r="H31" s="1121" t="str">
        <f t="shared" si="1"/>
        <v>BERTAMBAH</v>
      </c>
    </row>
    <row r="32" spans="2:8" ht="15.75" thickBot="1" x14ac:dyDescent="0.3">
      <c r="B32" s="1209" t="s">
        <v>120</v>
      </c>
      <c r="C32" s="1210"/>
      <c r="D32" s="575">
        <f>SUM(D13:D31)</f>
        <v>4888332620</v>
      </c>
      <c r="E32" s="576">
        <f>SUM(E13:E31)</f>
        <v>1268941650</v>
      </c>
      <c r="F32" s="576">
        <f>SUM(F13:F31)</f>
        <v>3103831349</v>
      </c>
      <c r="G32" s="577">
        <f>SUM(G13:G31)</f>
        <v>1784501271</v>
      </c>
      <c r="H32" s="578" t="str">
        <f>IF(G32&gt;0,"BERTAMBAH",IF(G32&lt;0,"BERKURANG","TETAP"))</f>
        <v>BERTAMBAH</v>
      </c>
    </row>
    <row r="34" spans="3:9" ht="16.5" x14ac:dyDescent="0.3">
      <c r="F34" s="806" t="s">
        <v>542</v>
      </c>
    </row>
    <row r="35" spans="3:9" ht="16.5" x14ac:dyDescent="0.3">
      <c r="C35" s="810" t="s">
        <v>517</v>
      </c>
      <c r="F35" s="813" t="s">
        <v>515</v>
      </c>
    </row>
    <row r="36" spans="3:9" ht="16.5" x14ac:dyDescent="0.3">
      <c r="C36" s="456" t="s">
        <v>94</v>
      </c>
      <c r="F36" s="806" t="s">
        <v>94</v>
      </c>
    </row>
    <row r="37" spans="3:9" x14ac:dyDescent="0.25">
      <c r="G37" s="456"/>
      <c r="H37" s="456"/>
      <c r="I37" s="456"/>
    </row>
    <row r="38" spans="3:9" x14ac:dyDescent="0.25">
      <c r="G38" s="456"/>
      <c r="H38" s="456"/>
      <c r="I38" s="456"/>
    </row>
    <row r="39" spans="3:9" x14ac:dyDescent="0.25">
      <c r="G39" s="456"/>
      <c r="H39" s="456"/>
      <c r="I39" s="456"/>
    </row>
    <row r="40" spans="3:9" ht="16.5" x14ac:dyDescent="0.3">
      <c r="C40" s="811" t="s">
        <v>518</v>
      </c>
      <c r="F40" s="812" t="s">
        <v>516</v>
      </c>
    </row>
    <row r="41" spans="3:9" ht="16.5" x14ac:dyDescent="0.3">
      <c r="C41" s="456" t="s">
        <v>519</v>
      </c>
      <c r="F41" s="806" t="s">
        <v>248</v>
      </c>
    </row>
  </sheetData>
  <mergeCells count="15">
    <mergeCell ref="C2:H2"/>
    <mergeCell ref="C8:H8"/>
    <mergeCell ref="B32:C32"/>
    <mergeCell ref="B2:B7"/>
    <mergeCell ref="G9:G10"/>
    <mergeCell ref="H9:H10"/>
    <mergeCell ref="C6:H6"/>
    <mergeCell ref="C5:H5"/>
    <mergeCell ref="C4:H4"/>
    <mergeCell ref="C3:H3"/>
    <mergeCell ref="B9:B10"/>
    <mergeCell ref="C9:C10"/>
    <mergeCell ref="D9:D10"/>
    <mergeCell ref="E9:E10"/>
    <mergeCell ref="F9:F10"/>
  </mergeCells>
  <pageMargins left="0.39370078740157483" right="0" top="0" bottom="0" header="0.31496062992125984" footer="0.31496062992125984"/>
  <pageSetup paperSize="9" scale="9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1:N40"/>
  <sheetViews>
    <sheetView showGridLines="0" topLeftCell="A25" workbookViewId="0">
      <selection activeCell="K29" sqref="K29"/>
    </sheetView>
  </sheetViews>
  <sheetFormatPr defaultRowHeight="15" x14ac:dyDescent="0.25"/>
  <cols>
    <col min="1" max="1" width="1.42578125" customWidth="1"/>
    <col min="2" max="2" width="21.28515625" customWidth="1"/>
    <col min="3" max="3" width="45.85546875" customWidth="1"/>
    <col min="4" max="4" width="14.7109375" customWidth="1"/>
    <col min="5" max="5" width="16.140625" customWidth="1"/>
    <col min="6" max="6" width="14.140625" customWidth="1"/>
    <col min="7" max="7" width="13.42578125" customWidth="1"/>
    <col min="8" max="8" width="12.28515625" customWidth="1"/>
  </cols>
  <sheetData>
    <row r="1" spans="2:8" ht="10.15" customHeight="1" thickBot="1" x14ac:dyDescent="0.3"/>
    <row r="2" spans="2:8" ht="4.9000000000000004" customHeight="1" thickTop="1" x14ac:dyDescent="0.25">
      <c r="B2" s="1579"/>
      <c r="C2" s="1569"/>
      <c r="D2" s="1570"/>
      <c r="E2" s="1570"/>
      <c r="F2" s="1570"/>
      <c r="G2" s="1570"/>
      <c r="H2" s="1571"/>
    </row>
    <row r="3" spans="2:8" ht="18" x14ac:dyDescent="0.25">
      <c r="B3" s="1580"/>
      <c r="C3" s="1221" t="s">
        <v>94</v>
      </c>
      <c r="D3" s="1222"/>
      <c r="E3" s="1222"/>
      <c r="F3" s="1222"/>
      <c r="G3" s="1222"/>
      <c r="H3" s="1223"/>
    </row>
    <row r="4" spans="2:8" ht="15.75" x14ac:dyDescent="0.25">
      <c r="B4" s="1580"/>
      <c r="C4" s="1574" t="s">
        <v>118</v>
      </c>
      <c r="D4" s="1575"/>
      <c r="E4" s="1575"/>
      <c r="F4" s="1575"/>
      <c r="G4" s="1575"/>
      <c r="H4" s="1576"/>
    </row>
    <row r="5" spans="2:8" ht="15.75" x14ac:dyDescent="0.25">
      <c r="B5" s="1580"/>
      <c r="C5" s="1574" t="s">
        <v>569</v>
      </c>
      <c r="D5" s="1575"/>
      <c r="E5" s="1575"/>
      <c r="F5" s="1575"/>
      <c r="G5" s="1575"/>
      <c r="H5" s="1576"/>
    </row>
    <row r="6" spans="2:8" ht="18" x14ac:dyDescent="0.25">
      <c r="B6" s="1580"/>
      <c r="C6" s="1221" t="s">
        <v>472</v>
      </c>
      <c r="D6" s="1222"/>
      <c r="E6" s="1222"/>
      <c r="F6" s="1222"/>
      <c r="G6" s="1222"/>
      <c r="H6" s="1223"/>
    </row>
    <row r="7" spans="2:8" ht="4.9000000000000004" customHeight="1" thickBot="1" x14ac:dyDescent="0.3">
      <c r="B7" s="1581"/>
      <c r="C7" s="1592"/>
      <c r="D7" s="1593"/>
      <c r="E7" s="1593"/>
      <c r="F7" s="1593"/>
      <c r="G7" s="1593"/>
      <c r="H7" s="1594"/>
    </row>
    <row r="8" spans="2:8" ht="6" customHeight="1" thickTop="1" thickBot="1" x14ac:dyDescent="0.3">
      <c r="B8" s="785"/>
      <c r="C8" s="785"/>
      <c r="D8" s="785"/>
      <c r="E8" s="785"/>
      <c r="F8" s="785"/>
    </row>
    <row r="9" spans="2:8" ht="24.6" customHeight="1" x14ac:dyDescent="0.25">
      <c r="B9" s="1599" t="s">
        <v>98</v>
      </c>
      <c r="C9" s="1599" t="s">
        <v>99</v>
      </c>
      <c r="D9" s="1601" t="s">
        <v>525</v>
      </c>
      <c r="E9" s="1595" t="s">
        <v>731</v>
      </c>
      <c r="F9" s="1577" t="s">
        <v>513</v>
      </c>
      <c r="G9" s="1577" t="s">
        <v>6</v>
      </c>
      <c r="H9" s="1584" t="s">
        <v>7</v>
      </c>
    </row>
    <row r="10" spans="2:8" ht="31.9" customHeight="1" thickBot="1" x14ac:dyDescent="0.3">
      <c r="B10" s="1600"/>
      <c r="C10" s="1600"/>
      <c r="D10" s="1602"/>
      <c r="E10" s="1596"/>
      <c r="F10" s="1578"/>
      <c r="G10" s="1578"/>
      <c r="H10" s="1585"/>
    </row>
    <row r="11" spans="2:8" ht="6" customHeight="1" thickBot="1" x14ac:dyDescent="0.3"/>
    <row r="12" spans="2:8" ht="16.5" x14ac:dyDescent="0.3">
      <c r="B12" s="1586" t="str">
        <f>'INVEST. RINCI'!B8</f>
        <v>A. PEMBELIAN ASET TETAP DAN ASET TIDAK BERWUJUD</v>
      </c>
      <c r="C12" s="1587"/>
      <c r="D12" s="1587"/>
      <c r="E12" s="1587"/>
      <c r="F12" s="1587"/>
      <c r="G12" s="1587"/>
      <c r="H12" s="1588"/>
    </row>
    <row r="13" spans="2:8" ht="16.5" x14ac:dyDescent="0.3">
      <c r="B13" s="797"/>
      <c r="C13" s="786" t="str">
        <f>'INVEST. RINCI'!C12</f>
        <v>PERENCANAAN DAN RENOVASI KANTOR</v>
      </c>
      <c r="D13" s="787">
        <f>'INVEST. RINCI'!I12</f>
        <v>100000000</v>
      </c>
      <c r="E13" s="787">
        <f>'INVEST. RINCI'!J12</f>
        <v>9524100</v>
      </c>
      <c r="F13" s="787">
        <f>'INVEST. RINCI'!K12</f>
        <v>10000000</v>
      </c>
      <c r="G13" s="791">
        <f>D13-F13</f>
        <v>90000000</v>
      </c>
      <c r="H13" s="798" t="str">
        <f t="shared" ref="H13:H22" si="0">IF(G13&gt;0,"BERTAMBAH",IF(G13&lt;0,"BERKURANG","TETAP"))</f>
        <v>BERTAMBAH</v>
      </c>
    </row>
    <row r="14" spans="2:8" ht="16.5" x14ac:dyDescent="0.3">
      <c r="B14" s="797"/>
      <c r="C14" s="786" t="str">
        <f>'INVEST. RINCI'!C17</f>
        <v>PERENCANAAN DAN PEMBANGUNAN BUILDING PARK</v>
      </c>
      <c r="D14" s="787">
        <f>'INVEST. RINCI'!I17</f>
        <v>0</v>
      </c>
      <c r="E14" s="787">
        <f>'INVEST. RINCI'!J17</f>
        <v>0</v>
      </c>
      <c r="F14" s="787">
        <f>'INVEST. RINCI'!K17</f>
        <v>0</v>
      </c>
      <c r="G14" s="791">
        <f t="shared" ref="G14:G22" si="1">D14-F14</f>
        <v>0</v>
      </c>
      <c r="H14" s="798" t="str">
        <f t="shared" si="0"/>
        <v>TETAP</v>
      </c>
    </row>
    <row r="15" spans="2:8" ht="16.5" x14ac:dyDescent="0.3">
      <c r="B15" s="797"/>
      <c r="C15" s="786" t="str">
        <f>'INVEST. RINCI'!C22</f>
        <v xml:space="preserve">PENGADAAN LAPTOP   </v>
      </c>
      <c r="D15" s="787">
        <f>'INVEST. RINCI'!I22</f>
        <v>14000000</v>
      </c>
      <c r="E15" s="787">
        <f>'INVEST. RINCI'!J22</f>
        <v>52678000</v>
      </c>
      <c r="F15" s="787">
        <f>'INVEST. RINCI'!K22</f>
        <v>69000000</v>
      </c>
      <c r="G15" s="791">
        <f t="shared" si="1"/>
        <v>-55000000</v>
      </c>
      <c r="H15" s="798" t="str">
        <f t="shared" si="0"/>
        <v>BERKURANG</v>
      </c>
    </row>
    <row r="16" spans="2:8" ht="16.5" x14ac:dyDescent="0.3">
      <c r="B16" s="797"/>
      <c r="C16" s="786" t="str">
        <f>'INVEST. RINCI'!C26</f>
        <v>PENGADAAN KOMPUTER (PC) DAN HARD DISK</v>
      </c>
      <c r="D16" s="788">
        <f>'INVEST. RINCI'!I26</f>
        <v>15000000</v>
      </c>
      <c r="E16" s="787">
        <f>'INVEST. RINCI'!J26</f>
        <v>7798000</v>
      </c>
      <c r="F16" s="787">
        <f>'INVEST. RINCI'!K26</f>
        <v>22798000</v>
      </c>
      <c r="G16" s="791">
        <f t="shared" si="1"/>
        <v>-7798000</v>
      </c>
      <c r="H16" s="798" t="str">
        <f t="shared" si="0"/>
        <v>BERKURANG</v>
      </c>
    </row>
    <row r="17" spans="2:8" ht="16.5" x14ac:dyDescent="0.3">
      <c r="B17" s="797"/>
      <c r="C17" s="786" t="str">
        <f>'INVEST. RINCI'!C31</f>
        <v>PENGADAAN PRINTER, KAMERA DAN SOUND SYSTEM</v>
      </c>
      <c r="D17" s="788">
        <f>'INVEST. RINCI'!I31</f>
        <v>40000000</v>
      </c>
      <c r="E17" s="789">
        <f>'INVEST. RINCI'!J31</f>
        <v>6364050</v>
      </c>
      <c r="F17" s="787">
        <f>'INVEST. RINCI'!K31</f>
        <v>46364050</v>
      </c>
      <c r="G17" s="791">
        <f t="shared" si="1"/>
        <v>-6364050</v>
      </c>
      <c r="H17" s="798" t="str">
        <f t="shared" si="0"/>
        <v>BERKURANG</v>
      </c>
    </row>
    <row r="18" spans="2:8" ht="16.5" x14ac:dyDescent="0.3">
      <c r="B18" s="797"/>
      <c r="C18" s="786" t="str">
        <f>'INVEST. RINCI'!C37</f>
        <v>RAMBU, PAPAN BICARA DAN POS KOMERSIAL</v>
      </c>
      <c r="D18" s="788">
        <f>'INVEST. RINCI'!I37</f>
        <v>87500000</v>
      </c>
      <c r="E18" s="787">
        <f>'INVEST. RINCI'!J37</f>
        <v>0</v>
      </c>
      <c r="F18" s="787">
        <f>'INVEST. RINCI'!K37</f>
        <v>42500000</v>
      </c>
      <c r="G18" s="791">
        <f t="shared" si="1"/>
        <v>45000000</v>
      </c>
      <c r="H18" s="798" t="str">
        <f t="shared" si="0"/>
        <v>BERTAMBAH</v>
      </c>
    </row>
    <row r="19" spans="2:8" ht="16.5" x14ac:dyDescent="0.3">
      <c r="B19" s="797"/>
      <c r="C19" s="786" t="str">
        <f>'INVEST. RINCI'!C45</f>
        <v>PENGADAAN KENDARAAN OPERASIONAL</v>
      </c>
      <c r="D19" s="788">
        <f>'INVEST. RINCI'!I45</f>
        <v>20000000</v>
      </c>
      <c r="E19" s="787">
        <f>'INVEST. RINCI'!J45</f>
        <v>0</v>
      </c>
      <c r="F19" s="787">
        <f>'INVEST. RINCI'!K45</f>
        <v>0</v>
      </c>
      <c r="G19" s="791">
        <f t="shared" si="1"/>
        <v>20000000</v>
      </c>
      <c r="H19" s="798" t="str">
        <f t="shared" si="0"/>
        <v>BERTAMBAH</v>
      </c>
    </row>
    <row r="20" spans="2:8" ht="16.5" x14ac:dyDescent="0.3">
      <c r="B20" s="797"/>
      <c r="C20" s="786" t="str">
        <f>'INVEST. RINCI'!C50</f>
        <v>BIAYA PEKERJAAN IT, INFRASTRUCTURE M CORPORATE MANAGEMENT SYSTEM</v>
      </c>
      <c r="D20" s="788">
        <f>'INVEST. RINCI'!I50</f>
        <v>1850000000</v>
      </c>
      <c r="E20" s="789">
        <f>'INVEST. RINCI'!J50</f>
        <v>11200000</v>
      </c>
      <c r="F20" s="787">
        <f>'INVEST. RINCI'!K50</f>
        <v>1011200000</v>
      </c>
      <c r="G20" s="791">
        <f t="shared" si="1"/>
        <v>838800000</v>
      </c>
      <c r="H20" s="798" t="str">
        <f t="shared" si="0"/>
        <v>BERTAMBAH</v>
      </c>
    </row>
    <row r="21" spans="2:8" ht="16.5" x14ac:dyDescent="0.3">
      <c r="B21" s="797"/>
      <c r="C21" s="786" t="str">
        <f>'INVEST. RINCI'!C56</f>
        <v>PENYUSUNAN PERATURAN PERUSAHAAN</v>
      </c>
      <c r="D21" s="788">
        <f>'INVEST. RINCI'!I56</f>
        <v>0</v>
      </c>
      <c r="E21" s="787">
        <f>'INVEST. RINCI'!J56</f>
        <v>0</v>
      </c>
      <c r="F21" s="787">
        <f>'INVEST. RINCI'!K56</f>
        <v>0</v>
      </c>
      <c r="G21" s="791">
        <f t="shared" si="1"/>
        <v>0</v>
      </c>
      <c r="H21" s="798" t="str">
        <f t="shared" si="0"/>
        <v>TETAP</v>
      </c>
    </row>
    <row r="22" spans="2:8" ht="16.5" x14ac:dyDescent="0.3">
      <c r="B22" s="1597" t="str">
        <f>'INVEST. RINCI'!B63</f>
        <v>JUMLAH PEMBELIAN ASET TETAP DAN ASET TIDAK BERWUJUD</v>
      </c>
      <c r="C22" s="1598"/>
      <c r="D22" s="513">
        <f>SUM(D13:D21)</f>
        <v>2126500000</v>
      </c>
      <c r="E22" s="790">
        <f>SUM(E13:E21)</f>
        <v>87564150</v>
      </c>
      <c r="F22" s="790">
        <f>SUM(F13:F21)</f>
        <v>1201862050</v>
      </c>
      <c r="G22" s="791">
        <f t="shared" si="1"/>
        <v>924637950</v>
      </c>
      <c r="H22" s="798" t="str">
        <f t="shared" si="0"/>
        <v>BERTAMBAH</v>
      </c>
    </row>
    <row r="23" spans="2:8" ht="16.5" x14ac:dyDescent="0.3">
      <c r="B23" s="1589" t="str">
        <f>'INVEST. RINCI'!B65</f>
        <v xml:space="preserve">B. PESANGON </v>
      </c>
      <c r="C23" s="1590"/>
      <c r="D23" s="1590"/>
      <c r="E23" s="1590"/>
      <c r="F23" s="1590"/>
      <c r="G23" s="1590"/>
      <c r="H23" s="1591"/>
    </row>
    <row r="24" spans="2:8" ht="16.5" x14ac:dyDescent="0.3">
      <c r="B24" s="797"/>
      <c r="C24" s="786" t="str">
        <f>'INVEST. RINCI'!C66</f>
        <v>PESANGON</v>
      </c>
      <c r="D24" s="788">
        <f>'INVEST. RINCI'!I66+'INVEST. RINCI'!I67</f>
        <v>0</v>
      </c>
      <c r="E24" s="787">
        <f>'INVEST. RINCI'!J66+'INVEST. RINCI'!J67</f>
        <v>203530676</v>
      </c>
      <c r="F24" s="787">
        <f>'INVEST. RINCI'!K66+'INVEST. RINCI'!K67</f>
        <v>368040750</v>
      </c>
      <c r="G24" s="791">
        <f t="shared" ref="G24:G29" si="2">D24-F24</f>
        <v>-368040750</v>
      </c>
      <c r="H24" s="798" t="str">
        <f>IF(G24&gt;0,"BERTAMBAH",IF(G24&lt;0,"BERKURANG","TETAP"))</f>
        <v>BERKURANG</v>
      </c>
    </row>
    <row r="25" spans="2:8" ht="16.5" x14ac:dyDescent="0.3">
      <c r="B25" s="797"/>
      <c r="C25" s="786" t="str">
        <f>'INVEST. RINCI'!C76</f>
        <v>ANGSURAN MOBIL OPERASIONAL</v>
      </c>
      <c r="D25" s="788">
        <f>'INVEST. RINCI'!I76</f>
        <v>66000000</v>
      </c>
      <c r="E25" s="787">
        <f>'INVEST. RINCI'!J76</f>
        <v>50500000</v>
      </c>
      <c r="F25" s="787">
        <f>'INVEST. RINCI'!K76</f>
        <v>57350000</v>
      </c>
      <c r="G25" s="791">
        <f t="shared" si="2"/>
        <v>8650000</v>
      </c>
      <c r="H25" s="798" t="str">
        <f t="shared" ref="H25:H31" si="3">IF(G25&gt;0,"BERTAMBAH",IF(G25&lt;0,"BERKURANG","TETAP"))</f>
        <v>BERTAMBAH</v>
      </c>
    </row>
    <row r="26" spans="2:8" ht="16.5" x14ac:dyDescent="0.3">
      <c r="B26" s="797"/>
      <c r="C26" s="786" t="str">
        <f>'INVEST. RINCI'!C80</f>
        <v>BY PAJAK PPH BADAN 2021</v>
      </c>
      <c r="D26" s="788">
        <f>'INVEST. RINCI'!I80</f>
        <v>508608361</v>
      </c>
      <c r="E26" s="789">
        <f>'INVEST. RINCI'!J80</f>
        <v>374868824</v>
      </c>
      <c r="F26" s="787">
        <f>'INVEST. RINCI'!K80</f>
        <v>391589000</v>
      </c>
      <c r="G26" s="791">
        <f t="shared" si="2"/>
        <v>117019361</v>
      </c>
      <c r="H26" s="798" t="str">
        <f t="shared" si="3"/>
        <v>BERTAMBAH</v>
      </c>
    </row>
    <row r="27" spans="2:8" ht="16.5" x14ac:dyDescent="0.3">
      <c r="B27" s="797"/>
      <c r="C27" s="786" t="str">
        <f>'INVEST. RINCI'!C84</f>
        <v>PEMBAGIAN LABA TAHUN 2021</v>
      </c>
      <c r="D27" s="788">
        <f>'INVEST. RINCI'!I84</f>
        <v>1442598259.4399998</v>
      </c>
      <c r="E27" s="787">
        <f>'INVEST. RINCI'!J84</f>
        <v>100000000</v>
      </c>
      <c r="F27" s="787">
        <f>'INVEST. RINCI'!K84</f>
        <v>603690318</v>
      </c>
      <c r="G27" s="791">
        <f t="shared" si="2"/>
        <v>838907941.43999982</v>
      </c>
      <c r="H27" s="798" t="str">
        <f t="shared" si="3"/>
        <v>BERTAMBAH</v>
      </c>
    </row>
    <row r="28" spans="2:8" ht="16.5" x14ac:dyDescent="0.3">
      <c r="B28" s="797"/>
      <c r="C28" s="786" t="str">
        <f>'INVEST. RINCI'!C90</f>
        <v>ANGSURAN PINJAMAN KREDIT INV</v>
      </c>
      <c r="D28" s="788">
        <f>'INVEST. RINCI'!I90</f>
        <v>0</v>
      </c>
      <c r="E28" s="787">
        <f>'INVEST. RINCI'!J90</f>
        <v>0</v>
      </c>
      <c r="F28" s="787">
        <f>'INVEST. RINCI'!K90</f>
        <v>0</v>
      </c>
      <c r="G28" s="791">
        <f t="shared" si="2"/>
        <v>0</v>
      </c>
      <c r="H28" s="798" t="str">
        <f t="shared" si="3"/>
        <v>TETAP</v>
      </c>
    </row>
    <row r="29" spans="2:8" ht="16.5" x14ac:dyDescent="0.3">
      <c r="B29" s="1572" t="str">
        <f>'INVEST. RINCI'!B94</f>
        <v>JUMLAH PESANGON DAN HUTANG</v>
      </c>
      <c r="C29" s="1573"/>
      <c r="D29" s="790">
        <f>SUM(D24:D28)</f>
        <v>2017206620.4399998</v>
      </c>
      <c r="E29" s="790">
        <f>SUM(E24:E28)</f>
        <v>728899500</v>
      </c>
      <c r="F29" s="790">
        <f>SUM(F24:F28)</f>
        <v>1420670068</v>
      </c>
      <c r="G29" s="791">
        <f t="shared" si="2"/>
        <v>596536552.43999982</v>
      </c>
      <c r="H29" s="798" t="str">
        <f t="shared" si="3"/>
        <v>BERTAMBAH</v>
      </c>
    </row>
    <row r="30" spans="2:8" x14ac:dyDescent="0.25">
      <c r="B30" s="799"/>
      <c r="G30" s="341"/>
      <c r="H30" s="800"/>
    </row>
    <row r="31" spans="2:8" ht="17.25" thickBot="1" x14ac:dyDescent="0.35">
      <c r="B31" s="1582" t="str">
        <f>'INVEST. RINCI'!B96</f>
        <v>TOTAL</v>
      </c>
      <c r="C31" s="1583"/>
      <c r="D31" s="801">
        <f>D29+D22</f>
        <v>4143706620.4399996</v>
      </c>
      <c r="E31" s="805">
        <f>E29+E22</f>
        <v>816463650</v>
      </c>
      <c r="F31" s="802">
        <f>F29+F22</f>
        <v>2622532118</v>
      </c>
      <c r="G31" s="803">
        <f>G29+G22</f>
        <v>1521174502.4399998</v>
      </c>
      <c r="H31" s="804" t="str">
        <f t="shared" si="3"/>
        <v>BERTAMBAH</v>
      </c>
    </row>
    <row r="33" spans="3:14" ht="16.5" x14ac:dyDescent="0.3">
      <c r="F33" s="806" t="s">
        <v>542</v>
      </c>
      <c r="G33" s="806"/>
      <c r="H33" s="806"/>
      <c r="I33" s="806"/>
    </row>
    <row r="34" spans="3:14" ht="16.5" x14ac:dyDescent="0.3">
      <c r="C34" s="810" t="s">
        <v>517</v>
      </c>
      <c r="D34" s="808"/>
      <c r="E34" s="808"/>
      <c r="F34" s="1407" t="s">
        <v>515</v>
      </c>
      <c r="G34" s="1407"/>
      <c r="H34" s="806"/>
      <c r="J34" s="806"/>
      <c r="K34" s="806"/>
    </row>
    <row r="35" spans="3:14" ht="16.5" x14ac:dyDescent="0.3">
      <c r="C35" s="456" t="s">
        <v>94</v>
      </c>
      <c r="D35" s="808"/>
      <c r="F35" s="806" t="s">
        <v>94</v>
      </c>
      <c r="G35" s="806"/>
      <c r="H35" s="806"/>
      <c r="J35" s="806"/>
      <c r="K35" s="806"/>
    </row>
    <row r="36" spans="3:14" ht="16.5" x14ac:dyDescent="0.3">
      <c r="C36" s="456"/>
      <c r="D36" s="808"/>
      <c r="E36" s="808"/>
      <c r="F36" s="815"/>
      <c r="G36" s="815"/>
      <c r="J36" s="806"/>
      <c r="K36" s="806"/>
      <c r="L36" s="806"/>
      <c r="M36" s="806"/>
      <c r="N36" s="806"/>
    </row>
    <row r="37" spans="3:14" ht="16.5" x14ac:dyDescent="0.3">
      <c r="C37" s="456"/>
      <c r="D37" s="808"/>
      <c r="E37" s="808"/>
      <c r="F37" s="815"/>
      <c r="G37" s="815"/>
      <c r="J37" s="806"/>
      <c r="K37" s="806"/>
      <c r="L37" s="806"/>
      <c r="M37" s="806"/>
      <c r="N37" s="806"/>
    </row>
    <row r="38" spans="3:14" ht="16.5" x14ac:dyDescent="0.3">
      <c r="C38" s="456"/>
      <c r="D38" s="808"/>
      <c r="E38" s="808"/>
      <c r="F38" s="815"/>
      <c r="G38" s="815"/>
      <c r="J38" s="806"/>
      <c r="K38" s="806"/>
      <c r="L38" s="1568"/>
      <c r="M38" s="1568"/>
      <c r="N38" s="1568"/>
    </row>
    <row r="39" spans="3:14" ht="16.5" x14ac:dyDescent="0.3">
      <c r="C39" s="1543" t="s">
        <v>518</v>
      </c>
      <c r="D39" s="1543"/>
      <c r="E39" s="1543"/>
      <c r="F39" s="1406" t="s">
        <v>516</v>
      </c>
      <c r="G39" s="1406"/>
      <c r="H39" s="809"/>
      <c r="J39" s="806"/>
      <c r="K39" s="806"/>
    </row>
    <row r="40" spans="3:14" ht="16.5" x14ac:dyDescent="0.3">
      <c r="C40" s="1542" t="s">
        <v>519</v>
      </c>
      <c r="D40" s="1542"/>
      <c r="E40" s="1542"/>
      <c r="F40" s="1405" t="s">
        <v>248</v>
      </c>
      <c r="G40" s="1405"/>
      <c r="H40" s="806"/>
      <c r="J40" s="806"/>
      <c r="K40" s="806"/>
    </row>
  </sheetData>
  <mergeCells count="25">
    <mergeCell ref="C40:E40"/>
    <mergeCell ref="F34:G34"/>
    <mergeCell ref="F40:G40"/>
    <mergeCell ref="F39:G39"/>
    <mergeCell ref="C5:H5"/>
    <mergeCell ref="B31:C31"/>
    <mergeCell ref="H9:H10"/>
    <mergeCell ref="B12:H12"/>
    <mergeCell ref="B23:H23"/>
    <mergeCell ref="C7:H7"/>
    <mergeCell ref="E9:E10"/>
    <mergeCell ref="B22:C22"/>
    <mergeCell ref="B9:B10"/>
    <mergeCell ref="C9:C10"/>
    <mergeCell ref="D9:D10"/>
    <mergeCell ref="F9:F10"/>
    <mergeCell ref="L38:N38"/>
    <mergeCell ref="C39:E39"/>
    <mergeCell ref="C2:H2"/>
    <mergeCell ref="B29:C29"/>
    <mergeCell ref="C6:H6"/>
    <mergeCell ref="C4:H4"/>
    <mergeCell ref="C3:H3"/>
    <mergeCell ref="G9:G10"/>
    <mergeCell ref="B2:B7"/>
  </mergeCells>
  <pageMargins left="0.39370078740157483" right="0" top="0" bottom="0" header="0.31496062992125984" footer="0.31496062992125984"/>
  <pageSetup paperSize="9" scale="90" orientation="landscape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W240"/>
  <sheetViews>
    <sheetView showGridLines="0" topLeftCell="D1" workbookViewId="0">
      <selection activeCell="I41" sqref="I41"/>
    </sheetView>
  </sheetViews>
  <sheetFormatPr defaultRowHeight="15" x14ac:dyDescent="0.25"/>
  <cols>
    <col min="1" max="1" width="8.140625" customWidth="1"/>
    <col min="2" max="2" width="30.85546875" customWidth="1"/>
    <col min="3" max="3" width="14.85546875" customWidth="1"/>
    <col min="4" max="4" width="15.5703125" customWidth="1"/>
    <col min="5" max="5" width="14.85546875" customWidth="1"/>
    <col min="6" max="6" width="16.140625" customWidth="1"/>
    <col min="7" max="8" width="15.7109375" customWidth="1"/>
    <col min="9" max="9" width="16.7109375" customWidth="1"/>
    <col min="10" max="14" width="14.7109375" customWidth="1"/>
    <col min="15" max="15" width="0.7109375" customWidth="1"/>
    <col min="16" max="16" width="15.28515625" customWidth="1"/>
    <col min="17" max="17" width="0.7109375" customWidth="1"/>
    <col min="18" max="18" width="15.28515625" customWidth="1"/>
    <col min="19" max="19" width="0.7109375" customWidth="1"/>
    <col min="20" max="20" width="15.140625" customWidth="1"/>
    <col min="21" max="21" width="0.7109375" customWidth="1"/>
    <col min="22" max="23" width="15.28515625" customWidth="1"/>
  </cols>
  <sheetData>
    <row r="1" spans="1:23" ht="15.75" thickBot="1" x14ac:dyDescent="0.3"/>
    <row r="2" spans="1:23" ht="18.75" thickTop="1" x14ac:dyDescent="0.25">
      <c r="A2" s="1260"/>
      <c r="B2" s="1261"/>
      <c r="C2" s="1266" t="s">
        <v>96</v>
      </c>
      <c r="D2" s="1267"/>
      <c r="E2" s="1267"/>
      <c r="F2" s="1267"/>
      <c r="G2" s="1267"/>
      <c r="H2" s="1267"/>
      <c r="I2" s="1267"/>
      <c r="J2" s="1267"/>
      <c r="K2" s="1267"/>
      <c r="L2" s="1267"/>
      <c r="M2" s="1267"/>
      <c r="N2" s="1267"/>
      <c r="O2" s="1267"/>
      <c r="P2" s="1267"/>
      <c r="Q2" s="1267"/>
      <c r="R2" s="1267"/>
      <c r="S2" s="1267"/>
      <c r="T2" s="1267"/>
      <c r="U2" s="1267"/>
      <c r="V2" s="1267"/>
      <c r="W2" s="1268"/>
    </row>
    <row r="3" spans="1:23" ht="18" x14ac:dyDescent="0.25">
      <c r="A3" s="1262"/>
      <c r="B3" s="1263"/>
      <c r="C3" s="1269" t="s">
        <v>0</v>
      </c>
      <c r="D3" s="1270"/>
      <c r="E3" s="1270"/>
      <c r="F3" s="1270"/>
      <c r="G3" s="1270"/>
      <c r="H3" s="1270"/>
      <c r="I3" s="1270"/>
      <c r="J3" s="1270"/>
      <c r="K3" s="1270"/>
      <c r="L3" s="1270"/>
      <c r="M3" s="1270"/>
      <c r="N3" s="1270"/>
      <c r="O3" s="1270"/>
      <c r="P3" s="1270"/>
      <c r="Q3" s="1270"/>
      <c r="R3" s="1270"/>
      <c r="S3" s="1270"/>
      <c r="T3" s="1270"/>
      <c r="U3" s="1270"/>
      <c r="V3" s="1270"/>
      <c r="W3" s="1271"/>
    </row>
    <row r="4" spans="1:23" ht="18" x14ac:dyDescent="0.25">
      <c r="A4" s="1262"/>
      <c r="B4" s="1263"/>
      <c r="C4" s="1269" t="s">
        <v>569</v>
      </c>
      <c r="D4" s="1270"/>
      <c r="E4" s="1270"/>
      <c r="F4" s="1270"/>
      <c r="G4" s="1270"/>
      <c r="H4" s="1270"/>
      <c r="I4" s="1270"/>
      <c r="J4" s="1270"/>
      <c r="K4" s="1270"/>
      <c r="L4" s="1270"/>
      <c r="M4" s="1270"/>
      <c r="N4" s="1270"/>
      <c r="O4" s="1270"/>
      <c r="P4" s="1270"/>
      <c r="Q4" s="1270"/>
      <c r="R4" s="1270"/>
      <c r="S4" s="1270"/>
      <c r="T4" s="1270"/>
      <c r="U4" s="1270"/>
      <c r="V4" s="1270"/>
      <c r="W4" s="1271"/>
    </row>
    <row r="5" spans="1:23" ht="18.75" thickBot="1" x14ac:dyDescent="0.3">
      <c r="A5" s="1264"/>
      <c r="B5" s="1265"/>
      <c r="C5" s="1272" t="s">
        <v>524</v>
      </c>
      <c r="D5" s="1273"/>
      <c r="E5" s="1273"/>
      <c r="F5" s="1273"/>
      <c r="G5" s="1273"/>
      <c r="H5" s="1273"/>
      <c r="I5" s="1273"/>
      <c r="J5" s="1273"/>
      <c r="K5" s="1273"/>
      <c r="L5" s="1273"/>
      <c r="M5" s="1273"/>
      <c r="N5" s="1273"/>
      <c r="O5" s="1273"/>
      <c r="P5" s="1273"/>
      <c r="Q5" s="1273"/>
      <c r="R5" s="1273"/>
      <c r="S5" s="1273"/>
      <c r="T5" s="1273"/>
      <c r="U5" s="1273"/>
      <c r="V5" s="1273"/>
      <c r="W5" s="1274"/>
    </row>
    <row r="6" spans="1:23" ht="22.5" customHeight="1" thickTop="1" x14ac:dyDescent="0.25">
      <c r="A6" s="77" t="s">
        <v>97</v>
      </c>
      <c r="B6" s="78"/>
    </row>
    <row r="7" spans="1:23" x14ac:dyDescent="0.25">
      <c r="A7" s="1604" t="s">
        <v>98</v>
      </c>
      <c r="B7" s="1617" t="s">
        <v>99</v>
      </c>
      <c r="C7" s="1615" t="s">
        <v>112</v>
      </c>
      <c r="D7" s="1619" t="s">
        <v>113</v>
      </c>
      <c r="E7" s="1615" t="s">
        <v>114</v>
      </c>
      <c r="F7" s="1613" t="s">
        <v>100</v>
      </c>
      <c r="G7" s="1615" t="s">
        <v>101</v>
      </c>
      <c r="H7" s="1615" t="s">
        <v>102</v>
      </c>
      <c r="I7" s="1610" t="s">
        <v>103</v>
      </c>
      <c r="J7" s="1610" t="s">
        <v>104</v>
      </c>
      <c r="K7" s="1610" t="s">
        <v>105</v>
      </c>
      <c r="L7" s="1610" t="s">
        <v>106</v>
      </c>
      <c r="M7" s="1610" t="s">
        <v>107</v>
      </c>
      <c r="N7" s="1610" t="s">
        <v>108</v>
      </c>
      <c r="P7" s="1611" t="s">
        <v>525</v>
      </c>
      <c r="R7" s="1604" t="s">
        <v>723</v>
      </c>
      <c r="T7" s="1309" t="s">
        <v>95</v>
      </c>
      <c r="V7" s="1605" t="s">
        <v>6</v>
      </c>
      <c r="W7" s="1606" t="s">
        <v>7</v>
      </c>
    </row>
    <row r="8" spans="1:23" ht="26.45" customHeight="1" x14ac:dyDescent="0.25">
      <c r="A8" s="1320"/>
      <c r="B8" s="1618"/>
      <c r="C8" s="1616"/>
      <c r="D8" s="1620"/>
      <c r="E8" s="1616"/>
      <c r="F8" s="1614"/>
      <c r="G8" s="1616"/>
      <c r="H8" s="1616"/>
      <c r="I8" s="1610"/>
      <c r="J8" s="1610"/>
      <c r="K8" s="1610"/>
      <c r="L8" s="1610"/>
      <c r="M8" s="1610"/>
      <c r="N8" s="1610"/>
      <c r="P8" s="1612"/>
      <c r="R8" s="1320"/>
      <c r="T8" s="1309"/>
      <c r="V8" s="1313"/>
      <c r="W8" s="1607"/>
    </row>
    <row r="9" spans="1:23" ht="39.950000000000003" customHeight="1" x14ac:dyDescent="0.25">
      <c r="A9" s="79">
        <v>1</v>
      </c>
      <c r="B9" s="1098" t="s">
        <v>460</v>
      </c>
      <c r="C9" s="80">
        <v>1100000000</v>
      </c>
      <c r="D9" s="80">
        <v>1100000000</v>
      </c>
      <c r="E9" s="80">
        <v>1100000000</v>
      </c>
      <c r="F9" s="80">
        <v>1100000000</v>
      </c>
      <c r="G9" s="80">
        <v>1100000000</v>
      </c>
      <c r="H9" s="80">
        <v>1100000000</v>
      </c>
      <c r="I9" s="80">
        <v>1100000000</v>
      </c>
      <c r="J9" s="80">
        <v>1100000000</v>
      </c>
      <c r="K9" s="80">
        <v>1100000000</v>
      </c>
      <c r="L9" s="80">
        <v>1100000000</v>
      </c>
      <c r="M9" s="80">
        <v>1100000000</v>
      </c>
      <c r="N9" s="80">
        <v>1100000000</v>
      </c>
      <c r="O9" s="941"/>
      <c r="P9" s="939">
        <f>SUM(C9:N9)</f>
        <v>13200000000</v>
      </c>
      <c r="Q9" s="1065"/>
      <c r="R9" s="939">
        <v>4885618200</v>
      </c>
      <c r="S9" s="941"/>
      <c r="T9" s="1066">
        <v>6415020200</v>
      </c>
      <c r="V9" s="939">
        <f>P9-T9</f>
        <v>6784979800</v>
      </c>
      <c r="W9" s="603" t="str">
        <f>IF(V9&gt;0,"BERTAMBAH",IF(V9&lt;0,"BERKURANG","TETAP"))</f>
        <v>BERTAMBAH</v>
      </c>
    </row>
    <row r="10" spans="1:23" ht="39.950000000000003" customHeight="1" x14ac:dyDescent="0.25">
      <c r="A10" s="79">
        <v>2</v>
      </c>
      <c r="B10" s="1098" t="s">
        <v>109</v>
      </c>
      <c r="C10" s="80">
        <v>30000000</v>
      </c>
      <c r="D10" s="80">
        <v>30000000</v>
      </c>
      <c r="E10" s="80">
        <v>30000000</v>
      </c>
      <c r="F10" s="80">
        <v>30000000</v>
      </c>
      <c r="G10" s="80">
        <v>30000000</v>
      </c>
      <c r="H10" s="80">
        <v>30000000</v>
      </c>
      <c r="I10" s="80">
        <v>30000000</v>
      </c>
      <c r="J10" s="80">
        <v>30000000</v>
      </c>
      <c r="K10" s="80">
        <v>30000000</v>
      </c>
      <c r="L10" s="80">
        <v>30000000</v>
      </c>
      <c r="M10" s="80">
        <v>30000000</v>
      </c>
      <c r="N10" s="80">
        <v>30000000</v>
      </c>
      <c r="O10" s="941"/>
      <c r="P10" s="939">
        <f>SUM(C10:N10)</f>
        <v>360000000</v>
      </c>
      <c r="Q10" s="1065"/>
      <c r="R10" s="939">
        <v>78778000</v>
      </c>
      <c r="S10" s="941"/>
      <c r="T10" s="1067">
        <v>97525000</v>
      </c>
      <c r="V10" s="939">
        <f>P10-T10</f>
        <v>262475000</v>
      </c>
      <c r="W10" s="129" t="str">
        <f t="shared" ref="W10:W16" si="0">IF(V10&gt;0,"BERTAMBAH",IF(V10&lt;0,"BERKURANG","TETAP"))</f>
        <v>BERTAMBAH</v>
      </c>
    </row>
    <row r="11" spans="1:23" ht="39.950000000000003" customHeight="1" x14ac:dyDescent="0.25">
      <c r="A11" s="79">
        <v>3</v>
      </c>
      <c r="B11" s="1098" t="s">
        <v>110</v>
      </c>
      <c r="C11" s="80">
        <v>274380000</v>
      </c>
      <c r="D11" s="80">
        <v>274380000</v>
      </c>
      <c r="E11" s="80">
        <v>274380000</v>
      </c>
      <c r="F11" s="80">
        <v>274380000</v>
      </c>
      <c r="G11" s="80">
        <v>274380000</v>
      </c>
      <c r="H11" s="80">
        <v>274380000</v>
      </c>
      <c r="I11" s="80">
        <v>274380000</v>
      </c>
      <c r="J11" s="80">
        <v>274380000</v>
      </c>
      <c r="K11" s="80">
        <v>274380000</v>
      </c>
      <c r="L11" s="80">
        <v>274380000</v>
      </c>
      <c r="M11" s="80">
        <v>274380000</v>
      </c>
      <c r="N11" s="80">
        <v>274380000</v>
      </c>
      <c r="O11" s="941"/>
      <c r="P11" s="939">
        <f>SUM(C11:N11)</f>
        <v>3292560000</v>
      </c>
      <c r="Q11" s="1065"/>
      <c r="R11" s="939">
        <v>2187145000</v>
      </c>
      <c r="S11" s="941"/>
      <c r="T11" s="1067">
        <v>2744825000</v>
      </c>
      <c r="V11" s="939">
        <f>P11-T11</f>
        <v>547735000</v>
      </c>
      <c r="W11" s="129" t="str">
        <f t="shared" si="0"/>
        <v>BERTAMBAH</v>
      </c>
    </row>
    <row r="12" spans="1:23" ht="39.950000000000003" customHeight="1" x14ac:dyDescent="0.25">
      <c r="A12" s="79">
        <v>4</v>
      </c>
      <c r="B12" s="1098" t="s">
        <v>461</v>
      </c>
      <c r="C12" s="80">
        <v>670000000</v>
      </c>
      <c r="D12" s="80">
        <v>670000000</v>
      </c>
      <c r="E12" s="80">
        <v>670000000</v>
      </c>
      <c r="F12" s="80">
        <v>670000000</v>
      </c>
      <c r="G12" s="80">
        <v>670000000</v>
      </c>
      <c r="H12" s="80">
        <v>670000000</v>
      </c>
      <c r="I12" s="80">
        <v>670000000</v>
      </c>
      <c r="J12" s="80">
        <v>670000000</v>
      </c>
      <c r="K12" s="80">
        <v>670000000</v>
      </c>
      <c r="L12" s="80">
        <v>670000000</v>
      </c>
      <c r="M12" s="80">
        <v>670000000</v>
      </c>
      <c r="N12" s="80">
        <v>670000000</v>
      </c>
      <c r="O12" s="941"/>
      <c r="P12" s="939">
        <f>SUM(C12:N12)</f>
        <v>8040000000</v>
      </c>
      <c r="Q12" s="1065"/>
      <c r="R12" s="939">
        <v>3941547100</v>
      </c>
      <c r="S12" s="941"/>
      <c r="T12" s="1067">
        <v>5061267600</v>
      </c>
      <c r="V12" s="939">
        <f>P12-T12</f>
        <v>2978732400</v>
      </c>
      <c r="W12" s="129" t="str">
        <f t="shared" si="0"/>
        <v>BERTAMBAH</v>
      </c>
    </row>
    <row r="13" spans="1:23" ht="39.950000000000003" customHeight="1" x14ac:dyDescent="0.25">
      <c r="A13" s="79">
        <v>5</v>
      </c>
      <c r="B13" s="1099" t="s">
        <v>111</v>
      </c>
      <c r="C13" s="352">
        <v>51450000</v>
      </c>
      <c r="D13" s="352">
        <v>51450000</v>
      </c>
      <c r="E13" s="352">
        <v>51450000</v>
      </c>
      <c r="F13" s="352">
        <v>51450000</v>
      </c>
      <c r="G13" s="352">
        <v>51450000</v>
      </c>
      <c r="H13" s="352">
        <v>51450000</v>
      </c>
      <c r="I13" s="352">
        <v>51450000</v>
      </c>
      <c r="J13" s="352">
        <v>51450000</v>
      </c>
      <c r="K13" s="352">
        <v>51450000</v>
      </c>
      <c r="L13" s="352">
        <v>51450000</v>
      </c>
      <c r="M13" s="352">
        <v>51450000</v>
      </c>
      <c r="N13" s="352">
        <v>51450000</v>
      </c>
      <c r="O13" s="941"/>
      <c r="P13" s="1093">
        <f>SUM(C13:N13)</f>
        <v>617400000</v>
      </c>
      <c r="Q13" s="1065"/>
      <c r="R13" s="1093">
        <v>970349000</v>
      </c>
      <c r="S13" s="941"/>
      <c r="T13" s="1189">
        <v>1115025000</v>
      </c>
      <c r="V13" s="1093">
        <f>P13-T13</f>
        <v>-497625000</v>
      </c>
      <c r="W13" s="1191" t="str">
        <f t="shared" si="0"/>
        <v>BERKURANG</v>
      </c>
    </row>
    <row r="14" spans="1:23" ht="39.950000000000003" customHeight="1" x14ac:dyDescent="0.25">
      <c r="A14" s="81">
        <v>6</v>
      </c>
      <c r="B14" s="1185" t="s">
        <v>746</v>
      </c>
      <c r="C14" s="1186"/>
      <c r="D14" s="1186"/>
      <c r="E14" s="1186"/>
      <c r="F14" s="1186"/>
      <c r="G14" s="1186"/>
      <c r="H14" s="1186"/>
      <c r="I14" s="1186"/>
      <c r="J14" s="1186"/>
      <c r="K14" s="1186"/>
      <c r="L14" s="1186"/>
      <c r="M14" s="1186"/>
      <c r="N14" s="1186"/>
      <c r="O14" s="941"/>
      <c r="P14" s="1187"/>
      <c r="Q14" s="941"/>
      <c r="R14" s="1188">
        <f>SUM(C14:I14)</f>
        <v>0</v>
      </c>
      <c r="S14" s="59"/>
      <c r="T14" s="1188"/>
      <c r="U14" s="59"/>
      <c r="V14" s="1190">
        <f>T14-P14</f>
        <v>0</v>
      </c>
      <c r="W14" s="1192"/>
    </row>
    <row r="15" spans="1:23" ht="39.950000000000003" customHeight="1" x14ac:dyDescent="0.25">
      <c r="A15" s="1096">
        <v>7</v>
      </c>
      <c r="B15" s="1184" t="s">
        <v>747</v>
      </c>
      <c r="C15" s="1094"/>
      <c r="D15" s="1097"/>
      <c r="E15" s="1094"/>
      <c r="F15" s="1097"/>
      <c r="G15" s="1094"/>
      <c r="H15" s="1097"/>
      <c r="I15" s="1094"/>
      <c r="J15" s="1097"/>
      <c r="K15" s="1094"/>
      <c r="L15" s="1097"/>
      <c r="M15" s="1094"/>
      <c r="N15" s="1094"/>
      <c r="O15" s="941"/>
      <c r="P15" s="604"/>
      <c r="Q15" s="941"/>
      <c r="R15" s="1095"/>
      <c r="S15" s="59"/>
      <c r="T15" s="605"/>
      <c r="U15" s="59"/>
      <c r="V15" s="1093"/>
      <c r="W15" s="606"/>
    </row>
    <row r="16" spans="1:23" ht="39.950000000000003" customHeight="1" x14ac:dyDescent="0.25">
      <c r="A16" s="1650" t="s">
        <v>20</v>
      </c>
      <c r="B16" s="1651"/>
      <c r="C16" s="940">
        <f t="shared" ref="C16:N16" si="1">SUM(C9:C14)</f>
        <v>2125830000</v>
      </c>
      <c r="D16" s="940">
        <f t="shared" si="1"/>
        <v>2125830000</v>
      </c>
      <c r="E16" s="940">
        <f t="shared" si="1"/>
        <v>2125830000</v>
      </c>
      <c r="F16" s="940">
        <f t="shared" si="1"/>
        <v>2125830000</v>
      </c>
      <c r="G16" s="940">
        <f t="shared" si="1"/>
        <v>2125830000</v>
      </c>
      <c r="H16" s="940">
        <f t="shared" si="1"/>
        <v>2125830000</v>
      </c>
      <c r="I16" s="940">
        <f t="shared" si="1"/>
        <v>2125830000</v>
      </c>
      <c r="J16" s="940">
        <f t="shared" si="1"/>
        <v>2125830000</v>
      </c>
      <c r="K16" s="940">
        <f t="shared" si="1"/>
        <v>2125830000</v>
      </c>
      <c r="L16" s="940">
        <f t="shared" si="1"/>
        <v>2125830000</v>
      </c>
      <c r="M16" s="940">
        <f t="shared" si="1"/>
        <v>2125830000</v>
      </c>
      <c r="N16" s="940">
        <f t="shared" si="1"/>
        <v>2125830000</v>
      </c>
      <c r="O16" s="941"/>
      <c r="P16" s="942">
        <f>SUM(P9:P14)</f>
        <v>25509960000</v>
      </c>
      <c r="Q16" s="943"/>
      <c r="R16" s="944">
        <f>SUM(R9:R14)</f>
        <v>12063437300</v>
      </c>
      <c r="S16" s="941"/>
      <c r="T16" s="938">
        <f>SUM(T9:T14)</f>
        <v>15433662800</v>
      </c>
      <c r="U16" s="941"/>
      <c r="V16" s="944">
        <f>P16-T16</f>
        <v>10076297200</v>
      </c>
      <c r="W16" s="460" t="str">
        <f t="shared" si="0"/>
        <v>BERTAMBAH</v>
      </c>
    </row>
    <row r="17" spans="1:23" ht="7.5" customHeight="1" x14ac:dyDescent="0.25"/>
    <row r="18" spans="1:23" x14ac:dyDescent="0.25">
      <c r="A18" s="1604" t="s">
        <v>98</v>
      </c>
      <c r="B18" s="1617" t="s">
        <v>99</v>
      </c>
      <c r="C18" s="1615" t="s">
        <v>112</v>
      </c>
      <c r="D18" s="1619" t="s">
        <v>113</v>
      </c>
      <c r="E18" s="1615" t="s">
        <v>114</v>
      </c>
      <c r="F18" s="1613" t="s">
        <v>100</v>
      </c>
      <c r="G18" s="1615" t="s">
        <v>101</v>
      </c>
      <c r="H18" s="1615" t="s">
        <v>102</v>
      </c>
      <c r="I18" s="1610" t="s">
        <v>103</v>
      </c>
      <c r="J18" s="1610" t="s">
        <v>104</v>
      </c>
      <c r="K18" s="1610" t="s">
        <v>105</v>
      </c>
      <c r="L18" s="1610" t="s">
        <v>106</v>
      </c>
      <c r="M18" s="1610" t="s">
        <v>107</v>
      </c>
      <c r="N18" s="1610" t="s">
        <v>108</v>
      </c>
      <c r="P18" s="1611" t="s">
        <v>525</v>
      </c>
      <c r="R18" s="1604" t="s">
        <v>723</v>
      </c>
      <c r="T18" s="1309" t="s">
        <v>95</v>
      </c>
      <c r="V18" s="1605" t="s">
        <v>6</v>
      </c>
      <c r="W18" s="1606" t="s">
        <v>7</v>
      </c>
    </row>
    <row r="19" spans="1:23" ht="26.45" customHeight="1" x14ac:dyDescent="0.25">
      <c r="A19" s="1320"/>
      <c r="B19" s="1618"/>
      <c r="C19" s="1616"/>
      <c r="D19" s="1620"/>
      <c r="E19" s="1616"/>
      <c r="F19" s="1614"/>
      <c r="G19" s="1616"/>
      <c r="H19" s="1616"/>
      <c r="I19" s="1610"/>
      <c r="J19" s="1610"/>
      <c r="K19" s="1610"/>
      <c r="L19" s="1610"/>
      <c r="M19" s="1610"/>
      <c r="N19" s="1610"/>
      <c r="P19" s="1612"/>
      <c r="R19" s="1320"/>
      <c r="T19" s="1309"/>
      <c r="V19" s="1313"/>
      <c r="W19" s="1607"/>
    </row>
    <row r="20" spans="1:23" ht="39.950000000000003" customHeight="1" x14ac:dyDescent="0.25">
      <c r="A20" s="79">
        <v>1</v>
      </c>
      <c r="B20" s="1098" t="s">
        <v>802</v>
      </c>
      <c r="C20" s="80">
        <v>180000000</v>
      </c>
      <c r="D20" s="80">
        <v>180000000</v>
      </c>
      <c r="E20" s="80">
        <v>180000000</v>
      </c>
      <c r="F20" s="80">
        <v>180000000</v>
      </c>
      <c r="G20" s="80">
        <v>180000000</v>
      </c>
      <c r="H20" s="80">
        <v>180000000</v>
      </c>
      <c r="I20" s="80">
        <v>180000000</v>
      </c>
      <c r="J20" s="80">
        <v>180000000</v>
      </c>
      <c r="K20" s="80">
        <v>180000000</v>
      </c>
      <c r="L20" s="80">
        <v>180000000</v>
      </c>
      <c r="M20" s="80">
        <v>180000000</v>
      </c>
      <c r="N20" s="80">
        <v>180000000</v>
      </c>
      <c r="O20" s="941"/>
      <c r="P20" s="939">
        <f>SUM(C20:N20)</f>
        <v>2160000000</v>
      </c>
      <c r="Q20" s="1065"/>
      <c r="R20" s="939">
        <v>1841208600</v>
      </c>
      <c r="S20" s="941"/>
      <c r="T20" s="1066">
        <v>0</v>
      </c>
      <c r="V20" s="939">
        <f>P20-T20</f>
        <v>2160000000</v>
      </c>
      <c r="W20" s="603" t="str">
        <f>IF(V20&gt;0,"BERTAMBAH",IF(V20&lt;0,"BERKURANG","TETAP"))</f>
        <v>BERTAMBAH</v>
      </c>
    </row>
    <row r="21" spans="1:23" ht="39.950000000000003" customHeight="1" x14ac:dyDescent="0.25">
      <c r="A21" s="79">
        <v>2</v>
      </c>
      <c r="B21" s="1098" t="s">
        <v>766</v>
      </c>
      <c r="C21" s="80">
        <v>20000000</v>
      </c>
      <c r="D21" s="80">
        <v>20000000</v>
      </c>
      <c r="E21" s="80">
        <v>20000000</v>
      </c>
      <c r="F21" s="80">
        <v>20000000</v>
      </c>
      <c r="G21" s="80">
        <v>20000000</v>
      </c>
      <c r="H21" s="80">
        <v>20000000</v>
      </c>
      <c r="I21" s="80">
        <v>20000000</v>
      </c>
      <c r="J21" s="80">
        <v>20000000</v>
      </c>
      <c r="K21" s="80">
        <v>20000000</v>
      </c>
      <c r="L21" s="80">
        <v>20000000</v>
      </c>
      <c r="M21" s="80">
        <v>20000000</v>
      </c>
      <c r="N21" s="80">
        <v>20000000</v>
      </c>
      <c r="O21" s="941"/>
      <c r="P21" s="939">
        <f>SUM(C21:N21)</f>
        <v>240000000</v>
      </c>
      <c r="Q21" s="1065"/>
      <c r="R21" s="939">
        <v>162100200</v>
      </c>
      <c r="S21" s="941"/>
      <c r="T21" s="1067">
        <v>0</v>
      </c>
      <c r="V21" s="939">
        <f>P21-T21</f>
        <v>240000000</v>
      </c>
      <c r="W21" s="129" t="str">
        <f t="shared" ref="W21" si="2">IF(V21&gt;0,"BERTAMBAH",IF(V21&lt;0,"BERKURANG","TETAP"))</f>
        <v>BERTAMBAH</v>
      </c>
    </row>
    <row r="22" spans="1:23" ht="27" customHeight="1" x14ac:dyDescent="0.25">
      <c r="A22" s="1608" t="s">
        <v>805</v>
      </c>
      <c r="B22" s="1609"/>
      <c r="C22" s="944">
        <f t="shared" ref="C22:N22" si="3">SUM(C20:C21)</f>
        <v>200000000</v>
      </c>
      <c r="D22" s="944">
        <f t="shared" si="3"/>
        <v>200000000</v>
      </c>
      <c r="E22" s="944">
        <f t="shared" si="3"/>
        <v>200000000</v>
      </c>
      <c r="F22" s="944">
        <f t="shared" si="3"/>
        <v>200000000</v>
      </c>
      <c r="G22" s="944">
        <f t="shared" si="3"/>
        <v>200000000</v>
      </c>
      <c r="H22" s="944">
        <f t="shared" si="3"/>
        <v>200000000</v>
      </c>
      <c r="I22" s="944">
        <f t="shared" si="3"/>
        <v>200000000</v>
      </c>
      <c r="J22" s="944">
        <f t="shared" si="3"/>
        <v>200000000</v>
      </c>
      <c r="K22" s="944">
        <f t="shared" si="3"/>
        <v>200000000</v>
      </c>
      <c r="L22" s="944">
        <f t="shared" si="3"/>
        <v>200000000</v>
      </c>
      <c r="M22" s="944">
        <f t="shared" si="3"/>
        <v>200000000</v>
      </c>
      <c r="N22" s="944">
        <f t="shared" si="3"/>
        <v>200000000</v>
      </c>
      <c r="O22" s="1198"/>
      <c r="P22" s="1199">
        <f>SUM(P20:P21)</f>
        <v>2400000000</v>
      </c>
      <c r="Q22" s="1200"/>
      <c r="R22" s="1197">
        <f>SUM(R20:R21)</f>
        <v>2003308800</v>
      </c>
      <c r="S22" s="941"/>
      <c r="T22" s="1195">
        <f>SUM(T20:T21)</f>
        <v>0</v>
      </c>
      <c r="U22" s="941"/>
      <c r="V22" s="944">
        <f>P22-T22</f>
        <v>2400000000</v>
      </c>
      <c r="W22" s="460" t="str">
        <f t="shared" ref="W22:W23" si="4">IF(V22&gt;0,"BERTAMBAH",IF(V22&lt;0,"BERKURANG","TETAP"))</f>
        <v>BERTAMBAH</v>
      </c>
    </row>
    <row r="23" spans="1:23" ht="25.5" customHeight="1" x14ac:dyDescent="0.25">
      <c r="A23" s="1603" t="s">
        <v>801</v>
      </c>
      <c r="B23" s="1603"/>
      <c r="C23" s="1196">
        <f>C16-C22</f>
        <v>1925830000</v>
      </c>
      <c r="D23" s="1196">
        <f t="shared" ref="D23:N23" si="5">D16-D22</f>
        <v>1925830000</v>
      </c>
      <c r="E23" s="1196">
        <f t="shared" si="5"/>
        <v>1925830000</v>
      </c>
      <c r="F23" s="1196">
        <f t="shared" si="5"/>
        <v>1925830000</v>
      </c>
      <c r="G23" s="1196">
        <f t="shared" si="5"/>
        <v>1925830000</v>
      </c>
      <c r="H23" s="1196">
        <f t="shared" si="5"/>
        <v>1925830000</v>
      </c>
      <c r="I23" s="1196">
        <f t="shared" si="5"/>
        <v>1925830000</v>
      </c>
      <c r="J23" s="1196">
        <f t="shared" si="5"/>
        <v>1925830000</v>
      </c>
      <c r="K23" s="1196">
        <f t="shared" si="5"/>
        <v>1925830000</v>
      </c>
      <c r="L23" s="1196">
        <f t="shared" si="5"/>
        <v>1925830000</v>
      </c>
      <c r="M23" s="1196">
        <f t="shared" si="5"/>
        <v>1925830000</v>
      </c>
      <c r="N23" s="1196">
        <f t="shared" si="5"/>
        <v>1925830000</v>
      </c>
      <c r="O23" s="1193">
        <f t="shared" ref="O23" si="6">O16-O22</f>
        <v>0</v>
      </c>
      <c r="P23" s="1203">
        <f t="shared" ref="P23" si="7">P16-P22</f>
        <v>23109960000</v>
      </c>
      <c r="Q23" s="1193">
        <f t="shared" ref="Q23" si="8">Q16-Q22</f>
        <v>0</v>
      </c>
      <c r="R23" s="1194">
        <f t="shared" ref="R23" si="9">R16-R22</f>
        <v>10060128500</v>
      </c>
      <c r="S23" s="1193">
        <f t="shared" ref="S23" si="10">S16-S22</f>
        <v>0</v>
      </c>
      <c r="T23" s="1194">
        <f t="shared" ref="T23" si="11">T16-T22</f>
        <v>15433662800</v>
      </c>
      <c r="U23" s="1193">
        <f t="shared" ref="U23" si="12">U16-U22</f>
        <v>0</v>
      </c>
      <c r="V23" s="1194">
        <f t="shared" ref="V23" si="13">V16-V22</f>
        <v>7676297200</v>
      </c>
      <c r="W23" s="460" t="str">
        <f t="shared" si="4"/>
        <v>BERTAMBAH</v>
      </c>
    </row>
    <row r="26" spans="1:23" ht="16.5" x14ac:dyDescent="0.3">
      <c r="N26" s="806" t="s">
        <v>803</v>
      </c>
      <c r="O26" s="806"/>
      <c r="P26" s="806"/>
      <c r="S26" s="806"/>
      <c r="W26" s="806"/>
    </row>
    <row r="27" spans="1:23" ht="16.5" x14ac:dyDescent="0.3">
      <c r="G27" s="1649"/>
      <c r="H27" s="1649"/>
      <c r="I27" s="1649"/>
      <c r="N27" s="1407" t="s">
        <v>515</v>
      </c>
      <c r="O27" s="1407"/>
      <c r="P27" s="1407"/>
      <c r="R27" s="807"/>
      <c r="S27" s="807"/>
      <c r="W27" s="806"/>
    </row>
    <row r="28" spans="1:23" ht="16.5" x14ac:dyDescent="0.3">
      <c r="G28" s="1542"/>
      <c r="H28" s="1542"/>
      <c r="I28" s="1542"/>
      <c r="N28" s="1405" t="s">
        <v>94</v>
      </c>
      <c r="O28" s="1405"/>
      <c r="P28" s="1405"/>
      <c r="R28" s="807"/>
      <c r="S28" s="807"/>
      <c r="W28" s="806"/>
    </row>
    <row r="29" spans="1:23" ht="16.5" x14ac:dyDescent="0.3">
      <c r="G29" s="456"/>
      <c r="H29" s="456"/>
      <c r="I29" s="456"/>
      <c r="N29" s="807"/>
      <c r="O29" s="807"/>
      <c r="P29" s="807"/>
      <c r="R29" s="807"/>
      <c r="S29" s="807"/>
      <c r="W29" s="806"/>
    </row>
    <row r="30" spans="1:23" ht="16.5" x14ac:dyDescent="0.3">
      <c r="G30" s="456"/>
      <c r="H30" s="456"/>
      <c r="I30" s="456"/>
      <c r="N30" s="807"/>
      <c r="O30" s="807"/>
      <c r="P30" s="807"/>
      <c r="R30" s="807"/>
      <c r="S30" s="807"/>
      <c r="W30" s="806"/>
    </row>
    <row r="31" spans="1:23" ht="16.5" x14ac:dyDescent="0.3">
      <c r="G31" s="456"/>
      <c r="H31" s="456"/>
      <c r="I31" s="456"/>
      <c r="N31" s="1405"/>
      <c r="O31" s="1405"/>
      <c r="P31" s="1405"/>
      <c r="R31" s="807"/>
      <c r="S31" s="807"/>
      <c r="W31" s="806"/>
    </row>
    <row r="32" spans="1:23" ht="16.5" x14ac:dyDescent="0.3">
      <c r="G32" s="1543"/>
      <c r="H32" s="1543"/>
      <c r="I32" s="1543"/>
      <c r="N32" s="1406" t="s">
        <v>516</v>
      </c>
      <c r="O32" s="1406"/>
      <c r="P32" s="1406"/>
      <c r="R32" s="807"/>
      <c r="S32" s="807"/>
      <c r="W32" s="806"/>
    </row>
    <row r="33" spans="7:23" ht="16.5" x14ac:dyDescent="0.3">
      <c r="G33" s="1542"/>
      <c r="H33" s="1542"/>
      <c r="I33" s="1542"/>
      <c r="N33" s="1405" t="s">
        <v>248</v>
      </c>
      <c r="O33" s="1405"/>
      <c r="P33" s="1405"/>
      <c r="R33" s="807"/>
      <c r="S33" s="807"/>
      <c r="W33" s="806"/>
    </row>
    <row r="34" spans="7:23" ht="16.5" x14ac:dyDescent="0.3">
      <c r="R34" s="806"/>
      <c r="S34" s="806"/>
      <c r="T34" s="806"/>
      <c r="U34" s="806"/>
      <c r="V34" s="806"/>
      <c r="W34" s="806"/>
    </row>
    <row r="102" spans="1:8" ht="17.25" x14ac:dyDescent="0.3">
      <c r="A102" s="1637" t="s">
        <v>637</v>
      </c>
      <c r="B102" s="1637"/>
      <c r="C102" s="1637"/>
      <c r="D102" s="1637"/>
      <c r="E102" s="1637"/>
      <c r="F102" s="1637"/>
      <c r="G102" s="994"/>
      <c r="H102" s="994"/>
    </row>
    <row r="103" spans="1:8" ht="17.25" x14ac:dyDescent="0.3">
      <c r="A103" s="1637" t="s">
        <v>638</v>
      </c>
      <c r="B103" s="1637"/>
      <c r="C103" s="1637"/>
      <c r="D103" s="1637"/>
      <c r="E103" s="1637"/>
      <c r="F103" s="1637"/>
      <c r="G103" s="994"/>
      <c r="H103" s="994"/>
    </row>
    <row r="104" spans="1:8" ht="15.75" thickBot="1" x14ac:dyDescent="0.3">
      <c r="A104" s="962"/>
      <c r="B104" s="962"/>
      <c r="C104" s="962"/>
      <c r="D104" s="962"/>
      <c r="E104" s="962"/>
      <c r="F104" s="962"/>
    </row>
    <row r="105" spans="1:8" ht="15.75" thickTop="1" x14ac:dyDescent="0.25">
      <c r="A105" s="1638" t="s">
        <v>124</v>
      </c>
      <c r="B105" s="1640" t="s">
        <v>126</v>
      </c>
      <c r="C105" s="1640" t="s">
        <v>639</v>
      </c>
      <c r="D105" s="1642" t="s">
        <v>20</v>
      </c>
      <c r="E105" s="1643"/>
      <c r="F105" s="1644" t="s">
        <v>610</v>
      </c>
    </row>
    <row r="106" spans="1:8" ht="15.75" thickBot="1" x14ac:dyDescent="0.3">
      <c r="A106" s="1639"/>
      <c r="B106" s="1641"/>
      <c r="C106" s="1641"/>
      <c r="D106" s="963" t="s">
        <v>640</v>
      </c>
      <c r="E106" s="963" t="s">
        <v>641</v>
      </c>
      <c r="F106" s="1645"/>
    </row>
    <row r="107" spans="1:8" ht="15.75" thickTop="1" x14ac:dyDescent="0.25">
      <c r="A107" s="964">
        <v>1</v>
      </c>
      <c r="B107" s="965" t="s">
        <v>642</v>
      </c>
      <c r="C107" s="966" t="s">
        <v>643</v>
      </c>
      <c r="D107" s="967">
        <v>53</v>
      </c>
      <c r="E107" s="968">
        <v>20725000</v>
      </c>
      <c r="F107" s="969"/>
    </row>
    <row r="108" spans="1:8" x14ac:dyDescent="0.25">
      <c r="A108" s="970">
        <v>2</v>
      </c>
      <c r="B108" s="971" t="s">
        <v>227</v>
      </c>
      <c r="C108" s="972" t="s">
        <v>644</v>
      </c>
      <c r="D108" s="973">
        <v>175</v>
      </c>
      <c r="E108" s="974">
        <v>44255000</v>
      </c>
      <c r="F108" s="975"/>
    </row>
    <row r="109" spans="1:8" x14ac:dyDescent="0.25">
      <c r="A109" s="970">
        <v>3</v>
      </c>
      <c r="B109" s="971" t="s">
        <v>234</v>
      </c>
      <c r="C109" s="972" t="s">
        <v>645</v>
      </c>
      <c r="D109" s="973">
        <v>91</v>
      </c>
      <c r="E109" s="974">
        <v>38600000</v>
      </c>
      <c r="F109" s="975"/>
    </row>
    <row r="110" spans="1:8" x14ac:dyDescent="0.25">
      <c r="A110" s="970">
        <v>4</v>
      </c>
      <c r="B110" s="971" t="s">
        <v>646</v>
      </c>
      <c r="C110" s="972" t="s">
        <v>647</v>
      </c>
      <c r="D110" s="973">
        <v>131</v>
      </c>
      <c r="E110" s="974">
        <v>22850000</v>
      </c>
      <c r="F110" s="975"/>
    </row>
    <row r="111" spans="1:8" x14ac:dyDescent="0.25">
      <c r="A111" s="970">
        <v>5</v>
      </c>
      <c r="B111" s="971" t="s">
        <v>648</v>
      </c>
      <c r="C111" s="972" t="s">
        <v>649</v>
      </c>
      <c r="D111" s="973">
        <v>29</v>
      </c>
      <c r="E111" s="974">
        <v>7500000</v>
      </c>
      <c r="F111" s="975"/>
    </row>
    <row r="112" spans="1:8" x14ac:dyDescent="0.25">
      <c r="A112" s="970">
        <v>6</v>
      </c>
      <c r="B112" s="971" t="s">
        <v>650</v>
      </c>
      <c r="C112" s="972" t="s">
        <v>651</v>
      </c>
      <c r="D112" s="973">
        <v>19</v>
      </c>
      <c r="E112" s="974">
        <v>3450000</v>
      </c>
      <c r="F112" s="975"/>
    </row>
    <row r="113" spans="1:6" x14ac:dyDescent="0.25">
      <c r="A113" s="970">
        <v>7</v>
      </c>
      <c r="B113" s="971" t="s">
        <v>652</v>
      </c>
      <c r="C113" s="972" t="s">
        <v>653</v>
      </c>
      <c r="D113" s="973">
        <v>122</v>
      </c>
      <c r="E113" s="974">
        <v>51165000</v>
      </c>
      <c r="F113" s="975"/>
    </row>
    <row r="114" spans="1:6" x14ac:dyDescent="0.25">
      <c r="A114" s="970">
        <v>8</v>
      </c>
      <c r="B114" s="971" t="s">
        <v>654</v>
      </c>
      <c r="C114" s="972" t="s">
        <v>655</v>
      </c>
      <c r="D114" s="973">
        <v>44</v>
      </c>
      <c r="E114" s="974">
        <v>13500000</v>
      </c>
      <c r="F114" s="975"/>
    </row>
    <row r="115" spans="1:6" x14ac:dyDescent="0.25">
      <c r="A115" s="970">
        <v>9</v>
      </c>
      <c r="B115" s="971" t="s">
        <v>656</v>
      </c>
      <c r="C115" s="972" t="s">
        <v>657</v>
      </c>
      <c r="D115" s="973">
        <v>52</v>
      </c>
      <c r="E115" s="974">
        <v>36050000</v>
      </c>
      <c r="F115" s="975"/>
    </row>
    <row r="116" spans="1:6" x14ac:dyDescent="0.25">
      <c r="A116" s="970">
        <v>10</v>
      </c>
      <c r="B116" s="971" t="s">
        <v>658</v>
      </c>
      <c r="C116" s="972" t="s">
        <v>659</v>
      </c>
      <c r="D116" s="973">
        <v>128</v>
      </c>
      <c r="E116" s="974">
        <v>36225000</v>
      </c>
      <c r="F116" s="975"/>
    </row>
    <row r="117" spans="1:6" x14ac:dyDescent="0.25">
      <c r="A117" s="970">
        <v>11</v>
      </c>
      <c r="B117" s="971" t="s">
        <v>660</v>
      </c>
      <c r="C117" s="972" t="s">
        <v>661</v>
      </c>
      <c r="D117" s="973">
        <v>100</v>
      </c>
      <c r="E117" s="974">
        <v>39171000</v>
      </c>
      <c r="F117" s="975"/>
    </row>
    <row r="118" spans="1:6" x14ac:dyDescent="0.25">
      <c r="A118" s="970">
        <v>12</v>
      </c>
      <c r="B118" s="971" t="s">
        <v>662</v>
      </c>
      <c r="C118" s="972" t="s">
        <v>663</v>
      </c>
      <c r="D118" s="973">
        <v>29</v>
      </c>
      <c r="E118" s="974">
        <v>13225000</v>
      </c>
      <c r="F118" s="975"/>
    </row>
    <row r="119" spans="1:6" x14ac:dyDescent="0.25">
      <c r="A119" s="970">
        <v>13</v>
      </c>
      <c r="B119" s="971" t="s">
        <v>664</v>
      </c>
      <c r="C119" s="972" t="s">
        <v>653</v>
      </c>
      <c r="D119" s="973">
        <v>65</v>
      </c>
      <c r="E119" s="974">
        <v>19875000</v>
      </c>
      <c r="F119" s="975"/>
    </row>
    <row r="120" spans="1:6" x14ac:dyDescent="0.25">
      <c r="A120" s="970">
        <v>14</v>
      </c>
      <c r="B120" s="971" t="s">
        <v>665</v>
      </c>
      <c r="C120" s="972" t="s">
        <v>666</v>
      </c>
      <c r="D120" s="973">
        <v>14</v>
      </c>
      <c r="E120" s="974">
        <v>4400000</v>
      </c>
      <c r="F120" s="975"/>
    </row>
    <row r="121" spans="1:6" x14ac:dyDescent="0.25">
      <c r="A121" s="970">
        <v>15</v>
      </c>
      <c r="B121" s="971" t="s">
        <v>667</v>
      </c>
      <c r="C121" s="972" t="s">
        <v>668</v>
      </c>
      <c r="D121" s="973">
        <v>55</v>
      </c>
      <c r="E121" s="974">
        <v>21150000</v>
      </c>
      <c r="F121" s="975"/>
    </row>
    <row r="122" spans="1:6" x14ac:dyDescent="0.25">
      <c r="A122" s="970">
        <v>16</v>
      </c>
      <c r="B122" s="971" t="s">
        <v>237</v>
      </c>
      <c r="C122" s="972" t="s">
        <v>669</v>
      </c>
      <c r="D122" s="973">
        <v>63</v>
      </c>
      <c r="E122" s="974">
        <v>10950000</v>
      </c>
      <c r="F122" s="975"/>
    </row>
    <row r="123" spans="1:6" ht="15.75" thickBot="1" x14ac:dyDescent="0.3">
      <c r="A123" s="970">
        <v>17</v>
      </c>
      <c r="B123" s="971" t="s">
        <v>230</v>
      </c>
      <c r="C123" s="972" t="s">
        <v>639</v>
      </c>
      <c r="D123" s="973">
        <v>139</v>
      </c>
      <c r="E123" s="974">
        <v>17250000</v>
      </c>
      <c r="F123" s="975"/>
    </row>
    <row r="124" spans="1:6" ht="16.5" thickTop="1" thickBot="1" x14ac:dyDescent="0.3">
      <c r="A124" s="1624" t="s">
        <v>512</v>
      </c>
      <c r="B124" s="1625"/>
      <c r="C124" s="1625"/>
      <c r="D124" s="976">
        <v>1309</v>
      </c>
      <c r="E124" s="977">
        <v>400341000</v>
      </c>
      <c r="F124" s="978"/>
    </row>
    <row r="125" spans="1:6" ht="15.75" thickTop="1" x14ac:dyDescent="0.25"/>
    <row r="126" spans="1:6" ht="47.25" x14ac:dyDescent="0.25">
      <c r="A126" s="1626" t="s">
        <v>608</v>
      </c>
      <c r="B126" s="1626"/>
      <c r="C126" s="1626"/>
      <c r="D126" s="1626"/>
      <c r="E126" s="979" t="s">
        <v>670</v>
      </c>
      <c r="F126" s="979" t="s">
        <v>671</v>
      </c>
    </row>
    <row r="127" spans="1:6" ht="15.75" x14ac:dyDescent="0.25">
      <c r="A127" s="980" t="s">
        <v>672</v>
      </c>
      <c r="B127" s="981"/>
      <c r="C127" s="981"/>
      <c r="D127" s="982"/>
      <c r="E127" s="983"/>
      <c r="F127" s="983"/>
    </row>
    <row r="128" spans="1:6" ht="15.75" x14ac:dyDescent="0.25">
      <c r="A128" s="984" t="s">
        <v>673</v>
      </c>
      <c r="B128" s="981"/>
      <c r="C128" s="981"/>
      <c r="D128" s="982"/>
      <c r="E128" s="985">
        <f>E124</f>
        <v>400341000</v>
      </c>
      <c r="F128" s="986">
        <f>E128*12</f>
        <v>4804092000</v>
      </c>
    </row>
    <row r="129" spans="1:6" ht="15.75" x14ac:dyDescent="0.25">
      <c r="A129" s="984"/>
      <c r="B129" s="981"/>
      <c r="C129" s="981"/>
      <c r="D129" s="982"/>
      <c r="E129" s="983"/>
      <c r="F129" s="983"/>
    </row>
    <row r="130" spans="1:6" ht="15.75" x14ac:dyDescent="0.25">
      <c r="A130" s="980" t="s">
        <v>674</v>
      </c>
      <c r="B130" s="981"/>
      <c r="C130" s="981"/>
      <c r="D130" s="982"/>
      <c r="E130" s="983"/>
      <c r="F130" s="983"/>
    </row>
    <row r="131" spans="1:6" ht="15.75" x14ac:dyDescent="0.25">
      <c r="A131" s="984" t="s">
        <v>675</v>
      </c>
      <c r="B131" s="981"/>
      <c r="C131" s="981"/>
      <c r="D131" s="982"/>
      <c r="E131" s="985">
        <f>D124*100000</f>
        <v>130900000</v>
      </c>
      <c r="F131" s="986">
        <f>E131</f>
        <v>130900000</v>
      </c>
    </row>
    <row r="132" spans="1:6" ht="15.75" x14ac:dyDescent="0.25">
      <c r="A132" s="984"/>
      <c r="B132" s="981"/>
      <c r="C132" s="981"/>
      <c r="D132" s="982"/>
      <c r="E132" s="983"/>
      <c r="F132" s="983"/>
    </row>
    <row r="133" spans="1:6" ht="15.75" x14ac:dyDescent="0.25">
      <c r="A133" s="980" t="s">
        <v>676</v>
      </c>
      <c r="B133" s="981"/>
      <c r="C133" s="981"/>
      <c r="D133" s="982"/>
      <c r="E133" s="983"/>
      <c r="F133" s="983"/>
    </row>
    <row r="134" spans="1:6" ht="15.75" x14ac:dyDescent="0.25">
      <c r="A134" s="984" t="s">
        <v>694</v>
      </c>
      <c r="B134" s="981"/>
      <c r="C134" s="981"/>
      <c r="D134" s="982"/>
      <c r="E134" s="985">
        <v>22000000</v>
      </c>
      <c r="F134" s="986">
        <f>E134*12</f>
        <v>264000000</v>
      </c>
    </row>
    <row r="135" spans="1:6" ht="15.75" x14ac:dyDescent="0.25">
      <c r="A135" s="984"/>
      <c r="B135" s="981"/>
      <c r="C135" s="981"/>
      <c r="D135" s="982"/>
      <c r="E135" s="985"/>
      <c r="F135" s="986"/>
    </row>
    <row r="136" spans="1:6" ht="15.75" x14ac:dyDescent="0.25">
      <c r="A136" s="1627" t="s">
        <v>677</v>
      </c>
      <c r="B136" s="1628"/>
      <c r="C136" s="1628"/>
      <c r="D136" s="1629"/>
      <c r="E136" s="987">
        <f>SUM(E128:E134)</f>
        <v>553241000</v>
      </c>
      <c r="F136" s="987">
        <f>SUM(F128:F134)</f>
        <v>5198992000</v>
      </c>
    </row>
    <row r="138" spans="1:6" x14ac:dyDescent="0.25">
      <c r="E138" t="s">
        <v>678</v>
      </c>
    </row>
    <row r="139" spans="1:6" x14ac:dyDescent="0.25">
      <c r="C139" s="988" t="s">
        <v>679</v>
      </c>
    </row>
    <row r="142" spans="1:6" x14ac:dyDescent="0.25">
      <c r="C142" t="s">
        <v>680</v>
      </c>
    </row>
    <row r="143" spans="1:6" x14ac:dyDescent="0.25">
      <c r="A143" s="989" t="s">
        <v>695</v>
      </c>
      <c r="C143" s="990" t="s">
        <v>681</v>
      </c>
      <c r="E143" s="991" t="s">
        <v>682</v>
      </c>
    </row>
    <row r="144" spans="1:6" x14ac:dyDescent="0.25">
      <c r="A144" t="s">
        <v>683</v>
      </c>
      <c r="C144" s="988" t="s">
        <v>684</v>
      </c>
      <c r="E144" s="992" t="s">
        <v>685</v>
      </c>
    </row>
    <row r="146" spans="1:8" x14ac:dyDescent="0.25">
      <c r="C146" s="988" t="s">
        <v>686</v>
      </c>
    </row>
    <row r="147" spans="1:8" x14ac:dyDescent="0.25">
      <c r="C147" s="988"/>
    </row>
    <row r="148" spans="1:8" x14ac:dyDescent="0.25">
      <c r="C148" s="988"/>
    </row>
    <row r="149" spans="1:8" x14ac:dyDescent="0.25">
      <c r="C149" s="988"/>
    </row>
    <row r="153" spans="1:8" ht="17.25" x14ac:dyDescent="0.3">
      <c r="A153" s="1630" t="s">
        <v>605</v>
      </c>
      <c r="B153" s="1630"/>
      <c r="C153" s="1630"/>
      <c r="D153" s="1630"/>
      <c r="E153" s="1630"/>
      <c r="F153" s="1630"/>
      <c r="G153" s="1630"/>
      <c r="H153" s="1630"/>
    </row>
    <row r="154" spans="1:8" ht="17.25" x14ac:dyDescent="0.3">
      <c r="A154" s="1630" t="s">
        <v>606</v>
      </c>
      <c r="B154" s="1630"/>
      <c r="C154" s="1630"/>
      <c r="D154" s="1630"/>
      <c r="E154" s="1630"/>
      <c r="F154" s="1630"/>
      <c r="G154" s="1630"/>
      <c r="H154" s="1630"/>
    </row>
    <row r="155" spans="1:8" ht="18.75" x14ac:dyDescent="0.3">
      <c r="A155" s="945"/>
      <c r="B155" s="945"/>
      <c r="C155" s="945"/>
      <c r="D155" s="945"/>
      <c r="E155" s="945"/>
      <c r="F155" s="945"/>
      <c r="G155" s="945"/>
      <c r="H155" s="945"/>
    </row>
    <row r="156" spans="1:8" x14ac:dyDescent="0.25">
      <c r="A156" t="s">
        <v>607</v>
      </c>
    </row>
    <row r="157" spans="1:8" ht="15.75" x14ac:dyDescent="0.25">
      <c r="A157" s="1634" t="s">
        <v>124</v>
      </c>
      <c r="B157" s="1634" t="s">
        <v>608</v>
      </c>
      <c r="C157" s="1634" t="s">
        <v>609</v>
      </c>
      <c r="D157" s="1634"/>
      <c r="E157" s="1634"/>
      <c r="F157" s="1634"/>
      <c r="G157" s="1634"/>
      <c r="H157" s="1634" t="s">
        <v>610</v>
      </c>
    </row>
    <row r="158" spans="1:8" ht="15.75" x14ac:dyDescent="0.25">
      <c r="A158" s="1634"/>
      <c r="B158" s="1634"/>
      <c r="C158" s="1634" t="s">
        <v>611</v>
      </c>
      <c r="D158" s="1634"/>
      <c r="E158" s="1635" t="s">
        <v>5</v>
      </c>
      <c r="F158" s="1636"/>
      <c r="G158" s="946" t="s">
        <v>612</v>
      </c>
      <c r="H158" s="1634"/>
    </row>
    <row r="159" spans="1:8" ht="15.75" x14ac:dyDescent="0.25">
      <c r="A159" s="947">
        <v>1</v>
      </c>
      <c r="B159" s="948" t="s">
        <v>613</v>
      </c>
      <c r="C159" s="949"/>
      <c r="D159" s="950"/>
      <c r="E159" s="949"/>
      <c r="F159" s="950"/>
      <c r="G159" s="951"/>
      <c r="H159" s="948"/>
    </row>
    <row r="160" spans="1:8" ht="15.75" x14ac:dyDescent="0.25">
      <c r="A160" s="948"/>
      <c r="B160" s="952" t="s">
        <v>614</v>
      </c>
      <c r="C160" s="949">
        <v>100000</v>
      </c>
      <c r="D160" s="953" t="s">
        <v>615</v>
      </c>
      <c r="E160" s="954">
        <f>C160*30</f>
        <v>3000000</v>
      </c>
      <c r="F160" s="955" t="s">
        <v>616</v>
      </c>
      <c r="G160" s="951">
        <f>E160</f>
        <v>3000000</v>
      </c>
      <c r="H160" s="948"/>
    </row>
    <row r="161" spans="1:8" ht="15.75" x14ac:dyDescent="0.25">
      <c r="A161" s="948"/>
      <c r="B161" s="952" t="s">
        <v>617</v>
      </c>
      <c r="C161" s="949">
        <v>400000</v>
      </c>
      <c r="D161" s="953" t="s">
        <v>615</v>
      </c>
      <c r="E161" s="954">
        <f>C161*30</f>
        <v>12000000</v>
      </c>
      <c r="F161" s="955" t="s">
        <v>616</v>
      </c>
      <c r="G161" s="951">
        <f>E161</f>
        <v>12000000</v>
      </c>
      <c r="H161" s="948"/>
    </row>
    <row r="162" spans="1:8" ht="15.75" x14ac:dyDescent="0.25">
      <c r="A162" s="948"/>
      <c r="B162" s="952" t="s">
        <v>618</v>
      </c>
      <c r="C162" s="949">
        <v>25</v>
      </c>
      <c r="D162" s="953" t="s">
        <v>86</v>
      </c>
      <c r="E162" s="949">
        <v>210000</v>
      </c>
      <c r="F162" s="956" t="s">
        <v>619</v>
      </c>
      <c r="G162" s="951">
        <f>C162*E162</f>
        <v>5250000</v>
      </c>
      <c r="H162" s="948"/>
    </row>
    <row r="163" spans="1:8" ht="15.75" x14ac:dyDescent="0.25">
      <c r="A163" s="948"/>
      <c r="B163" s="952" t="s">
        <v>620</v>
      </c>
      <c r="C163" s="949">
        <v>10</v>
      </c>
      <c r="D163" s="953" t="s">
        <v>86</v>
      </c>
      <c r="E163" s="949">
        <v>60000</v>
      </c>
      <c r="F163" s="950" t="s">
        <v>621</v>
      </c>
      <c r="G163" s="951">
        <f>C163*E163</f>
        <v>600000</v>
      </c>
      <c r="H163" s="948"/>
    </row>
    <row r="164" spans="1:8" ht="15.75" x14ac:dyDescent="0.25">
      <c r="A164" s="948"/>
      <c r="B164" s="952" t="s">
        <v>622</v>
      </c>
      <c r="C164" s="949">
        <v>10</v>
      </c>
      <c r="D164" s="953" t="s">
        <v>86</v>
      </c>
      <c r="E164" s="949">
        <v>2000</v>
      </c>
      <c r="F164" s="950" t="s">
        <v>621</v>
      </c>
      <c r="G164" s="951">
        <f>C164*E164*30</f>
        <v>600000</v>
      </c>
      <c r="H164" s="948" t="s">
        <v>623</v>
      </c>
    </row>
    <row r="165" spans="1:8" ht="15.75" x14ac:dyDescent="0.25">
      <c r="A165" s="957"/>
      <c r="B165" s="1646" t="s">
        <v>624</v>
      </c>
      <c r="C165" s="1647"/>
      <c r="D165" s="1647"/>
      <c r="E165" s="1647"/>
      <c r="F165" s="1648"/>
      <c r="G165" s="958">
        <f>SUM(G160:G164)</f>
        <v>21450000</v>
      </c>
      <c r="H165" s="957"/>
    </row>
    <row r="167" spans="1:8" ht="15.75" x14ac:dyDescent="0.25">
      <c r="A167" s="1634" t="s">
        <v>124</v>
      </c>
      <c r="B167" s="1634" t="s">
        <v>608</v>
      </c>
      <c r="C167" s="1634" t="s">
        <v>609</v>
      </c>
      <c r="D167" s="1634"/>
      <c r="E167" s="1634"/>
      <c r="F167" s="1634"/>
      <c r="G167" s="1634"/>
      <c r="H167" s="1634" t="s">
        <v>610</v>
      </c>
    </row>
    <row r="168" spans="1:8" ht="15.75" x14ac:dyDescent="0.25">
      <c r="A168" s="1634"/>
      <c r="B168" s="1634"/>
      <c r="C168" s="1634" t="s">
        <v>611</v>
      </c>
      <c r="D168" s="1634"/>
      <c r="E168" s="1635" t="s">
        <v>5</v>
      </c>
      <c r="F168" s="1636"/>
      <c r="G168" s="946" t="s">
        <v>612</v>
      </c>
      <c r="H168" s="1634"/>
    </row>
    <row r="169" spans="1:8" ht="15.75" x14ac:dyDescent="0.25">
      <c r="A169" s="947">
        <v>2</v>
      </c>
      <c r="B169" s="948" t="s">
        <v>625</v>
      </c>
      <c r="C169" s="949"/>
      <c r="D169" s="950"/>
      <c r="E169" s="949"/>
      <c r="F169" s="950"/>
      <c r="G169" s="951"/>
      <c r="H169" s="948"/>
    </row>
    <row r="170" spans="1:8" ht="15.75" x14ac:dyDescent="0.25">
      <c r="A170" s="948"/>
      <c r="B170" s="952" t="s">
        <v>626</v>
      </c>
      <c r="C170" s="949">
        <v>1000000</v>
      </c>
      <c r="D170" s="953" t="s">
        <v>615</v>
      </c>
      <c r="E170" s="954" t="s">
        <v>627</v>
      </c>
      <c r="F170" s="955"/>
      <c r="G170" s="951">
        <f>C170*30</f>
        <v>30000000</v>
      </c>
      <c r="H170" s="948" t="s">
        <v>628</v>
      </c>
    </row>
    <row r="171" spans="1:8" ht="15.75" x14ac:dyDescent="0.25">
      <c r="A171" s="948"/>
      <c r="B171" s="952"/>
      <c r="C171" s="949"/>
      <c r="D171" s="953"/>
      <c r="E171" s="954"/>
      <c r="F171" s="955"/>
      <c r="G171" s="951"/>
      <c r="H171" s="1631" t="s">
        <v>629</v>
      </c>
    </row>
    <row r="172" spans="1:8" ht="15.75" x14ac:dyDescent="0.25">
      <c r="A172" s="948"/>
      <c r="B172" s="952"/>
      <c r="C172" s="949"/>
      <c r="D172" s="953"/>
      <c r="E172" s="949"/>
      <c r="F172" s="956"/>
      <c r="G172" s="951"/>
      <c r="H172" s="1632"/>
    </row>
    <row r="173" spans="1:8" ht="15.75" x14ac:dyDescent="0.25">
      <c r="A173" s="948"/>
      <c r="B173" s="952"/>
      <c r="C173" s="949"/>
      <c r="D173" s="953"/>
      <c r="E173" s="949"/>
      <c r="F173" s="950"/>
      <c r="G173" s="951"/>
      <c r="H173" s="1632"/>
    </row>
    <row r="174" spans="1:8" ht="15.75" x14ac:dyDescent="0.25">
      <c r="A174" s="948"/>
      <c r="B174" s="952"/>
      <c r="C174" s="949"/>
      <c r="D174" s="953"/>
      <c r="E174" s="949"/>
      <c r="F174" s="950"/>
      <c r="G174" s="951"/>
      <c r="H174" s="1633"/>
    </row>
    <row r="175" spans="1:8" ht="15.75" x14ac:dyDescent="0.25">
      <c r="A175" s="957"/>
      <c r="B175" s="1646" t="s">
        <v>624</v>
      </c>
      <c r="C175" s="1647"/>
      <c r="D175" s="1647"/>
      <c r="E175" s="1647"/>
      <c r="F175" s="1648"/>
      <c r="G175" s="958">
        <f>SUM(G170:G174)</f>
        <v>30000000</v>
      </c>
      <c r="H175" s="957"/>
    </row>
    <row r="186" spans="1:8" x14ac:dyDescent="0.25">
      <c r="A186" t="s">
        <v>630</v>
      </c>
    </row>
    <row r="187" spans="1:8" ht="15.75" x14ac:dyDescent="0.25">
      <c r="A187" s="1634" t="s">
        <v>124</v>
      </c>
      <c r="B187" s="1634" t="s">
        <v>608</v>
      </c>
      <c r="C187" s="1634" t="s">
        <v>609</v>
      </c>
      <c r="D187" s="1634"/>
      <c r="E187" s="1634"/>
      <c r="F187" s="1634"/>
      <c r="G187" s="1634"/>
      <c r="H187" s="1634" t="s">
        <v>610</v>
      </c>
    </row>
    <row r="188" spans="1:8" ht="15.75" x14ac:dyDescent="0.25">
      <c r="A188" s="1634"/>
      <c r="B188" s="1634"/>
      <c r="C188" s="1634" t="s">
        <v>611</v>
      </c>
      <c r="D188" s="1634"/>
      <c r="E188" s="1635" t="s">
        <v>5</v>
      </c>
      <c r="F188" s="1636"/>
      <c r="G188" s="946" t="s">
        <v>612</v>
      </c>
      <c r="H188" s="1634"/>
    </row>
    <row r="189" spans="1:8" ht="15.75" x14ac:dyDescent="0.25">
      <c r="A189" s="947">
        <v>1</v>
      </c>
      <c r="B189" s="948" t="s">
        <v>631</v>
      </c>
      <c r="C189" s="949"/>
      <c r="D189" s="950"/>
      <c r="E189" s="949"/>
      <c r="F189" s="950"/>
      <c r="G189" s="951"/>
      <c r="H189" s="948"/>
    </row>
    <row r="190" spans="1:8" ht="15.75" x14ac:dyDescent="0.25">
      <c r="A190" s="948"/>
      <c r="B190" s="1621" t="s">
        <v>632</v>
      </c>
      <c r="C190" s="949">
        <v>5</v>
      </c>
      <c r="D190" s="953" t="s">
        <v>86</v>
      </c>
      <c r="E190" s="954">
        <v>2700000</v>
      </c>
      <c r="F190" s="955" t="s">
        <v>86</v>
      </c>
      <c r="G190" s="951">
        <f>C190*E190</f>
        <v>13500000</v>
      </c>
      <c r="H190" s="948"/>
    </row>
    <row r="191" spans="1:8" ht="15.75" x14ac:dyDescent="0.25">
      <c r="A191" s="948"/>
      <c r="B191" s="1622"/>
      <c r="C191" s="949"/>
      <c r="D191" s="953"/>
      <c r="E191" s="954"/>
      <c r="F191" s="955"/>
      <c r="G191" s="951"/>
      <c r="H191" s="1631"/>
    </row>
    <row r="192" spans="1:8" ht="15.75" x14ac:dyDescent="0.25">
      <c r="A192" s="948"/>
      <c r="B192" s="1623"/>
      <c r="C192" s="949"/>
      <c r="D192" s="953"/>
      <c r="E192" s="949"/>
      <c r="F192" s="956"/>
      <c r="G192" s="951"/>
      <c r="H192" s="1632"/>
    </row>
    <row r="193" spans="1:8" ht="15.75" x14ac:dyDescent="0.25">
      <c r="A193" s="948"/>
      <c r="B193" s="952"/>
      <c r="C193" s="949"/>
      <c r="D193" s="953"/>
      <c r="E193" s="949"/>
      <c r="F193" s="950"/>
      <c r="G193" s="951"/>
      <c r="H193" s="1632"/>
    </row>
    <row r="194" spans="1:8" ht="15.75" x14ac:dyDescent="0.25">
      <c r="A194" s="948"/>
      <c r="B194" s="952" t="s">
        <v>633</v>
      </c>
      <c r="C194" s="949">
        <v>1</v>
      </c>
      <c r="D194" s="953" t="s">
        <v>634</v>
      </c>
      <c r="E194" s="949"/>
      <c r="F194" s="950"/>
      <c r="G194" s="951">
        <v>50000000</v>
      </c>
      <c r="H194" s="1633"/>
    </row>
    <row r="195" spans="1:8" ht="15.75" x14ac:dyDescent="0.25">
      <c r="A195" s="957"/>
      <c r="B195" s="1646" t="s">
        <v>624</v>
      </c>
      <c r="C195" s="1647"/>
      <c r="D195" s="1647"/>
      <c r="E195" s="1647"/>
      <c r="F195" s="1648"/>
      <c r="G195" s="958">
        <f>SUM(G190:G194)</f>
        <v>63500000</v>
      </c>
      <c r="H195" s="957"/>
    </row>
    <row r="197" spans="1:8" ht="15.75" x14ac:dyDescent="0.25">
      <c r="A197" s="1634" t="s">
        <v>124</v>
      </c>
      <c r="B197" s="1634" t="s">
        <v>608</v>
      </c>
      <c r="C197" s="1634" t="s">
        <v>609</v>
      </c>
      <c r="D197" s="1634"/>
      <c r="E197" s="1634"/>
      <c r="F197" s="1634"/>
      <c r="G197" s="1634"/>
      <c r="H197" s="1634" t="s">
        <v>610</v>
      </c>
    </row>
    <row r="198" spans="1:8" ht="15.75" x14ac:dyDescent="0.25">
      <c r="A198" s="1634"/>
      <c r="B198" s="1634"/>
      <c r="C198" s="1634" t="s">
        <v>611</v>
      </c>
      <c r="D198" s="1634"/>
      <c r="E198" s="1635" t="s">
        <v>5</v>
      </c>
      <c r="F198" s="1636"/>
      <c r="G198" s="946" t="s">
        <v>612</v>
      </c>
      <c r="H198" s="1634"/>
    </row>
    <row r="199" spans="1:8" ht="94.5" x14ac:dyDescent="0.25">
      <c r="A199" s="960">
        <v>2</v>
      </c>
      <c r="B199" s="959" t="s">
        <v>635</v>
      </c>
      <c r="C199" s="949">
        <v>1</v>
      </c>
      <c r="D199" s="953" t="s">
        <v>634</v>
      </c>
      <c r="E199" s="954">
        <v>100000000</v>
      </c>
      <c r="F199" s="955"/>
      <c r="G199" s="951">
        <f>C199*E199</f>
        <v>100000000</v>
      </c>
      <c r="H199" s="961" t="s">
        <v>636</v>
      </c>
    </row>
    <row r="200" spans="1:8" ht="15.75" x14ac:dyDescent="0.25">
      <c r="A200" s="957"/>
      <c r="B200" s="1646" t="s">
        <v>624</v>
      </c>
      <c r="C200" s="1647"/>
      <c r="D200" s="1647"/>
      <c r="E200" s="1647"/>
      <c r="F200" s="1648"/>
      <c r="G200" s="958">
        <f>SUM(G199:G199)</f>
        <v>100000000</v>
      </c>
      <c r="H200" s="957"/>
    </row>
    <row r="208" spans="1:8" x14ac:dyDescent="0.25">
      <c r="A208" s="57" t="s">
        <v>696</v>
      </c>
    </row>
    <row r="210" spans="1:4" x14ac:dyDescent="0.25">
      <c r="A210" t="s">
        <v>285</v>
      </c>
      <c r="B210" s="57" t="s">
        <v>697</v>
      </c>
    </row>
    <row r="211" spans="1:4" x14ac:dyDescent="0.25">
      <c r="B211" t="s">
        <v>698</v>
      </c>
      <c r="C211" s="995">
        <v>412597900</v>
      </c>
    </row>
    <row r="212" spans="1:4" x14ac:dyDescent="0.25">
      <c r="B212" t="s">
        <v>699</v>
      </c>
      <c r="C212" s="995">
        <v>332140000</v>
      </c>
    </row>
    <row r="213" spans="1:4" x14ac:dyDescent="0.25">
      <c r="B213" t="s">
        <v>700</v>
      </c>
      <c r="C213" s="995">
        <v>445315000</v>
      </c>
    </row>
    <row r="214" spans="1:4" x14ac:dyDescent="0.25">
      <c r="B214" t="s">
        <v>701</v>
      </c>
      <c r="C214" s="995">
        <v>362407700</v>
      </c>
    </row>
    <row r="215" spans="1:4" x14ac:dyDescent="0.25">
      <c r="B215" t="s">
        <v>702</v>
      </c>
      <c r="C215" s="995">
        <v>330934500</v>
      </c>
    </row>
    <row r="216" spans="1:4" x14ac:dyDescent="0.25">
      <c r="B216" t="s">
        <v>703</v>
      </c>
      <c r="C216" s="995">
        <v>496809600</v>
      </c>
    </row>
    <row r="217" spans="1:4" x14ac:dyDescent="0.25">
      <c r="B217" t="s">
        <v>704</v>
      </c>
      <c r="C217" s="995">
        <v>534815500</v>
      </c>
    </row>
    <row r="218" spans="1:4" x14ac:dyDescent="0.25">
      <c r="B218" t="s">
        <v>705</v>
      </c>
      <c r="C218" s="995">
        <v>679985500</v>
      </c>
    </row>
    <row r="219" spans="1:4" x14ac:dyDescent="0.25">
      <c r="B219" t="s">
        <v>706</v>
      </c>
      <c r="C219" s="995">
        <v>641037000</v>
      </c>
    </row>
    <row r="220" spans="1:4" x14ac:dyDescent="0.25">
      <c r="B220" t="s">
        <v>707</v>
      </c>
      <c r="C220" s="995">
        <v>544592000</v>
      </c>
      <c r="D220" t="s">
        <v>708</v>
      </c>
    </row>
    <row r="221" spans="1:4" x14ac:dyDescent="0.25">
      <c r="B221" t="s">
        <v>709</v>
      </c>
      <c r="C221" s="996"/>
    </row>
    <row r="222" spans="1:4" x14ac:dyDescent="0.25">
      <c r="C222" s="996"/>
    </row>
    <row r="223" spans="1:4" x14ac:dyDescent="0.25">
      <c r="A223" t="s">
        <v>286</v>
      </c>
      <c r="B223" t="s">
        <v>710</v>
      </c>
      <c r="C223" s="996"/>
    </row>
    <row r="224" spans="1:4" x14ac:dyDescent="0.25">
      <c r="C224" s="996"/>
    </row>
    <row r="225" spans="1:9" x14ac:dyDescent="0.25">
      <c r="A225" s="997" t="s">
        <v>711</v>
      </c>
      <c r="B225" t="s">
        <v>712</v>
      </c>
      <c r="C225" s="996"/>
      <c r="E225" s="998">
        <v>679985500</v>
      </c>
    </row>
    <row r="226" spans="1:9" x14ac:dyDescent="0.25">
      <c r="A226" s="997" t="s">
        <v>711</v>
      </c>
      <c r="B226" s="57" t="s">
        <v>713</v>
      </c>
    </row>
    <row r="227" spans="1:9" x14ac:dyDescent="0.25">
      <c r="A227" s="997" t="s">
        <v>711</v>
      </c>
      <c r="B227" s="57" t="s">
        <v>714</v>
      </c>
      <c r="D227" s="998"/>
      <c r="E227" s="998">
        <v>679985500</v>
      </c>
      <c r="F227" s="999" t="s">
        <v>715</v>
      </c>
      <c r="G227" s="999">
        <f>SUM(E227*20%)</f>
        <v>135997100</v>
      </c>
      <c r="H227" t="s">
        <v>716</v>
      </c>
      <c r="I227" s="999">
        <f>SUM(E227+G227)</f>
        <v>815982600</v>
      </c>
    </row>
    <row r="228" spans="1:9" x14ac:dyDescent="0.25">
      <c r="A228" s="997"/>
    </row>
    <row r="229" spans="1:9" x14ac:dyDescent="0.25">
      <c r="B229" t="s">
        <v>717</v>
      </c>
    </row>
    <row r="230" spans="1:9" x14ac:dyDescent="0.25">
      <c r="B230" t="s">
        <v>698</v>
      </c>
      <c r="C230" s="995">
        <f>+I227</f>
        <v>815982600</v>
      </c>
    </row>
    <row r="231" spans="1:9" x14ac:dyDescent="0.25">
      <c r="B231" t="s">
        <v>699</v>
      </c>
      <c r="C231" s="995">
        <f t="shared" ref="C231:C240" si="14">+C230</f>
        <v>815982600</v>
      </c>
    </row>
    <row r="232" spans="1:9" x14ac:dyDescent="0.25">
      <c r="B232" t="s">
        <v>700</v>
      </c>
      <c r="C232" s="995">
        <f t="shared" si="14"/>
        <v>815982600</v>
      </c>
    </row>
    <row r="233" spans="1:9" x14ac:dyDescent="0.25">
      <c r="B233" t="s">
        <v>701</v>
      </c>
      <c r="C233" s="995">
        <f t="shared" si="14"/>
        <v>815982600</v>
      </c>
    </row>
    <row r="234" spans="1:9" x14ac:dyDescent="0.25">
      <c r="B234" t="s">
        <v>702</v>
      </c>
      <c r="C234" s="995">
        <f t="shared" si="14"/>
        <v>815982600</v>
      </c>
    </row>
    <row r="235" spans="1:9" x14ac:dyDescent="0.25">
      <c r="B235" t="s">
        <v>703</v>
      </c>
      <c r="C235" s="995">
        <f t="shared" si="14"/>
        <v>815982600</v>
      </c>
    </row>
    <row r="236" spans="1:9" x14ac:dyDescent="0.25">
      <c r="B236" t="s">
        <v>704</v>
      </c>
      <c r="C236" s="995">
        <f t="shared" si="14"/>
        <v>815982600</v>
      </c>
    </row>
    <row r="237" spans="1:9" x14ac:dyDescent="0.25">
      <c r="B237" t="s">
        <v>705</v>
      </c>
      <c r="C237" s="995">
        <f t="shared" si="14"/>
        <v>815982600</v>
      </c>
    </row>
    <row r="238" spans="1:9" x14ac:dyDescent="0.25">
      <c r="B238" t="s">
        <v>706</v>
      </c>
      <c r="C238" s="995">
        <f t="shared" si="14"/>
        <v>815982600</v>
      </c>
    </row>
    <row r="239" spans="1:9" x14ac:dyDescent="0.25">
      <c r="B239" t="s">
        <v>707</v>
      </c>
      <c r="C239" s="995">
        <f t="shared" si="14"/>
        <v>815982600</v>
      </c>
    </row>
    <row r="240" spans="1:9" x14ac:dyDescent="0.25">
      <c r="B240" t="s">
        <v>709</v>
      </c>
      <c r="C240" s="995">
        <f t="shared" si="14"/>
        <v>815982600</v>
      </c>
    </row>
  </sheetData>
  <mergeCells count="98">
    <mergeCell ref="A16:B16"/>
    <mergeCell ref="T7:T8"/>
    <mergeCell ref="V7:V8"/>
    <mergeCell ref="G7:G8"/>
    <mergeCell ref="H7:H8"/>
    <mergeCell ref="I7:I8"/>
    <mergeCell ref="J7:J8"/>
    <mergeCell ref="K7:K8"/>
    <mergeCell ref="L7:L8"/>
    <mergeCell ref="A7:A8"/>
    <mergeCell ref="B7:B8"/>
    <mergeCell ref="C7:C8"/>
    <mergeCell ref="D7:D8"/>
    <mergeCell ref="E7:E8"/>
    <mergeCell ref="F7:F8"/>
    <mergeCell ref="A2:B5"/>
    <mergeCell ref="W7:W8"/>
    <mergeCell ref="C2:W2"/>
    <mergeCell ref="C3:W3"/>
    <mergeCell ref="C4:W4"/>
    <mergeCell ref="C5:W5"/>
    <mergeCell ref="M7:M8"/>
    <mergeCell ref="N7:N8"/>
    <mergeCell ref="R7:R8"/>
    <mergeCell ref="P7:P8"/>
    <mergeCell ref="N33:P33"/>
    <mergeCell ref="G27:I27"/>
    <mergeCell ref="G28:I28"/>
    <mergeCell ref="G32:I32"/>
    <mergeCell ref="G33:I33"/>
    <mergeCell ref="N27:P27"/>
    <mergeCell ref="N28:P28"/>
    <mergeCell ref="N31:P31"/>
    <mergeCell ref="N32:P32"/>
    <mergeCell ref="B195:F195"/>
    <mergeCell ref="A157:A158"/>
    <mergeCell ref="B157:B158"/>
    <mergeCell ref="C157:G157"/>
    <mergeCell ref="H157:H158"/>
    <mergeCell ref="C158:D158"/>
    <mergeCell ref="E158:F158"/>
    <mergeCell ref="B165:F165"/>
    <mergeCell ref="H171:H174"/>
    <mergeCell ref="B175:F175"/>
    <mergeCell ref="A187:A188"/>
    <mergeCell ref="B187:B188"/>
    <mergeCell ref="C187:G187"/>
    <mergeCell ref="A167:A168"/>
    <mergeCell ref="B167:B168"/>
    <mergeCell ref="C167:G167"/>
    <mergeCell ref="B200:F200"/>
    <mergeCell ref="A197:A198"/>
    <mergeCell ref="B197:B198"/>
    <mergeCell ref="C197:G197"/>
    <mergeCell ref="H197:H198"/>
    <mergeCell ref="C198:D198"/>
    <mergeCell ref="E198:F198"/>
    <mergeCell ref="A102:F102"/>
    <mergeCell ref="A103:F103"/>
    <mergeCell ref="A105:A106"/>
    <mergeCell ref="B105:B106"/>
    <mergeCell ref="C105:C106"/>
    <mergeCell ref="D105:E105"/>
    <mergeCell ref="F105:F106"/>
    <mergeCell ref="B190:B192"/>
    <mergeCell ref="A124:C124"/>
    <mergeCell ref="A126:D126"/>
    <mergeCell ref="A136:D136"/>
    <mergeCell ref="A153:H153"/>
    <mergeCell ref="A154:H154"/>
    <mergeCell ref="H191:H194"/>
    <mergeCell ref="H167:H168"/>
    <mergeCell ref="C168:D168"/>
    <mergeCell ref="E168:F168"/>
    <mergeCell ref="H187:H188"/>
    <mergeCell ref="C188:D188"/>
    <mergeCell ref="E188:F188"/>
    <mergeCell ref="A18:A19"/>
    <mergeCell ref="B18:B19"/>
    <mergeCell ref="C18:C19"/>
    <mergeCell ref="D18:D19"/>
    <mergeCell ref="E18:E19"/>
    <mergeCell ref="A23:B23"/>
    <mergeCell ref="R18:R19"/>
    <mergeCell ref="T18:T19"/>
    <mergeCell ref="V18:V19"/>
    <mergeCell ref="W18:W19"/>
    <mergeCell ref="A22:B22"/>
    <mergeCell ref="K18:K19"/>
    <mergeCell ref="L18:L19"/>
    <mergeCell ref="M18:M19"/>
    <mergeCell ref="N18:N19"/>
    <mergeCell ref="P18:P19"/>
    <mergeCell ref="F18:F19"/>
    <mergeCell ref="G18:G19"/>
    <mergeCell ref="H18:H19"/>
    <mergeCell ref="I18:I19"/>
    <mergeCell ref="J18:J19"/>
  </mergeCells>
  <pageMargins left="0" right="0" top="0" bottom="0" header="0.31496062992126" footer="0.31496062992126"/>
  <pageSetup paperSize="256" scale="48" orientation="landscape" horizontalDpi="240" verticalDpi="14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145"/>
  <sheetViews>
    <sheetView showGridLines="0" zoomScale="90" zoomScaleNormal="90" workbookViewId="0">
      <pane xSplit="6" ySplit="11" topLeftCell="G43" activePane="bottomRight" state="frozen"/>
      <selection pane="topRight" activeCell="G1" sqref="G1"/>
      <selection pane="bottomLeft" activeCell="A12" sqref="A12"/>
      <selection pane="bottomRight" activeCell="C48" sqref="C48"/>
    </sheetView>
  </sheetViews>
  <sheetFormatPr defaultRowHeight="15" x14ac:dyDescent="0.25"/>
  <cols>
    <col min="1" max="1" width="2.42578125" customWidth="1"/>
    <col min="2" max="2" width="7.42578125" customWidth="1"/>
    <col min="3" max="3" width="36.7109375" customWidth="1"/>
    <col min="4" max="4" width="6.42578125" customWidth="1"/>
    <col min="5" max="5" width="9.7109375" style="59" customWidth="1"/>
    <col min="6" max="6" width="12" customWidth="1"/>
    <col min="7" max="7" width="14.85546875" customWidth="1"/>
    <col min="8" max="8" width="13.28515625" customWidth="1"/>
    <col min="9" max="9" width="14.7109375" customWidth="1"/>
    <col min="10" max="10" width="13.85546875" customWidth="1"/>
    <col min="11" max="12" width="14.140625" customWidth="1"/>
    <col min="13" max="13" width="17.42578125" customWidth="1"/>
  </cols>
  <sheetData>
    <row r="1" spans="2:13" ht="15.75" thickBot="1" x14ac:dyDescent="0.3"/>
    <row r="2" spans="2:13" ht="18.75" thickTop="1" x14ac:dyDescent="0.25">
      <c r="B2" s="1260"/>
      <c r="C2" s="1261"/>
      <c r="D2" s="1266" t="s">
        <v>94</v>
      </c>
      <c r="E2" s="1267"/>
      <c r="F2" s="1267"/>
      <c r="G2" s="1267"/>
      <c r="H2" s="1267"/>
      <c r="I2" s="1267"/>
      <c r="J2" s="1267"/>
      <c r="K2" s="1267"/>
      <c r="L2" s="1267"/>
      <c r="M2" s="1268"/>
    </row>
    <row r="3" spans="2:13" ht="18" x14ac:dyDescent="0.25">
      <c r="B3" s="1262"/>
      <c r="C3" s="1263"/>
      <c r="D3" s="1269" t="s">
        <v>0</v>
      </c>
      <c r="E3" s="1270"/>
      <c r="F3" s="1270"/>
      <c r="G3" s="1270"/>
      <c r="H3" s="1270"/>
      <c r="I3" s="1270"/>
      <c r="J3" s="1270"/>
      <c r="K3" s="1270"/>
      <c r="L3" s="1270"/>
      <c r="M3" s="1271"/>
    </row>
    <row r="4" spans="2:13" ht="18" x14ac:dyDescent="0.25">
      <c r="B4" s="1262"/>
      <c r="C4" s="1263"/>
      <c r="D4" s="1269" t="s">
        <v>569</v>
      </c>
      <c r="E4" s="1270"/>
      <c r="F4" s="1270"/>
      <c r="G4" s="1270"/>
      <c r="H4" s="1270"/>
      <c r="I4" s="1270"/>
      <c r="J4" s="1270"/>
      <c r="K4" s="1270"/>
      <c r="L4" s="1270"/>
      <c r="M4" s="1271"/>
    </row>
    <row r="5" spans="2:13" ht="18.75" thickBot="1" x14ac:dyDescent="0.3">
      <c r="B5" s="1264"/>
      <c r="C5" s="1265"/>
      <c r="D5" s="1272" t="s">
        <v>524</v>
      </c>
      <c r="E5" s="1273"/>
      <c r="F5" s="1273"/>
      <c r="G5" s="1273"/>
      <c r="H5" s="1273"/>
      <c r="I5" s="1273"/>
      <c r="J5" s="1273"/>
      <c r="K5" s="1273"/>
      <c r="L5" s="1273"/>
      <c r="M5" s="1274"/>
    </row>
    <row r="6" spans="2:13" ht="6" customHeight="1" thickTop="1" thickBot="1" x14ac:dyDescent="0.3">
      <c r="D6" s="1255"/>
      <c r="E6" s="1255"/>
      <c r="F6" s="1255"/>
      <c r="G6" s="1255"/>
      <c r="H6" s="1255"/>
      <c r="I6" s="1255"/>
      <c r="J6" s="1255"/>
      <c r="K6" s="1255"/>
      <c r="L6" s="1255"/>
      <c r="M6" s="1255"/>
    </row>
    <row r="7" spans="2:13" ht="18" thickTop="1" thickBot="1" x14ac:dyDescent="0.3">
      <c r="B7" s="1256" t="s">
        <v>526</v>
      </c>
      <c r="C7" s="1256"/>
      <c r="D7" s="1256"/>
      <c r="E7" s="1256"/>
      <c r="F7" s="1256"/>
      <c r="G7" s="1256"/>
      <c r="H7" s="1256"/>
      <c r="I7" s="1256"/>
      <c r="J7" s="1256"/>
      <c r="K7" s="1256"/>
      <c r="L7" s="1256"/>
      <c r="M7" s="1256"/>
    </row>
    <row r="8" spans="2:13" ht="38.25" x14ac:dyDescent="0.25">
      <c r="B8" s="530" t="s">
        <v>1</v>
      </c>
      <c r="C8" s="552" t="s">
        <v>2</v>
      </c>
      <c r="D8" s="1257" t="s">
        <v>3</v>
      </c>
      <c r="E8" s="1258"/>
      <c r="F8" s="1259"/>
      <c r="G8" s="553" t="s">
        <v>4</v>
      </c>
      <c r="H8" s="553" t="s">
        <v>5</v>
      </c>
      <c r="I8" s="532" t="s">
        <v>574</v>
      </c>
      <c r="J8" s="531" t="s">
        <v>719</v>
      </c>
      <c r="K8" s="531" t="s">
        <v>95</v>
      </c>
      <c r="L8" s="531" t="s">
        <v>6</v>
      </c>
      <c r="M8" s="554" t="s">
        <v>7</v>
      </c>
    </row>
    <row r="9" spans="2:13" ht="14.45" customHeight="1" thickBot="1" x14ac:dyDescent="0.3">
      <c r="B9" s="555"/>
      <c r="C9" s="556"/>
      <c r="D9" s="557"/>
      <c r="E9" s="557"/>
      <c r="F9" s="557"/>
      <c r="G9" s="557"/>
      <c r="H9" s="557"/>
      <c r="I9" s="558" t="s">
        <v>285</v>
      </c>
      <c r="J9" s="559" t="s">
        <v>286</v>
      </c>
      <c r="K9" s="559" t="s">
        <v>287</v>
      </c>
      <c r="L9" s="559" t="s">
        <v>739</v>
      </c>
      <c r="M9" s="535"/>
    </row>
    <row r="10" spans="2:13" ht="6" customHeight="1" x14ac:dyDescent="0.25">
      <c r="I10" s="58"/>
      <c r="J10" s="551"/>
      <c r="K10" s="551"/>
      <c r="L10" s="551"/>
      <c r="M10" s="63"/>
    </row>
    <row r="11" spans="2:13" ht="14.45" customHeight="1" x14ac:dyDescent="0.25">
      <c r="B11" s="478" t="s">
        <v>1</v>
      </c>
      <c r="C11" s="1247" t="s">
        <v>8</v>
      </c>
      <c r="D11" s="1247"/>
      <c r="E11" s="1247"/>
      <c r="F11" s="1247"/>
      <c r="G11" s="1247"/>
      <c r="H11" s="1247"/>
      <c r="I11" s="1140">
        <f>H25</f>
        <v>98160000</v>
      </c>
      <c r="J11" s="461">
        <v>139368000</v>
      </c>
      <c r="K11" s="463">
        <v>243400000</v>
      </c>
      <c r="L11" s="463">
        <f>I11-K11</f>
        <v>-145240000</v>
      </c>
      <c r="M11" s="328" t="str">
        <f>IF(L11&gt;0,"BERTAMBAH",IF(L11&lt;0,"BERKURANG","TETAP"))</f>
        <v>BERKURANG</v>
      </c>
    </row>
    <row r="12" spans="2:13" x14ac:dyDescent="0.25">
      <c r="B12" s="60"/>
      <c r="C12" s="3" t="s">
        <v>527</v>
      </c>
      <c r="D12" s="12"/>
      <c r="E12" s="860">
        <v>2</v>
      </c>
      <c r="F12" s="29" t="s">
        <v>528</v>
      </c>
      <c r="G12" s="29">
        <v>250000</v>
      </c>
      <c r="H12" s="122">
        <f>G12*E12</f>
        <v>500000</v>
      </c>
      <c r="I12" s="850"/>
      <c r="J12" s="850"/>
      <c r="K12" s="850"/>
      <c r="L12" s="850"/>
      <c r="M12" s="882"/>
    </row>
    <row r="13" spans="2:13" x14ac:dyDescent="0.25">
      <c r="B13" s="60"/>
      <c r="C13" s="3" t="s">
        <v>529</v>
      </c>
      <c r="D13" s="861"/>
      <c r="E13" s="860">
        <v>2</v>
      </c>
      <c r="F13" s="29" t="s">
        <v>530</v>
      </c>
      <c r="G13" s="29">
        <v>65000</v>
      </c>
      <c r="H13" s="122">
        <f>G13*E13</f>
        <v>130000</v>
      </c>
      <c r="I13" s="793"/>
      <c r="J13" s="793"/>
      <c r="K13" s="793"/>
      <c r="L13" s="793"/>
      <c r="M13" s="885"/>
    </row>
    <row r="14" spans="2:13" x14ac:dyDescent="0.25">
      <c r="B14" s="60"/>
      <c r="C14" s="3" t="s">
        <v>9</v>
      </c>
      <c r="D14" s="861"/>
      <c r="E14" s="29">
        <v>50</v>
      </c>
      <c r="F14" s="29" t="s">
        <v>531</v>
      </c>
      <c r="G14" s="29">
        <v>25000</v>
      </c>
      <c r="H14" s="122">
        <f t="shared" ref="H14:H24" si="0">G14*E14</f>
        <v>1250000</v>
      </c>
      <c r="I14" s="793"/>
      <c r="J14" s="793"/>
      <c r="K14" s="793"/>
      <c r="L14" s="793"/>
      <c r="M14" s="885"/>
    </row>
    <row r="15" spans="2:13" x14ac:dyDescent="0.25">
      <c r="B15" s="60"/>
      <c r="C15" s="862" t="s">
        <v>11</v>
      </c>
      <c r="D15" s="30" t="s">
        <v>12</v>
      </c>
      <c r="E15" s="354">
        <v>3300</v>
      </c>
      <c r="F15" s="31" t="s">
        <v>718</v>
      </c>
      <c r="G15" s="32">
        <v>6000</v>
      </c>
      <c r="H15" s="122">
        <f t="shared" si="0"/>
        <v>19800000</v>
      </c>
      <c r="I15" s="793"/>
      <c r="J15" s="793"/>
      <c r="K15" s="793"/>
      <c r="L15" s="793"/>
      <c r="M15" s="885"/>
    </row>
    <row r="16" spans="2:13" x14ac:dyDescent="0.25">
      <c r="B16" s="60"/>
      <c r="C16" s="3"/>
      <c r="D16" s="30" t="s">
        <v>13</v>
      </c>
      <c r="E16" s="354">
        <v>3300</v>
      </c>
      <c r="F16" s="31" t="s">
        <v>718</v>
      </c>
      <c r="G16" s="32">
        <v>6000</v>
      </c>
      <c r="H16" s="122">
        <f t="shared" si="0"/>
        <v>19800000</v>
      </c>
      <c r="I16" s="793"/>
      <c r="J16" s="793"/>
      <c r="K16" s="793"/>
      <c r="L16" s="793"/>
      <c r="M16" s="885"/>
    </row>
    <row r="17" spans="2:13" x14ac:dyDescent="0.25">
      <c r="B17" s="60"/>
      <c r="C17" s="3" t="s">
        <v>14</v>
      </c>
      <c r="D17" s="30" t="s">
        <v>12</v>
      </c>
      <c r="E17" s="354">
        <v>50</v>
      </c>
      <c r="F17" s="31" t="s">
        <v>718</v>
      </c>
      <c r="G17" s="32">
        <v>6000</v>
      </c>
      <c r="H17" s="122">
        <f t="shared" si="0"/>
        <v>300000</v>
      </c>
      <c r="I17" s="793"/>
      <c r="J17" s="793"/>
      <c r="K17" s="793"/>
      <c r="L17" s="793"/>
      <c r="M17" s="885"/>
    </row>
    <row r="18" spans="2:13" x14ac:dyDescent="0.25">
      <c r="B18" s="60"/>
      <c r="C18" s="3"/>
      <c r="D18" s="30" t="s">
        <v>13</v>
      </c>
      <c r="E18" s="354">
        <v>30</v>
      </c>
      <c r="F18" s="31" t="s">
        <v>718</v>
      </c>
      <c r="G18" s="32">
        <v>6000</v>
      </c>
      <c r="H18" s="122">
        <f t="shared" si="0"/>
        <v>180000</v>
      </c>
      <c r="I18" s="793"/>
      <c r="J18" s="793"/>
      <c r="K18" s="793"/>
      <c r="L18" s="793"/>
      <c r="M18" s="885"/>
    </row>
    <row r="19" spans="2:13" x14ac:dyDescent="0.25">
      <c r="B19" s="60"/>
      <c r="C19" s="3" t="s">
        <v>15</v>
      </c>
      <c r="D19" s="30" t="s">
        <v>16</v>
      </c>
      <c r="E19" s="354">
        <v>3300</v>
      </c>
      <c r="F19" s="31" t="s">
        <v>718</v>
      </c>
      <c r="G19" s="32">
        <v>6000</v>
      </c>
      <c r="H19" s="122">
        <f t="shared" si="0"/>
        <v>19800000</v>
      </c>
      <c r="I19" s="793"/>
      <c r="J19" s="793"/>
      <c r="K19" s="793"/>
      <c r="L19" s="793"/>
      <c r="M19" s="885"/>
    </row>
    <row r="20" spans="2:13" ht="51" x14ac:dyDescent="0.25">
      <c r="B20" s="60"/>
      <c r="C20" s="3" t="s">
        <v>17</v>
      </c>
      <c r="D20" s="30" t="s">
        <v>533</v>
      </c>
      <c r="E20" s="354">
        <v>450</v>
      </c>
      <c r="F20" s="31" t="s">
        <v>718</v>
      </c>
      <c r="G20" s="32">
        <v>6000</v>
      </c>
      <c r="H20" s="122">
        <f t="shared" si="0"/>
        <v>2700000</v>
      </c>
      <c r="I20" s="793"/>
      <c r="J20" s="793"/>
      <c r="K20" s="793"/>
      <c r="L20" s="793"/>
      <c r="M20" s="885"/>
    </row>
    <row r="21" spans="2:13" x14ac:dyDescent="0.25">
      <c r="B21" s="60"/>
      <c r="C21" s="3"/>
      <c r="D21" s="30" t="s">
        <v>13</v>
      </c>
      <c r="E21" s="354">
        <v>450</v>
      </c>
      <c r="F21" s="31" t="s">
        <v>718</v>
      </c>
      <c r="G21" s="32">
        <v>6000</v>
      </c>
      <c r="H21" s="122">
        <f t="shared" si="0"/>
        <v>2700000</v>
      </c>
      <c r="I21" s="793"/>
      <c r="J21" s="793"/>
      <c r="K21" s="793"/>
      <c r="L21" s="793"/>
      <c r="M21" s="885"/>
    </row>
    <row r="22" spans="2:13" x14ac:dyDescent="0.25">
      <c r="B22" s="60"/>
      <c r="C22" s="3" t="s">
        <v>18</v>
      </c>
      <c r="D22" s="30" t="s">
        <v>12</v>
      </c>
      <c r="E22" s="354">
        <v>3300</v>
      </c>
      <c r="F22" s="31" t="s">
        <v>718</v>
      </c>
      <c r="G22" s="32">
        <v>6000</v>
      </c>
      <c r="H22" s="122">
        <f t="shared" si="0"/>
        <v>19800000</v>
      </c>
      <c r="I22" s="793"/>
      <c r="J22" s="793"/>
      <c r="K22" s="793"/>
      <c r="L22" s="793"/>
      <c r="M22" s="885"/>
    </row>
    <row r="23" spans="2:13" x14ac:dyDescent="0.25">
      <c r="B23" s="60"/>
      <c r="C23" s="3"/>
      <c r="D23" s="30" t="s">
        <v>13</v>
      </c>
      <c r="E23" s="354">
        <v>1800</v>
      </c>
      <c r="F23" s="31" t="s">
        <v>718</v>
      </c>
      <c r="G23" s="32">
        <v>6000</v>
      </c>
      <c r="H23" s="122">
        <f t="shared" si="0"/>
        <v>10800000</v>
      </c>
      <c r="I23" s="793"/>
      <c r="J23" s="793"/>
      <c r="K23" s="793"/>
      <c r="L23" s="793"/>
      <c r="M23" s="885"/>
    </row>
    <row r="24" spans="2:13" ht="17.25" x14ac:dyDescent="0.4">
      <c r="B24" s="60"/>
      <c r="C24" s="3" t="s">
        <v>19</v>
      </c>
      <c r="D24" s="33"/>
      <c r="E24" s="33">
        <v>10</v>
      </c>
      <c r="F24" s="34" t="s">
        <v>532</v>
      </c>
      <c r="G24" s="35">
        <v>40000</v>
      </c>
      <c r="H24" s="123">
        <f t="shared" si="0"/>
        <v>400000</v>
      </c>
      <c r="I24" s="793"/>
      <c r="J24" s="793"/>
      <c r="K24" s="793"/>
      <c r="L24" s="793"/>
      <c r="M24" s="885"/>
    </row>
    <row r="25" spans="2:13" x14ac:dyDescent="0.25">
      <c r="B25" s="62"/>
      <c r="C25" s="6" t="s">
        <v>20</v>
      </c>
      <c r="D25" s="63"/>
      <c r="E25" s="102">
        <f>SUM(E12:E24)</f>
        <v>16044</v>
      </c>
      <c r="F25" s="63"/>
      <c r="G25" s="63"/>
      <c r="H25" s="124">
        <f>SUM(H12:H24)</f>
        <v>98160000</v>
      </c>
      <c r="I25" s="887"/>
      <c r="J25" s="887"/>
      <c r="K25" s="887"/>
      <c r="L25" s="887"/>
      <c r="M25" s="888"/>
    </row>
    <row r="26" spans="2:13" ht="6" customHeight="1" x14ac:dyDescent="0.25"/>
    <row r="27" spans="2:13" x14ac:dyDescent="0.25">
      <c r="B27" s="478" t="s">
        <v>21</v>
      </c>
      <c r="C27" s="1247" t="s">
        <v>22</v>
      </c>
      <c r="D27" s="1247"/>
      <c r="E27" s="1247"/>
      <c r="F27" s="1247"/>
      <c r="G27" s="1247"/>
      <c r="H27" s="1247"/>
      <c r="I27" s="118">
        <f>H29</f>
        <v>410000000</v>
      </c>
      <c r="J27" s="461">
        <v>8620000</v>
      </c>
      <c r="K27" s="463">
        <v>508620000</v>
      </c>
      <c r="L27" s="463">
        <f>I27-K27</f>
        <v>-98620000</v>
      </c>
      <c r="M27" s="328" t="str">
        <f>IF(L27&gt;0,"BERTAMBAH",IF(L27&lt;0,"BERKURANG","TETAP"))</f>
        <v>BERKURANG</v>
      </c>
    </row>
    <row r="28" spans="2:13" x14ac:dyDescent="0.25">
      <c r="B28" s="67"/>
      <c r="C28" s="125" t="s">
        <v>737</v>
      </c>
      <c r="D28" s="127"/>
      <c r="E28" s="96"/>
      <c r="F28" s="96"/>
      <c r="G28" s="91"/>
      <c r="H28" s="70">
        <v>410000000</v>
      </c>
      <c r="I28" s="68"/>
      <c r="J28" s="68"/>
      <c r="K28" s="68"/>
      <c r="L28" s="68"/>
      <c r="M28" s="69"/>
    </row>
    <row r="29" spans="2:13" x14ac:dyDescent="0.25">
      <c r="B29" s="62"/>
      <c r="C29" s="6" t="s">
        <v>20</v>
      </c>
      <c r="D29" s="63"/>
      <c r="E29" s="103"/>
      <c r="F29" s="63"/>
      <c r="G29" s="63"/>
      <c r="H29" s="126">
        <f>H28</f>
        <v>410000000</v>
      </c>
      <c r="I29" s="63"/>
      <c r="J29" s="63"/>
      <c r="K29" s="63"/>
      <c r="L29" s="63"/>
      <c r="M29" s="64"/>
    </row>
    <row r="30" spans="2:13" ht="6" customHeight="1" x14ac:dyDescent="0.25"/>
    <row r="31" spans="2:13" x14ac:dyDescent="0.25">
      <c r="B31" s="478" t="s">
        <v>23</v>
      </c>
      <c r="C31" s="1247" t="s">
        <v>24</v>
      </c>
      <c r="D31" s="1247"/>
      <c r="E31" s="1247"/>
      <c r="F31" s="1247"/>
      <c r="G31" s="1247"/>
      <c r="H31" s="1247"/>
      <c r="I31" s="118">
        <f>H34</f>
        <v>35000000</v>
      </c>
      <c r="J31" s="465">
        <v>0</v>
      </c>
      <c r="K31" s="462">
        <f>H34+J31</f>
        <v>35000000</v>
      </c>
      <c r="L31" s="463">
        <f>I31-K31</f>
        <v>0</v>
      </c>
      <c r="M31" s="349" t="str">
        <f>IF(L31&gt;0,"BERTAMBAH",IF(L31&lt;0,"BERKURANGI","TETAP"))</f>
        <v>TETAP</v>
      </c>
    </row>
    <row r="32" spans="2:13" x14ac:dyDescent="0.25">
      <c r="B32" s="60"/>
      <c r="C32" s="71" t="s">
        <v>25</v>
      </c>
      <c r="D32" s="1251"/>
      <c r="E32" s="1251"/>
      <c r="F32" s="72"/>
      <c r="G32" s="65">
        <v>20000000</v>
      </c>
      <c r="H32" s="65">
        <f>G32</f>
        <v>20000000</v>
      </c>
      <c r="M32" s="61"/>
    </row>
    <row r="33" spans="2:13" x14ac:dyDescent="0.25">
      <c r="B33" s="60"/>
      <c r="C33" s="9" t="s">
        <v>26</v>
      </c>
      <c r="D33" s="3"/>
      <c r="E33" s="8"/>
      <c r="F33" s="8"/>
      <c r="G33" s="32">
        <v>15000000</v>
      </c>
      <c r="H33" s="39">
        <v>15000000</v>
      </c>
      <c r="M33" s="61"/>
    </row>
    <row r="34" spans="2:13" x14ac:dyDescent="0.25">
      <c r="B34" s="62"/>
      <c r="C34" s="10" t="s">
        <v>27</v>
      </c>
      <c r="D34" s="6"/>
      <c r="E34" s="40"/>
      <c r="F34" s="40"/>
      <c r="G34" s="37"/>
      <c r="H34" s="37">
        <f>SUM(H32:H33)</f>
        <v>35000000</v>
      </c>
      <c r="I34" s="63"/>
      <c r="J34" s="63"/>
      <c r="K34" s="63"/>
      <c r="L34" s="63"/>
      <c r="M34" s="64"/>
    </row>
    <row r="35" spans="2:13" ht="6" customHeight="1" x14ac:dyDescent="0.25"/>
    <row r="36" spans="2:13" x14ac:dyDescent="0.25">
      <c r="B36" s="478" t="s">
        <v>28</v>
      </c>
      <c r="C36" s="1252" t="s">
        <v>29</v>
      </c>
      <c r="D36" s="1252"/>
      <c r="E36" s="1252"/>
      <c r="F36" s="1252"/>
      <c r="G36" s="1252"/>
      <c r="H36" s="1252"/>
      <c r="I36" s="118">
        <f>H42</f>
        <v>1083828000</v>
      </c>
      <c r="J36" s="466">
        <v>95092451</v>
      </c>
      <c r="K36" s="467">
        <v>311250000</v>
      </c>
      <c r="L36" s="463">
        <f>I36-K36</f>
        <v>772578000</v>
      </c>
      <c r="M36" s="468" t="str">
        <f>IF(L36&gt;0,"BERTAMBAH",IF(L36&lt;0,"BERKURANG","TETAP"))</f>
        <v>BERTAMBAH</v>
      </c>
    </row>
    <row r="37" spans="2:13" x14ac:dyDescent="0.25">
      <c r="B37" s="60"/>
      <c r="C37" s="73" t="s">
        <v>30</v>
      </c>
      <c r="D37" s="74">
        <v>0.05</v>
      </c>
      <c r="E37" s="104"/>
      <c r="F37" s="75"/>
      <c r="G37" s="76">
        <f>Pendapatan!P9</f>
        <v>13200000000</v>
      </c>
      <c r="H37" s="76">
        <f>G37*D37</f>
        <v>660000000</v>
      </c>
      <c r="M37" s="61"/>
    </row>
    <row r="38" spans="2:13" x14ac:dyDescent="0.25">
      <c r="B38" s="60"/>
      <c r="C38" s="11" t="s">
        <v>31</v>
      </c>
      <c r="D38" s="74">
        <v>0.05</v>
      </c>
      <c r="E38" s="105"/>
      <c r="F38" s="22"/>
      <c r="G38" s="76">
        <f>Pendapatan!P10</f>
        <v>360000000</v>
      </c>
      <c r="H38" s="76">
        <f>G38*D38</f>
        <v>18000000</v>
      </c>
      <c r="M38" s="61"/>
    </row>
    <row r="39" spans="2:13" x14ac:dyDescent="0.25">
      <c r="B39" s="60"/>
      <c r="C39" s="11" t="s">
        <v>32</v>
      </c>
      <c r="D39" s="41">
        <v>0.05</v>
      </c>
      <c r="E39" s="105"/>
      <c r="F39" s="30"/>
      <c r="G39" s="76">
        <f>Pendapatan!P11</f>
        <v>3292560000</v>
      </c>
      <c r="H39" s="76">
        <f>G39*D39</f>
        <v>164628000</v>
      </c>
      <c r="M39" s="61"/>
    </row>
    <row r="40" spans="2:13" x14ac:dyDescent="0.25">
      <c r="B40" s="60"/>
      <c r="C40" s="11" t="s">
        <v>33</v>
      </c>
      <c r="D40" s="41">
        <v>0.03</v>
      </c>
      <c r="E40" s="105"/>
      <c r="F40" s="30"/>
      <c r="G40" s="76">
        <f>Pendapatan!P12</f>
        <v>8040000000</v>
      </c>
      <c r="H40" s="76">
        <f>G40*D40</f>
        <v>241200000</v>
      </c>
      <c r="M40" s="61"/>
    </row>
    <row r="41" spans="2:13" x14ac:dyDescent="0.25">
      <c r="B41" s="60"/>
      <c r="C41" s="11" t="s">
        <v>34</v>
      </c>
      <c r="D41" s="41"/>
      <c r="E41" s="105"/>
      <c r="F41" s="30"/>
      <c r="G41" s="76">
        <f>Pendapatan!P13</f>
        <v>617400000</v>
      </c>
      <c r="H41" s="852">
        <f>G41*D41</f>
        <v>0</v>
      </c>
      <c r="M41" s="61"/>
    </row>
    <row r="42" spans="2:13" x14ac:dyDescent="0.25">
      <c r="B42" s="62"/>
      <c r="C42" s="6" t="s">
        <v>20</v>
      </c>
      <c r="D42" s="1240"/>
      <c r="E42" s="1240"/>
      <c r="F42" s="1240"/>
      <c r="G42" s="1240"/>
      <c r="H42" s="43">
        <f>SUM(H37:H41)</f>
        <v>1083828000</v>
      </c>
      <c r="I42" s="63"/>
      <c r="J42" s="63"/>
      <c r="K42" s="63"/>
      <c r="L42" s="63"/>
      <c r="M42" s="64"/>
    </row>
    <row r="43" spans="2:13" ht="6" customHeight="1" x14ac:dyDescent="0.25"/>
    <row r="44" spans="2:13" x14ac:dyDescent="0.25">
      <c r="B44" s="478" t="s">
        <v>35</v>
      </c>
      <c r="C44" s="1252" t="s">
        <v>36</v>
      </c>
      <c r="D44" s="1252"/>
      <c r="E44" s="1252"/>
      <c r="F44" s="1252"/>
      <c r="G44" s="1252"/>
      <c r="H44" s="1653"/>
      <c r="I44" s="119">
        <f>H56</f>
        <v>220200000</v>
      </c>
      <c r="J44" s="469">
        <v>185784000</v>
      </c>
      <c r="K44" s="467">
        <v>224490000</v>
      </c>
      <c r="L44" s="463">
        <f>I44-K44</f>
        <v>-4290000</v>
      </c>
      <c r="M44" s="328" t="str">
        <f>IF(L44&gt;0,"BERTAMBAH",IF(L44&lt;0,"BERKURANG","TETAP"))</f>
        <v>BERKURANG</v>
      </c>
    </row>
    <row r="45" spans="2:13" x14ac:dyDescent="0.25">
      <c r="B45" s="60"/>
      <c r="C45" s="85" t="s">
        <v>37</v>
      </c>
      <c r="D45" s="86">
        <v>1</v>
      </c>
      <c r="E45" s="66" t="s">
        <v>115</v>
      </c>
      <c r="F45" s="66"/>
      <c r="G45" s="87">
        <v>250000</v>
      </c>
      <c r="H45" s="88">
        <f>D45*G45*12</f>
        <v>3000000</v>
      </c>
      <c r="M45" s="61"/>
    </row>
    <row r="46" spans="2:13" x14ac:dyDescent="0.25">
      <c r="B46" s="60"/>
      <c r="C46" s="12" t="s">
        <v>38</v>
      </c>
      <c r="D46" s="13">
        <v>1</v>
      </c>
      <c r="E46" s="29" t="s">
        <v>115</v>
      </c>
      <c r="F46" s="29"/>
      <c r="G46" s="22">
        <v>450000</v>
      </c>
      <c r="H46" s="44">
        <f>D46*G46*12</f>
        <v>5400000</v>
      </c>
      <c r="M46" s="61"/>
    </row>
    <row r="47" spans="2:13" x14ac:dyDescent="0.25">
      <c r="B47" s="60"/>
      <c r="C47" s="12" t="s">
        <v>39</v>
      </c>
      <c r="D47" s="13">
        <v>1</v>
      </c>
      <c r="E47" s="29" t="s">
        <v>115</v>
      </c>
      <c r="F47" s="29"/>
      <c r="G47" s="22">
        <v>400000</v>
      </c>
      <c r="H47" s="44">
        <f t="shared" ref="H47:H55" si="1">D47*G47*12</f>
        <v>4800000</v>
      </c>
      <c r="M47" s="61"/>
    </row>
    <row r="48" spans="2:13" x14ac:dyDescent="0.25">
      <c r="B48" s="60"/>
      <c r="C48" s="14" t="s">
        <v>40</v>
      </c>
      <c r="D48" s="13">
        <v>1</v>
      </c>
      <c r="E48" s="29" t="s">
        <v>115</v>
      </c>
      <c r="F48" s="29"/>
      <c r="G48" s="22">
        <v>1300000</v>
      </c>
      <c r="H48" s="44">
        <f t="shared" si="1"/>
        <v>15600000</v>
      </c>
      <c r="M48" s="61"/>
    </row>
    <row r="49" spans="2:13" x14ac:dyDescent="0.25">
      <c r="B49" s="60"/>
      <c r="C49" s="14" t="s">
        <v>41</v>
      </c>
      <c r="D49" s="13">
        <v>1</v>
      </c>
      <c r="E49" s="29" t="s">
        <v>115</v>
      </c>
      <c r="F49" s="29"/>
      <c r="G49" s="22">
        <v>4600000</v>
      </c>
      <c r="H49" s="44">
        <f t="shared" si="1"/>
        <v>55200000</v>
      </c>
      <c r="M49" s="61"/>
    </row>
    <row r="50" spans="2:13" x14ac:dyDescent="0.25">
      <c r="B50" s="60"/>
      <c r="C50" s="14" t="s">
        <v>42</v>
      </c>
      <c r="D50" s="13">
        <v>1</v>
      </c>
      <c r="E50" s="29" t="s">
        <v>115</v>
      </c>
      <c r="F50" s="29"/>
      <c r="G50" s="22">
        <v>4400000</v>
      </c>
      <c r="H50" s="44">
        <f t="shared" si="1"/>
        <v>52800000</v>
      </c>
      <c r="M50" s="61"/>
    </row>
    <row r="51" spans="2:13" x14ac:dyDescent="0.25">
      <c r="B51" s="60"/>
      <c r="C51" s="14" t="s">
        <v>806</v>
      </c>
      <c r="D51" s="13">
        <v>1</v>
      </c>
      <c r="E51" s="29" t="s">
        <v>115</v>
      </c>
      <c r="F51" s="29"/>
      <c r="G51" s="22">
        <v>200000</v>
      </c>
      <c r="H51" s="44">
        <f t="shared" si="1"/>
        <v>2400000</v>
      </c>
      <c r="M51" s="61"/>
    </row>
    <row r="52" spans="2:13" x14ac:dyDescent="0.25">
      <c r="B52" s="60"/>
      <c r="C52" s="14" t="s">
        <v>795</v>
      </c>
      <c r="D52" s="13">
        <v>5</v>
      </c>
      <c r="E52" s="29" t="s">
        <v>115</v>
      </c>
      <c r="F52" s="29"/>
      <c r="G52" s="22">
        <v>500000</v>
      </c>
      <c r="H52" s="44">
        <f t="shared" si="1"/>
        <v>30000000</v>
      </c>
      <c r="M52" s="61"/>
    </row>
    <row r="53" spans="2:13" x14ac:dyDescent="0.25">
      <c r="B53" s="60"/>
      <c r="C53" s="14" t="s">
        <v>43</v>
      </c>
      <c r="D53" s="13">
        <v>5</v>
      </c>
      <c r="E53" s="29" t="s">
        <v>116</v>
      </c>
      <c r="F53" s="29"/>
      <c r="G53" s="22">
        <v>230000</v>
      </c>
      <c r="H53" s="44">
        <f t="shared" si="1"/>
        <v>13800000</v>
      </c>
      <c r="M53" s="61"/>
    </row>
    <row r="54" spans="2:13" x14ac:dyDescent="0.25">
      <c r="B54" s="60"/>
      <c r="C54" s="12" t="s">
        <v>44</v>
      </c>
      <c r="D54" s="13">
        <v>2</v>
      </c>
      <c r="E54" s="29" t="s">
        <v>115</v>
      </c>
      <c r="F54" s="29"/>
      <c r="G54" s="22">
        <v>500000</v>
      </c>
      <c r="H54" s="44">
        <f t="shared" si="1"/>
        <v>12000000</v>
      </c>
      <c r="M54" s="61"/>
    </row>
    <row r="55" spans="2:13" x14ac:dyDescent="0.25">
      <c r="B55" s="60"/>
      <c r="C55" s="12" t="s">
        <v>45</v>
      </c>
      <c r="D55" s="13">
        <v>7</v>
      </c>
      <c r="E55" s="29" t="s">
        <v>115</v>
      </c>
      <c r="F55" s="29"/>
      <c r="G55" s="22">
        <v>300000</v>
      </c>
      <c r="H55" s="45">
        <f t="shared" si="1"/>
        <v>25200000</v>
      </c>
      <c r="M55" s="61"/>
    </row>
    <row r="56" spans="2:13" x14ac:dyDescent="0.25">
      <c r="B56" s="62"/>
      <c r="C56" s="6" t="s">
        <v>20</v>
      </c>
      <c r="D56" s="63"/>
      <c r="E56" s="103"/>
      <c r="F56" s="63"/>
      <c r="G56" s="63"/>
      <c r="H56" s="117">
        <f>SUM(H45:H55)</f>
        <v>220200000</v>
      </c>
      <c r="I56" s="63"/>
      <c r="J56" s="63"/>
      <c r="K56" s="63"/>
      <c r="L56" s="63"/>
      <c r="M56" s="64"/>
    </row>
    <row r="57" spans="2:13" ht="6" customHeight="1" x14ac:dyDescent="0.25"/>
    <row r="58" spans="2:13" x14ac:dyDescent="0.25">
      <c r="B58" s="478" t="s">
        <v>46</v>
      </c>
      <c r="C58" s="1247" t="s">
        <v>47</v>
      </c>
      <c r="D58" s="1247"/>
      <c r="E58" s="1247"/>
      <c r="F58" s="1247"/>
      <c r="G58" s="1247"/>
      <c r="H58" s="1248"/>
      <c r="I58" s="119">
        <f>H61</f>
        <v>332000000</v>
      </c>
      <c r="J58" s="470">
        <f>'[1]STIMASI BIAYA SD JUNI 2022'!$O$82</f>
        <v>248976000</v>
      </c>
      <c r="K58" s="463">
        <v>248976000</v>
      </c>
      <c r="L58" s="463">
        <f>I58-K58</f>
        <v>83024000</v>
      </c>
      <c r="M58" s="468" t="str">
        <f>IF(L58&gt;0,"BERTAMBAH",IF(L58&lt;0,"BERKURANG","TETAP"))</f>
        <v>BERTAMBAH</v>
      </c>
    </row>
    <row r="59" spans="2:13" x14ac:dyDescent="0.25">
      <c r="B59" s="89"/>
      <c r="C59" s="90" t="s">
        <v>48</v>
      </c>
      <c r="D59" s="32">
        <v>2000</v>
      </c>
      <c r="E59" s="863" t="s">
        <v>534</v>
      </c>
      <c r="F59" s="46"/>
      <c r="G59" s="22">
        <v>150000</v>
      </c>
      <c r="H59" s="94">
        <f>D59*G59</f>
        <v>300000000</v>
      </c>
      <c r="I59" s="68"/>
      <c r="J59" s="68"/>
      <c r="K59" s="68"/>
      <c r="L59" s="68"/>
      <c r="M59" s="69"/>
    </row>
    <row r="60" spans="2:13" x14ac:dyDescent="0.25">
      <c r="B60" s="60"/>
      <c r="C60" s="14" t="s">
        <v>49</v>
      </c>
      <c r="D60" s="32">
        <v>160</v>
      </c>
      <c r="E60" s="863" t="s">
        <v>534</v>
      </c>
      <c r="F60" s="47"/>
      <c r="G60" s="22">
        <v>200000</v>
      </c>
      <c r="H60" s="45">
        <f>D60*G60</f>
        <v>32000000</v>
      </c>
      <c r="M60" s="61"/>
    </row>
    <row r="61" spans="2:13" x14ac:dyDescent="0.25">
      <c r="B61" s="62"/>
      <c r="C61" s="6" t="s">
        <v>20</v>
      </c>
      <c r="D61" s="1240"/>
      <c r="E61" s="1240"/>
      <c r="F61" s="1240"/>
      <c r="G61" s="1240"/>
      <c r="H61" s="37">
        <f>SUM(H59:H60)</f>
        <v>332000000</v>
      </c>
      <c r="I61" s="63"/>
      <c r="J61" s="63"/>
      <c r="K61" s="63"/>
      <c r="L61" s="63"/>
      <c r="M61" s="64"/>
    </row>
    <row r="62" spans="2:13" ht="6" customHeight="1" x14ac:dyDescent="0.25"/>
    <row r="63" spans="2:13" x14ac:dyDescent="0.25">
      <c r="B63" s="478" t="s">
        <v>50</v>
      </c>
      <c r="C63" s="1247" t="s">
        <v>51</v>
      </c>
      <c r="D63" s="1247"/>
      <c r="E63" s="1247"/>
      <c r="F63" s="1247"/>
      <c r="G63" s="1247"/>
      <c r="H63" s="1248"/>
      <c r="I63" s="119">
        <f>H70</f>
        <v>422800000</v>
      </c>
      <c r="J63" s="471">
        <v>215307600</v>
      </c>
      <c r="K63" s="462">
        <v>372154400</v>
      </c>
      <c r="L63" s="463">
        <f>I63-K63</f>
        <v>50645600</v>
      </c>
      <c r="M63" s="468" t="str">
        <f>IF(L63&gt;0,"BERTAMBAH",IF(L63&lt;0,"BERKURANG","TETAP"))</f>
        <v>BERTAMBAH</v>
      </c>
    </row>
    <row r="64" spans="2:13" x14ac:dyDescent="0.25">
      <c r="B64" s="89"/>
      <c r="C64" s="95" t="s">
        <v>52</v>
      </c>
      <c r="D64" s="91">
        <v>1650</v>
      </c>
      <c r="E64" s="96" t="s">
        <v>53</v>
      </c>
      <c r="F64" s="96">
        <v>12</v>
      </c>
      <c r="G64" s="97">
        <v>16800</v>
      </c>
      <c r="H64" s="93">
        <f>D64*F64*G64</f>
        <v>332640000</v>
      </c>
      <c r="I64" s="68"/>
      <c r="J64" s="68"/>
      <c r="K64" s="68"/>
      <c r="L64" s="68"/>
      <c r="M64" s="69"/>
    </row>
    <row r="65" spans="2:13" x14ac:dyDescent="0.25">
      <c r="B65" s="60"/>
      <c r="C65" s="3" t="s">
        <v>54</v>
      </c>
      <c r="D65" s="32">
        <v>100</v>
      </c>
      <c r="E65" s="29" t="s">
        <v>53</v>
      </c>
      <c r="F65" s="29">
        <v>12</v>
      </c>
      <c r="G65" s="48">
        <v>16800</v>
      </c>
      <c r="H65" s="22">
        <f>D65*F65*G65</f>
        <v>20160000</v>
      </c>
      <c r="M65" s="61"/>
    </row>
    <row r="66" spans="2:13" x14ac:dyDescent="0.25">
      <c r="B66" s="60"/>
      <c r="C66" s="3" t="s">
        <v>55</v>
      </c>
      <c r="D66" s="32">
        <v>25</v>
      </c>
      <c r="E66" s="29" t="s">
        <v>53</v>
      </c>
      <c r="F66" s="29"/>
      <c r="G66" s="48">
        <v>500000</v>
      </c>
      <c r="H66" s="22">
        <f>D66*G66</f>
        <v>12500000</v>
      </c>
      <c r="M66" s="61"/>
    </row>
    <row r="67" spans="2:13" x14ac:dyDescent="0.25">
      <c r="B67" s="60"/>
      <c r="C67" s="3" t="s">
        <v>56</v>
      </c>
      <c r="D67" s="32">
        <v>10</v>
      </c>
      <c r="E67" s="29" t="s">
        <v>53</v>
      </c>
      <c r="F67" s="29"/>
      <c r="G67" s="48">
        <v>1000000</v>
      </c>
      <c r="H67" s="22">
        <f>D67*G67</f>
        <v>10000000</v>
      </c>
      <c r="M67" s="61"/>
    </row>
    <row r="68" spans="2:13" x14ac:dyDescent="0.25">
      <c r="B68" s="60"/>
      <c r="C68" s="3" t="s">
        <v>57</v>
      </c>
      <c r="D68" s="32">
        <v>10</v>
      </c>
      <c r="E68" s="29" t="s">
        <v>53</v>
      </c>
      <c r="F68" s="29"/>
      <c r="G68" s="48">
        <v>750000</v>
      </c>
      <c r="H68" s="22">
        <f>D68*G68</f>
        <v>7500000</v>
      </c>
      <c r="M68" s="61"/>
    </row>
    <row r="69" spans="2:13" x14ac:dyDescent="0.25">
      <c r="B69" s="60"/>
      <c r="C69" s="3" t="s">
        <v>58</v>
      </c>
      <c r="D69" s="32">
        <v>20</v>
      </c>
      <c r="E69" s="29" t="s">
        <v>53</v>
      </c>
      <c r="F69" s="29"/>
      <c r="G69" s="48">
        <v>2000000</v>
      </c>
      <c r="H69" s="49">
        <f>D69*G69</f>
        <v>40000000</v>
      </c>
      <c r="M69" s="61"/>
    </row>
    <row r="70" spans="2:13" x14ac:dyDescent="0.25">
      <c r="B70" s="62"/>
      <c r="C70" s="6" t="s">
        <v>20</v>
      </c>
      <c r="D70" s="1240"/>
      <c r="E70" s="1240"/>
      <c r="F70" s="1240"/>
      <c r="G70" s="1240"/>
      <c r="H70" s="50">
        <f>SUM(H63:H69)</f>
        <v>422800000</v>
      </c>
      <c r="I70" s="63"/>
      <c r="J70" s="63"/>
      <c r="K70" s="63"/>
      <c r="L70" s="63"/>
      <c r="M70" s="64"/>
    </row>
    <row r="71" spans="2:13" ht="6" customHeight="1" x14ac:dyDescent="0.25"/>
    <row r="72" spans="2:13" ht="16.5" x14ac:dyDescent="0.3">
      <c r="B72" s="478" t="s">
        <v>59</v>
      </c>
      <c r="C72" s="1247" t="s">
        <v>741</v>
      </c>
      <c r="D72" s="1247"/>
      <c r="E72" s="1247"/>
      <c r="F72" s="1247"/>
      <c r="G72" s="1247"/>
      <c r="H72" s="1248"/>
      <c r="I72" s="119">
        <f>H76</f>
        <v>220000000</v>
      </c>
      <c r="J72" s="466">
        <v>0</v>
      </c>
      <c r="K72" s="472">
        <v>165000000</v>
      </c>
      <c r="L72" s="463">
        <f>I72-K72</f>
        <v>55000000</v>
      </c>
      <c r="M72" s="468" t="str">
        <f>IF(L72&gt;0,"BERTAMBAH",IF(L72&lt;0,"BERKURANG","TETAP"))</f>
        <v>BERTAMBAH</v>
      </c>
    </row>
    <row r="73" spans="2:13" x14ac:dyDescent="0.25">
      <c r="B73" s="89"/>
      <c r="C73" s="993" t="s">
        <v>60</v>
      </c>
      <c r="D73" s="91">
        <v>2000</v>
      </c>
      <c r="E73" s="100" t="s">
        <v>53</v>
      </c>
      <c r="F73" s="96"/>
      <c r="G73" s="93">
        <v>100000</v>
      </c>
      <c r="H73" s="94">
        <f>D73*G73</f>
        <v>200000000</v>
      </c>
      <c r="I73" s="68"/>
      <c r="J73" s="68"/>
      <c r="K73" s="68"/>
      <c r="L73" s="68"/>
      <c r="M73" s="69"/>
    </row>
    <row r="74" spans="2:13" x14ac:dyDescent="0.25">
      <c r="B74" s="7"/>
      <c r="C74" s="937" t="s">
        <v>742</v>
      </c>
      <c r="D74" s="32">
        <v>2000</v>
      </c>
      <c r="E74" s="29" t="s">
        <v>64</v>
      </c>
      <c r="F74" s="29"/>
      <c r="G74" s="22">
        <v>10000</v>
      </c>
      <c r="H74" s="45">
        <f>D74*G74</f>
        <v>20000000</v>
      </c>
      <c r="M74" s="61"/>
    </row>
    <row r="75" spans="2:13" x14ac:dyDescent="0.25">
      <c r="B75" s="60"/>
      <c r="C75" s="1082"/>
      <c r="D75" s="388"/>
      <c r="E75" s="1083"/>
      <c r="F75" s="1084"/>
      <c r="G75" s="1085"/>
      <c r="H75" s="1086"/>
      <c r="M75" s="61"/>
    </row>
    <row r="76" spans="2:13" x14ac:dyDescent="0.25">
      <c r="B76" s="62"/>
      <c r="C76" s="6" t="s">
        <v>20</v>
      </c>
      <c r="D76" s="1240"/>
      <c r="E76" s="1240"/>
      <c r="F76" s="1240"/>
      <c r="G76" s="1240"/>
      <c r="H76" s="50">
        <f>SUM(H73:H74)</f>
        <v>220000000</v>
      </c>
      <c r="I76" s="63"/>
      <c r="J76" s="63"/>
      <c r="K76" s="63"/>
      <c r="L76" s="63"/>
      <c r="M76" s="64"/>
    </row>
    <row r="77" spans="2:13" ht="6" customHeight="1" x14ac:dyDescent="0.25"/>
    <row r="78" spans="2:13" x14ac:dyDescent="0.25">
      <c r="B78" s="479" t="s">
        <v>61</v>
      </c>
      <c r="C78" s="1253" t="s">
        <v>62</v>
      </c>
      <c r="D78" s="1253"/>
      <c r="E78" s="1253"/>
      <c r="F78" s="1253"/>
      <c r="G78" s="1253"/>
      <c r="H78" s="1254"/>
      <c r="I78" s="120">
        <f>H80</f>
        <v>3525000</v>
      </c>
      <c r="J78" s="470">
        <f>'[1]STIMASI BIAYA SD JUNI 2022'!$O$85</f>
        <v>3950000</v>
      </c>
      <c r="K78" s="463">
        <v>20200000</v>
      </c>
      <c r="L78" s="463">
        <f>I78-K78</f>
        <v>-16675000</v>
      </c>
      <c r="M78" s="328" t="str">
        <f>IF(L78&gt;0,"BERTAMBAH",IF(L78&lt;0,"BERKURANG","TETAP"))</f>
        <v>BERKURANG</v>
      </c>
    </row>
    <row r="79" spans="2:13" x14ac:dyDescent="0.25">
      <c r="B79" s="1"/>
      <c r="C79" s="98" t="s">
        <v>63</v>
      </c>
      <c r="D79" s="91">
        <v>141</v>
      </c>
      <c r="E79" s="96" t="s">
        <v>64</v>
      </c>
      <c r="F79" s="96"/>
      <c r="G79" s="93">
        <v>25000</v>
      </c>
      <c r="H79" s="1088">
        <f>D79*G79</f>
        <v>3525000</v>
      </c>
      <c r="I79" s="68"/>
      <c r="J79" s="68"/>
      <c r="K79" s="68"/>
      <c r="L79" s="68"/>
      <c r="M79" s="69"/>
    </row>
    <row r="80" spans="2:13" x14ac:dyDescent="0.25">
      <c r="B80" s="5"/>
      <c r="C80" s="6" t="s">
        <v>20</v>
      </c>
      <c r="D80" s="1240"/>
      <c r="E80" s="1240"/>
      <c r="F80" s="1240"/>
      <c r="G80" s="1240"/>
      <c r="H80" s="1087">
        <f>H79</f>
        <v>3525000</v>
      </c>
      <c r="I80" s="63"/>
      <c r="J80" s="63"/>
      <c r="K80" s="63"/>
      <c r="L80" s="63"/>
      <c r="M80" s="64"/>
    </row>
    <row r="81" spans="2:13" ht="6" customHeight="1" x14ac:dyDescent="0.25"/>
    <row r="82" spans="2:13" x14ac:dyDescent="0.25">
      <c r="B82" s="478" t="s">
        <v>65</v>
      </c>
      <c r="C82" s="1247" t="s">
        <v>66</v>
      </c>
      <c r="D82" s="1247"/>
      <c r="E82" s="1247"/>
      <c r="F82" s="1247"/>
      <c r="G82" s="1247"/>
      <c r="H82" s="1248"/>
      <c r="I82" s="119">
        <f>H89</f>
        <v>370800000</v>
      </c>
      <c r="J82" s="461">
        <v>75112500</v>
      </c>
      <c r="K82" s="463">
        <v>415983750</v>
      </c>
      <c r="L82" s="463">
        <f>I82-K82</f>
        <v>-45183750</v>
      </c>
      <c r="M82" s="468" t="str">
        <f>IF(L82&gt;0,"BERTAMBAH",IF(L82&lt;0,"BERKURANG","TETAP"))</f>
        <v>BERKURANG</v>
      </c>
    </row>
    <row r="83" spans="2:13" x14ac:dyDescent="0.25">
      <c r="B83" s="28"/>
      <c r="C83" s="98" t="s">
        <v>520</v>
      </c>
      <c r="D83" s="100">
        <v>5</v>
      </c>
      <c r="E83" s="100" t="s">
        <v>53</v>
      </c>
      <c r="F83" s="100" t="s">
        <v>535</v>
      </c>
      <c r="G83" s="101">
        <v>862500</v>
      </c>
      <c r="H83" s="91">
        <f t="shared" ref="H83:H88" si="2">G83*D83*12</f>
        <v>51750000</v>
      </c>
      <c r="I83" s="68"/>
      <c r="J83" s="68"/>
      <c r="K83" s="68"/>
      <c r="L83" s="68"/>
      <c r="M83" s="69"/>
    </row>
    <row r="84" spans="2:13" x14ac:dyDescent="0.25">
      <c r="B84" s="2"/>
      <c r="C84" s="12" t="s">
        <v>67</v>
      </c>
      <c r="D84" s="15">
        <v>3</v>
      </c>
      <c r="E84" s="15" t="s">
        <v>53</v>
      </c>
      <c r="F84" s="15" t="s">
        <v>535</v>
      </c>
      <c r="G84" s="35">
        <v>3975000</v>
      </c>
      <c r="H84" s="32">
        <f t="shared" si="2"/>
        <v>143100000</v>
      </c>
      <c r="J84" s="341"/>
      <c r="M84" s="61"/>
    </row>
    <row r="85" spans="2:13" x14ac:dyDescent="0.25">
      <c r="B85" s="2"/>
      <c r="C85" s="12" t="s">
        <v>522</v>
      </c>
      <c r="D85" s="15">
        <v>5</v>
      </c>
      <c r="E85" s="15" t="s">
        <v>53</v>
      </c>
      <c r="F85" s="15" t="s">
        <v>535</v>
      </c>
      <c r="G85" s="35">
        <v>862500</v>
      </c>
      <c r="H85" s="32">
        <f t="shared" si="2"/>
        <v>51750000</v>
      </c>
      <c r="M85" s="61"/>
    </row>
    <row r="86" spans="2:13" x14ac:dyDescent="0.25">
      <c r="B86" s="2"/>
      <c r="C86" s="12" t="s">
        <v>68</v>
      </c>
      <c r="D86" s="15">
        <v>5</v>
      </c>
      <c r="E86" s="15" t="s">
        <v>53</v>
      </c>
      <c r="F86" s="15" t="s">
        <v>535</v>
      </c>
      <c r="G86" s="35">
        <v>862500</v>
      </c>
      <c r="H86" s="32">
        <f t="shared" si="2"/>
        <v>51750000</v>
      </c>
      <c r="M86" s="61"/>
    </row>
    <row r="87" spans="2:13" x14ac:dyDescent="0.25">
      <c r="B87" s="2"/>
      <c r="C87" s="12" t="s">
        <v>69</v>
      </c>
      <c r="D87" s="15">
        <v>2</v>
      </c>
      <c r="E87" s="15" t="s">
        <v>53</v>
      </c>
      <c r="F87" s="15" t="s">
        <v>535</v>
      </c>
      <c r="G87" s="35">
        <v>862500</v>
      </c>
      <c r="H87" s="32">
        <f t="shared" si="2"/>
        <v>20700000</v>
      </c>
      <c r="M87" s="61"/>
    </row>
    <row r="88" spans="2:13" x14ac:dyDescent="0.25">
      <c r="B88" s="16"/>
      <c r="C88" s="17" t="s">
        <v>521</v>
      </c>
      <c r="D88" s="18">
        <v>5</v>
      </c>
      <c r="E88" s="18" t="s">
        <v>53</v>
      </c>
      <c r="F88" s="15" t="s">
        <v>535</v>
      </c>
      <c r="G88" s="403">
        <v>862500</v>
      </c>
      <c r="H88" s="39">
        <f t="shared" si="2"/>
        <v>51750000</v>
      </c>
      <c r="M88" s="61"/>
    </row>
    <row r="89" spans="2:13" x14ac:dyDescent="0.25">
      <c r="B89" s="5"/>
      <c r="C89" s="6" t="s">
        <v>20</v>
      </c>
      <c r="D89" s="1240"/>
      <c r="E89" s="1240"/>
      <c r="F89" s="1240"/>
      <c r="G89" s="1240"/>
      <c r="H89" s="37">
        <f>SUM(H83:H88)</f>
        <v>370800000</v>
      </c>
      <c r="I89" s="63"/>
      <c r="J89" s="63"/>
      <c r="K89" s="63"/>
      <c r="L89" s="63"/>
      <c r="M89" s="64"/>
    </row>
    <row r="90" spans="2:13" ht="6" customHeight="1" x14ac:dyDescent="0.25"/>
    <row r="91" spans="2:13" x14ac:dyDescent="0.25">
      <c r="B91" s="478"/>
      <c r="C91" s="1247" t="s">
        <v>70</v>
      </c>
      <c r="D91" s="1247"/>
      <c r="E91" s="1247"/>
      <c r="F91" s="1247"/>
      <c r="G91" s="1247"/>
      <c r="H91" s="1248"/>
      <c r="I91" s="119">
        <f>H93</f>
        <v>120000000</v>
      </c>
      <c r="J91" s="461">
        <f>'[1]STIMASI BIAYA SD JUNI 2022'!$O$87</f>
        <v>181200240</v>
      </c>
      <c r="K91" s="463">
        <v>331200240</v>
      </c>
      <c r="L91" s="463">
        <f>I91-K91</f>
        <v>-211200240</v>
      </c>
      <c r="M91" s="468" t="str">
        <f>IF(L91&gt;0,"BERTAMBAH",IF(L91&lt;0,"BERKURANG","TETAP"))</f>
        <v>BERKURANG</v>
      </c>
    </row>
    <row r="92" spans="2:13" x14ac:dyDescent="0.25">
      <c r="B92" s="1"/>
      <c r="C92" s="98" t="s">
        <v>71</v>
      </c>
      <c r="D92" s="106">
        <v>0.1</v>
      </c>
      <c r="E92" s="1249">
        <v>1200000000</v>
      </c>
      <c r="F92" s="1249"/>
      <c r="G92" s="91"/>
      <c r="H92" s="38">
        <f>E92*D92</f>
        <v>120000000</v>
      </c>
      <c r="I92" s="68"/>
      <c r="J92" s="68"/>
      <c r="K92" s="68"/>
      <c r="L92" s="68"/>
      <c r="M92" s="69"/>
    </row>
    <row r="93" spans="2:13" x14ac:dyDescent="0.25">
      <c r="B93" s="5"/>
      <c r="C93" s="6" t="s">
        <v>20</v>
      </c>
      <c r="D93" s="1240"/>
      <c r="E93" s="1240"/>
      <c r="F93" s="1240"/>
      <c r="G93" s="1240"/>
      <c r="H93" s="37">
        <f>H92</f>
        <v>120000000</v>
      </c>
      <c r="I93" s="63"/>
      <c r="J93" s="63"/>
      <c r="K93" s="63"/>
      <c r="L93" s="63"/>
      <c r="M93" s="64"/>
    </row>
    <row r="94" spans="2:13" ht="6" customHeight="1" x14ac:dyDescent="0.25"/>
    <row r="95" spans="2:13" x14ac:dyDescent="0.25">
      <c r="B95" s="478" t="s">
        <v>72</v>
      </c>
      <c r="C95" s="1247" t="s">
        <v>73</v>
      </c>
      <c r="D95" s="1247"/>
      <c r="E95" s="1247"/>
      <c r="F95" s="1247"/>
      <c r="G95" s="1247"/>
      <c r="H95" s="1248"/>
      <c r="I95" s="119">
        <f>H99</f>
        <v>153120000</v>
      </c>
      <c r="J95" s="473">
        <v>36500000</v>
      </c>
      <c r="K95" s="463">
        <v>59562500</v>
      </c>
      <c r="L95" s="463">
        <f>I95-K95</f>
        <v>93557500</v>
      </c>
      <c r="M95" s="468" t="str">
        <f>IF(L95&gt;0,"BERTAMBAH",IF(L95&lt;0,"BERKURANG","TETAP"))</f>
        <v>BERTAMBAH</v>
      </c>
    </row>
    <row r="96" spans="2:13" x14ac:dyDescent="0.25">
      <c r="B96" s="1"/>
      <c r="C96" s="98" t="s">
        <v>74</v>
      </c>
      <c r="D96" s="99">
        <v>5</v>
      </c>
      <c r="E96" s="107">
        <v>22</v>
      </c>
      <c r="F96" s="107" t="s">
        <v>75</v>
      </c>
      <c r="G96" s="107">
        <v>14500</v>
      </c>
      <c r="H96" s="107">
        <f>D96*E96*G96*12</f>
        <v>19140000</v>
      </c>
      <c r="I96" s="68"/>
      <c r="J96" s="68"/>
      <c r="K96" s="68"/>
      <c r="L96" s="68"/>
      <c r="M96" s="69"/>
    </row>
    <row r="97" spans="2:13" x14ac:dyDescent="0.25">
      <c r="B97" s="7"/>
      <c r="C97" s="12" t="s">
        <v>76</v>
      </c>
      <c r="D97" s="13">
        <v>5</v>
      </c>
      <c r="E97" s="36">
        <v>22</v>
      </c>
      <c r="F97" s="36" t="s">
        <v>75</v>
      </c>
      <c r="G97" s="36">
        <v>14500</v>
      </c>
      <c r="H97" s="36">
        <f>D97*E97*G97*12</f>
        <v>19140000</v>
      </c>
      <c r="M97" s="61"/>
    </row>
    <row r="98" spans="2:13" x14ac:dyDescent="0.25">
      <c r="B98" s="7"/>
      <c r="C98" s="4" t="s">
        <v>77</v>
      </c>
      <c r="D98" s="13">
        <v>3</v>
      </c>
      <c r="E98" s="36">
        <v>22</v>
      </c>
      <c r="F98" s="36" t="s">
        <v>75</v>
      </c>
      <c r="G98" s="36">
        <v>14500</v>
      </c>
      <c r="H98" s="51">
        <f>D98*E98*G98*12*10</f>
        <v>114840000</v>
      </c>
      <c r="M98" s="61"/>
    </row>
    <row r="99" spans="2:13" x14ac:dyDescent="0.25">
      <c r="B99" s="5"/>
      <c r="C99" s="6" t="s">
        <v>20</v>
      </c>
      <c r="D99" s="1240"/>
      <c r="E99" s="1240"/>
      <c r="F99" s="1240"/>
      <c r="G99" s="1240"/>
      <c r="H99" s="50">
        <f>SUM(H96:H98)</f>
        <v>153120000</v>
      </c>
      <c r="I99" s="63"/>
      <c r="J99" s="63"/>
      <c r="K99" s="63"/>
      <c r="L99" s="63"/>
      <c r="M99" s="64"/>
    </row>
    <row r="100" spans="2:13" ht="6" customHeight="1" x14ac:dyDescent="0.25"/>
    <row r="101" spans="2:13" x14ac:dyDescent="0.25">
      <c r="B101" s="84" t="s">
        <v>78</v>
      </c>
      <c r="C101" s="1247" t="s">
        <v>79</v>
      </c>
      <c r="D101" s="1247"/>
      <c r="E101" s="1247"/>
      <c r="F101" s="1247"/>
      <c r="G101" s="1247"/>
      <c r="H101" s="1248"/>
      <c r="I101" s="1141">
        <f>H106</f>
        <v>41100000</v>
      </c>
      <c r="J101" s="461">
        <v>23760459</v>
      </c>
      <c r="K101" s="463">
        <v>36579959</v>
      </c>
      <c r="L101" s="463">
        <f>I101-K101</f>
        <v>4520041</v>
      </c>
      <c r="M101" s="468" t="str">
        <f>IF(L101&gt;0,"BERTAMBAH",IF(L101&lt;0,"BERKURANG","TETAP"))</f>
        <v>BERTAMBAH</v>
      </c>
    </row>
    <row r="102" spans="2:13" x14ac:dyDescent="0.25">
      <c r="B102" s="28"/>
      <c r="C102" s="12" t="s">
        <v>80</v>
      </c>
      <c r="D102" s="15">
        <v>3</v>
      </c>
      <c r="E102" s="52">
        <v>4</v>
      </c>
      <c r="F102" s="52" t="s">
        <v>81</v>
      </c>
      <c r="G102" s="864">
        <v>1000000</v>
      </c>
      <c r="H102" s="91">
        <f>D102*E102*G102</f>
        <v>12000000</v>
      </c>
      <c r="I102" s="68"/>
      <c r="J102" s="68"/>
      <c r="K102" s="68"/>
      <c r="L102" s="68"/>
      <c r="M102" s="69"/>
    </row>
    <row r="103" spans="2:13" x14ac:dyDescent="0.25">
      <c r="B103" s="353"/>
      <c r="C103" s="12"/>
      <c r="D103" s="15">
        <v>3</v>
      </c>
      <c r="E103" s="42">
        <v>1</v>
      </c>
      <c r="F103" s="864" t="s">
        <v>82</v>
      </c>
      <c r="G103" s="42">
        <v>1200000</v>
      </c>
      <c r="H103" s="65">
        <f>D103*E103*G103</f>
        <v>3600000</v>
      </c>
      <c r="M103" s="61"/>
    </row>
    <row r="104" spans="2:13" x14ac:dyDescent="0.25">
      <c r="B104" s="353"/>
      <c r="C104" s="12"/>
      <c r="D104" s="15">
        <v>3</v>
      </c>
      <c r="E104" s="12"/>
      <c r="F104" s="12" t="s">
        <v>83</v>
      </c>
      <c r="G104" s="53">
        <v>3500000</v>
      </c>
      <c r="H104" s="65">
        <f>D104*G104</f>
        <v>10500000</v>
      </c>
      <c r="M104" s="61"/>
    </row>
    <row r="105" spans="2:13" ht="15" customHeight="1" x14ac:dyDescent="0.25">
      <c r="B105" s="16"/>
      <c r="C105" s="12" t="s">
        <v>536</v>
      </c>
      <c r="D105" s="15">
        <v>10</v>
      </c>
      <c r="E105" s="12"/>
      <c r="F105" s="52"/>
      <c r="G105" s="53">
        <v>1500000</v>
      </c>
      <c r="H105" s="54">
        <f>D105*G105</f>
        <v>15000000</v>
      </c>
      <c r="M105" s="61"/>
    </row>
    <row r="106" spans="2:13" x14ac:dyDescent="0.25">
      <c r="B106" s="5"/>
      <c r="C106" s="6" t="s">
        <v>20</v>
      </c>
      <c r="D106" s="1250"/>
      <c r="E106" s="1240"/>
      <c r="F106" s="1240"/>
      <c r="G106" s="1240"/>
      <c r="H106" s="37">
        <f>SUM(H102:H105)</f>
        <v>41100000</v>
      </c>
      <c r="I106" s="63"/>
      <c r="J106" s="63"/>
      <c r="K106" s="63"/>
      <c r="L106" s="63"/>
      <c r="M106" s="64"/>
    </row>
    <row r="107" spans="2:13" ht="6" customHeight="1" x14ac:dyDescent="0.25"/>
    <row r="108" spans="2:13" x14ac:dyDescent="0.25">
      <c r="B108" s="478" t="s">
        <v>84</v>
      </c>
      <c r="C108" s="1236" t="s">
        <v>85</v>
      </c>
      <c r="D108" s="1237"/>
      <c r="E108" s="1237"/>
      <c r="F108" s="1237"/>
      <c r="G108" s="1237"/>
      <c r="H108" s="1238"/>
      <c r="I108" s="119">
        <f>H111</f>
        <v>19000000</v>
      </c>
      <c r="J108" s="473">
        <f>'[1]STIMASI BIAYA SD JUNI 2022'!$O$90</f>
        <v>24081950</v>
      </c>
      <c r="K108" s="463">
        <v>29081950</v>
      </c>
      <c r="L108" s="463">
        <f>I108-K108</f>
        <v>-10081950</v>
      </c>
      <c r="M108" s="328" t="str">
        <f>IF(L108&gt;0,"BERTAMBAH",IF(L108&lt;0,"BERKURANG","TETAP"))</f>
        <v>BERKURANG</v>
      </c>
    </row>
    <row r="109" spans="2:13" x14ac:dyDescent="0.25">
      <c r="B109" s="7"/>
      <c r="C109" s="12" t="s">
        <v>796</v>
      </c>
      <c r="D109" s="15">
        <v>5</v>
      </c>
      <c r="E109" s="52" t="s">
        <v>86</v>
      </c>
      <c r="F109" s="55"/>
      <c r="G109" s="865"/>
      <c r="H109" s="36">
        <v>14000000</v>
      </c>
      <c r="M109" s="61"/>
    </row>
    <row r="110" spans="2:13" x14ac:dyDescent="0.25">
      <c r="B110" s="7"/>
      <c r="C110" s="12" t="s">
        <v>87</v>
      </c>
      <c r="D110" s="15">
        <v>10</v>
      </c>
      <c r="E110" s="52" t="s">
        <v>86</v>
      </c>
      <c r="F110" s="15"/>
      <c r="G110" s="865"/>
      <c r="H110" s="51">
        <v>5000000</v>
      </c>
      <c r="M110" s="61"/>
    </row>
    <row r="111" spans="2:13" x14ac:dyDescent="0.25">
      <c r="B111" s="5"/>
      <c r="C111" s="6" t="s">
        <v>20</v>
      </c>
      <c r="D111" s="1240"/>
      <c r="E111" s="1240"/>
      <c r="F111" s="1240"/>
      <c r="G111" s="1240"/>
      <c r="H111" s="50">
        <f>SUM(H109:H110)</f>
        <v>19000000</v>
      </c>
      <c r="I111" s="63"/>
      <c r="J111" s="63"/>
      <c r="K111" s="63"/>
      <c r="L111" s="63"/>
      <c r="M111" s="64"/>
    </row>
    <row r="112" spans="2:13" ht="6" customHeight="1" x14ac:dyDescent="0.25">
      <c r="J112" s="68"/>
      <c r="K112" s="68"/>
      <c r="L112" s="68"/>
      <c r="M112" s="68"/>
    </row>
    <row r="113" spans="2:15" x14ac:dyDescent="0.25">
      <c r="B113" s="84" t="s">
        <v>88</v>
      </c>
      <c r="C113" s="1236" t="s">
        <v>89</v>
      </c>
      <c r="D113" s="1237"/>
      <c r="E113" s="1237"/>
      <c r="F113" s="1237"/>
      <c r="G113" s="1237"/>
      <c r="H113" s="1238"/>
      <c r="I113" s="119">
        <f>H115</f>
        <v>90000000</v>
      </c>
      <c r="J113" s="466">
        <v>1770000</v>
      </c>
      <c r="K113" s="463">
        <v>36000000</v>
      </c>
      <c r="L113" s="463">
        <f>I113-K113</f>
        <v>54000000</v>
      </c>
      <c r="M113" s="468" t="str">
        <f>IF(L113&gt;0,"BERTAMBAH",IF(L113&lt;0,"BERKURANG","TETAP"))</f>
        <v>BERTAMBAH</v>
      </c>
    </row>
    <row r="114" spans="2:15" x14ac:dyDescent="0.25">
      <c r="B114" s="28"/>
      <c r="C114" s="108" t="s">
        <v>523</v>
      </c>
      <c r="D114" s="109">
        <v>0.3</v>
      </c>
      <c r="E114" s="1239">
        <v>25000000</v>
      </c>
      <c r="F114" s="1239"/>
      <c r="G114" s="91"/>
      <c r="H114" s="38">
        <f>D114*E114*12</f>
        <v>90000000</v>
      </c>
      <c r="I114" s="68"/>
      <c r="J114" s="68"/>
      <c r="K114" s="68"/>
      <c r="L114" s="68"/>
      <c r="M114" s="69"/>
    </row>
    <row r="115" spans="2:15" x14ac:dyDescent="0.25">
      <c r="B115" s="5"/>
      <c r="C115" s="6" t="s">
        <v>20</v>
      </c>
      <c r="D115" s="1240"/>
      <c r="E115" s="1240"/>
      <c r="F115" s="1240"/>
      <c r="G115" s="1240"/>
      <c r="H115" s="37">
        <f>SUM(H114:H114)</f>
        <v>90000000</v>
      </c>
      <c r="I115" s="63"/>
      <c r="J115" s="63"/>
      <c r="K115" s="63"/>
      <c r="L115" s="63"/>
      <c r="M115" s="64"/>
    </row>
    <row r="116" spans="2:15" ht="6" customHeight="1" x14ac:dyDescent="0.25"/>
    <row r="117" spans="2:15" x14ac:dyDescent="0.25">
      <c r="B117" s="477"/>
      <c r="C117" s="1241" t="s">
        <v>90</v>
      </c>
      <c r="D117" s="1242"/>
      <c r="E117" s="1242"/>
      <c r="F117" s="1242"/>
      <c r="G117" s="1242"/>
      <c r="H117" s="1243"/>
      <c r="I117" s="119">
        <f>H120</f>
        <v>228799620</v>
      </c>
      <c r="J117" s="474">
        <f>'[1]STIMASI BIAYA SD JUNI 2022'!$O$92</f>
        <v>29283450</v>
      </c>
      <c r="K117" s="467">
        <v>46197550</v>
      </c>
      <c r="L117" s="463">
        <f>I117-K117</f>
        <v>182602070</v>
      </c>
      <c r="M117" s="468" t="str">
        <f>IF(L117&gt;0,"BERTAMBAH",IF(L117&lt;0,"BERKURANG","TETAP"))</f>
        <v>BERTAMBAH</v>
      </c>
    </row>
    <row r="118" spans="2:15" x14ac:dyDescent="0.25">
      <c r="B118" s="19"/>
      <c r="C118" s="110" t="s">
        <v>91</v>
      </c>
      <c r="D118" s="111">
        <v>0</v>
      </c>
      <c r="E118" s="112"/>
      <c r="F118" s="93">
        <v>0</v>
      </c>
      <c r="G118" s="93"/>
      <c r="H118" s="113">
        <f>D118*F118*6</f>
        <v>0</v>
      </c>
      <c r="I118" s="68"/>
      <c r="J118" s="68"/>
      <c r="K118" s="68"/>
      <c r="L118" s="68"/>
      <c r="M118" s="69"/>
    </row>
    <row r="119" spans="2:15" x14ac:dyDescent="0.25">
      <c r="B119" s="20"/>
      <c r="C119" s="23" t="s">
        <v>92</v>
      </c>
      <c r="D119" s="21">
        <v>0.35</v>
      </c>
      <c r="E119" s="24"/>
      <c r="F119" s="22">
        <v>653713200</v>
      </c>
      <c r="G119" s="22"/>
      <c r="H119" s="25">
        <f>D119*F119</f>
        <v>228799620</v>
      </c>
      <c r="M119" s="61"/>
      <c r="O119" s="57"/>
    </row>
    <row r="120" spans="2:15" x14ac:dyDescent="0.25">
      <c r="B120" s="26"/>
      <c r="C120" s="27" t="s">
        <v>20</v>
      </c>
      <c r="D120" s="1240"/>
      <c r="E120" s="1240"/>
      <c r="F120" s="1240"/>
      <c r="G120" s="1240"/>
      <c r="H120" s="27">
        <f>SUM(H118:H119)</f>
        <v>228799620</v>
      </c>
      <c r="I120" s="63"/>
      <c r="J120" s="63"/>
      <c r="K120" s="63"/>
      <c r="L120" s="63"/>
      <c r="M120" s="64"/>
    </row>
    <row r="121" spans="2:15" ht="6" customHeight="1" x14ac:dyDescent="0.25"/>
    <row r="122" spans="2:15" x14ac:dyDescent="0.25">
      <c r="B122" s="476"/>
      <c r="C122" s="1236" t="s">
        <v>743</v>
      </c>
      <c r="D122" s="1237"/>
      <c r="E122" s="1237"/>
      <c r="F122" s="1237"/>
      <c r="G122" s="1237"/>
      <c r="H122" s="1238"/>
      <c r="I122" s="114">
        <f>H124</f>
        <v>390000000</v>
      </c>
      <c r="J122" s="465">
        <v>0</v>
      </c>
      <c r="K122" s="475"/>
      <c r="L122" s="463">
        <f>I122-K122</f>
        <v>390000000</v>
      </c>
      <c r="M122" s="468" t="str">
        <f>IF(L122&gt;0,"BERTAMBAH",IF(L122&lt;0,"BERKURANG","TETAP"))</f>
        <v>BERTAMBAH</v>
      </c>
    </row>
    <row r="123" spans="2:15" x14ac:dyDescent="0.25">
      <c r="B123" s="28"/>
      <c r="C123" s="98"/>
      <c r="D123" s="98">
        <v>5</v>
      </c>
      <c r="E123" s="101"/>
      <c r="F123" s="115" t="s">
        <v>738</v>
      </c>
      <c r="G123" s="116">
        <v>6500000</v>
      </c>
      <c r="H123" s="38">
        <f>D123*12*G123</f>
        <v>390000000</v>
      </c>
      <c r="I123" s="68"/>
      <c r="J123" s="68"/>
      <c r="K123" s="68"/>
      <c r="L123" s="68"/>
      <c r="M123" s="69"/>
    </row>
    <row r="124" spans="2:15" x14ac:dyDescent="0.25">
      <c r="B124" s="5"/>
      <c r="C124" s="6" t="s">
        <v>20</v>
      </c>
      <c r="D124" s="1240"/>
      <c r="E124" s="1240"/>
      <c r="F124" s="1240"/>
      <c r="G124" s="1240"/>
      <c r="H124" s="37">
        <f>H123</f>
        <v>390000000</v>
      </c>
      <c r="I124" s="63"/>
      <c r="J124" s="63"/>
      <c r="K124" s="63"/>
      <c r="L124" s="63"/>
      <c r="M124" s="64"/>
    </row>
    <row r="125" spans="2:15" ht="6" customHeight="1" x14ac:dyDescent="0.25"/>
    <row r="126" spans="2:15" x14ac:dyDescent="0.25">
      <c r="B126" s="476"/>
      <c r="C126" s="1236" t="s">
        <v>93</v>
      </c>
      <c r="D126" s="1237"/>
      <c r="E126" s="1237"/>
      <c r="F126" s="1237"/>
      <c r="G126" s="1237"/>
      <c r="H126" s="1238"/>
      <c r="I126" s="119">
        <f>H128</f>
        <v>50000000</v>
      </c>
      <c r="J126" s="461">
        <f>'[1]STIMASI BIAYA SD JUNI 2022'!$O$94</f>
        <v>135000</v>
      </c>
      <c r="K126" s="463">
        <v>20135000</v>
      </c>
      <c r="L126" s="463">
        <f>I126-K126</f>
        <v>29865000</v>
      </c>
      <c r="M126" s="468" t="str">
        <f>IF(L126&gt;0,"BERTAMBAH",IF(L126&lt;0,"BERKURANG","TETAP"))</f>
        <v>BERTAMBAH</v>
      </c>
    </row>
    <row r="127" spans="2:15" x14ac:dyDescent="0.25">
      <c r="B127" s="28"/>
      <c r="C127" s="98"/>
      <c r="D127" s="98"/>
      <c r="E127" s="101"/>
      <c r="F127" s="115"/>
      <c r="G127" s="91">
        <v>50000000</v>
      </c>
      <c r="H127" s="38">
        <f>G127</f>
        <v>50000000</v>
      </c>
      <c r="I127" s="68"/>
      <c r="J127" s="68"/>
      <c r="K127" s="68"/>
      <c r="L127" s="68"/>
      <c r="M127" s="69"/>
    </row>
    <row r="128" spans="2:15" x14ac:dyDescent="0.25">
      <c r="B128" s="5"/>
      <c r="C128" s="6" t="s">
        <v>20</v>
      </c>
      <c r="D128" s="1240"/>
      <c r="E128" s="1240"/>
      <c r="F128" s="1240"/>
      <c r="G128" s="1240"/>
      <c r="H128" s="37">
        <f>H127</f>
        <v>50000000</v>
      </c>
      <c r="I128" s="63"/>
      <c r="J128" s="63"/>
      <c r="K128" s="63"/>
      <c r="L128" s="63"/>
      <c r="M128" s="64"/>
    </row>
    <row r="129" spans="2:13" ht="6" customHeight="1" x14ac:dyDescent="0.25"/>
    <row r="130" spans="2:13" x14ac:dyDescent="0.25">
      <c r="B130" s="476"/>
      <c r="C130" s="1244" t="s">
        <v>735</v>
      </c>
      <c r="D130" s="1245"/>
      <c r="E130" s="1245"/>
      <c r="F130" s="1245"/>
      <c r="G130" s="1245"/>
      <c r="H130" s="1246"/>
      <c r="I130" s="119">
        <f>H134</f>
        <v>600000000</v>
      </c>
      <c r="J130" s="466">
        <v>0</v>
      </c>
      <c r="K130" s="462">
        <v>0</v>
      </c>
      <c r="L130" s="463">
        <f>I130-K130</f>
        <v>600000000</v>
      </c>
      <c r="M130" s="468" t="str">
        <f>IF(L130&gt;0,"BERTAMBAH",IF(L130&lt;0,"BERKURANG","TETAP"))</f>
        <v>BERTAMBAH</v>
      </c>
    </row>
    <row r="131" spans="2:13" x14ac:dyDescent="0.25">
      <c r="B131" s="28"/>
      <c r="C131" s="866" t="s">
        <v>797</v>
      </c>
      <c r="D131" s="867"/>
      <c r="E131" s="867"/>
      <c r="F131" s="867"/>
      <c r="G131" s="868">
        <v>300000000</v>
      </c>
      <c r="H131" s="1174">
        <f>G131</f>
        <v>300000000</v>
      </c>
      <c r="I131" s="68"/>
      <c r="J131" s="68"/>
      <c r="K131" s="68"/>
      <c r="L131" s="68"/>
      <c r="M131" s="69"/>
    </row>
    <row r="132" spans="2:13" x14ac:dyDescent="0.25">
      <c r="B132" s="387"/>
      <c r="C132" s="866" t="s">
        <v>798</v>
      </c>
      <c r="D132" s="867"/>
      <c r="E132" s="867"/>
      <c r="F132" s="867"/>
      <c r="G132" s="868">
        <v>100000000</v>
      </c>
      <c r="H132" s="1174">
        <f>G132</f>
        <v>100000000</v>
      </c>
      <c r="M132" s="61"/>
    </row>
    <row r="133" spans="2:13" x14ac:dyDescent="0.25">
      <c r="B133" s="387"/>
      <c r="C133" s="866" t="s">
        <v>539</v>
      </c>
      <c r="D133" s="867"/>
      <c r="E133" s="867"/>
      <c r="F133" s="867"/>
      <c r="G133" s="868">
        <v>200000000</v>
      </c>
      <c r="H133" s="869">
        <f>G133</f>
        <v>200000000</v>
      </c>
      <c r="M133" s="61"/>
    </row>
    <row r="134" spans="2:13" x14ac:dyDescent="0.25">
      <c r="B134" s="5"/>
      <c r="C134" s="6" t="s">
        <v>20</v>
      </c>
      <c r="D134" s="1240"/>
      <c r="E134" s="1240"/>
      <c r="F134" s="1240"/>
      <c r="G134" s="1240"/>
      <c r="H134" s="37">
        <f>SUM(H131:H133)</f>
        <v>600000000</v>
      </c>
      <c r="I134" s="63"/>
      <c r="J134" s="63"/>
      <c r="K134" s="63"/>
      <c r="L134" s="63"/>
      <c r="M134" s="64"/>
    </row>
    <row r="135" spans="2:13" ht="6" customHeight="1" thickBot="1" x14ac:dyDescent="0.3"/>
    <row r="136" spans="2:13" ht="15.75" thickBot="1" x14ac:dyDescent="0.3">
      <c r="B136" s="1234" t="s">
        <v>117</v>
      </c>
      <c r="C136" s="1235"/>
      <c r="D136" s="1235"/>
      <c r="E136" s="1235"/>
      <c r="F136" s="1235"/>
      <c r="G136" s="1235"/>
      <c r="H136" s="1235"/>
      <c r="I136" s="560">
        <f>I11+I27+I31+I36+I44+I58+I63+I72+I78+I82+I91+I95+I101+I108+I113+I117+I122+I126+I130</f>
        <v>4888332620</v>
      </c>
      <c r="J136" s="561">
        <f>SUM(J11:J130)</f>
        <v>1268941650</v>
      </c>
      <c r="K136" s="561">
        <f>SUM(K11:K130)</f>
        <v>3103831349</v>
      </c>
      <c r="L136" s="561">
        <f>I136-K136</f>
        <v>1784501271</v>
      </c>
      <c r="M136" s="562" t="str">
        <f>IF(L136&gt;0,"BERTAMBAH",IF(L136&lt;0,"BERKURANG","TETAP"))</f>
        <v>BERTAMBAH</v>
      </c>
    </row>
    <row r="138" spans="2:13" ht="16.5" x14ac:dyDescent="0.3">
      <c r="K138" s="806" t="s">
        <v>542</v>
      </c>
    </row>
    <row r="139" spans="2:13" ht="16.5" x14ac:dyDescent="0.3">
      <c r="D139" s="810" t="s">
        <v>517</v>
      </c>
      <c r="K139" s="813" t="s">
        <v>515</v>
      </c>
    </row>
    <row r="140" spans="2:13" ht="16.5" x14ac:dyDescent="0.3">
      <c r="D140" s="456" t="s">
        <v>94</v>
      </c>
      <c r="K140" s="806" t="s">
        <v>94</v>
      </c>
    </row>
    <row r="141" spans="2:13" x14ac:dyDescent="0.25">
      <c r="I141" s="456"/>
      <c r="J141" s="456"/>
      <c r="K141" s="456"/>
    </row>
    <row r="142" spans="2:13" x14ac:dyDescent="0.25">
      <c r="I142" s="456"/>
      <c r="J142" s="456"/>
      <c r="K142" s="456"/>
    </row>
    <row r="143" spans="2:13" x14ac:dyDescent="0.25">
      <c r="I143" s="456"/>
      <c r="J143" s="456"/>
      <c r="K143" s="456"/>
    </row>
    <row r="144" spans="2:13" ht="16.5" x14ac:dyDescent="0.3">
      <c r="D144" s="811" t="s">
        <v>518</v>
      </c>
      <c r="K144" s="812" t="s">
        <v>516</v>
      </c>
    </row>
    <row r="145" spans="4:11" ht="16.5" x14ac:dyDescent="0.3">
      <c r="D145" s="456" t="s">
        <v>519</v>
      </c>
      <c r="K145" s="806" t="s">
        <v>248</v>
      </c>
    </row>
  </sheetData>
  <mergeCells count="46">
    <mergeCell ref="B2:C5"/>
    <mergeCell ref="D2:M2"/>
    <mergeCell ref="D3:M3"/>
    <mergeCell ref="D4:M4"/>
    <mergeCell ref="D5:M5"/>
    <mergeCell ref="D6:M6"/>
    <mergeCell ref="B7:M7"/>
    <mergeCell ref="D8:F8"/>
    <mergeCell ref="C11:H11"/>
    <mergeCell ref="C27:H27"/>
    <mergeCell ref="C31:H31"/>
    <mergeCell ref="D80:G80"/>
    <mergeCell ref="D32:E32"/>
    <mergeCell ref="C36:H36"/>
    <mergeCell ref="D42:G42"/>
    <mergeCell ref="C44:H44"/>
    <mergeCell ref="C58:H58"/>
    <mergeCell ref="D61:G61"/>
    <mergeCell ref="C63:H63"/>
    <mergeCell ref="D70:G70"/>
    <mergeCell ref="C72:H72"/>
    <mergeCell ref="D76:G76"/>
    <mergeCell ref="C78:H78"/>
    <mergeCell ref="D111:G111"/>
    <mergeCell ref="C82:H82"/>
    <mergeCell ref="D89:G89"/>
    <mergeCell ref="C91:H91"/>
    <mergeCell ref="E92:F92"/>
    <mergeCell ref="D93:G93"/>
    <mergeCell ref="C95:H95"/>
    <mergeCell ref="D99:G99"/>
    <mergeCell ref="C101:H101"/>
    <mergeCell ref="D106:G106"/>
    <mergeCell ref="C108:H108"/>
    <mergeCell ref="B136:H136"/>
    <mergeCell ref="C113:H113"/>
    <mergeCell ref="E114:F114"/>
    <mergeCell ref="D115:G115"/>
    <mergeCell ref="C117:H117"/>
    <mergeCell ref="D120:G120"/>
    <mergeCell ref="C122:H122"/>
    <mergeCell ref="D124:G124"/>
    <mergeCell ref="C126:H126"/>
    <mergeCell ref="D128:G128"/>
    <mergeCell ref="C130:H130"/>
    <mergeCell ref="D134:G134"/>
  </mergeCells>
  <pageMargins left="0.39370078740157483" right="0" top="0" bottom="0" header="0.31496062992125984" footer="0.31496062992125984"/>
  <pageSetup paperSize="9" scale="7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S394"/>
  <sheetViews>
    <sheetView tabSelected="1" topLeftCell="B1" zoomScaleNormal="100" workbookViewId="0">
      <pane xSplit="4" ySplit="6" topLeftCell="H61" activePane="bottomRight" state="frozen"/>
      <selection activeCell="B1" sqref="B1"/>
      <selection pane="topRight" activeCell="F1" sqref="F1"/>
      <selection pane="bottomLeft" activeCell="B7" sqref="B7"/>
      <selection pane="bottomRight" activeCell="H65" sqref="H65"/>
    </sheetView>
  </sheetViews>
  <sheetFormatPr defaultColWidth="9.28515625" defaultRowHeight="12" x14ac:dyDescent="0.25"/>
  <cols>
    <col min="1" max="1" width="3" style="136" customWidth="1"/>
    <col min="2" max="2" width="4" style="135" customWidth="1"/>
    <col min="3" max="3" width="7.85546875" style="135" customWidth="1"/>
    <col min="4" max="4" width="27.28515625" style="136" bestFit="1" customWidth="1"/>
    <col min="5" max="5" width="30" style="136" customWidth="1"/>
    <col min="6" max="6" width="22.28515625" style="136" customWidth="1"/>
    <col min="7" max="7" width="12.5703125" style="137" customWidth="1"/>
    <col min="8" max="8" width="12.7109375" style="137" bestFit="1" customWidth="1"/>
    <col min="9" max="9" width="12.140625" style="137" customWidth="1"/>
    <col min="10" max="10" width="12.28515625" style="136" customWidth="1"/>
    <col min="11" max="11" width="11.85546875" style="137" bestFit="1" customWidth="1"/>
    <col min="12" max="12" width="12" style="137" bestFit="1" customWidth="1"/>
    <col min="13" max="13" width="13" style="136" customWidth="1"/>
    <col min="14" max="14" width="11.28515625" style="136" customWidth="1"/>
    <col min="15" max="15" width="14" style="137" customWidth="1"/>
    <col min="16" max="17" width="17" style="136" customWidth="1"/>
    <col min="18" max="18" width="16.5703125" style="136" customWidth="1"/>
    <col min="19" max="19" width="14.28515625" style="136" customWidth="1"/>
    <col min="20" max="16384" width="9.28515625" style="136"/>
  </cols>
  <sheetData>
    <row r="2" spans="2:19" x14ac:dyDescent="0.25">
      <c r="B2" s="134" t="s">
        <v>122</v>
      </c>
      <c r="G2" s="137">
        <f>I8*140*12</f>
        <v>290615640</v>
      </c>
      <c r="L2" s="138"/>
    </row>
    <row r="3" spans="2:19" ht="15" x14ac:dyDescent="0.25">
      <c r="B3" s="139" t="s">
        <v>123</v>
      </c>
      <c r="G3" s="1129"/>
      <c r="J3" s="137"/>
      <c r="K3" s="1129"/>
      <c r="L3" s="1130"/>
    </row>
    <row r="4" spans="2:19" x14ac:dyDescent="0.25">
      <c r="L4" s="138"/>
    </row>
    <row r="5" spans="2:19" ht="36" x14ac:dyDescent="0.25">
      <c r="B5" s="494" t="s">
        <v>124</v>
      </c>
      <c r="C5" s="494" t="s">
        <v>125</v>
      </c>
      <c r="D5" s="494" t="s">
        <v>128</v>
      </c>
      <c r="E5" s="494" t="s">
        <v>127</v>
      </c>
      <c r="F5" s="494" t="s">
        <v>126</v>
      </c>
      <c r="G5" s="495" t="s">
        <v>129</v>
      </c>
      <c r="H5" s="495" t="s">
        <v>130</v>
      </c>
      <c r="I5" s="495" t="s">
        <v>321</v>
      </c>
      <c r="J5" s="494" t="s">
        <v>132</v>
      </c>
      <c r="K5" s="495" t="s">
        <v>133</v>
      </c>
      <c r="L5" s="495" t="s">
        <v>134</v>
      </c>
      <c r="M5" s="494" t="s">
        <v>135</v>
      </c>
      <c r="N5" s="494" t="s">
        <v>136</v>
      </c>
      <c r="O5" s="494" t="s">
        <v>550</v>
      </c>
      <c r="P5" s="495" t="s">
        <v>137</v>
      </c>
      <c r="Q5" s="495" t="s">
        <v>551</v>
      </c>
    </row>
    <row r="6" spans="2:19" ht="3.95" customHeight="1" x14ac:dyDescent="0.25">
      <c r="B6" s="496"/>
      <c r="C6" s="497"/>
      <c r="D6" s="498"/>
      <c r="E6" s="499"/>
      <c r="F6" s="498"/>
      <c r="G6" s="500"/>
      <c r="H6" s="500"/>
      <c r="I6" s="500"/>
      <c r="J6" s="501"/>
      <c r="K6" s="500"/>
      <c r="L6" s="500"/>
      <c r="M6" s="501"/>
      <c r="N6" s="501"/>
      <c r="O6" s="501"/>
      <c r="P6" s="502"/>
      <c r="Q6" s="503"/>
    </row>
    <row r="7" spans="2:19" ht="15" x14ac:dyDescent="0.25">
      <c r="B7" s="145"/>
      <c r="C7" s="146"/>
      <c r="D7" s="147" t="s">
        <v>139</v>
      </c>
      <c r="E7" s="148"/>
      <c r="F7" s="149"/>
      <c r="G7" s="150"/>
      <c r="H7" s="150"/>
      <c r="I7" s="150"/>
      <c r="J7" s="151"/>
      <c r="K7" s="150"/>
      <c r="L7" s="150"/>
      <c r="M7" s="151"/>
      <c r="N7" s="151"/>
      <c r="O7" s="151"/>
      <c r="P7" s="152"/>
    </row>
    <row r="8" spans="2:19" ht="21.75" customHeight="1" x14ac:dyDescent="0.25">
      <c r="B8" s="142">
        <v>1</v>
      </c>
      <c r="C8" s="153" t="s">
        <v>140</v>
      </c>
      <c r="D8" s="154" t="s">
        <v>783</v>
      </c>
      <c r="E8" s="155" t="s">
        <v>141</v>
      </c>
      <c r="F8" s="154" t="s">
        <v>784</v>
      </c>
      <c r="G8" s="156">
        <v>2899500</v>
      </c>
      <c r="H8" s="157">
        <v>1300000</v>
      </c>
      <c r="I8" s="158">
        <f t="shared" ref="I8:I15" si="0">3459710*5%</f>
        <v>172985.5</v>
      </c>
      <c r="J8" s="158">
        <f t="shared" ref="J8:J15" si="1">3459710*9.24%</f>
        <v>319677.20399999997</v>
      </c>
      <c r="K8" s="157">
        <f t="shared" ref="K8:K15" si="2">(G8*5%)</f>
        <v>144975</v>
      </c>
      <c r="L8" s="157">
        <f t="shared" ref="L8:L15" si="3">(G8*2%*3)</f>
        <v>173970</v>
      </c>
      <c r="M8" s="159">
        <f>SUM(6*10000*22)</f>
        <v>1320000</v>
      </c>
      <c r="N8" s="159">
        <f>25000*22</f>
        <v>550000</v>
      </c>
      <c r="O8" s="894">
        <v>455000</v>
      </c>
      <c r="P8" s="160">
        <f t="shared" ref="P8:P15" si="4">SUM(G8:O8)</f>
        <v>7336107.7039999999</v>
      </c>
      <c r="Q8" s="895">
        <f t="shared" ref="Q8:Q15" si="5">P8*12</f>
        <v>88033292.447999999</v>
      </c>
      <c r="S8" s="162"/>
    </row>
    <row r="9" spans="2:19" ht="21.75" customHeight="1" x14ac:dyDescent="0.25">
      <c r="B9" s="142">
        <v>2</v>
      </c>
      <c r="C9" s="153"/>
      <c r="D9" s="154" t="s">
        <v>785</v>
      </c>
      <c r="E9" s="154" t="s">
        <v>141</v>
      </c>
      <c r="F9" s="154" t="s">
        <v>786</v>
      </c>
      <c r="G9" s="156">
        <v>2899500</v>
      </c>
      <c r="H9" s="157">
        <v>1300000</v>
      </c>
      <c r="I9" s="158">
        <f t="shared" si="0"/>
        <v>172985.5</v>
      </c>
      <c r="J9" s="158">
        <f t="shared" si="1"/>
        <v>319677.20399999997</v>
      </c>
      <c r="K9" s="157">
        <f t="shared" si="2"/>
        <v>144975</v>
      </c>
      <c r="L9" s="157">
        <f t="shared" si="3"/>
        <v>173970</v>
      </c>
      <c r="M9" s="159">
        <f t="shared" ref="M9:M15" si="6">SUM(6*10000*22)</f>
        <v>1320000</v>
      </c>
      <c r="N9" s="159">
        <f t="shared" ref="N9:N15" si="7">25000*22</f>
        <v>550000</v>
      </c>
      <c r="O9" s="894">
        <v>455000</v>
      </c>
      <c r="P9" s="160">
        <f t="shared" si="4"/>
        <v>7336107.7039999999</v>
      </c>
      <c r="Q9" s="895">
        <f t="shared" si="5"/>
        <v>88033292.447999999</v>
      </c>
    </row>
    <row r="10" spans="2:19" ht="21.75" customHeight="1" x14ac:dyDescent="0.25">
      <c r="B10" s="142">
        <v>3</v>
      </c>
      <c r="C10" s="153"/>
      <c r="D10" s="154" t="s">
        <v>787</v>
      </c>
      <c r="E10" s="154" t="s">
        <v>143</v>
      </c>
      <c r="F10" s="154" t="s">
        <v>142</v>
      </c>
      <c r="G10" s="163">
        <v>3022100</v>
      </c>
      <c r="H10" s="157">
        <v>1300000</v>
      </c>
      <c r="I10" s="158">
        <f t="shared" si="0"/>
        <v>172985.5</v>
      </c>
      <c r="J10" s="158">
        <f t="shared" si="1"/>
        <v>319677.20399999997</v>
      </c>
      <c r="K10" s="157">
        <f t="shared" si="2"/>
        <v>151105</v>
      </c>
      <c r="L10" s="157">
        <f t="shared" si="3"/>
        <v>181326</v>
      </c>
      <c r="M10" s="159">
        <f t="shared" si="6"/>
        <v>1320000</v>
      </c>
      <c r="N10" s="159">
        <f t="shared" si="7"/>
        <v>550000</v>
      </c>
      <c r="O10" s="894">
        <v>455000</v>
      </c>
      <c r="P10" s="160">
        <f t="shared" si="4"/>
        <v>7472193.7039999999</v>
      </c>
      <c r="Q10" s="895">
        <f t="shared" si="5"/>
        <v>89666324.447999999</v>
      </c>
    </row>
    <row r="11" spans="2:19" ht="21.75" customHeight="1" x14ac:dyDescent="0.25">
      <c r="B11" s="142">
        <v>4</v>
      </c>
      <c r="C11" s="153"/>
      <c r="D11" s="154" t="s">
        <v>788</v>
      </c>
      <c r="E11" s="154" t="s">
        <v>144</v>
      </c>
      <c r="F11" s="154" t="s">
        <v>581</v>
      </c>
      <c r="G11" s="156">
        <v>2456700</v>
      </c>
      <c r="H11" s="157">
        <v>1300000</v>
      </c>
      <c r="I11" s="158">
        <f t="shared" si="0"/>
        <v>172985.5</v>
      </c>
      <c r="J11" s="158">
        <f t="shared" si="1"/>
        <v>319677.20399999997</v>
      </c>
      <c r="K11" s="157">
        <f t="shared" si="2"/>
        <v>122835</v>
      </c>
      <c r="L11" s="157">
        <f t="shared" si="3"/>
        <v>147402</v>
      </c>
      <c r="M11" s="159">
        <f t="shared" si="6"/>
        <v>1320000</v>
      </c>
      <c r="N11" s="159">
        <f t="shared" si="7"/>
        <v>550000</v>
      </c>
      <c r="O11" s="894">
        <v>455000</v>
      </c>
      <c r="P11" s="160">
        <f t="shared" si="4"/>
        <v>6844599.7039999999</v>
      </c>
      <c r="Q11" s="895">
        <f t="shared" si="5"/>
        <v>82135196.447999999</v>
      </c>
    </row>
    <row r="12" spans="2:19" ht="21.75" customHeight="1" x14ac:dyDescent="0.25">
      <c r="B12" s="142">
        <v>5</v>
      </c>
      <c r="C12" s="153"/>
      <c r="D12" s="154" t="s">
        <v>789</v>
      </c>
      <c r="E12" s="154"/>
      <c r="F12" s="323"/>
      <c r="G12" s="156">
        <v>2899500</v>
      </c>
      <c r="H12" s="157">
        <v>1200000</v>
      </c>
      <c r="I12" s="158">
        <f t="shared" si="0"/>
        <v>172985.5</v>
      </c>
      <c r="J12" s="158">
        <f t="shared" si="1"/>
        <v>319677.20399999997</v>
      </c>
      <c r="K12" s="157">
        <f t="shared" si="2"/>
        <v>144975</v>
      </c>
      <c r="L12" s="157">
        <f t="shared" si="3"/>
        <v>173970</v>
      </c>
      <c r="M12" s="159">
        <f t="shared" si="6"/>
        <v>1320000</v>
      </c>
      <c r="N12" s="159">
        <f t="shared" si="7"/>
        <v>550000</v>
      </c>
      <c r="O12" s="894">
        <v>455000</v>
      </c>
      <c r="P12" s="160">
        <f t="shared" si="4"/>
        <v>7236107.7039999999</v>
      </c>
      <c r="Q12" s="895">
        <f t="shared" si="5"/>
        <v>86833292.447999999</v>
      </c>
    </row>
    <row r="13" spans="2:19" ht="21.75" customHeight="1" x14ac:dyDescent="0.25">
      <c r="B13" s="142">
        <v>6</v>
      </c>
      <c r="C13" s="153"/>
      <c r="D13" s="154" t="s">
        <v>790</v>
      </c>
      <c r="E13" s="154"/>
      <c r="F13" s="154"/>
      <c r="G13" s="156">
        <v>2899500</v>
      </c>
      <c r="H13" s="157">
        <v>1200000</v>
      </c>
      <c r="I13" s="158">
        <f t="shared" si="0"/>
        <v>172985.5</v>
      </c>
      <c r="J13" s="158">
        <f t="shared" si="1"/>
        <v>319677.20399999997</v>
      </c>
      <c r="K13" s="157">
        <f t="shared" si="2"/>
        <v>144975</v>
      </c>
      <c r="L13" s="157">
        <f t="shared" si="3"/>
        <v>173970</v>
      </c>
      <c r="M13" s="159">
        <f t="shared" si="6"/>
        <v>1320000</v>
      </c>
      <c r="N13" s="159">
        <f t="shared" si="7"/>
        <v>550000</v>
      </c>
      <c r="O13" s="894">
        <v>455000</v>
      </c>
      <c r="P13" s="160">
        <f t="shared" si="4"/>
        <v>7236107.7039999999</v>
      </c>
      <c r="Q13" s="895">
        <f t="shared" si="5"/>
        <v>86833292.447999999</v>
      </c>
    </row>
    <row r="14" spans="2:19" ht="21.75" customHeight="1" x14ac:dyDescent="0.25">
      <c r="B14" s="142">
        <v>7</v>
      </c>
      <c r="C14" s="153"/>
      <c r="D14" s="154" t="s">
        <v>791</v>
      </c>
      <c r="E14" s="154"/>
      <c r="F14" s="154"/>
      <c r="G14" s="156">
        <v>2899500</v>
      </c>
      <c r="H14" s="157">
        <v>1200000</v>
      </c>
      <c r="I14" s="158">
        <f t="shared" si="0"/>
        <v>172985.5</v>
      </c>
      <c r="J14" s="158">
        <f t="shared" si="1"/>
        <v>319677.20399999997</v>
      </c>
      <c r="K14" s="157">
        <f t="shared" si="2"/>
        <v>144975</v>
      </c>
      <c r="L14" s="157">
        <f t="shared" si="3"/>
        <v>173970</v>
      </c>
      <c r="M14" s="159">
        <f t="shared" si="6"/>
        <v>1320000</v>
      </c>
      <c r="N14" s="159">
        <f t="shared" si="7"/>
        <v>550000</v>
      </c>
      <c r="O14" s="894">
        <v>455000</v>
      </c>
      <c r="P14" s="160">
        <f t="shared" si="4"/>
        <v>7236107.7039999999</v>
      </c>
      <c r="Q14" s="895">
        <f t="shared" si="5"/>
        <v>86833292.447999999</v>
      </c>
    </row>
    <row r="15" spans="2:19" ht="21.75" customHeight="1" x14ac:dyDescent="0.25">
      <c r="B15" s="142">
        <v>8</v>
      </c>
      <c r="C15" s="153"/>
      <c r="D15" s="154" t="s">
        <v>792</v>
      </c>
      <c r="E15" s="154"/>
      <c r="F15" s="154"/>
      <c r="G15" s="156">
        <v>2899500</v>
      </c>
      <c r="H15" s="157">
        <v>1200000</v>
      </c>
      <c r="I15" s="158">
        <f t="shared" si="0"/>
        <v>172985.5</v>
      </c>
      <c r="J15" s="158">
        <f t="shared" si="1"/>
        <v>319677.20399999997</v>
      </c>
      <c r="K15" s="157">
        <f t="shared" si="2"/>
        <v>144975</v>
      </c>
      <c r="L15" s="157">
        <f t="shared" si="3"/>
        <v>173970</v>
      </c>
      <c r="M15" s="159">
        <f t="shared" si="6"/>
        <v>1320000</v>
      </c>
      <c r="N15" s="159">
        <f t="shared" si="7"/>
        <v>550000</v>
      </c>
      <c r="O15" s="894">
        <v>455000</v>
      </c>
      <c r="P15" s="160">
        <f t="shared" si="4"/>
        <v>7236107.7039999999</v>
      </c>
      <c r="Q15" s="895">
        <f t="shared" si="5"/>
        <v>86833292.447999999</v>
      </c>
    </row>
    <row r="16" spans="2:19" ht="21.75" customHeight="1" x14ac:dyDescent="0.25">
      <c r="B16" s="142"/>
      <c r="C16" s="153"/>
      <c r="D16" s="154"/>
      <c r="E16" s="1058" t="s">
        <v>20</v>
      </c>
      <c r="F16" s="154"/>
      <c r="G16" s="143">
        <f t="shared" ref="G16:N16" si="8">SUM(G8:G15)</f>
        <v>22875800</v>
      </c>
      <c r="H16" s="143">
        <f t="shared" si="8"/>
        <v>10000000</v>
      </c>
      <c r="I16" s="143">
        <f t="shared" si="8"/>
        <v>1383884</v>
      </c>
      <c r="J16" s="143">
        <f t="shared" si="8"/>
        <v>2557417.6319999998</v>
      </c>
      <c r="K16" s="143">
        <f t="shared" si="8"/>
        <v>1143790</v>
      </c>
      <c r="L16" s="143">
        <f t="shared" si="8"/>
        <v>1372548</v>
      </c>
      <c r="M16" s="143">
        <f t="shared" si="8"/>
        <v>10560000</v>
      </c>
      <c r="N16" s="143">
        <f t="shared" si="8"/>
        <v>4400000</v>
      </c>
      <c r="O16" s="143">
        <f>SUM(O8:O15)</f>
        <v>3640000</v>
      </c>
      <c r="P16" s="143">
        <f>SUM(P8:P15)</f>
        <v>57933439.631999984</v>
      </c>
      <c r="Q16" s="164">
        <f>SUM(Q8:Q15)</f>
        <v>695201275.58399999</v>
      </c>
    </row>
    <row r="17" spans="2:18" ht="21.75" customHeight="1" x14ac:dyDescent="0.25">
      <c r="C17" s="165"/>
      <c r="D17" s="166"/>
      <c r="E17" s="166"/>
      <c r="F17" s="166">
        <v>3523181</v>
      </c>
      <c r="G17" s="167">
        <f>5%*F17</f>
        <v>176159.05000000002</v>
      </c>
      <c r="H17" s="167"/>
      <c r="I17" s="168">
        <f>I15+J15</f>
        <v>492662.70399999997</v>
      </c>
      <c r="J17" s="169"/>
      <c r="K17" s="167"/>
      <c r="L17" s="167"/>
      <c r="M17" s="169"/>
      <c r="N17" s="169"/>
      <c r="O17" s="170"/>
    </row>
    <row r="18" spans="2:18" ht="21.75" customHeight="1" x14ac:dyDescent="0.25">
      <c r="B18" s="171"/>
      <c r="C18" s="172"/>
      <c r="D18" s="173" t="s">
        <v>145</v>
      </c>
      <c r="E18" s="174"/>
      <c r="F18" s="174"/>
      <c r="G18" s="175"/>
      <c r="H18" s="175"/>
      <c r="I18" s="176"/>
      <c r="J18" s="177"/>
      <c r="K18" s="175"/>
      <c r="L18" s="175"/>
      <c r="M18" s="177"/>
      <c r="N18" s="177"/>
      <c r="O18" s="178"/>
    </row>
    <row r="19" spans="2:18" ht="21.75" customHeight="1" x14ac:dyDescent="0.25">
      <c r="B19" s="142">
        <v>1</v>
      </c>
      <c r="C19" s="153"/>
      <c r="D19" s="154"/>
      <c r="E19" s="154"/>
      <c r="F19" s="154"/>
      <c r="G19" s="156">
        <f>G12</f>
        <v>2899500</v>
      </c>
      <c r="H19" s="157">
        <v>1250000</v>
      </c>
      <c r="I19" s="158">
        <f t="shared" ref="I19" si="9">3459710*5%</f>
        <v>172985.5</v>
      </c>
      <c r="J19" s="158">
        <f t="shared" ref="J19" si="10">3459710*9.24%</f>
        <v>319677.20399999997</v>
      </c>
      <c r="K19" s="157">
        <f>(G19*5%)</f>
        <v>144975</v>
      </c>
      <c r="L19" s="157">
        <f>(G19*2%*3)</f>
        <v>173970</v>
      </c>
      <c r="M19" s="159">
        <f>SUM(5*10000*22)</f>
        <v>1100000</v>
      </c>
      <c r="N19" s="159">
        <f>25000*22</f>
        <v>550000</v>
      </c>
      <c r="O19" s="894">
        <v>396000</v>
      </c>
      <c r="P19" s="160">
        <f>SUM(G19:O19)</f>
        <v>7007107.7039999999</v>
      </c>
      <c r="Q19" s="162">
        <f>P19*12</f>
        <v>84085292.447999999</v>
      </c>
    </row>
    <row r="20" spans="2:18" ht="21.75" customHeight="1" x14ac:dyDescent="0.25">
      <c r="B20" s="142"/>
      <c r="C20" s="153"/>
      <c r="D20" s="154"/>
      <c r="E20" s="1058" t="s">
        <v>20</v>
      </c>
      <c r="F20" s="154"/>
      <c r="G20" s="143">
        <f t="shared" ref="G20:O20" si="11">SUM(G19:G19)</f>
        <v>2899500</v>
      </c>
      <c r="H20" s="143">
        <f t="shared" si="11"/>
        <v>1250000</v>
      </c>
      <c r="I20" s="143">
        <f t="shared" si="11"/>
        <v>172985.5</v>
      </c>
      <c r="J20" s="143">
        <f t="shared" si="11"/>
        <v>319677.20399999997</v>
      </c>
      <c r="K20" s="143">
        <f t="shared" si="11"/>
        <v>144975</v>
      </c>
      <c r="L20" s="143">
        <f t="shared" si="11"/>
        <v>173970</v>
      </c>
      <c r="M20" s="143">
        <f t="shared" si="11"/>
        <v>1100000</v>
      </c>
      <c r="N20" s="143">
        <f t="shared" si="11"/>
        <v>550000</v>
      </c>
      <c r="O20" s="143">
        <f t="shared" si="11"/>
        <v>396000</v>
      </c>
      <c r="P20" s="164">
        <f>SUM(P19)</f>
        <v>7007107.7039999999</v>
      </c>
      <c r="Q20" s="162">
        <f>P20*12</f>
        <v>84085292.447999999</v>
      </c>
    </row>
    <row r="21" spans="2:18" ht="21.75" customHeight="1" x14ac:dyDescent="0.25">
      <c r="C21" s="165"/>
      <c r="D21" s="166"/>
      <c r="E21" s="166"/>
      <c r="F21" s="166"/>
      <c r="G21" s="167"/>
      <c r="H21" s="167"/>
      <c r="I21" s="168"/>
      <c r="J21" s="169"/>
      <c r="K21" s="167"/>
      <c r="L21" s="167"/>
      <c r="M21" s="169"/>
      <c r="N21" s="169"/>
      <c r="O21" s="170"/>
    </row>
    <row r="22" spans="2:18" ht="21.75" customHeight="1" x14ac:dyDescent="0.25">
      <c r="C22" s="165"/>
      <c r="D22" s="179" t="s">
        <v>146</v>
      </c>
      <c r="E22" s="166"/>
      <c r="F22" s="166"/>
      <c r="G22" s="167"/>
      <c r="H22" s="167"/>
      <c r="I22" s="168"/>
      <c r="J22" s="169"/>
      <c r="K22" s="167"/>
      <c r="L22" s="167"/>
      <c r="M22" s="169"/>
      <c r="N22" s="169"/>
      <c r="O22" s="170"/>
    </row>
    <row r="23" spans="2:18" s="180" customFormat="1" ht="21.75" customHeight="1" x14ac:dyDescent="0.25">
      <c r="B23" s="142">
        <v>1</v>
      </c>
      <c r="C23" s="153"/>
      <c r="D23" s="154" t="s">
        <v>147</v>
      </c>
      <c r="E23" s="155" t="s">
        <v>141</v>
      </c>
      <c r="F23" s="154" t="s">
        <v>148</v>
      </c>
      <c r="G23" s="156">
        <v>2899500</v>
      </c>
      <c r="H23" s="156">
        <v>950000</v>
      </c>
      <c r="I23" s="158">
        <f t="shared" ref="I23:I38" si="12">3459710*5%</f>
        <v>172985.5</v>
      </c>
      <c r="J23" s="158">
        <f t="shared" ref="J23:J38" si="13">3459710*9.24%</f>
        <v>319677.20399999997</v>
      </c>
      <c r="K23" s="157">
        <f>(G23*5%)</f>
        <v>144975</v>
      </c>
      <c r="L23" s="157">
        <f>(G23*2%*0)</f>
        <v>0</v>
      </c>
      <c r="M23" s="159">
        <f>SUM(5*10000*22)</f>
        <v>1100000</v>
      </c>
      <c r="N23" s="159">
        <f>23000*22</f>
        <v>506000</v>
      </c>
      <c r="O23" s="159">
        <v>300000</v>
      </c>
      <c r="P23" s="160">
        <f t="shared" ref="P23:P38" si="14">SUM(G23:O23)</f>
        <v>6393137.7039999999</v>
      </c>
      <c r="Q23" s="895">
        <f t="shared" ref="Q23:Q38" si="15">P23*12</f>
        <v>76717652.447999999</v>
      </c>
    </row>
    <row r="24" spans="2:18" s="180" customFormat="1" ht="21.75" customHeight="1" x14ac:dyDescent="0.25">
      <c r="B24" s="142">
        <v>2</v>
      </c>
      <c r="C24" s="153"/>
      <c r="D24" s="154" t="s">
        <v>149</v>
      </c>
      <c r="E24" s="154" t="s">
        <v>150</v>
      </c>
      <c r="F24" s="154" t="s">
        <v>151</v>
      </c>
      <c r="G24" s="156">
        <v>2668900</v>
      </c>
      <c r="H24" s="156">
        <v>950000</v>
      </c>
      <c r="I24" s="158">
        <f t="shared" si="12"/>
        <v>172985.5</v>
      </c>
      <c r="J24" s="158">
        <f t="shared" si="13"/>
        <v>319677.20399999997</v>
      </c>
      <c r="K24" s="157">
        <f>(G24*5%)</f>
        <v>133445</v>
      </c>
      <c r="L24" s="157">
        <f>(G24*2%*0)</f>
        <v>0</v>
      </c>
      <c r="M24" s="159">
        <f t="shared" ref="M24:M38" si="16">SUM(5*10000*22)</f>
        <v>1100000</v>
      </c>
      <c r="N24" s="159">
        <f t="shared" ref="N24:N38" si="17">23000*22</f>
        <v>506000</v>
      </c>
      <c r="O24" s="159">
        <v>300000</v>
      </c>
      <c r="P24" s="160">
        <f t="shared" si="14"/>
        <v>6151007.7039999999</v>
      </c>
      <c r="Q24" s="895">
        <f t="shared" si="15"/>
        <v>73812092.447999999</v>
      </c>
    </row>
    <row r="25" spans="2:18" ht="21.75" customHeight="1" x14ac:dyDescent="0.25">
      <c r="B25" s="142">
        <v>3</v>
      </c>
      <c r="C25" s="153"/>
      <c r="D25" s="154" t="s">
        <v>152</v>
      </c>
      <c r="E25" s="154" t="s">
        <v>153</v>
      </c>
      <c r="F25" s="154" t="s">
        <v>154</v>
      </c>
      <c r="G25" s="156">
        <v>2869400</v>
      </c>
      <c r="H25" s="156">
        <v>950000</v>
      </c>
      <c r="I25" s="158">
        <f t="shared" si="12"/>
        <v>172985.5</v>
      </c>
      <c r="J25" s="158">
        <f t="shared" si="13"/>
        <v>319677.20399999997</v>
      </c>
      <c r="K25" s="157">
        <f>(G25*5%)</f>
        <v>143470</v>
      </c>
      <c r="L25" s="157">
        <f>(G25*2%*3)</f>
        <v>172164</v>
      </c>
      <c r="M25" s="159">
        <f t="shared" si="16"/>
        <v>1100000</v>
      </c>
      <c r="N25" s="159">
        <f t="shared" si="17"/>
        <v>506000</v>
      </c>
      <c r="O25" s="159">
        <v>300000</v>
      </c>
      <c r="P25" s="160">
        <f t="shared" si="14"/>
        <v>6533696.7039999999</v>
      </c>
      <c r="Q25" s="895">
        <f t="shared" si="15"/>
        <v>78404360.447999999</v>
      </c>
    </row>
    <row r="26" spans="2:18" ht="21.75" customHeight="1" x14ac:dyDescent="0.25">
      <c r="B26" s="142">
        <v>4</v>
      </c>
      <c r="C26" s="153"/>
      <c r="D26" s="154" t="s">
        <v>155</v>
      </c>
      <c r="E26" s="154" t="s">
        <v>143</v>
      </c>
      <c r="F26" s="154" t="s">
        <v>156</v>
      </c>
      <c r="G26" s="156">
        <v>3022100</v>
      </c>
      <c r="H26" s="156">
        <v>950000</v>
      </c>
      <c r="I26" s="158">
        <f t="shared" si="12"/>
        <v>172985.5</v>
      </c>
      <c r="J26" s="158">
        <f t="shared" si="13"/>
        <v>319677.20399999997</v>
      </c>
      <c r="K26" s="157">
        <f>(G26*5%)*0</f>
        <v>0</v>
      </c>
      <c r="L26" s="157">
        <f>(G26*2%*1)</f>
        <v>60442</v>
      </c>
      <c r="M26" s="159">
        <f t="shared" si="16"/>
        <v>1100000</v>
      </c>
      <c r="N26" s="159">
        <f t="shared" si="17"/>
        <v>506000</v>
      </c>
      <c r="O26" s="159">
        <v>300000</v>
      </c>
      <c r="P26" s="160">
        <f t="shared" si="14"/>
        <v>6431204.7039999999</v>
      </c>
      <c r="Q26" s="895">
        <f t="shared" si="15"/>
        <v>77174456.447999999</v>
      </c>
      <c r="R26" s="136">
        <v>432000</v>
      </c>
    </row>
    <row r="27" spans="2:18" ht="21.75" customHeight="1" x14ac:dyDescent="0.25">
      <c r="B27" s="142">
        <v>5</v>
      </c>
      <c r="C27" s="153"/>
      <c r="D27" s="154" t="s">
        <v>157</v>
      </c>
      <c r="E27" s="154" t="s">
        <v>153</v>
      </c>
      <c r="F27" s="154" t="s">
        <v>158</v>
      </c>
      <c r="G27" s="156">
        <v>2869400</v>
      </c>
      <c r="H27" s="156">
        <v>950000</v>
      </c>
      <c r="I27" s="158">
        <f t="shared" si="12"/>
        <v>172985.5</v>
      </c>
      <c r="J27" s="158">
        <f t="shared" si="13"/>
        <v>319677.20399999997</v>
      </c>
      <c r="K27" s="157">
        <f t="shared" ref="K27:K32" si="18">(G27*5%)</f>
        <v>143470</v>
      </c>
      <c r="L27" s="157">
        <f>(G27*2%*1)</f>
        <v>57388</v>
      </c>
      <c r="M27" s="159">
        <f t="shared" si="16"/>
        <v>1100000</v>
      </c>
      <c r="N27" s="159">
        <f t="shared" si="17"/>
        <v>506000</v>
      </c>
      <c r="O27" s="159">
        <v>300000</v>
      </c>
      <c r="P27" s="160">
        <f t="shared" si="14"/>
        <v>6418920.7039999999</v>
      </c>
      <c r="Q27" s="895">
        <f t="shared" si="15"/>
        <v>77027048.447999999</v>
      </c>
      <c r="R27" s="136">
        <f>R26/18</f>
        <v>24000</v>
      </c>
    </row>
    <row r="28" spans="2:18" ht="21.75" customHeight="1" x14ac:dyDescent="0.25">
      <c r="B28" s="142">
        <v>6</v>
      </c>
      <c r="C28" s="153"/>
      <c r="D28" s="154" t="s">
        <v>159</v>
      </c>
      <c r="E28" s="154" t="s">
        <v>160</v>
      </c>
      <c r="F28" s="154" t="s">
        <v>161</v>
      </c>
      <c r="G28" s="156">
        <v>2869400</v>
      </c>
      <c r="H28" s="156">
        <v>950000</v>
      </c>
      <c r="I28" s="158">
        <f t="shared" si="12"/>
        <v>172985.5</v>
      </c>
      <c r="J28" s="158">
        <f t="shared" si="13"/>
        <v>319677.20399999997</v>
      </c>
      <c r="K28" s="157">
        <f t="shared" si="18"/>
        <v>143470</v>
      </c>
      <c r="L28" s="157">
        <f>(G28*2%*2)</f>
        <v>114776</v>
      </c>
      <c r="M28" s="159">
        <f t="shared" si="16"/>
        <v>1100000</v>
      </c>
      <c r="N28" s="159">
        <f t="shared" si="17"/>
        <v>506000</v>
      </c>
      <c r="O28" s="159">
        <v>300000</v>
      </c>
      <c r="P28" s="160">
        <f t="shared" si="14"/>
        <v>6476308.7039999999</v>
      </c>
      <c r="Q28" s="895">
        <f t="shared" si="15"/>
        <v>77715704.447999999</v>
      </c>
      <c r="R28" s="136">
        <f>R27/12</f>
        <v>2000</v>
      </c>
    </row>
    <row r="29" spans="2:18" ht="21.75" customHeight="1" x14ac:dyDescent="0.25">
      <c r="B29" s="142">
        <v>7</v>
      </c>
      <c r="C29" s="153"/>
      <c r="D29" s="154" t="s">
        <v>162</v>
      </c>
      <c r="E29" s="154" t="s">
        <v>143</v>
      </c>
      <c r="F29" s="154" t="s">
        <v>163</v>
      </c>
      <c r="G29" s="156">
        <v>3022100</v>
      </c>
      <c r="H29" s="156">
        <v>950000</v>
      </c>
      <c r="I29" s="158">
        <f t="shared" si="12"/>
        <v>172985.5</v>
      </c>
      <c r="J29" s="158">
        <f t="shared" si="13"/>
        <v>319677.20399999997</v>
      </c>
      <c r="K29" s="157">
        <f t="shared" si="18"/>
        <v>151105</v>
      </c>
      <c r="L29" s="157">
        <f>(G29*2%*2)</f>
        <v>120884</v>
      </c>
      <c r="M29" s="159">
        <f t="shared" si="16"/>
        <v>1100000</v>
      </c>
      <c r="N29" s="159">
        <f t="shared" si="17"/>
        <v>506000</v>
      </c>
      <c r="O29" s="159">
        <v>300000</v>
      </c>
      <c r="P29" s="160">
        <f t="shared" si="14"/>
        <v>6642751.7039999999</v>
      </c>
      <c r="Q29" s="895">
        <f t="shared" si="15"/>
        <v>79713020.447999999</v>
      </c>
    </row>
    <row r="30" spans="2:18" ht="21.6" customHeight="1" x14ac:dyDescent="0.25">
      <c r="B30" s="142">
        <v>8</v>
      </c>
      <c r="C30" s="153"/>
      <c r="D30" s="154" t="s">
        <v>164</v>
      </c>
      <c r="E30" s="154" t="s">
        <v>153</v>
      </c>
      <c r="F30" s="181" t="s">
        <v>165</v>
      </c>
      <c r="G30" s="156">
        <v>2839700</v>
      </c>
      <c r="H30" s="156">
        <v>950000</v>
      </c>
      <c r="I30" s="158">
        <f t="shared" si="12"/>
        <v>172985.5</v>
      </c>
      <c r="J30" s="158">
        <f t="shared" si="13"/>
        <v>319677.20399999997</v>
      </c>
      <c r="K30" s="157">
        <f t="shared" si="18"/>
        <v>141985</v>
      </c>
      <c r="L30" s="157">
        <f>(G30*2%*2)</f>
        <v>113588</v>
      </c>
      <c r="M30" s="159">
        <f t="shared" si="16"/>
        <v>1100000</v>
      </c>
      <c r="N30" s="159">
        <f t="shared" si="17"/>
        <v>506000</v>
      </c>
      <c r="O30" s="159">
        <v>300000</v>
      </c>
      <c r="P30" s="160">
        <f t="shared" si="14"/>
        <v>6443935.7039999999</v>
      </c>
      <c r="Q30" s="895">
        <f t="shared" si="15"/>
        <v>77327228.447999999</v>
      </c>
    </row>
    <row r="31" spans="2:18" ht="21.75" customHeight="1" x14ac:dyDescent="0.25">
      <c r="B31" s="142">
        <v>9</v>
      </c>
      <c r="C31" s="153"/>
      <c r="D31" s="154" t="s">
        <v>166</v>
      </c>
      <c r="E31" s="154" t="s">
        <v>160</v>
      </c>
      <c r="F31" s="154" t="s">
        <v>167</v>
      </c>
      <c r="G31" s="156">
        <v>2869400</v>
      </c>
      <c r="H31" s="156">
        <v>950000</v>
      </c>
      <c r="I31" s="158">
        <f t="shared" si="12"/>
        <v>172985.5</v>
      </c>
      <c r="J31" s="158">
        <f t="shared" si="13"/>
        <v>319677.20399999997</v>
      </c>
      <c r="K31" s="157">
        <f t="shared" si="18"/>
        <v>143470</v>
      </c>
      <c r="L31" s="157">
        <f>(G31*2%*3)</f>
        <v>172164</v>
      </c>
      <c r="M31" s="159">
        <f t="shared" si="16"/>
        <v>1100000</v>
      </c>
      <c r="N31" s="159">
        <f t="shared" si="17"/>
        <v>506000</v>
      </c>
      <c r="O31" s="159">
        <v>300000</v>
      </c>
      <c r="P31" s="160">
        <f t="shared" si="14"/>
        <v>6533696.7039999999</v>
      </c>
      <c r="Q31" s="895">
        <f t="shared" si="15"/>
        <v>78404360.447999999</v>
      </c>
    </row>
    <row r="32" spans="2:18" ht="21.75" customHeight="1" x14ac:dyDescent="0.25">
      <c r="B32" s="142">
        <v>10</v>
      </c>
      <c r="C32" s="153"/>
      <c r="D32" s="154" t="s">
        <v>168</v>
      </c>
      <c r="E32" s="154" t="s">
        <v>153</v>
      </c>
      <c r="F32" s="154" t="s">
        <v>169</v>
      </c>
      <c r="G32" s="156">
        <v>2869400</v>
      </c>
      <c r="H32" s="156">
        <v>950000</v>
      </c>
      <c r="I32" s="158">
        <f t="shared" si="12"/>
        <v>172985.5</v>
      </c>
      <c r="J32" s="158">
        <f t="shared" si="13"/>
        <v>319677.20399999997</v>
      </c>
      <c r="K32" s="157">
        <f t="shared" si="18"/>
        <v>143470</v>
      </c>
      <c r="L32" s="157">
        <f>(G32*2%*0)</f>
        <v>0</v>
      </c>
      <c r="M32" s="159">
        <f t="shared" si="16"/>
        <v>1100000</v>
      </c>
      <c r="N32" s="159">
        <f t="shared" si="17"/>
        <v>506000</v>
      </c>
      <c r="O32" s="159">
        <v>300000</v>
      </c>
      <c r="P32" s="160">
        <f t="shared" si="14"/>
        <v>6361532.7039999999</v>
      </c>
      <c r="Q32" s="895">
        <f t="shared" si="15"/>
        <v>76338392.447999999</v>
      </c>
    </row>
    <row r="33" spans="2:17" ht="21.75" customHeight="1" x14ac:dyDescent="0.25">
      <c r="B33" s="142">
        <v>11</v>
      </c>
      <c r="C33" s="153"/>
      <c r="D33" s="154" t="s">
        <v>170</v>
      </c>
      <c r="E33" s="154" t="s">
        <v>153</v>
      </c>
      <c r="F33" s="154" t="s">
        <v>171</v>
      </c>
      <c r="G33" s="156">
        <v>2869400</v>
      </c>
      <c r="H33" s="156">
        <v>950000</v>
      </c>
      <c r="I33" s="158">
        <f t="shared" si="12"/>
        <v>172985.5</v>
      </c>
      <c r="J33" s="158">
        <f t="shared" si="13"/>
        <v>319677.20399999997</v>
      </c>
      <c r="K33" s="157">
        <f>(G33*5%)*0</f>
        <v>0</v>
      </c>
      <c r="L33" s="157">
        <f>(G33*2%*0)</f>
        <v>0</v>
      </c>
      <c r="M33" s="159">
        <f t="shared" si="16"/>
        <v>1100000</v>
      </c>
      <c r="N33" s="159">
        <f t="shared" si="17"/>
        <v>506000</v>
      </c>
      <c r="O33" s="159">
        <v>300000</v>
      </c>
      <c r="P33" s="160">
        <f t="shared" si="14"/>
        <v>6218062.7039999999</v>
      </c>
      <c r="Q33" s="895">
        <f t="shared" si="15"/>
        <v>74616752.447999999</v>
      </c>
    </row>
    <row r="34" spans="2:17" ht="21.75" customHeight="1" x14ac:dyDescent="0.25">
      <c r="B34" s="142">
        <v>12</v>
      </c>
      <c r="C34" s="153"/>
      <c r="D34" s="154"/>
      <c r="E34" s="154"/>
      <c r="F34" s="154" t="s">
        <v>172</v>
      </c>
      <c r="G34" s="156">
        <v>2869400</v>
      </c>
      <c r="H34" s="156">
        <v>950000</v>
      </c>
      <c r="I34" s="158">
        <f t="shared" si="12"/>
        <v>172985.5</v>
      </c>
      <c r="J34" s="158">
        <f t="shared" si="13"/>
        <v>319677.20399999997</v>
      </c>
      <c r="K34" s="157">
        <f>(G34*5%)</f>
        <v>143470</v>
      </c>
      <c r="L34" s="157">
        <f>(G34*2%*3)</f>
        <v>172164</v>
      </c>
      <c r="M34" s="159">
        <f t="shared" si="16"/>
        <v>1100000</v>
      </c>
      <c r="N34" s="159">
        <f t="shared" si="17"/>
        <v>506000</v>
      </c>
      <c r="O34" s="159">
        <v>300000</v>
      </c>
      <c r="P34" s="160">
        <f t="shared" si="14"/>
        <v>6533696.7039999999</v>
      </c>
      <c r="Q34" s="895">
        <f t="shared" si="15"/>
        <v>78404360.447999999</v>
      </c>
    </row>
    <row r="35" spans="2:17" ht="21.75" customHeight="1" x14ac:dyDescent="0.25">
      <c r="B35" s="142">
        <v>13</v>
      </c>
      <c r="C35" s="153"/>
      <c r="D35" s="154" t="s">
        <v>582</v>
      </c>
      <c r="E35" s="154"/>
      <c r="F35" s="154" t="s">
        <v>173</v>
      </c>
      <c r="G35" s="156">
        <v>2869400</v>
      </c>
      <c r="H35" s="156">
        <v>950000</v>
      </c>
      <c r="I35" s="158">
        <f t="shared" si="12"/>
        <v>172985.5</v>
      </c>
      <c r="J35" s="158">
        <f t="shared" si="13"/>
        <v>319677.20399999997</v>
      </c>
      <c r="K35" s="157">
        <f>(G35*5%)</f>
        <v>143470</v>
      </c>
      <c r="L35" s="157">
        <f>(G35*2%*3)</f>
        <v>172164</v>
      </c>
      <c r="M35" s="159">
        <f t="shared" si="16"/>
        <v>1100000</v>
      </c>
      <c r="N35" s="159">
        <f t="shared" si="17"/>
        <v>506000</v>
      </c>
      <c r="O35" s="159">
        <v>300000</v>
      </c>
      <c r="P35" s="160">
        <f t="shared" si="14"/>
        <v>6533696.7039999999</v>
      </c>
      <c r="Q35" s="895">
        <f t="shared" si="15"/>
        <v>78404360.447999999</v>
      </c>
    </row>
    <row r="36" spans="2:17" ht="21.75" customHeight="1" x14ac:dyDescent="0.25">
      <c r="B36" s="142">
        <v>14</v>
      </c>
      <c r="C36" s="153"/>
      <c r="D36" s="154"/>
      <c r="E36" s="154"/>
      <c r="F36" s="154" t="s">
        <v>174</v>
      </c>
      <c r="G36" s="156">
        <v>2869400</v>
      </c>
      <c r="H36" s="156">
        <v>950000</v>
      </c>
      <c r="I36" s="158">
        <f t="shared" si="12"/>
        <v>172985.5</v>
      </c>
      <c r="J36" s="158">
        <f t="shared" si="13"/>
        <v>319677.20399999997</v>
      </c>
      <c r="K36" s="157">
        <f>(G36*5%)</f>
        <v>143470</v>
      </c>
      <c r="L36" s="157">
        <f>(G36*2%*3)</f>
        <v>172164</v>
      </c>
      <c r="M36" s="159">
        <f t="shared" si="16"/>
        <v>1100000</v>
      </c>
      <c r="N36" s="159">
        <f t="shared" si="17"/>
        <v>506000</v>
      </c>
      <c r="O36" s="159">
        <v>300000</v>
      </c>
      <c r="P36" s="160">
        <f t="shared" si="14"/>
        <v>6533696.7039999999</v>
      </c>
      <c r="Q36" s="895">
        <f t="shared" si="15"/>
        <v>78404360.447999999</v>
      </c>
    </row>
    <row r="37" spans="2:17" ht="21.75" customHeight="1" x14ac:dyDescent="0.25">
      <c r="B37" s="142">
        <v>15</v>
      </c>
      <c r="C37" s="153"/>
      <c r="D37" s="154"/>
      <c r="E37" s="154"/>
      <c r="F37" s="154" t="s">
        <v>175</v>
      </c>
      <c r="G37" s="156">
        <v>2869400</v>
      </c>
      <c r="H37" s="156">
        <v>950000</v>
      </c>
      <c r="I37" s="158">
        <f t="shared" si="12"/>
        <v>172985.5</v>
      </c>
      <c r="J37" s="158">
        <f t="shared" si="13"/>
        <v>319677.20399999997</v>
      </c>
      <c r="K37" s="157">
        <f>(G37*5%)</f>
        <v>143470</v>
      </c>
      <c r="L37" s="157">
        <f>(G37*2%*3)</f>
        <v>172164</v>
      </c>
      <c r="M37" s="159">
        <f t="shared" si="16"/>
        <v>1100000</v>
      </c>
      <c r="N37" s="159">
        <f t="shared" si="17"/>
        <v>506000</v>
      </c>
      <c r="O37" s="159">
        <v>300000</v>
      </c>
      <c r="P37" s="160">
        <f t="shared" si="14"/>
        <v>6533696.7039999999</v>
      </c>
      <c r="Q37" s="895">
        <f t="shared" si="15"/>
        <v>78404360.447999999</v>
      </c>
    </row>
    <row r="38" spans="2:17" ht="21.75" customHeight="1" x14ac:dyDescent="0.25">
      <c r="B38" s="142">
        <v>16</v>
      </c>
      <c r="C38" s="153"/>
      <c r="D38" s="154" t="s">
        <v>176</v>
      </c>
      <c r="E38" s="154"/>
      <c r="F38" s="154" t="s">
        <v>177</v>
      </c>
      <c r="G38" s="156">
        <v>2869400</v>
      </c>
      <c r="H38" s="156">
        <v>950000</v>
      </c>
      <c r="I38" s="158">
        <f t="shared" si="12"/>
        <v>172985.5</v>
      </c>
      <c r="J38" s="158">
        <f t="shared" si="13"/>
        <v>319677.20399999997</v>
      </c>
      <c r="K38" s="157">
        <f>(G38*5%)</f>
        <v>143470</v>
      </c>
      <c r="L38" s="157">
        <f>(G38*2%*3)</f>
        <v>172164</v>
      </c>
      <c r="M38" s="159">
        <f t="shared" si="16"/>
        <v>1100000</v>
      </c>
      <c r="N38" s="159">
        <f t="shared" si="17"/>
        <v>506000</v>
      </c>
      <c r="O38" s="159">
        <v>300000</v>
      </c>
      <c r="P38" s="160">
        <f t="shared" si="14"/>
        <v>6533696.7039999999</v>
      </c>
      <c r="Q38" s="895">
        <f t="shared" si="15"/>
        <v>78404360.447999999</v>
      </c>
    </row>
    <row r="39" spans="2:17" ht="21.75" customHeight="1" x14ac:dyDescent="0.25">
      <c r="B39" s="142"/>
      <c r="C39" s="153"/>
      <c r="D39" s="154"/>
      <c r="E39" s="1058" t="s">
        <v>20</v>
      </c>
      <c r="F39" s="154"/>
      <c r="G39" s="143">
        <f t="shared" ref="G39:Q39" si="19">SUM(G23:G38)</f>
        <v>46015700</v>
      </c>
      <c r="H39" s="143">
        <f t="shared" si="19"/>
        <v>15200000</v>
      </c>
      <c r="I39" s="143">
        <f t="shared" si="19"/>
        <v>2767768</v>
      </c>
      <c r="J39" s="143">
        <f t="shared" si="19"/>
        <v>5114835.2639999995</v>
      </c>
      <c r="K39" s="143">
        <f t="shared" si="19"/>
        <v>2006210</v>
      </c>
      <c r="L39" s="143">
        <f t="shared" si="19"/>
        <v>1672226</v>
      </c>
      <c r="M39" s="143">
        <f t="shared" si="19"/>
        <v>17600000</v>
      </c>
      <c r="N39" s="143">
        <f t="shared" si="19"/>
        <v>8096000</v>
      </c>
      <c r="O39" s="143">
        <f t="shared" si="19"/>
        <v>4800000</v>
      </c>
      <c r="P39" s="143">
        <f t="shared" si="19"/>
        <v>103272739.26399997</v>
      </c>
      <c r="Q39" s="164">
        <f t="shared" si="19"/>
        <v>1239272871.1679997</v>
      </c>
    </row>
    <row r="40" spans="2:17" ht="21.75" customHeight="1" x14ac:dyDescent="0.25">
      <c r="C40" s="165"/>
      <c r="D40" s="166"/>
      <c r="E40" s="166"/>
      <c r="F40" s="166"/>
      <c r="G40" s="167"/>
      <c r="H40" s="167"/>
      <c r="I40" s="168"/>
      <c r="J40" s="169"/>
      <c r="K40" s="167"/>
      <c r="L40" s="167"/>
      <c r="M40" s="169"/>
      <c r="N40" s="169"/>
      <c r="O40" s="170"/>
    </row>
    <row r="41" spans="2:17" ht="21.75" customHeight="1" x14ac:dyDescent="0.25">
      <c r="C41" s="165"/>
      <c r="D41" s="166"/>
      <c r="E41" s="166"/>
      <c r="F41" s="166"/>
      <c r="G41" s="167"/>
      <c r="H41" s="167"/>
      <c r="I41" s="168"/>
      <c r="J41" s="169"/>
      <c r="K41" s="167"/>
      <c r="L41" s="167"/>
      <c r="M41" s="169"/>
      <c r="N41" s="169"/>
      <c r="O41" s="170"/>
    </row>
    <row r="42" spans="2:17" ht="21.75" customHeight="1" x14ac:dyDescent="0.25">
      <c r="C42" s="165"/>
      <c r="D42" s="1064" t="s">
        <v>727</v>
      </c>
      <c r="E42" s="166"/>
      <c r="F42" s="166"/>
      <c r="G42" s="167"/>
      <c r="H42" s="167"/>
      <c r="I42" s="168"/>
      <c r="J42" s="169"/>
      <c r="K42" s="167"/>
      <c r="L42" s="167"/>
      <c r="M42" s="169"/>
      <c r="N42" s="169"/>
      <c r="O42" s="170"/>
    </row>
    <row r="43" spans="2:17" ht="21.75" customHeight="1" x14ac:dyDescent="0.25">
      <c r="B43" s="1032">
        <v>1</v>
      </c>
      <c r="C43" s="1033"/>
      <c r="D43" s="154" t="s">
        <v>147</v>
      </c>
      <c r="E43" s="155" t="s">
        <v>141</v>
      </c>
      <c r="F43" s="154" t="s">
        <v>148</v>
      </c>
      <c r="G43" s="156">
        <v>2899500</v>
      </c>
      <c r="H43" s="156">
        <v>950000</v>
      </c>
      <c r="I43" s="158">
        <f t="shared" ref="I43:I44" si="20">3459710*5%</f>
        <v>172985.5</v>
      </c>
      <c r="J43" s="158">
        <f t="shared" ref="J43:J44" si="21">3459710*9.24%</f>
        <v>319677.20399999997</v>
      </c>
      <c r="K43" s="157">
        <f>(G43*5%)</f>
        <v>144975</v>
      </c>
      <c r="L43" s="157">
        <f>(G43*2%*0)</f>
        <v>0</v>
      </c>
      <c r="M43" s="159">
        <f>SUM(5*10000*22)</f>
        <v>1100000</v>
      </c>
      <c r="N43" s="159">
        <f>23000*22</f>
        <v>506000</v>
      </c>
      <c r="O43" s="159">
        <v>300000</v>
      </c>
      <c r="P43" s="160">
        <f>SUM(G43:O43)</f>
        <v>6393137.7039999999</v>
      </c>
      <c r="Q43" s="895">
        <f>P43*12</f>
        <v>76717652.447999999</v>
      </c>
    </row>
    <row r="44" spans="2:17" ht="21.75" customHeight="1" thickBot="1" x14ac:dyDescent="0.3">
      <c r="B44" s="1034">
        <v>2</v>
      </c>
      <c r="C44" s="1035"/>
      <c r="D44" s="1014" t="s">
        <v>149</v>
      </c>
      <c r="E44" s="1014" t="s">
        <v>150</v>
      </c>
      <c r="F44" s="1014" t="s">
        <v>151</v>
      </c>
      <c r="G44" s="1015">
        <v>2668900</v>
      </c>
      <c r="H44" s="156">
        <v>950000</v>
      </c>
      <c r="I44" s="158">
        <f t="shared" si="20"/>
        <v>172985.5</v>
      </c>
      <c r="J44" s="158">
        <f t="shared" si="21"/>
        <v>319677.20399999997</v>
      </c>
      <c r="K44" s="1016">
        <f>(G44*5%)</f>
        <v>133445</v>
      </c>
      <c r="L44" s="1016">
        <f>(G44*2%*0)</f>
        <v>0</v>
      </c>
      <c r="M44" s="159">
        <f>SUM(5*10000*22)</f>
        <v>1100000</v>
      </c>
      <c r="N44" s="1017">
        <f>23000*22</f>
        <v>506000</v>
      </c>
      <c r="O44" s="159">
        <v>300000</v>
      </c>
      <c r="P44" s="1018">
        <f>SUM(G44:O44)</f>
        <v>6151007.7039999999</v>
      </c>
      <c r="Q44" s="895">
        <f>P44*12</f>
        <v>73812092.447999999</v>
      </c>
    </row>
    <row r="45" spans="2:17" ht="21.75" customHeight="1" thickTop="1" thickBot="1" x14ac:dyDescent="0.3">
      <c r="B45" s="1036"/>
      <c r="C45" s="1037"/>
      <c r="D45" s="1038"/>
      <c r="E45" s="1058" t="s">
        <v>20</v>
      </c>
      <c r="F45" s="1038"/>
      <c r="G45" s="1039">
        <f>SUM(G43:G44)</f>
        <v>5568400</v>
      </c>
      <c r="H45" s="1039">
        <f t="shared" ref="H45:O45" si="22">SUM(H43:H44)</f>
        <v>1900000</v>
      </c>
      <c r="I45" s="1039">
        <f t="shared" si="22"/>
        <v>345971</v>
      </c>
      <c r="J45" s="1039">
        <f t="shared" si="22"/>
        <v>639354.40799999994</v>
      </c>
      <c r="K45" s="1039">
        <f t="shared" si="22"/>
        <v>278420</v>
      </c>
      <c r="L45" s="1039">
        <f t="shared" si="22"/>
        <v>0</v>
      </c>
      <c r="M45" s="1039">
        <f t="shared" si="22"/>
        <v>2200000</v>
      </c>
      <c r="N45" s="1039">
        <f t="shared" si="22"/>
        <v>1012000</v>
      </c>
      <c r="O45" s="1039">
        <f t="shared" si="22"/>
        <v>600000</v>
      </c>
      <c r="P45" s="1039">
        <f>SUM(P43:P44)</f>
        <v>12544145.408</v>
      </c>
      <c r="Q45" s="1040"/>
    </row>
    <row r="46" spans="2:17" ht="21.75" customHeight="1" thickTop="1" x14ac:dyDescent="0.25">
      <c r="B46" s="1041"/>
      <c r="C46" s="1042"/>
      <c r="D46" s="1043"/>
      <c r="E46" s="1043"/>
      <c r="F46" s="1043"/>
      <c r="G46" s="1044"/>
      <c r="H46" s="1044"/>
      <c r="I46" s="1045"/>
      <c r="J46" s="1046"/>
      <c r="K46" s="1044"/>
      <c r="L46" s="1044"/>
      <c r="M46" s="1046"/>
      <c r="N46" s="1046"/>
      <c r="O46" s="1047"/>
      <c r="P46" s="1048"/>
      <c r="Q46" s="1048"/>
    </row>
    <row r="47" spans="2:17" ht="21.75" customHeight="1" x14ac:dyDescent="0.25">
      <c r="C47" s="165"/>
      <c r="D47" s="166"/>
      <c r="E47" s="166">
        <f>B44+B38+B19+B15+B61</f>
        <v>40</v>
      </c>
      <c r="F47" s="166"/>
      <c r="G47" s="167"/>
      <c r="H47" s="167"/>
      <c r="I47" s="168"/>
      <c r="J47" s="169"/>
      <c r="K47" s="167"/>
      <c r="L47" s="167"/>
      <c r="M47" s="169"/>
      <c r="N47" s="169"/>
      <c r="O47" s="170"/>
    </row>
    <row r="48" spans="2:17" ht="21.75" customHeight="1" x14ac:dyDescent="0.25">
      <c r="C48" s="165"/>
      <c r="D48" s="179" t="s">
        <v>178</v>
      </c>
      <c r="E48" s="166"/>
      <c r="F48" s="166"/>
      <c r="G48" s="167"/>
      <c r="H48" s="167"/>
      <c r="I48" s="168"/>
      <c r="J48" s="169"/>
      <c r="K48" s="167"/>
      <c r="L48" s="167"/>
      <c r="M48" s="169"/>
      <c r="N48" s="169"/>
      <c r="O48" s="170"/>
    </row>
    <row r="49" spans="2:17" ht="21.75" customHeight="1" x14ac:dyDescent="0.25">
      <c r="B49" s="142">
        <v>1</v>
      </c>
      <c r="C49" s="153" t="s">
        <v>140</v>
      </c>
      <c r="D49" s="154" t="s">
        <v>179</v>
      </c>
      <c r="E49" s="154" t="s">
        <v>153</v>
      </c>
      <c r="F49" s="154" t="s">
        <v>180</v>
      </c>
      <c r="G49" s="156">
        <v>2869400</v>
      </c>
      <c r="H49" s="156"/>
      <c r="I49" s="158">
        <f t="shared" ref="I49:I60" si="23">3459710*5%</f>
        <v>172985.5</v>
      </c>
      <c r="J49" s="158">
        <f t="shared" ref="J49:J60" si="24">3459710*9.24%</f>
        <v>319677.20399999997</v>
      </c>
      <c r="K49" s="157">
        <f t="shared" ref="K49:K61" si="25">(G49*5%)</f>
        <v>143470</v>
      </c>
      <c r="L49" s="157">
        <f>(G49*2%*3)</f>
        <v>172164</v>
      </c>
      <c r="M49" s="159">
        <f t="shared" ref="M49:M57" si="26">SUM(4*10000*22)</f>
        <v>880000</v>
      </c>
      <c r="N49" s="159">
        <f>21000*22</f>
        <v>462000</v>
      </c>
      <c r="O49" s="160">
        <v>0</v>
      </c>
      <c r="P49" s="1018">
        <f t="shared" ref="P49:P61" si="27">SUM(G49:O49)</f>
        <v>5019696.7039999999</v>
      </c>
      <c r="Q49" s="895">
        <f t="shared" ref="Q49:Q61" si="28">P49*12</f>
        <v>60236360.447999999</v>
      </c>
    </row>
    <row r="50" spans="2:17" ht="21.75" customHeight="1" x14ac:dyDescent="0.25">
      <c r="B50" s="142">
        <v>2</v>
      </c>
      <c r="C50" s="153"/>
      <c r="D50" s="154" t="s">
        <v>181</v>
      </c>
      <c r="E50" s="154" t="s">
        <v>141</v>
      </c>
      <c r="F50" s="154" t="s">
        <v>180</v>
      </c>
      <c r="G50" s="156">
        <v>2869400</v>
      </c>
      <c r="H50" s="156"/>
      <c r="I50" s="158">
        <f t="shared" si="23"/>
        <v>172985.5</v>
      </c>
      <c r="J50" s="158">
        <f t="shared" si="24"/>
        <v>319677.20399999997</v>
      </c>
      <c r="K50" s="157">
        <f t="shared" si="25"/>
        <v>143470</v>
      </c>
      <c r="L50" s="157">
        <f>(G50*2%*2)</f>
        <v>114776</v>
      </c>
      <c r="M50" s="159">
        <f t="shared" si="26"/>
        <v>880000</v>
      </c>
      <c r="N50" s="159">
        <f t="shared" ref="N50:N61" si="29">21000*22</f>
        <v>462000</v>
      </c>
      <c r="O50" s="160">
        <v>0</v>
      </c>
      <c r="P50" s="1018">
        <f t="shared" si="27"/>
        <v>4962308.7039999999</v>
      </c>
      <c r="Q50" s="895">
        <f t="shared" si="28"/>
        <v>59547704.447999999</v>
      </c>
    </row>
    <row r="51" spans="2:17" ht="21.75" customHeight="1" x14ac:dyDescent="0.25">
      <c r="B51" s="142">
        <v>3</v>
      </c>
      <c r="C51" s="153"/>
      <c r="D51" s="154" t="s">
        <v>182</v>
      </c>
      <c r="E51" s="154" t="s">
        <v>144</v>
      </c>
      <c r="F51" s="154" t="s">
        <v>180</v>
      </c>
      <c r="G51" s="156">
        <v>2869400</v>
      </c>
      <c r="H51" s="156"/>
      <c r="I51" s="158">
        <f t="shared" si="23"/>
        <v>172985.5</v>
      </c>
      <c r="J51" s="158">
        <f t="shared" si="24"/>
        <v>319677.20399999997</v>
      </c>
      <c r="K51" s="157">
        <f t="shared" si="25"/>
        <v>143470</v>
      </c>
      <c r="L51" s="157">
        <f>(G51*2%*3)</f>
        <v>172164</v>
      </c>
      <c r="M51" s="159">
        <f t="shared" si="26"/>
        <v>880000</v>
      </c>
      <c r="N51" s="159">
        <f t="shared" si="29"/>
        <v>462000</v>
      </c>
      <c r="O51" s="160">
        <v>0</v>
      </c>
      <c r="P51" s="1018">
        <f t="shared" si="27"/>
        <v>5019696.7039999999</v>
      </c>
      <c r="Q51" s="895">
        <f t="shared" si="28"/>
        <v>60236360.447999999</v>
      </c>
    </row>
    <row r="52" spans="2:17" s="180" customFormat="1" ht="21.75" customHeight="1" x14ac:dyDescent="0.25">
      <c r="B52" s="142">
        <v>4</v>
      </c>
      <c r="C52" s="153"/>
      <c r="D52" s="154" t="s">
        <v>183</v>
      </c>
      <c r="E52" s="154" t="s">
        <v>143</v>
      </c>
      <c r="F52" s="154" t="s">
        <v>184</v>
      </c>
      <c r="G52" s="156">
        <v>2869400</v>
      </c>
      <c r="H52" s="143">
        <v>0</v>
      </c>
      <c r="I52" s="158">
        <f t="shared" si="23"/>
        <v>172985.5</v>
      </c>
      <c r="J52" s="158">
        <f t="shared" si="24"/>
        <v>319677.20399999997</v>
      </c>
      <c r="K52" s="157">
        <f t="shared" si="25"/>
        <v>143470</v>
      </c>
      <c r="L52" s="157">
        <f>(G52*2%*3)</f>
        <v>172164</v>
      </c>
      <c r="M52" s="159">
        <f t="shared" si="26"/>
        <v>880000</v>
      </c>
      <c r="N52" s="159">
        <f t="shared" si="29"/>
        <v>462000</v>
      </c>
      <c r="O52" s="160">
        <v>0</v>
      </c>
      <c r="P52" s="1018">
        <f t="shared" si="27"/>
        <v>5019696.7039999999</v>
      </c>
      <c r="Q52" s="895">
        <f t="shared" si="28"/>
        <v>60236360.447999999</v>
      </c>
    </row>
    <row r="53" spans="2:17" s="180" customFormat="1" ht="21.75" customHeight="1" x14ac:dyDescent="0.25">
      <c r="B53" s="142">
        <v>5</v>
      </c>
      <c r="C53" s="153"/>
      <c r="D53" s="1163" t="s">
        <v>185</v>
      </c>
      <c r="E53" s="154" t="s">
        <v>143</v>
      </c>
      <c r="F53" s="181" t="s">
        <v>186</v>
      </c>
      <c r="G53" s="156">
        <v>2869400</v>
      </c>
      <c r="H53" s="182"/>
      <c r="I53" s="158">
        <f t="shared" si="23"/>
        <v>172985.5</v>
      </c>
      <c r="J53" s="158">
        <f t="shared" si="24"/>
        <v>319677.20399999997</v>
      </c>
      <c r="K53" s="157">
        <f t="shared" si="25"/>
        <v>143470</v>
      </c>
      <c r="L53" s="157">
        <f>(G53*2%*1)</f>
        <v>57388</v>
      </c>
      <c r="M53" s="159">
        <f t="shared" si="26"/>
        <v>880000</v>
      </c>
      <c r="N53" s="159">
        <f t="shared" si="29"/>
        <v>462000</v>
      </c>
      <c r="O53" s="160">
        <v>0</v>
      </c>
      <c r="P53" s="1018">
        <f t="shared" si="27"/>
        <v>4904920.7039999999</v>
      </c>
      <c r="Q53" s="895">
        <f t="shared" si="28"/>
        <v>58859048.447999999</v>
      </c>
    </row>
    <row r="54" spans="2:17" s="180" customFormat="1" ht="21.75" customHeight="1" x14ac:dyDescent="0.25">
      <c r="B54" s="142">
        <v>6</v>
      </c>
      <c r="C54" s="153"/>
      <c r="D54" s="154" t="s">
        <v>187</v>
      </c>
      <c r="E54" s="154" t="s">
        <v>143</v>
      </c>
      <c r="F54" s="154" t="s">
        <v>188</v>
      </c>
      <c r="G54" s="156">
        <v>2869400</v>
      </c>
      <c r="H54" s="156">
        <v>0</v>
      </c>
      <c r="I54" s="158">
        <f t="shared" si="23"/>
        <v>172985.5</v>
      </c>
      <c r="J54" s="158">
        <f t="shared" si="24"/>
        <v>319677.20399999997</v>
      </c>
      <c r="K54" s="157">
        <f t="shared" si="25"/>
        <v>143470</v>
      </c>
      <c r="L54" s="157">
        <f>(G54*2%*2)</f>
        <v>114776</v>
      </c>
      <c r="M54" s="159">
        <f t="shared" si="26"/>
        <v>880000</v>
      </c>
      <c r="N54" s="159">
        <f t="shared" si="29"/>
        <v>462000</v>
      </c>
      <c r="O54" s="160">
        <v>0</v>
      </c>
      <c r="P54" s="1018">
        <f t="shared" si="27"/>
        <v>4962308.7039999999</v>
      </c>
      <c r="Q54" s="895">
        <f t="shared" si="28"/>
        <v>59547704.447999999</v>
      </c>
    </row>
    <row r="55" spans="2:17" ht="21.75" customHeight="1" x14ac:dyDescent="0.25">
      <c r="B55" s="142">
        <v>7</v>
      </c>
      <c r="C55" s="153"/>
      <c r="D55" s="154" t="s">
        <v>189</v>
      </c>
      <c r="E55" s="154" t="s">
        <v>143</v>
      </c>
      <c r="F55" s="181" t="s">
        <v>190</v>
      </c>
      <c r="G55" s="156">
        <v>2869400</v>
      </c>
      <c r="H55" s="156">
        <v>0</v>
      </c>
      <c r="I55" s="158">
        <f t="shared" si="23"/>
        <v>172985.5</v>
      </c>
      <c r="J55" s="158">
        <f t="shared" si="24"/>
        <v>319677.20399999997</v>
      </c>
      <c r="K55" s="157">
        <f t="shared" si="25"/>
        <v>143470</v>
      </c>
      <c r="L55" s="157">
        <f>(G55*2%*2)</f>
        <v>114776</v>
      </c>
      <c r="M55" s="159">
        <f t="shared" si="26"/>
        <v>880000</v>
      </c>
      <c r="N55" s="159">
        <f t="shared" si="29"/>
        <v>462000</v>
      </c>
      <c r="O55" s="160">
        <v>0</v>
      </c>
      <c r="P55" s="1018">
        <f t="shared" si="27"/>
        <v>4962308.7039999999</v>
      </c>
      <c r="Q55" s="895">
        <f t="shared" si="28"/>
        <v>59547704.447999999</v>
      </c>
    </row>
    <row r="56" spans="2:17" ht="21.75" customHeight="1" x14ac:dyDescent="0.25">
      <c r="B56" s="142">
        <v>8</v>
      </c>
      <c r="C56" s="153"/>
      <c r="D56" s="154" t="s">
        <v>191</v>
      </c>
      <c r="E56" s="154" t="s">
        <v>153</v>
      </c>
      <c r="F56" s="181" t="s">
        <v>190</v>
      </c>
      <c r="G56" s="156">
        <v>2869400</v>
      </c>
      <c r="H56" s="156">
        <v>0</v>
      </c>
      <c r="I56" s="158">
        <f t="shared" si="23"/>
        <v>172985.5</v>
      </c>
      <c r="J56" s="158">
        <f t="shared" si="24"/>
        <v>319677.20399999997</v>
      </c>
      <c r="K56" s="157">
        <f t="shared" si="25"/>
        <v>143470</v>
      </c>
      <c r="L56" s="157">
        <f>(G56*2%*2)</f>
        <v>114776</v>
      </c>
      <c r="M56" s="159">
        <f t="shared" si="26"/>
        <v>880000</v>
      </c>
      <c r="N56" s="159">
        <f t="shared" si="29"/>
        <v>462000</v>
      </c>
      <c r="O56" s="160">
        <v>0</v>
      </c>
      <c r="P56" s="1018">
        <f t="shared" si="27"/>
        <v>4962308.7039999999</v>
      </c>
      <c r="Q56" s="895">
        <f t="shared" si="28"/>
        <v>59547704.447999999</v>
      </c>
    </row>
    <row r="57" spans="2:17" ht="21.75" customHeight="1" x14ac:dyDescent="0.25">
      <c r="B57" s="142">
        <v>9</v>
      </c>
      <c r="C57" s="153"/>
      <c r="D57" s="154" t="s">
        <v>192</v>
      </c>
      <c r="E57" s="154" t="s">
        <v>160</v>
      </c>
      <c r="F57" s="181" t="s">
        <v>193</v>
      </c>
      <c r="G57" s="156">
        <v>2869400</v>
      </c>
      <c r="H57" s="156">
        <v>0</v>
      </c>
      <c r="I57" s="158">
        <f t="shared" si="23"/>
        <v>172985.5</v>
      </c>
      <c r="J57" s="158">
        <f t="shared" si="24"/>
        <v>319677.20399999997</v>
      </c>
      <c r="K57" s="157">
        <f t="shared" si="25"/>
        <v>143470</v>
      </c>
      <c r="L57" s="157">
        <f>(G57*2%*3)</f>
        <v>172164</v>
      </c>
      <c r="M57" s="159">
        <f t="shared" si="26"/>
        <v>880000</v>
      </c>
      <c r="N57" s="159">
        <f t="shared" si="29"/>
        <v>462000</v>
      </c>
      <c r="O57" s="160">
        <v>0</v>
      </c>
      <c r="P57" s="1018">
        <f t="shared" si="27"/>
        <v>5019696.7039999999</v>
      </c>
      <c r="Q57" s="895">
        <f t="shared" si="28"/>
        <v>60236360.447999999</v>
      </c>
    </row>
    <row r="58" spans="2:17" ht="21.75" customHeight="1" x14ac:dyDescent="0.25">
      <c r="B58" s="142">
        <v>10</v>
      </c>
      <c r="C58" s="153"/>
      <c r="D58" s="154" t="s">
        <v>194</v>
      </c>
      <c r="E58" s="154" t="s">
        <v>153</v>
      </c>
      <c r="F58" s="181" t="s">
        <v>195</v>
      </c>
      <c r="G58" s="156">
        <v>2869400</v>
      </c>
      <c r="H58" s="156">
        <v>0</v>
      </c>
      <c r="I58" s="158">
        <f t="shared" si="23"/>
        <v>172985.5</v>
      </c>
      <c r="J58" s="158">
        <f t="shared" si="24"/>
        <v>319677.20399999997</v>
      </c>
      <c r="K58" s="157">
        <f t="shared" si="25"/>
        <v>143470</v>
      </c>
      <c r="L58" s="157">
        <f>(G58*2%*3)</f>
        <v>172164</v>
      </c>
      <c r="M58" s="159">
        <f t="shared" ref="M58:M60" si="30">SUM(4*10000*22)</f>
        <v>880000</v>
      </c>
      <c r="N58" s="159">
        <f t="shared" si="29"/>
        <v>462000</v>
      </c>
      <c r="O58" s="160">
        <v>0</v>
      </c>
      <c r="P58" s="1018">
        <f t="shared" si="27"/>
        <v>5019696.7039999999</v>
      </c>
      <c r="Q58" s="895">
        <f t="shared" si="28"/>
        <v>60236360.447999999</v>
      </c>
    </row>
    <row r="59" spans="2:17" ht="21.75" customHeight="1" x14ac:dyDescent="0.25">
      <c r="B59" s="142">
        <v>11</v>
      </c>
      <c r="C59" s="153"/>
      <c r="D59" s="154" t="s">
        <v>196</v>
      </c>
      <c r="E59" s="154" t="s">
        <v>143</v>
      </c>
      <c r="F59" s="154" t="s">
        <v>197</v>
      </c>
      <c r="G59" s="156">
        <v>2869400</v>
      </c>
      <c r="H59" s="156">
        <v>0</v>
      </c>
      <c r="I59" s="158">
        <f t="shared" si="23"/>
        <v>172985.5</v>
      </c>
      <c r="J59" s="158">
        <f t="shared" si="24"/>
        <v>319677.20399999997</v>
      </c>
      <c r="K59" s="157">
        <f t="shared" si="25"/>
        <v>143470</v>
      </c>
      <c r="L59" s="157">
        <f>(G59*2%*3)</f>
        <v>172164</v>
      </c>
      <c r="M59" s="159">
        <f t="shared" si="30"/>
        <v>880000</v>
      </c>
      <c r="N59" s="159">
        <f t="shared" si="29"/>
        <v>462000</v>
      </c>
      <c r="O59" s="160">
        <v>0</v>
      </c>
      <c r="P59" s="1018">
        <f t="shared" si="27"/>
        <v>5019696.7039999999</v>
      </c>
      <c r="Q59" s="895">
        <f>P59*12</f>
        <v>60236360.447999999</v>
      </c>
    </row>
    <row r="60" spans="2:17" ht="21.75" customHeight="1" x14ac:dyDescent="0.25">
      <c r="B60" s="142">
        <v>12</v>
      </c>
      <c r="C60" s="153"/>
      <c r="D60" s="154"/>
      <c r="E60" s="154" t="s">
        <v>153</v>
      </c>
      <c r="F60" s="154" t="s">
        <v>198</v>
      </c>
      <c r="G60" s="156">
        <v>2869400</v>
      </c>
      <c r="H60" s="156">
        <v>0</v>
      </c>
      <c r="I60" s="158">
        <f t="shared" si="23"/>
        <v>172985.5</v>
      </c>
      <c r="J60" s="158">
        <f t="shared" si="24"/>
        <v>319677.20399999997</v>
      </c>
      <c r="K60" s="157">
        <f t="shared" si="25"/>
        <v>143470</v>
      </c>
      <c r="L60" s="157">
        <f>(G60*2%*2)</f>
        <v>114776</v>
      </c>
      <c r="M60" s="159">
        <f t="shared" si="30"/>
        <v>880000</v>
      </c>
      <c r="N60" s="159">
        <f t="shared" si="29"/>
        <v>462000</v>
      </c>
      <c r="O60" s="160">
        <v>0</v>
      </c>
      <c r="P60" s="1018">
        <f t="shared" si="27"/>
        <v>4962308.7039999999</v>
      </c>
      <c r="Q60" s="895">
        <f t="shared" si="28"/>
        <v>59547704.447999999</v>
      </c>
    </row>
    <row r="61" spans="2:17" s="180" customFormat="1" ht="21.75" customHeight="1" thickBot="1" x14ac:dyDescent="0.3">
      <c r="B61" s="142">
        <v>13</v>
      </c>
      <c r="C61" s="153"/>
      <c r="D61" s="154"/>
      <c r="E61" s="154"/>
      <c r="F61" s="154"/>
      <c r="G61" s="156">
        <v>2869400</v>
      </c>
      <c r="H61" s="156">
        <v>0</v>
      </c>
      <c r="I61" s="158">
        <f>3459710*5%</f>
        <v>172985.5</v>
      </c>
      <c r="J61" s="158">
        <f>3459710*9.24%</f>
        <v>319677.20399999997</v>
      </c>
      <c r="K61" s="157">
        <f t="shared" si="25"/>
        <v>143470</v>
      </c>
      <c r="L61" s="157">
        <f>(G61*2%*3)</f>
        <v>172164</v>
      </c>
      <c r="M61" s="159">
        <f>SUM(4*10000*22)</f>
        <v>880000</v>
      </c>
      <c r="N61" s="159">
        <f t="shared" si="29"/>
        <v>462000</v>
      </c>
      <c r="O61" s="160">
        <v>0</v>
      </c>
      <c r="P61" s="1018">
        <f t="shared" si="27"/>
        <v>5019696.7039999999</v>
      </c>
      <c r="Q61" s="895">
        <f t="shared" si="28"/>
        <v>60236360.447999999</v>
      </c>
    </row>
    <row r="62" spans="2:17" ht="21.75" customHeight="1" thickTop="1" thickBot="1" x14ac:dyDescent="0.3">
      <c r="B62" s="1019"/>
      <c r="C62" s="1020"/>
      <c r="D62" s="1021"/>
      <c r="E62" s="1058" t="s">
        <v>20</v>
      </c>
      <c r="F62" s="1021"/>
      <c r="G62" s="1022">
        <f>SUM(G49:G61)</f>
        <v>37302200</v>
      </c>
      <c r="H62" s="1023"/>
      <c r="I62" s="1022">
        <f t="shared" ref="I62:O62" si="31">SUM(I49:I61)</f>
        <v>2248811.5</v>
      </c>
      <c r="J62" s="1022">
        <f t="shared" si="31"/>
        <v>4155803.6519999993</v>
      </c>
      <c r="K62" s="1022">
        <f t="shared" si="31"/>
        <v>1865110</v>
      </c>
      <c r="L62" s="1022">
        <f t="shared" si="31"/>
        <v>1836416</v>
      </c>
      <c r="M62" s="1022">
        <f t="shared" si="31"/>
        <v>11440000</v>
      </c>
      <c r="N62" s="1022">
        <f t="shared" si="31"/>
        <v>6006000</v>
      </c>
      <c r="O62" s="1022">
        <f t="shared" si="31"/>
        <v>0</v>
      </c>
      <c r="P62" s="1024">
        <f>SUM(P49:P61)</f>
        <v>64854341.15199998</v>
      </c>
      <c r="Q62" s="1024">
        <f>SUM(Q49:Q61)</f>
        <v>778252093.82399988</v>
      </c>
    </row>
    <row r="63" spans="2:17" ht="21.75" customHeight="1" thickTop="1" x14ac:dyDescent="0.25">
      <c r="C63" s="165"/>
      <c r="D63" s="166">
        <f>26+13+15+85+1</f>
        <v>140</v>
      </c>
      <c r="E63" s="166">
        <f>B15+B19+B38+B44+B61+B79+B167</f>
        <v>140</v>
      </c>
      <c r="F63" s="1154">
        <f>G64/F64</f>
        <v>3459710.0011704122</v>
      </c>
      <c r="G63" s="167">
        <v>492662.70416666666</v>
      </c>
      <c r="H63" s="1149">
        <f>G63-I63</f>
        <v>1.6666669398546219E-4</v>
      </c>
      <c r="I63" s="1025">
        <f>I61+J61</f>
        <v>492662.70399999997</v>
      </c>
      <c r="J63" s="1025">
        <f>9.24%*3500000</f>
        <v>323400</v>
      </c>
      <c r="K63" s="1026">
        <f>I63+J63</f>
        <v>816062.70399999991</v>
      </c>
      <c r="L63" s="1150">
        <f>9.24+5</f>
        <v>14.24</v>
      </c>
      <c r="M63" s="1151">
        <f>H63/L63</f>
        <v>1.1704121768642007E-5</v>
      </c>
      <c r="N63" s="1151">
        <f>M63*5</f>
        <v>5.8520608843210035E-5</v>
      </c>
      <c r="O63" s="185"/>
      <c r="P63" s="1028"/>
    </row>
    <row r="64" spans="2:17" ht="21.75" customHeight="1" x14ac:dyDescent="0.25">
      <c r="C64" s="165"/>
      <c r="D64" s="1029" t="s">
        <v>724</v>
      </c>
      <c r="E64" s="166"/>
      <c r="F64" s="1152">
        <v>0.05</v>
      </c>
      <c r="G64" s="167">
        <f>I61+N63</f>
        <v>172985.50005852061</v>
      </c>
      <c r="H64" s="167"/>
      <c r="I64" s="1025"/>
      <c r="J64" s="1025"/>
      <c r="K64" s="1026"/>
      <c r="L64" s="1026"/>
      <c r="M64" s="1027"/>
      <c r="N64" s="1027"/>
      <c r="O64" s="185"/>
      <c r="P64" s="1028"/>
    </row>
    <row r="65" spans="2:17" ht="21.75" customHeight="1" x14ac:dyDescent="0.25">
      <c r="B65" s="142">
        <v>1</v>
      </c>
      <c r="C65" s="153"/>
      <c r="D65" s="154"/>
      <c r="E65" s="154"/>
      <c r="F65" s="154"/>
      <c r="G65" s="156">
        <v>2456700</v>
      </c>
      <c r="H65" s="156">
        <v>0</v>
      </c>
      <c r="I65" s="158">
        <f t="shared" ref="I65:I79" si="32">3459710*5%</f>
        <v>172985.5</v>
      </c>
      <c r="J65" s="158">
        <f t="shared" ref="J65:J79" si="33">3459710*9.24%</f>
        <v>319677.20399999997</v>
      </c>
      <c r="K65" s="157">
        <f t="shared" ref="K65:K79" si="34">(G65*5%)</f>
        <v>122835</v>
      </c>
      <c r="L65" s="157">
        <f t="shared" ref="L65:L79" si="35">(G65*2%*3)</f>
        <v>147402</v>
      </c>
      <c r="M65" s="159">
        <f>SUM(4*10000*22)</f>
        <v>880000</v>
      </c>
      <c r="N65" s="159">
        <f>20000*22</f>
        <v>440000</v>
      </c>
      <c r="O65" s="160">
        <v>0</v>
      </c>
      <c r="P65" s="1018">
        <f>SUM(G65:O65)</f>
        <v>4539599.7039999999</v>
      </c>
      <c r="Q65" s="895">
        <f t="shared" ref="Q65:Q79" si="36">P65*12</f>
        <v>54475196.447999999</v>
      </c>
    </row>
    <row r="66" spans="2:17" ht="21.75" customHeight="1" x14ac:dyDescent="0.25">
      <c r="B66" s="142">
        <v>2</v>
      </c>
      <c r="C66" s="153"/>
      <c r="D66" s="154"/>
      <c r="E66" s="154"/>
      <c r="F66" s="154"/>
      <c r="G66" s="156">
        <v>2456700</v>
      </c>
      <c r="H66" s="156">
        <v>0</v>
      </c>
      <c r="I66" s="158">
        <f t="shared" si="32"/>
        <v>172985.5</v>
      </c>
      <c r="J66" s="158">
        <f t="shared" si="33"/>
        <v>319677.20399999997</v>
      </c>
      <c r="K66" s="157">
        <f t="shared" si="34"/>
        <v>122835</v>
      </c>
      <c r="L66" s="157">
        <f t="shared" si="35"/>
        <v>147402</v>
      </c>
      <c r="M66" s="159">
        <f t="shared" ref="M66:M79" si="37">SUM(4*10000*22)</f>
        <v>880000</v>
      </c>
      <c r="N66" s="159">
        <f t="shared" ref="N66:N79" si="38">20000*22</f>
        <v>440000</v>
      </c>
      <c r="O66" s="160">
        <v>0</v>
      </c>
      <c r="P66" s="1018">
        <f t="shared" ref="P66:P79" si="39">SUM(G66:O66)</f>
        <v>4539599.7039999999</v>
      </c>
      <c r="Q66" s="895">
        <f t="shared" si="36"/>
        <v>54475196.447999999</v>
      </c>
    </row>
    <row r="67" spans="2:17" ht="21.75" customHeight="1" x14ac:dyDescent="0.25">
      <c r="B67" s="142">
        <v>3</v>
      </c>
      <c r="C67" s="153"/>
      <c r="D67" s="154"/>
      <c r="E67" s="154"/>
      <c r="F67" s="154"/>
      <c r="G67" s="156">
        <v>2456700</v>
      </c>
      <c r="H67" s="156">
        <v>0</v>
      </c>
      <c r="I67" s="158">
        <f t="shared" si="32"/>
        <v>172985.5</v>
      </c>
      <c r="J67" s="158">
        <f t="shared" si="33"/>
        <v>319677.20399999997</v>
      </c>
      <c r="K67" s="157">
        <f t="shared" si="34"/>
        <v>122835</v>
      </c>
      <c r="L67" s="157">
        <f t="shared" si="35"/>
        <v>147402</v>
      </c>
      <c r="M67" s="159">
        <f t="shared" si="37"/>
        <v>880000</v>
      </c>
      <c r="N67" s="159">
        <f t="shared" si="38"/>
        <v>440000</v>
      </c>
      <c r="O67" s="160">
        <v>0</v>
      </c>
      <c r="P67" s="1018">
        <f t="shared" si="39"/>
        <v>4539599.7039999999</v>
      </c>
      <c r="Q67" s="895">
        <f t="shared" si="36"/>
        <v>54475196.447999999</v>
      </c>
    </row>
    <row r="68" spans="2:17" ht="21.75" customHeight="1" x14ac:dyDescent="0.25">
      <c r="B68" s="142">
        <v>4</v>
      </c>
      <c r="C68" s="153"/>
      <c r="D68" s="154"/>
      <c r="E68" s="154"/>
      <c r="F68" s="154"/>
      <c r="G68" s="156">
        <v>2456700</v>
      </c>
      <c r="H68" s="156">
        <v>0</v>
      </c>
      <c r="I68" s="158">
        <f t="shared" si="32"/>
        <v>172985.5</v>
      </c>
      <c r="J68" s="158">
        <f t="shared" si="33"/>
        <v>319677.20399999997</v>
      </c>
      <c r="K68" s="157">
        <f t="shared" si="34"/>
        <v>122835</v>
      </c>
      <c r="L68" s="157">
        <f t="shared" si="35"/>
        <v>147402</v>
      </c>
      <c r="M68" s="159">
        <f t="shared" si="37"/>
        <v>880000</v>
      </c>
      <c r="N68" s="159">
        <f t="shared" si="38"/>
        <v>440000</v>
      </c>
      <c r="O68" s="160">
        <v>0</v>
      </c>
      <c r="P68" s="1018">
        <f t="shared" si="39"/>
        <v>4539599.7039999999</v>
      </c>
      <c r="Q68" s="895">
        <f t="shared" si="36"/>
        <v>54475196.447999999</v>
      </c>
    </row>
    <row r="69" spans="2:17" ht="21.75" customHeight="1" x14ac:dyDescent="0.25">
      <c r="B69" s="142">
        <v>5</v>
      </c>
      <c r="C69" s="153"/>
      <c r="D69" s="154"/>
      <c r="E69" s="154"/>
      <c r="F69" s="154"/>
      <c r="G69" s="156">
        <v>2456700</v>
      </c>
      <c r="H69" s="156">
        <v>0</v>
      </c>
      <c r="I69" s="158">
        <f t="shared" si="32"/>
        <v>172985.5</v>
      </c>
      <c r="J69" s="158">
        <f t="shared" si="33"/>
        <v>319677.20399999997</v>
      </c>
      <c r="K69" s="157">
        <f t="shared" si="34"/>
        <v>122835</v>
      </c>
      <c r="L69" s="157">
        <f t="shared" si="35"/>
        <v>147402</v>
      </c>
      <c r="M69" s="159">
        <f t="shared" si="37"/>
        <v>880000</v>
      </c>
      <c r="N69" s="159">
        <f t="shared" si="38"/>
        <v>440000</v>
      </c>
      <c r="O69" s="160">
        <v>0</v>
      </c>
      <c r="P69" s="1018">
        <f t="shared" si="39"/>
        <v>4539599.7039999999</v>
      </c>
      <c r="Q69" s="895">
        <f t="shared" si="36"/>
        <v>54475196.447999999</v>
      </c>
    </row>
    <row r="70" spans="2:17" ht="21.75" customHeight="1" x14ac:dyDescent="0.25">
      <c r="B70" s="142">
        <v>6</v>
      </c>
      <c r="C70" s="153"/>
      <c r="D70" s="154"/>
      <c r="E70" s="154"/>
      <c r="F70" s="154"/>
      <c r="G70" s="156">
        <v>2456700</v>
      </c>
      <c r="H70" s="156">
        <v>0</v>
      </c>
      <c r="I70" s="158">
        <f t="shared" si="32"/>
        <v>172985.5</v>
      </c>
      <c r="J70" s="158">
        <f t="shared" si="33"/>
        <v>319677.20399999997</v>
      </c>
      <c r="K70" s="157">
        <f t="shared" si="34"/>
        <v>122835</v>
      </c>
      <c r="L70" s="157">
        <f t="shared" si="35"/>
        <v>147402</v>
      </c>
      <c r="M70" s="159">
        <f t="shared" si="37"/>
        <v>880000</v>
      </c>
      <c r="N70" s="159">
        <f t="shared" si="38"/>
        <v>440000</v>
      </c>
      <c r="O70" s="160">
        <v>0</v>
      </c>
      <c r="P70" s="1018">
        <f t="shared" si="39"/>
        <v>4539599.7039999999</v>
      </c>
      <c r="Q70" s="895">
        <f t="shared" si="36"/>
        <v>54475196.447999999</v>
      </c>
    </row>
    <row r="71" spans="2:17" ht="21.75" customHeight="1" x14ac:dyDescent="0.25">
      <c r="B71" s="142">
        <v>7</v>
      </c>
      <c r="C71" s="153"/>
      <c r="D71" s="154"/>
      <c r="E71" s="154"/>
      <c r="F71" s="154"/>
      <c r="G71" s="156">
        <v>2456700</v>
      </c>
      <c r="H71" s="156">
        <v>0</v>
      </c>
      <c r="I71" s="158">
        <f t="shared" si="32"/>
        <v>172985.5</v>
      </c>
      <c r="J71" s="158">
        <f t="shared" si="33"/>
        <v>319677.20399999997</v>
      </c>
      <c r="K71" s="157">
        <f t="shared" si="34"/>
        <v>122835</v>
      </c>
      <c r="L71" s="157">
        <f t="shared" si="35"/>
        <v>147402</v>
      </c>
      <c r="M71" s="159">
        <f t="shared" si="37"/>
        <v>880000</v>
      </c>
      <c r="N71" s="159">
        <f t="shared" si="38"/>
        <v>440000</v>
      </c>
      <c r="O71" s="160">
        <v>0</v>
      </c>
      <c r="P71" s="1018">
        <f t="shared" si="39"/>
        <v>4539599.7039999999</v>
      </c>
      <c r="Q71" s="895">
        <f t="shared" si="36"/>
        <v>54475196.447999999</v>
      </c>
    </row>
    <row r="72" spans="2:17" ht="21.75" customHeight="1" x14ac:dyDescent="0.25">
      <c r="B72" s="142">
        <v>8</v>
      </c>
      <c r="C72" s="153"/>
      <c r="D72" s="154"/>
      <c r="E72" s="154"/>
      <c r="F72" s="154"/>
      <c r="G72" s="156">
        <v>2456700</v>
      </c>
      <c r="H72" s="156">
        <v>0</v>
      </c>
      <c r="I72" s="158">
        <f t="shared" si="32"/>
        <v>172985.5</v>
      </c>
      <c r="J72" s="158">
        <f t="shared" si="33"/>
        <v>319677.20399999997</v>
      </c>
      <c r="K72" s="157">
        <f t="shared" si="34"/>
        <v>122835</v>
      </c>
      <c r="L72" s="157">
        <f t="shared" si="35"/>
        <v>147402</v>
      </c>
      <c r="M72" s="159">
        <f t="shared" si="37"/>
        <v>880000</v>
      </c>
      <c r="N72" s="159">
        <f t="shared" si="38"/>
        <v>440000</v>
      </c>
      <c r="O72" s="160">
        <v>0</v>
      </c>
      <c r="P72" s="1018">
        <f t="shared" si="39"/>
        <v>4539599.7039999999</v>
      </c>
      <c r="Q72" s="895">
        <f t="shared" si="36"/>
        <v>54475196.447999999</v>
      </c>
    </row>
    <row r="73" spans="2:17" ht="21.75" customHeight="1" x14ac:dyDescent="0.25">
      <c r="B73" s="142">
        <v>9</v>
      </c>
      <c r="C73" s="153"/>
      <c r="D73" s="154"/>
      <c r="E73" s="154"/>
      <c r="F73" s="154"/>
      <c r="G73" s="156">
        <v>1926000</v>
      </c>
      <c r="H73" s="156">
        <v>0</v>
      </c>
      <c r="I73" s="158">
        <f t="shared" si="32"/>
        <v>172985.5</v>
      </c>
      <c r="J73" s="158">
        <f t="shared" si="33"/>
        <v>319677.20399999997</v>
      </c>
      <c r="K73" s="157">
        <f t="shared" si="34"/>
        <v>96300</v>
      </c>
      <c r="L73" s="157">
        <f t="shared" si="35"/>
        <v>115560</v>
      </c>
      <c r="M73" s="159">
        <f t="shared" si="37"/>
        <v>880000</v>
      </c>
      <c r="N73" s="159">
        <f t="shared" si="38"/>
        <v>440000</v>
      </c>
      <c r="O73" s="160">
        <v>0</v>
      </c>
      <c r="P73" s="1018">
        <f t="shared" si="39"/>
        <v>3950522.7039999999</v>
      </c>
      <c r="Q73" s="895">
        <f t="shared" si="36"/>
        <v>47406272.447999999</v>
      </c>
    </row>
    <row r="74" spans="2:17" ht="21.75" customHeight="1" x14ac:dyDescent="0.25">
      <c r="B74" s="142">
        <v>10</v>
      </c>
      <c r="C74" s="153"/>
      <c r="D74" s="154"/>
      <c r="E74" s="154"/>
      <c r="F74" s="154"/>
      <c r="G74" s="156">
        <v>1926000</v>
      </c>
      <c r="H74" s="156">
        <v>0</v>
      </c>
      <c r="I74" s="158">
        <f t="shared" si="32"/>
        <v>172985.5</v>
      </c>
      <c r="J74" s="158">
        <f t="shared" si="33"/>
        <v>319677.20399999997</v>
      </c>
      <c r="K74" s="157">
        <f t="shared" si="34"/>
        <v>96300</v>
      </c>
      <c r="L74" s="157">
        <f t="shared" si="35"/>
        <v>115560</v>
      </c>
      <c r="M74" s="159">
        <f t="shared" si="37"/>
        <v>880000</v>
      </c>
      <c r="N74" s="159">
        <f t="shared" si="38"/>
        <v>440000</v>
      </c>
      <c r="O74" s="160">
        <v>0</v>
      </c>
      <c r="P74" s="1018">
        <f t="shared" si="39"/>
        <v>3950522.7039999999</v>
      </c>
      <c r="Q74" s="895">
        <f t="shared" si="36"/>
        <v>47406272.447999999</v>
      </c>
    </row>
    <row r="75" spans="2:17" ht="21.75" customHeight="1" x14ac:dyDescent="0.25">
      <c r="B75" s="142">
        <v>11</v>
      </c>
      <c r="C75" s="153"/>
      <c r="D75" s="154"/>
      <c r="E75" s="154"/>
      <c r="F75" s="154"/>
      <c r="G75" s="156">
        <v>1926000</v>
      </c>
      <c r="H75" s="156">
        <v>0</v>
      </c>
      <c r="I75" s="158">
        <f t="shared" si="32"/>
        <v>172985.5</v>
      </c>
      <c r="J75" s="158">
        <f t="shared" si="33"/>
        <v>319677.20399999997</v>
      </c>
      <c r="K75" s="157">
        <f t="shared" si="34"/>
        <v>96300</v>
      </c>
      <c r="L75" s="157">
        <f t="shared" si="35"/>
        <v>115560</v>
      </c>
      <c r="M75" s="159">
        <f t="shared" si="37"/>
        <v>880000</v>
      </c>
      <c r="N75" s="159">
        <f t="shared" si="38"/>
        <v>440000</v>
      </c>
      <c r="O75" s="160">
        <v>0</v>
      </c>
      <c r="P75" s="1018">
        <f t="shared" si="39"/>
        <v>3950522.7039999999</v>
      </c>
      <c r="Q75" s="895">
        <f t="shared" si="36"/>
        <v>47406272.447999999</v>
      </c>
    </row>
    <row r="76" spans="2:17" ht="21.75" customHeight="1" x14ac:dyDescent="0.25">
      <c r="B76" s="142">
        <v>12</v>
      </c>
      <c r="C76" s="153"/>
      <c r="D76" s="154"/>
      <c r="E76" s="154"/>
      <c r="F76" s="154"/>
      <c r="G76" s="156">
        <v>1926000</v>
      </c>
      <c r="H76" s="156">
        <v>0</v>
      </c>
      <c r="I76" s="158">
        <f t="shared" si="32"/>
        <v>172985.5</v>
      </c>
      <c r="J76" s="158">
        <f t="shared" si="33"/>
        <v>319677.20399999997</v>
      </c>
      <c r="K76" s="157">
        <f t="shared" si="34"/>
        <v>96300</v>
      </c>
      <c r="L76" s="157">
        <f t="shared" si="35"/>
        <v>115560</v>
      </c>
      <c r="M76" s="159">
        <f t="shared" si="37"/>
        <v>880000</v>
      </c>
      <c r="N76" s="159">
        <f t="shared" si="38"/>
        <v>440000</v>
      </c>
      <c r="O76" s="160">
        <v>0</v>
      </c>
      <c r="P76" s="1018">
        <f t="shared" si="39"/>
        <v>3950522.7039999999</v>
      </c>
      <c r="Q76" s="895">
        <f t="shared" si="36"/>
        <v>47406272.447999999</v>
      </c>
    </row>
    <row r="77" spans="2:17" ht="21.75" customHeight="1" x14ac:dyDescent="0.25">
      <c r="B77" s="142">
        <v>13</v>
      </c>
      <c r="C77" s="153"/>
      <c r="D77" s="154"/>
      <c r="E77" s="154"/>
      <c r="F77" s="154"/>
      <c r="G77" s="156">
        <v>1926000</v>
      </c>
      <c r="H77" s="156">
        <v>0</v>
      </c>
      <c r="I77" s="158">
        <f t="shared" si="32"/>
        <v>172985.5</v>
      </c>
      <c r="J77" s="158">
        <f t="shared" si="33"/>
        <v>319677.20399999997</v>
      </c>
      <c r="K77" s="157">
        <f t="shared" si="34"/>
        <v>96300</v>
      </c>
      <c r="L77" s="157">
        <f t="shared" si="35"/>
        <v>115560</v>
      </c>
      <c r="M77" s="159">
        <f t="shared" si="37"/>
        <v>880000</v>
      </c>
      <c r="N77" s="159">
        <f t="shared" si="38"/>
        <v>440000</v>
      </c>
      <c r="O77" s="160">
        <v>0</v>
      </c>
      <c r="P77" s="1018">
        <f t="shared" si="39"/>
        <v>3950522.7039999999</v>
      </c>
      <c r="Q77" s="895">
        <f t="shared" si="36"/>
        <v>47406272.447999999</v>
      </c>
    </row>
    <row r="78" spans="2:17" ht="21.75" customHeight="1" x14ac:dyDescent="0.25">
      <c r="B78" s="142">
        <v>14</v>
      </c>
      <c r="C78" s="153"/>
      <c r="D78" s="154"/>
      <c r="E78" s="154"/>
      <c r="F78" s="154"/>
      <c r="G78" s="156">
        <v>1926000</v>
      </c>
      <c r="H78" s="156">
        <v>0</v>
      </c>
      <c r="I78" s="158">
        <f t="shared" si="32"/>
        <v>172985.5</v>
      </c>
      <c r="J78" s="158">
        <f t="shared" si="33"/>
        <v>319677.20399999997</v>
      </c>
      <c r="K78" s="157">
        <f t="shared" si="34"/>
        <v>96300</v>
      </c>
      <c r="L78" s="157">
        <f t="shared" si="35"/>
        <v>115560</v>
      </c>
      <c r="M78" s="159">
        <f t="shared" si="37"/>
        <v>880000</v>
      </c>
      <c r="N78" s="159">
        <f t="shared" si="38"/>
        <v>440000</v>
      </c>
      <c r="O78" s="160">
        <v>0</v>
      </c>
      <c r="P78" s="1018">
        <f t="shared" si="39"/>
        <v>3950522.7039999999</v>
      </c>
      <c r="Q78" s="895">
        <f t="shared" si="36"/>
        <v>47406272.447999999</v>
      </c>
    </row>
    <row r="79" spans="2:17" ht="21.75" customHeight="1" x14ac:dyDescent="0.25">
      <c r="B79" s="142">
        <v>15</v>
      </c>
      <c r="C79" s="153"/>
      <c r="D79" s="154"/>
      <c r="E79" s="154"/>
      <c r="F79" s="154"/>
      <c r="G79" s="156">
        <v>1926000</v>
      </c>
      <c r="H79" s="156">
        <v>0</v>
      </c>
      <c r="I79" s="158">
        <f t="shared" si="32"/>
        <v>172985.5</v>
      </c>
      <c r="J79" s="158">
        <f t="shared" si="33"/>
        <v>319677.20399999997</v>
      </c>
      <c r="K79" s="157">
        <f t="shared" si="34"/>
        <v>96300</v>
      </c>
      <c r="L79" s="157">
        <f t="shared" si="35"/>
        <v>115560</v>
      </c>
      <c r="M79" s="159">
        <f t="shared" si="37"/>
        <v>880000</v>
      </c>
      <c r="N79" s="159">
        <f t="shared" si="38"/>
        <v>440000</v>
      </c>
      <c r="O79" s="160">
        <v>0</v>
      </c>
      <c r="P79" s="1018">
        <f t="shared" si="39"/>
        <v>3950522.7039999999</v>
      </c>
      <c r="Q79" s="895">
        <f t="shared" si="36"/>
        <v>47406272.447999999</v>
      </c>
    </row>
    <row r="80" spans="2:17" ht="21.75" customHeight="1" x14ac:dyDescent="0.25">
      <c r="B80" s="142"/>
      <c r="C80" s="153"/>
      <c r="D80" s="154"/>
      <c r="E80" s="1058" t="s">
        <v>20</v>
      </c>
      <c r="F80" s="154"/>
      <c r="G80" s="143">
        <f>SUM(G65:G79)</f>
        <v>33135600</v>
      </c>
      <c r="H80" s="143">
        <f>SUM(H65:H79)</f>
        <v>0</v>
      </c>
      <c r="I80" s="143">
        <f>SUM(I65:I79)</f>
        <v>2594782.5</v>
      </c>
      <c r="J80" s="143">
        <f t="shared" ref="J80:N80" si="40">SUM(J65:J79)</f>
        <v>4795158.0599999996</v>
      </c>
      <c r="K80" s="143">
        <f t="shared" si="40"/>
        <v>1656780</v>
      </c>
      <c r="L80" s="143">
        <f t="shared" si="40"/>
        <v>1988136</v>
      </c>
      <c r="M80" s="143">
        <f t="shared" si="40"/>
        <v>13200000</v>
      </c>
      <c r="N80" s="143">
        <f t="shared" si="40"/>
        <v>6600000</v>
      </c>
      <c r="O80" s="143">
        <f t="shared" ref="O80" si="41">SUM(O65:O79)</f>
        <v>0</v>
      </c>
      <c r="P80" s="143">
        <f t="shared" ref="P80" si="42">SUM(P65:P79)</f>
        <v>63970456.559999973</v>
      </c>
      <c r="Q80" s="164">
        <f>SUM(Q65:Q79)</f>
        <v>767645478.71999991</v>
      </c>
    </row>
    <row r="81" spans="2:19" ht="21.75" customHeight="1" x14ac:dyDescent="0.25">
      <c r="C81" s="165"/>
      <c r="D81" s="1153"/>
      <c r="E81" s="166"/>
      <c r="F81" s="1153">
        <f>G16+G20+G39+G45+G62+G80+G168</f>
        <v>249797200</v>
      </c>
      <c r="G81" s="167">
        <f>G80*80%</f>
        <v>26508480</v>
      </c>
      <c r="H81" s="167">
        <f>D81-E81</f>
        <v>0</v>
      </c>
      <c r="I81" s="168"/>
      <c r="J81" s="169"/>
      <c r="K81" s="167"/>
      <c r="L81" s="167"/>
      <c r="M81" s="169"/>
      <c r="N81" s="169"/>
      <c r="O81" s="170"/>
    </row>
    <row r="82" spans="2:19" ht="21.75" customHeight="1" x14ac:dyDescent="0.25">
      <c r="C82" s="165"/>
      <c r="D82" s="179" t="s">
        <v>199</v>
      </c>
      <c r="E82" s="166"/>
      <c r="F82" s="166"/>
      <c r="G82" s="167"/>
      <c r="H82" s="167">
        <f>H81/12</f>
        <v>0</v>
      </c>
      <c r="I82" s="168">
        <f>H82/15</f>
        <v>0</v>
      </c>
      <c r="J82" s="169"/>
      <c r="K82" s="167"/>
      <c r="L82" s="167"/>
      <c r="M82" s="169"/>
      <c r="N82" s="169"/>
      <c r="O82" s="170"/>
    </row>
    <row r="83" spans="2:19" ht="21.75" customHeight="1" x14ac:dyDescent="0.25">
      <c r="B83" s="142">
        <v>1</v>
      </c>
      <c r="C83" s="153"/>
      <c r="D83" s="154"/>
      <c r="E83" s="183" t="s">
        <v>200</v>
      </c>
      <c r="F83" s="181" t="s">
        <v>201</v>
      </c>
      <c r="G83" s="156">
        <v>1200000</v>
      </c>
      <c r="H83" s="156">
        <v>0</v>
      </c>
      <c r="I83" s="158">
        <f t="shared" ref="I83:I146" si="43">3459710*5%</f>
        <v>172985.5</v>
      </c>
      <c r="J83" s="158">
        <f t="shared" ref="J83:J146" si="44">3459710*9.24%</f>
        <v>319677.20399999997</v>
      </c>
      <c r="K83" s="156">
        <v>0</v>
      </c>
      <c r="L83" s="156">
        <v>0</v>
      </c>
      <c r="M83" s="159">
        <f>SUM(3*10000*22)</f>
        <v>660000</v>
      </c>
      <c r="N83" s="159">
        <f>20000*22</f>
        <v>440000</v>
      </c>
      <c r="O83" s="160">
        <v>0</v>
      </c>
      <c r="P83" s="1018">
        <f>SUM(G83:O83)</f>
        <v>2792662.7039999999</v>
      </c>
      <c r="Q83" s="895">
        <f t="shared" ref="Q83:Q146" si="45">P83*12</f>
        <v>33511952.447999999</v>
      </c>
    </row>
    <row r="84" spans="2:19" ht="21.75" customHeight="1" x14ac:dyDescent="0.25">
      <c r="B84" s="142">
        <v>2</v>
      </c>
      <c r="C84" s="153"/>
      <c r="D84" s="154"/>
      <c r="E84" s="183" t="s">
        <v>200</v>
      </c>
      <c r="F84" s="154" t="s">
        <v>202</v>
      </c>
      <c r="G84" s="156">
        <v>1200000</v>
      </c>
      <c r="H84" s="156">
        <v>0</v>
      </c>
      <c r="I84" s="158">
        <f t="shared" si="43"/>
        <v>172985.5</v>
      </c>
      <c r="J84" s="158">
        <f t="shared" si="44"/>
        <v>319677.20399999997</v>
      </c>
      <c r="K84" s="156">
        <v>0</v>
      </c>
      <c r="L84" s="156">
        <v>0</v>
      </c>
      <c r="M84" s="159">
        <f t="shared" ref="M84:M147" si="46">SUM(3*10000*22)</f>
        <v>660000</v>
      </c>
      <c r="N84" s="159">
        <f t="shared" ref="N84:N147" si="47">20000*22</f>
        <v>440000</v>
      </c>
      <c r="O84" s="160">
        <v>0</v>
      </c>
      <c r="P84" s="1018">
        <f t="shared" ref="P84:P147" si="48">SUM(G84:O84)</f>
        <v>2792662.7039999999</v>
      </c>
      <c r="Q84" s="895">
        <f t="shared" si="45"/>
        <v>33511952.447999999</v>
      </c>
    </row>
    <row r="85" spans="2:19" ht="21.75" customHeight="1" x14ac:dyDescent="0.25">
      <c r="B85" s="142">
        <v>3</v>
      </c>
      <c r="C85" s="153"/>
      <c r="D85" s="154"/>
      <c r="E85" s="183" t="s">
        <v>200</v>
      </c>
      <c r="F85" s="154" t="s">
        <v>197</v>
      </c>
      <c r="G85" s="156">
        <v>1200000</v>
      </c>
      <c r="H85" s="156">
        <v>0</v>
      </c>
      <c r="I85" s="158">
        <f t="shared" si="43"/>
        <v>172985.5</v>
      </c>
      <c r="J85" s="158">
        <f t="shared" si="44"/>
        <v>319677.20399999997</v>
      </c>
      <c r="K85" s="156">
        <v>0</v>
      </c>
      <c r="L85" s="156">
        <v>0</v>
      </c>
      <c r="M85" s="159">
        <f t="shared" si="46"/>
        <v>660000</v>
      </c>
      <c r="N85" s="159">
        <f t="shared" si="47"/>
        <v>440000</v>
      </c>
      <c r="O85" s="160">
        <v>0</v>
      </c>
      <c r="P85" s="1018">
        <f t="shared" si="48"/>
        <v>2792662.7039999999</v>
      </c>
      <c r="Q85" s="895">
        <f t="shared" si="45"/>
        <v>33511952.447999999</v>
      </c>
    </row>
    <row r="86" spans="2:19" ht="21.75" customHeight="1" x14ac:dyDescent="0.25">
      <c r="B86" s="142">
        <v>4</v>
      </c>
      <c r="C86" s="153"/>
      <c r="D86" s="154"/>
      <c r="E86" s="183" t="s">
        <v>200</v>
      </c>
      <c r="F86" s="154" t="s">
        <v>203</v>
      </c>
      <c r="G86" s="156">
        <v>1200000</v>
      </c>
      <c r="H86" s="156">
        <v>0</v>
      </c>
      <c r="I86" s="158">
        <f t="shared" si="43"/>
        <v>172985.5</v>
      </c>
      <c r="J86" s="158">
        <f t="shared" si="44"/>
        <v>319677.20399999997</v>
      </c>
      <c r="K86" s="156">
        <v>0</v>
      </c>
      <c r="L86" s="156">
        <v>0</v>
      </c>
      <c r="M86" s="159">
        <f t="shared" si="46"/>
        <v>660000</v>
      </c>
      <c r="N86" s="159">
        <f t="shared" si="47"/>
        <v>440000</v>
      </c>
      <c r="O86" s="160">
        <v>0</v>
      </c>
      <c r="P86" s="1018">
        <f t="shared" si="48"/>
        <v>2792662.7039999999</v>
      </c>
      <c r="Q86" s="895">
        <f t="shared" si="45"/>
        <v>33511952.447999999</v>
      </c>
    </row>
    <row r="87" spans="2:19" ht="21.75" customHeight="1" x14ac:dyDescent="0.25">
      <c r="B87" s="142">
        <v>5</v>
      </c>
      <c r="C87" s="153"/>
      <c r="D87" s="154"/>
      <c r="E87" s="183" t="s">
        <v>200</v>
      </c>
      <c r="F87" s="154" t="s">
        <v>204</v>
      </c>
      <c r="G87" s="156">
        <v>1200000</v>
      </c>
      <c r="H87" s="156">
        <v>0</v>
      </c>
      <c r="I87" s="158">
        <f t="shared" si="43"/>
        <v>172985.5</v>
      </c>
      <c r="J87" s="158">
        <f t="shared" si="44"/>
        <v>319677.20399999997</v>
      </c>
      <c r="K87" s="156">
        <v>0</v>
      </c>
      <c r="L87" s="156">
        <v>0</v>
      </c>
      <c r="M87" s="159">
        <f t="shared" si="46"/>
        <v>660000</v>
      </c>
      <c r="N87" s="159">
        <f t="shared" si="47"/>
        <v>440000</v>
      </c>
      <c r="O87" s="160">
        <v>0</v>
      </c>
      <c r="P87" s="1018">
        <f t="shared" si="48"/>
        <v>2792662.7039999999</v>
      </c>
      <c r="Q87" s="895">
        <f t="shared" si="45"/>
        <v>33511952.447999999</v>
      </c>
    </row>
    <row r="88" spans="2:19" ht="21.75" customHeight="1" x14ac:dyDescent="0.25">
      <c r="B88" s="142">
        <v>6</v>
      </c>
      <c r="C88" s="153"/>
      <c r="D88" s="154"/>
      <c r="E88" s="183" t="s">
        <v>200</v>
      </c>
      <c r="F88" s="154" t="s">
        <v>205</v>
      </c>
      <c r="G88" s="156">
        <v>1200000</v>
      </c>
      <c r="H88" s="156">
        <v>0</v>
      </c>
      <c r="I88" s="158">
        <f t="shared" si="43"/>
        <v>172985.5</v>
      </c>
      <c r="J88" s="158">
        <f t="shared" si="44"/>
        <v>319677.20399999997</v>
      </c>
      <c r="K88" s="156">
        <v>0</v>
      </c>
      <c r="L88" s="156">
        <v>0</v>
      </c>
      <c r="M88" s="159">
        <f t="shared" si="46"/>
        <v>660000</v>
      </c>
      <c r="N88" s="159">
        <f t="shared" si="47"/>
        <v>440000</v>
      </c>
      <c r="O88" s="160">
        <v>0</v>
      </c>
      <c r="P88" s="1018">
        <f t="shared" si="48"/>
        <v>2792662.7039999999</v>
      </c>
      <c r="Q88" s="895">
        <f t="shared" si="45"/>
        <v>33511952.447999999</v>
      </c>
    </row>
    <row r="89" spans="2:19" ht="21.75" customHeight="1" x14ac:dyDescent="0.25">
      <c r="B89" s="142">
        <v>7</v>
      </c>
      <c r="C89" s="153"/>
      <c r="D89" s="154"/>
      <c r="E89" s="183" t="s">
        <v>200</v>
      </c>
      <c r="F89" s="154" t="s">
        <v>206</v>
      </c>
      <c r="G89" s="156">
        <v>1200000</v>
      </c>
      <c r="H89" s="156">
        <v>0</v>
      </c>
      <c r="I89" s="158">
        <f t="shared" si="43"/>
        <v>172985.5</v>
      </c>
      <c r="J89" s="158">
        <f t="shared" si="44"/>
        <v>319677.20399999997</v>
      </c>
      <c r="K89" s="156">
        <v>0</v>
      </c>
      <c r="L89" s="156">
        <v>0</v>
      </c>
      <c r="M89" s="159">
        <f t="shared" si="46"/>
        <v>660000</v>
      </c>
      <c r="N89" s="159">
        <f t="shared" si="47"/>
        <v>440000</v>
      </c>
      <c r="O89" s="160">
        <v>0</v>
      </c>
      <c r="P89" s="1018">
        <f t="shared" si="48"/>
        <v>2792662.7039999999</v>
      </c>
      <c r="Q89" s="895">
        <f t="shared" si="45"/>
        <v>33511952.447999999</v>
      </c>
      <c r="R89" s="162"/>
      <c r="S89" s="162"/>
    </row>
    <row r="90" spans="2:19" ht="21.75" customHeight="1" x14ac:dyDescent="0.25">
      <c r="B90" s="142">
        <v>8</v>
      </c>
      <c r="C90" s="153"/>
      <c r="D90" s="154"/>
      <c r="E90" s="183" t="s">
        <v>200</v>
      </c>
      <c r="F90" s="154" t="s">
        <v>201</v>
      </c>
      <c r="G90" s="156">
        <v>1200000</v>
      </c>
      <c r="H90" s="156">
        <v>0</v>
      </c>
      <c r="I90" s="158">
        <f t="shared" si="43"/>
        <v>172985.5</v>
      </c>
      <c r="J90" s="158">
        <f t="shared" si="44"/>
        <v>319677.20399999997</v>
      </c>
      <c r="K90" s="156">
        <v>0</v>
      </c>
      <c r="L90" s="156">
        <v>0</v>
      </c>
      <c r="M90" s="159">
        <f t="shared" si="46"/>
        <v>660000</v>
      </c>
      <c r="N90" s="159">
        <f t="shared" si="47"/>
        <v>440000</v>
      </c>
      <c r="O90" s="160">
        <v>0</v>
      </c>
      <c r="P90" s="1018">
        <f t="shared" si="48"/>
        <v>2792662.7039999999</v>
      </c>
      <c r="Q90" s="895">
        <f t="shared" si="45"/>
        <v>33511952.447999999</v>
      </c>
    </row>
    <row r="91" spans="2:19" ht="21.75" customHeight="1" x14ac:dyDescent="0.25">
      <c r="B91" s="142">
        <v>9</v>
      </c>
      <c r="C91" s="153"/>
      <c r="D91" s="154"/>
      <c r="E91" s="183" t="s">
        <v>200</v>
      </c>
      <c r="F91" s="154" t="s">
        <v>204</v>
      </c>
      <c r="G91" s="156">
        <v>1200000</v>
      </c>
      <c r="H91" s="156">
        <v>0</v>
      </c>
      <c r="I91" s="158">
        <f t="shared" si="43"/>
        <v>172985.5</v>
      </c>
      <c r="J91" s="158">
        <f t="shared" si="44"/>
        <v>319677.20399999997</v>
      </c>
      <c r="K91" s="156">
        <v>0</v>
      </c>
      <c r="L91" s="156">
        <v>0</v>
      </c>
      <c r="M91" s="159">
        <f t="shared" si="46"/>
        <v>660000</v>
      </c>
      <c r="N91" s="159">
        <f t="shared" si="47"/>
        <v>440000</v>
      </c>
      <c r="O91" s="160">
        <v>0</v>
      </c>
      <c r="P91" s="1018">
        <f t="shared" si="48"/>
        <v>2792662.7039999999</v>
      </c>
      <c r="Q91" s="895">
        <f t="shared" si="45"/>
        <v>33511952.447999999</v>
      </c>
    </row>
    <row r="92" spans="2:19" ht="21.75" customHeight="1" x14ac:dyDescent="0.25">
      <c r="B92" s="142">
        <v>10</v>
      </c>
      <c r="C92" s="153"/>
      <c r="D92" s="154"/>
      <c r="E92" s="183" t="s">
        <v>200</v>
      </c>
      <c r="F92" s="154" t="s">
        <v>201</v>
      </c>
      <c r="G92" s="156">
        <v>1200000</v>
      </c>
      <c r="H92" s="156">
        <v>0</v>
      </c>
      <c r="I92" s="158">
        <f t="shared" si="43"/>
        <v>172985.5</v>
      </c>
      <c r="J92" s="158">
        <f t="shared" si="44"/>
        <v>319677.20399999997</v>
      </c>
      <c r="K92" s="156">
        <v>0</v>
      </c>
      <c r="L92" s="156">
        <v>0</v>
      </c>
      <c r="M92" s="159">
        <f t="shared" si="46"/>
        <v>660000</v>
      </c>
      <c r="N92" s="159">
        <f t="shared" si="47"/>
        <v>440000</v>
      </c>
      <c r="O92" s="160">
        <v>0</v>
      </c>
      <c r="P92" s="1018">
        <f t="shared" si="48"/>
        <v>2792662.7039999999</v>
      </c>
      <c r="Q92" s="895">
        <f t="shared" si="45"/>
        <v>33511952.447999999</v>
      </c>
    </row>
    <row r="93" spans="2:19" ht="21.75" customHeight="1" x14ac:dyDescent="0.25">
      <c r="B93" s="142">
        <v>11</v>
      </c>
      <c r="C93" s="153"/>
      <c r="D93" s="154"/>
      <c r="E93" s="183" t="s">
        <v>200</v>
      </c>
      <c r="F93" s="154" t="s">
        <v>207</v>
      </c>
      <c r="G93" s="156">
        <v>1200000</v>
      </c>
      <c r="H93" s="156">
        <v>0</v>
      </c>
      <c r="I93" s="158">
        <f t="shared" si="43"/>
        <v>172985.5</v>
      </c>
      <c r="J93" s="158">
        <f t="shared" si="44"/>
        <v>319677.20399999997</v>
      </c>
      <c r="K93" s="156">
        <v>0</v>
      </c>
      <c r="L93" s="156">
        <v>0</v>
      </c>
      <c r="M93" s="159">
        <f t="shared" si="46"/>
        <v>660000</v>
      </c>
      <c r="N93" s="159">
        <f t="shared" si="47"/>
        <v>440000</v>
      </c>
      <c r="O93" s="160">
        <v>0</v>
      </c>
      <c r="P93" s="1018">
        <f t="shared" si="48"/>
        <v>2792662.7039999999</v>
      </c>
      <c r="Q93" s="895">
        <f t="shared" si="45"/>
        <v>33511952.447999999</v>
      </c>
    </row>
    <row r="94" spans="2:19" ht="21.75" customHeight="1" x14ac:dyDescent="0.25">
      <c r="B94" s="142">
        <v>12</v>
      </c>
      <c r="C94" s="153"/>
      <c r="D94" s="154"/>
      <c r="E94" s="183" t="s">
        <v>200</v>
      </c>
      <c r="F94" s="181" t="s">
        <v>208</v>
      </c>
      <c r="G94" s="156">
        <v>1200000</v>
      </c>
      <c r="H94" s="156">
        <v>0</v>
      </c>
      <c r="I94" s="158">
        <f t="shared" si="43"/>
        <v>172985.5</v>
      </c>
      <c r="J94" s="158">
        <f t="shared" si="44"/>
        <v>319677.20399999997</v>
      </c>
      <c r="K94" s="156">
        <v>0</v>
      </c>
      <c r="L94" s="156">
        <v>0</v>
      </c>
      <c r="M94" s="159">
        <f t="shared" si="46"/>
        <v>660000</v>
      </c>
      <c r="N94" s="159">
        <f t="shared" si="47"/>
        <v>440000</v>
      </c>
      <c r="O94" s="160">
        <v>0</v>
      </c>
      <c r="P94" s="1018">
        <f t="shared" si="48"/>
        <v>2792662.7039999999</v>
      </c>
      <c r="Q94" s="895">
        <f t="shared" si="45"/>
        <v>33511952.447999999</v>
      </c>
    </row>
    <row r="95" spans="2:19" ht="21.75" customHeight="1" x14ac:dyDescent="0.25">
      <c r="B95" s="142">
        <v>13</v>
      </c>
      <c r="C95" s="153"/>
      <c r="D95" s="154"/>
      <c r="E95" s="183" t="s">
        <v>200</v>
      </c>
      <c r="F95" s="154" t="s">
        <v>209</v>
      </c>
      <c r="G95" s="156">
        <v>1200000</v>
      </c>
      <c r="H95" s="156">
        <v>0</v>
      </c>
      <c r="I95" s="158">
        <f t="shared" si="43"/>
        <v>172985.5</v>
      </c>
      <c r="J95" s="158">
        <f t="shared" si="44"/>
        <v>319677.20399999997</v>
      </c>
      <c r="K95" s="156">
        <v>0</v>
      </c>
      <c r="L95" s="156">
        <v>0</v>
      </c>
      <c r="M95" s="159">
        <f t="shared" si="46"/>
        <v>660000</v>
      </c>
      <c r="N95" s="159">
        <f t="shared" si="47"/>
        <v>440000</v>
      </c>
      <c r="O95" s="160">
        <v>0</v>
      </c>
      <c r="P95" s="1018">
        <f t="shared" si="48"/>
        <v>2792662.7039999999</v>
      </c>
      <c r="Q95" s="895">
        <f t="shared" si="45"/>
        <v>33511952.447999999</v>
      </c>
    </row>
    <row r="96" spans="2:19" ht="21.75" customHeight="1" x14ac:dyDescent="0.25">
      <c r="B96" s="142">
        <v>14</v>
      </c>
      <c r="C96" s="153"/>
      <c r="D96" s="154"/>
      <c r="E96" s="183" t="s">
        <v>200</v>
      </c>
      <c r="F96" s="154" t="s">
        <v>210</v>
      </c>
      <c r="G96" s="156">
        <v>1200000</v>
      </c>
      <c r="H96" s="156">
        <v>0</v>
      </c>
      <c r="I96" s="158">
        <f t="shared" si="43"/>
        <v>172985.5</v>
      </c>
      <c r="J96" s="158">
        <f t="shared" si="44"/>
        <v>319677.20399999997</v>
      </c>
      <c r="K96" s="156">
        <v>0</v>
      </c>
      <c r="L96" s="156">
        <v>0</v>
      </c>
      <c r="M96" s="159">
        <f t="shared" si="46"/>
        <v>660000</v>
      </c>
      <c r="N96" s="159">
        <f t="shared" si="47"/>
        <v>440000</v>
      </c>
      <c r="O96" s="160">
        <v>0</v>
      </c>
      <c r="P96" s="1018">
        <f t="shared" si="48"/>
        <v>2792662.7039999999</v>
      </c>
      <c r="Q96" s="895">
        <f t="shared" si="45"/>
        <v>33511952.447999999</v>
      </c>
    </row>
    <row r="97" spans="2:17" ht="21.75" customHeight="1" x14ac:dyDescent="0.25">
      <c r="B97" s="142">
        <v>15</v>
      </c>
      <c r="C97" s="153"/>
      <c r="D97" s="154"/>
      <c r="E97" s="183" t="s">
        <v>200</v>
      </c>
      <c r="F97" s="154" t="s">
        <v>204</v>
      </c>
      <c r="G97" s="156">
        <v>1200000</v>
      </c>
      <c r="H97" s="156">
        <v>0</v>
      </c>
      <c r="I97" s="158">
        <f t="shared" si="43"/>
        <v>172985.5</v>
      </c>
      <c r="J97" s="158">
        <f t="shared" si="44"/>
        <v>319677.20399999997</v>
      </c>
      <c r="K97" s="156">
        <v>0</v>
      </c>
      <c r="L97" s="156">
        <v>0</v>
      </c>
      <c r="M97" s="159">
        <f t="shared" si="46"/>
        <v>660000</v>
      </c>
      <c r="N97" s="159">
        <f t="shared" si="47"/>
        <v>440000</v>
      </c>
      <c r="O97" s="160">
        <v>0</v>
      </c>
      <c r="P97" s="1018">
        <f t="shared" si="48"/>
        <v>2792662.7039999999</v>
      </c>
      <c r="Q97" s="895">
        <f t="shared" si="45"/>
        <v>33511952.447999999</v>
      </c>
    </row>
    <row r="98" spans="2:17" ht="21.75" customHeight="1" x14ac:dyDescent="0.25">
      <c r="B98" s="142">
        <v>16</v>
      </c>
      <c r="C98" s="153"/>
      <c r="D98" s="154"/>
      <c r="E98" s="183" t="s">
        <v>200</v>
      </c>
      <c r="F98" s="154" t="s">
        <v>203</v>
      </c>
      <c r="G98" s="156">
        <v>1200000</v>
      </c>
      <c r="H98" s="156">
        <v>0</v>
      </c>
      <c r="I98" s="158">
        <f t="shared" si="43"/>
        <v>172985.5</v>
      </c>
      <c r="J98" s="158">
        <f t="shared" si="44"/>
        <v>319677.20399999997</v>
      </c>
      <c r="K98" s="156">
        <v>0</v>
      </c>
      <c r="L98" s="156">
        <v>0</v>
      </c>
      <c r="M98" s="159">
        <f t="shared" si="46"/>
        <v>660000</v>
      </c>
      <c r="N98" s="159">
        <f t="shared" si="47"/>
        <v>440000</v>
      </c>
      <c r="O98" s="160">
        <v>0</v>
      </c>
      <c r="P98" s="1018">
        <f t="shared" si="48"/>
        <v>2792662.7039999999</v>
      </c>
      <c r="Q98" s="895">
        <f t="shared" si="45"/>
        <v>33511952.447999999</v>
      </c>
    </row>
    <row r="99" spans="2:17" ht="21.75" customHeight="1" x14ac:dyDescent="0.25">
      <c r="B99" s="142">
        <v>17</v>
      </c>
      <c r="C99" s="153"/>
      <c r="D99" s="154"/>
      <c r="E99" s="183" t="s">
        <v>200</v>
      </c>
      <c r="F99" s="154" t="s">
        <v>211</v>
      </c>
      <c r="G99" s="156">
        <v>1200000</v>
      </c>
      <c r="H99" s="156">
        <v>0</v>
      </c>
      <c r="I99" s="158">
        <f t="shared" si="43"/>
        <v>172985.5</v>
      </c>
      <c r="J99" s="158">
        <f t="shared" si="44"/>
        <v>319677.20399999997</v>
      </c>
      <c r="K99" s="156">
        <v>0</v>
      </c>
      <c r="L99" s="156">
        <v>0</v>
      </c>
      <c r="M99" s="159">
        <f t="shared" si="46"/>
        <v>660000</v>
      </c>
      <c r="N99" s="159">
        <f t="shared" si="47"/>
        <v>440000</v>
      </c>
      <c r="O99" s="160">
        <v>0</v>
      </c>
      <c r="P99" s="1018">
        <f t="shared" si="48"/>
        <v>2792662.7039999999</v>
      </c>
      <c r="Q99" s="895">
        <f t="shared" si="45"/>
        <v>33511952.447999999</v>
      </c>
    </row>
    <row r="100" spans="2:17" ht="21.75" customHeight="1" x14ac:dyDescent="0.25">
      <c r="B100" s="142">
        <v>18</v>
      </c>
      <c r="C100" s="153"/>
      <c r="D100" s="154"/>
      <c r="E100" s="183" t="s">
        <v>200</v>
      </c>
      <c r="F100" s="154" t="s">
        <v>203</v>
      </c>
      <c r="G100" s="156">
        <v>1200000</v>
      </c>
      <c r="H100" s="156">
        <v>0</v>
      </c>
      <c r="I100" s="158">
        <f t="shared" si="43"/>
        <v>172985.5</v>
      </c>
      <c r="J100" s="158">
        <f t="shared" si="44"/>
        <v>319677.20399999997</v>
      </c>
      <c r="K100" s="156">
        <v>0</v>
      </c>
      <c r="L100" s="156">
        <v>0</v>
      </c>
      <c r="M100" s="159">
        <f t="shared" si="46"/>
        <v>660000</v>
      </c>
      <c r="N100" s="159">
        <f t="shared" si="47"/>
        <v>440000</v>
      </c>
      <c r="O100" s="160">
        <v>0</v>
      </c>
      <c r="P100" s="1018">
        <f t="shared" si="48"/>
        <v>2792662.7039999999</v>
      </c>
      <c r="Q100" s="895">
        <f t="shared" si="45"/>
        <v>33511952.447999999</v>
      </c>
    </row>
    <row r="101" spans="2:17" ht="21.75" customHeight="1" x14ac:dyDescent="0.25">
      <c r="B101" s="142">
        <v>19</v>
      </c>
      <c r="C101" s="153"/>
      <c r="D101" s="154"/>
      <c r="E101" s="183" t="s">
        <v>200</v>
      </c>
      <c r="F101" s="154" t="s">
        <v>201</v>
      </c>
      <c r="G101" s="156">
        <v>1200000</v>
      </c>
      <c r="H101" s="156">
        <v>0</v>
      </c>
      <c r="I101" s="158">
        <f t="shared" si="43"/>
        <v>172985.5</v>
      </c>
      <c r="J101" s="158">
        <f t="shared" si="44"/>
        <v>319677.20399999997</v>
      </c>
      <c r="K101" s="156">
        <v>0</v>
      </c>
      <c r="L101" s="156">
        <v>0</v>
      </c>
      <c r="M101" s="159">
        <f t="shared" si="46"/>
        <v>660000</v>
      </c>
      <c r="N101" s="159">
        <f t="shared" si="47"/>
        <v>440000</v>
      </c>
      <c r="O101" s="160">
        <v>0</v>
      </c>
      <c r="P101" s="1018">
        <f t="shared" si="48"/>
        <v>2792662.7039999999</v>
      </c>
      <c r="Q101" s="895">
        <f t="shared" si="45"/>
        <v>33511952.447999999</v>
      </c>
    </row>
    <row r="102" spans="2:17" ht="21.75" customHeight="1" x14ac:dyDescent="0.25">
      <c r="B102" s="142">
        <v>20</v>
      </c>
      <c r="C102" s="153"/>
      <c r="D102" s="154"/>
      <c r="E102" s="183" t="s">
        <v>200</v>
      </c>
      <c r="F102" s="154" t="s">
        <v>198</v>
      </c>
      <c r="G102" s="156">
        <v>1200000</v>
      </c>
      <c r="H102" s="156">
        <v>0</v>
      </c>
      <c r="I102" s="158">
        <f t="shared" si="43"/>
        <v>172985.5</v>
      </c>
      <c r="J102" s="158">
        <f t="shared" si="44"/>
        <v>319677.20399999997</v>
      </c>
      <c r="K102" s="156">
        <v>0</v>
      </c>
      <c r="L102" s="156">
        <v>0</v>
      </c>
      <c r="M102" s="159">
        <f t="shared" si="46"/>
        <v>660000</v>
      </c>
      <c r="N102" s="159">
        <f t="shared" si="47"/>
        <v>440000</v>
      </c>
      <c r="O102" s="160">
        <v>0</v>
      </c>
      <c r="P102" s="1018">
        <f t="shared" si="48"/>
        <v>2792662.7039999999</v>
      </c>
      <c r="Q102" s="895">
        <f t="shared" si="45"/>
        <v>33511952.447999999</v>
      </c>
    </row>
    <row r="103" spans="2:17" ht="21.75" customHeight="1" x14ac:dyDescent="0.25">
      <c r="B103" s="142">
        <v>21</v>
      </c>
      <c r="C103" s="153"/>
      <c r="D103" s="154"/>
      <c r="E103" s="183" t="s">
        <v>200</v>
      </c>
      <c r="F103" s="154" t="s">
        <v>212</v>
      </c>
      <c r="G103" s="156">
        <v>1200000</v>
      </c>
      <c r="H103" s="156">
        <v>0</v>
      </c>
      <c r="I103" s="158">
        <f t="shared" si="43"/>
        <v>172985.5</v>
      </c>
      <c r="J103" s="158">
        <f t="shared" si="44"/>
        <v>319677.20399999997</v>
      </c>
      <c r="K103" s="156">
        <f>SUM(G103*12%*0)</f>
        <v>0</v>
      </c>
      <c r="L103" s="156">
        <v>0</v>
      </c>
      <c r="M103" s="159">
        <f t="shared" si="46"/>
        <v>660000</v>
      </c>
      <c r="N103" s="159">
        <f t="shared" si="47"/>
        <v>440000</v>
      </c>
      <c r="O103" s="160">
        <v>0</v>
      </c>
      <c r="P103" s="1018">
        <f t="shared" si="48"/>
        <v>2792662.7039999999</v>
      </c>
      <c r="Q103" s="895">
        <f t="shared" si="45"/>
        <v>33511952.447999999</v>
      </c>
    </row>
    <row r="104" spans="2:17" ht="21.75" customHeight="1" x14ac:dyDescent="0.25">
      <c r="B104" s="142">
        <v>22</v>
      </c>
      <c r="C104" s="153"/>
      <c r="D104" s="154"/>
      <c r="E104" s="183" t="s">
        <v>200</v>
      </c>
      <c r="F104" s="154" t="s">
        <v>198</v>
      </c>
      <c r="G104" s="156">
        <v>1200000</v>
      </c>
      <c r="H104" s="156">
        <v>0</v>
      </c>
      <c r="I104" s="158">
        <f t="shared" si="43"/>
        <v>172985.5</v>
      </c>
      <c r="J104" s="158">
        <f t="shared" si="44"/>
        <v>319677.20399999997</v>
      </c>
      <c r="K104" s="156">
        <v>0</v>
      </c>
      <c r="L104" s="156">
        <v>0</v>
      </c>
      <c r="M104" s="159">
        <f t="shared" si="46"/>
        <v>660000</v>
      </c>
      <c r="N104" s="159">
        <f t="shared" si="47"/>
        <v>440000</v>
      </c>
      <c r="O104" s="160">
        <v>0</v>
      </c>
      <c r="P104" s="1018">
        <f t="shared" si="48"/>
        <v>2792662.7039999999</v>
      </c>
      <c r="Q104" s="895">
        <f t="shared" si="45"/>
        <v>33511952.447999999</v>
      </c>
    </row>
    <row r="105" spans="2:17" ht="21.75" customHeight="1" x14ac:dyDescent="0.25">
      <c r="B105" s="142">
        <v>23</v>
      </c>
      <c r="C105" s="153"/>
      <c r="D105" s="154"/>
      <c r="E105" s="183" t="s">
        <v>200</v>
      </c>
      <c r="F105" s="154" t="s">
        <v>213</v>
      </c>
      <c r="G105" s="156">
        <v>1200000</v>
      </c>
      <c r="H105" s="156">
        <v>0</v>
      </c>
      <c r="I105" s="158">
        <f t="shared" si="43"/>
        <v>172985.5</v>
      </c>
      <c r="J105" s="158">
        <f t="shared" si="44"/>
        <v>319677.20399999997</v>
      </c>
      <c r="K105" s="156">
        <v>0</v>
      </c>
      <c r="L105" s="156">
        <v>0</v>
      </c>
      <c r="M105" s="159">
        <f t="shared" si="46"/>
        <v>660000</v>
      </c>
      <c r="N105" s="159">
        <f t="shared" si="47"/>
        <v>440000</v>
      </c>
      <c r="O105" s="160">
        <v>0</v>
      </c>
      <c r="P105" s="1018">
        <f t="shared" si="48"/>
        <v>2792662.7039999999</v>
      </c>
      <c r="Q105" s="895">
        <f t="shared" si="45"/>
        <v>33511952.447999999</v>
      </c>
    </row>
    <row r="106" spans="2:17" ht="21.75" customHeight="1" x14ac:dyDescent="0.25">
      <c r="B106" s="142">
        <v>24</v>
      </c>
      <c r="C106" s="153"/>
      <c r="D106" s="154"/>
      <c r="E106" s="183" t="s">
        <v>200</v>
      </c>
      <c r="F106" s="154" t="s">
        <v>214</v>
      </c>
      <c r="G106" s="156">
        <v>1200000</v>
      </c>
      <c r="H106" s="156">
        <v>0</v>
      </c>
      <c r="I106" s="158">
        <f t="shared" si="43"/>
        <v>172985.5</v>
      </c>
      <c r="J106" s="158">
        <f t="shared" si="44"/>
        <v>319677.20399999997</v>
      </c>
      <c r="K106" s="156">
        <v>0</v>
      </c>
      <c r="L106" s="156">
        <v>0</v>
      </c>
      <c r="M106" s="159">
        <f t="shared" si="46"/>
        <v>660000</v>
      </c>
      <c r="N106" s="159">
        <f t="shared" si="47"/>
        <v>440000</v>
      </c>
      <c r="O106" s="160">
        <v>0</v>
      </c>
      <c r="P106" s="1018">
        <f t="shared" si="48"/>
        <v>2792662.7039999999</v>
      </c>
      <c r="Q106" s="895">
        <f t="shared" si="45"/>
        <v>33511952.447999999</v>
      </c>
    </row>
    <row r="107" spans="2:17" ht="21.75" customHeight="1" x14ac:dyDescent="0.25">
      <c r="B107" s="142">
        <v>25</v>
      </c>
      <c r="C107" s="153"/>
      <c r="D107" s="154"/>
      <c r="E107" s="183" t="s">
        <v>200</v>
      </c>
      <c r="F107" s="154" t="s">
        <v>206</v>
      </c>
      <c r="G107" s="156">
        <v>1200000</v>
      </c>
      <c r="H107" s="156">
        <v>0</v>
      </c>
      <c r="I107" s="158">
        <f t="shared" si="43"/>
        <v>172985.5</v>
      </c>
      <c r="J107" s="158">
        <f t="shared" si="44"/>
        <v>319677.20399999997</v>
      </c>
      <c r="K107" s="156">
        <f>SUM(G107*12%*0)</f>
        <v>0</v>
      </c>
      <c r="L107" s="156">
        <f>SUM(G107*6%*0)</f>
        <v>0</v>
      </c>
      <c r="M107" s="159">
        <f t="shared" si="46"/>
        <v>660000</v>
      </c>
      <c r="N107" s="159">
        <f t="shared" si="47"/>
        <v>440000</v>
      </c>
      <c r="O107" s="160">
        <v>0</v>
      </c>
      <c r="P107" s="1018">
        <f t="shared" si="48"/>
        <v>2792662.7039999999</v>
      </c>
      <c r="Q107" s="895">
        <f t="shared" si="45"/>
        <v>33511952.447999999</v>
      </c>
    </row>
    <row r="108" spans="2:17" ht="21.75" customHeight="1" x14ac:dyDescent="0.25">
      <c r="B108" s="142">
        <v>26</v>
      </c>
      <c r="C108" s="153"/>
      <c r="D108" s="154"/>
      <c r="E108" s="183" t="s">
        <v>200</v>
      </c>
      <c r="F108" s="154" t="s">
        <v>213</v>
      </c>
      <c r="G108" s="156">
        <v>1200000</v>
      </c>
      <c r="H108" s="156">
        <v>0</v>
      </c>
      <c r="I108" s="158">
        <f t="shared" si="43"/>
        <v>172985.5</v>
      </c>
      <c r="J108" s="158">
        <f t="shared" si="44"/>
        <v>319677.20399999997</v>
      </c>
      <c r="K108" s="156">
        <v>0</v>
      </c>
      <c r="L108" s="156">
        <v>0</v>
      </c>
      <c r="M108" s="159">
        <f t="shared" si="46"/>
        <v>660000</v>
      </c>
      <c r="N108" s="159">
        <f t="shared" si="47"/>
        <v>440000</v>
      </c>
      <c r="O108" s="160">
        <v>0</v>
      </c>
      <c r="P108" s="1018">
        <f t="shared" si="48"/>
        <v>2792662.7039999999</v>
      </c>
      <c r="Q108" s="895">
        <f t="shared" si="45"/>
        <v>33511952.447999999</v>
      </c>
    </row>
    <row r="109" spans="2:17" ht="21.75" customHeight="1" x14ac:dyDescent="0.25">
      <c r="B109" s="142">
        <v>27</v>
      </c>
      <c r="C109" s="153"/>
      <c r="D109" s="154"/>
      <c r="E109" s="183" t="s">
        <v>200</v>
      </c>
      <c r="F109" s="154" t="s">
        <v>213</v>
      </c>
      <c r="G109" s="156">
        <v>1200000</v>
      </c>
      <c r="H109" s="156">
        <v>0</v>
      </c>
      <c r="I109" s="158">
        <f t="shared" si="43"/>
        <v>172985.5</v>
      </c>
      <c r="J109" s="158">
        <f t="shared" si="44"/>
        <v>319677.20399999997</v>
      </c>
      <c r="K109" s="156">
        <v>0</v>
      </c>
      <c r="L109" s="156">
        <v>0</v>
      </c>
      <c r="M109" s="159">
        <f t="shared" si="46"/>
        <v>660000</v>
      </c>
      <c r="N109" s="159">
        <f t="shared" si="47"/>
        <v>440000</v>
      </c>
      <c r="O109" s="160">
        <v>0</v>
      </c>
      <c r="P109" s="1018">
        <f t="shared" si="48"/>
        <v>2792662.7039999999</v>
      </c>
      <c r="Q109" s="895">
        <f t="shared" si="45"/>
        <v>33511952.447999999</v>
      </c>
    </row>
    <row r="110" spans="2:17" ht="21.75" customHeight="1" x14ac:dyDescent="0.25">
      <c r="B110" s="142">
        <v>28</v>
      </c>
      <c r="C110" s="153"/>
      <c r="D110" s="154"/>
      <c r="E110" s="183" t="s">
        <v>200</v>
      </c>
      <c r="F110" s="154" t="s">
        <v>215</v>
      </c>
      <c r="G110" s="156">
        <v>1200000</v>
      </c>
      <c r="H110" s="156">
        <v>0</v>
      </c>
      <c r="I110" s="158">
        <f t="shared" si="43"/>
        <v>172985.5</v>
      </c>
      <c r="J110" s="158">
        <f t="shared" si="44"/>
        <v>319677.20399999997</v>
      </c>
      <c r="K110" s="156">
        <v>0</v>
      </c>
      <c r="L110" s="156">
        <f>SUM(G110*6%*0)</f>
        <v>0</v>
      </c>
      <c r="M110" s="159">
        <f t="shared" si="46"/>
        <v>660000</v>
      </c>
      <c r="N110" s="159">
        <f t="shared" si="47"/>
        <v>440000</v>
      </c>
      <c r="O110" s="160">
        <v>0</v>
      </c>
      <c r="P110" s="1018">
        <f t="shared" si="48"/>
        <v>2792662.7039999999</v>
      </c>
      <c r="Q110" s="895">
        <f t="shared" si="45"/>
        <v>33511952.447999999</v>
      </c>
    </row>
    <row r="111" spans="2:17" ht="21.75" customHeight="1" x14ac:dyDescent="0.25">
      <c r="B111" s="142">
        <v>29</v>
      </c>
      <c r="C111" s="153"/>
      <c r="D111" s="154"/>
      <c r="E111" s="183" t="s">
        <v>200</v>
      </c>
      <c r="F111" s="154" t="s">
        <v>198</v>
      </c>
      <c r="G111" s="156">
        <v>1200000</v>
      </c>
      <c r="H111" s="156">
        <v>0</v>
      </c>
      <c r="I111" s="158">
        <f t="shared" si="43"/>
        <v>172985.5</v>
      </c>
      <c r="J111" s="158">
        <f t="shared" si="44"/>
        <v>319677.20399999997</v>
      </c>
      <c r="K111" s="156">
        <v>0</v>
      </c>
      <c r="L111" s="156">
        <v>0</v>
      </c>
      <c r="M111" s="159">
        <f t="shared" si="46"/>
        <v>660000</v>
      </c>
      <c r="N111" s="159">
        <f t="shared" si="47"/>
        <v>440000</v>
      </c>
      <c r="O111" s="160">
        <v>0</v>
      </c>
      <c r="P111" s="1018">
        <f t="shared" si="48"/>
        <v>2792662.7039999999</v>
      </c>
      <c r="Q111" s="895">
        <f t="shared" si="45"/>
        <v>33511952.447999999</v>
      </c>
    </row>
    <row r="112" spans="2:17" ht="21.75" customHeight="1" x14ac:dyDescent="0.25">
      <c r="B112" s="142">
        <v>30</v>
      </c>
      <c r="C112" s="153"/>
      <c r="D112" s="154"/>
      <c r="E112" s="183" t="s">
        <v>200</v>
      </c>
      <c r="F112" s="154" t="s">
        <v>186</v>
      </c>
      <c r="G112" s="156">
        <v>1200000</v>
      </c>
      <c r="H112" s="156">
        <v>0</v>
      </c>
      <c r="I112" s="158">
        <f t="shared" si="43"/>
        <v>172985.5</v>
      </c>
      <c r="J112" s="158">
        <f t="shared" si="44"/>
        <v>319677.20399999997</v>
      </c>
      <c r="K112" s="156">
        <v>0</v>
      </c>
      <c r="L112" s="156">
        <f>SUM(G112*6%*0)</f>
        <v>0</v>
      </c>
      <c r="M112" s="159">
        <f t="shared" si="46"/>
        <v>660000</v>
      </c>
      <c r="N112" s="159">
        <f t="shared" si="47"/>
        <v>440000</v>
      </c>
      <c r="O112" s="160">
        <v>0</v>
      </c>
      <c r="P112" s="1018">
        <f t="shared" si="48"/>
        <v>2792662.7039999999</v>
      </c>
      <c r="Q112" s="895">
        <f t="shared" si="45"/>
        <v>33511952.447999999</v>
      </c>
    </row>
    <row r="113" spans="2:17" ht="21.75" customHeight="1" x14ac:dyDescent="0.25">
      <c r="B113" s="142">
        <v>31</v>
      </c>
      <c r="C113" s="153"/>
      <c r="D113" s="154"/>
      <c r="E113" s="183" t="s">
        <v>200</v>
      </c>
      <c r="F113" s="154" t="s">
        <v>201</v>
      </c>
      <c r="G113" s="156">
        <v>1200000</v>
      </c>
      <c r="H113" s="156">
        <v>0</v>
      </c>
      <c r="I113" s="158">
        <f t="shared" si="43"/>
        <v>172985.5</v>
      </c>
      <c r="J113" s="158">
        <f t="shared" si="44"/>
        <v>319677.20399999997</v>
      </c>
      <c r="K113" s="156">
        <f>SUM(G113*12%*0)</f>
        <v>0</v>
      </c>
      <c r="L113" s="156">
        <f>SUM(G113*6%*0)</f>
        <v>0</v>
      </c>
      <c r="M113" s="159">
        <f t="shared" si="46"/>
        <v>660000</v>
      </c>
      <c r="N113" s="159">
        <f t="shared" si="47"/>
        <v>440000</v>
      </c>
      <c r="O113" s="160">
        <v>0</v>
      </c>
      <c r="P113" s="1018">
        <f t="shared" si="48"/>
        <v>2792662.7039999999</v>
      </c>
      <c r="Q113" s="895">
        <f t="shared" si="45"/>
        <v>33511952.447999999</v>
      </c>
    </row>
    <row r="114" spans="2:17" ht="21.75" customHeight="1" x14ac:dyDescent="0.25">
      <c r="B114" s="142">
        <v>32</v>
      </c>
      <c r="C114" s="153"/>
      <c r="D114" s="154"/>
      <c r="E114" s="183" t="s">
        <v>200</v>
      </c>
      <c r="F114" s="154" t="s">
        <v>216</v>
      </c>
      <c r="G114" s="156">
        <v>1200000</v>
      </c>
      <c r="H114" s="156">
        <v>0</v>
      </c>
      <c r="I114" s="158">
        <f t="shared" si="43"/>
        <v>172985.5</v>
      </c>
      <c r="J114" s="158">
        <f t="shared" si="44"/>
        <v>319677.20399999997</v>
      </c>
      <c r="K114" s="156">
        <f>SUM(G114*12%*0)</f>
        <v>0</v>
      </c>
      <c r="L114" s="156">
        <f>SUM(G114*6%*0)</f>
        <v>0</v>
      </c>
      <c r="M114" s="159">
        <f t="shared" si="46"/>
        <v>660000</v>
      </c>
      <c r="N114" s="159">
        <f t="shared" si="47"/>
        <v>440000</v>
      </c>
      <c r="O114" s="160">
        <v>0</v>
      </c>
      <c r="P114" s="1018">
        <f t="shared" si="48"/>
        <v>2792662.7039999999</v>
      </c>
      <c r="Q114" s="895">
        <f t="shared" si="45"/>
        <v>33511952.447999999</v>
      </c>
    </row>
    <row r="115" spans="2:17" ht="21.75" customHeight="1" x14ac:dyDescent="0.25">
      <c r="B115" s="142">
        <v>33</v>
      </c>
      <c r="C115" s="153"/>
      <c r="D115" s="154"/>
      <c r="E115" s="183" t="s">
        <v>200</v>
      </c>
      <c r="F115" s="154" t="s">
        <v>213</v>
      </c>
      <c r="G115" s="156">
        <v>1200000</v>
      </c>
      <c r="H115" s="156">
        <v>0</v>
      </c>
      <c r="I115" s="158">
        <f t="shared" si="43"/>
        <v>172985.5</v>
      </c>
      <c r="J115" s="158">
        <f t="shared" si="44"/>
        <v>319677.20399999997</v>
      </c>
      <c r="K115" s="156">
        <v>0</v>
      </c>
      <c r="L115" s="156">
        <v>0</v>
      </c>
      <c r="M115" s="159">
        <f t="shared" si="46"/>
        <v>660000</v>
      </c>
      <c r="N115" s="159">
        <f t="shared" si="47"/>
        <v>440000</v>
      </c>
      <c r="O115" s="160">
        <v>0</v>
      </c>
      <c r="P115" s="1018">
        <f t="shared" si="48"/>
        <v>2792662.7039999999</v>
      </c>
      <c r="Q115" s="895">
        <f t="shared" si="45"/>
        <v>33511952.447999999</v>
      </c>
    </row>
    <row r="116" spans="2:17" ht="21.75" customHeight="1" x14ac:dyDescent="0.25">
      <c r="B116" s="142">
        <v>34</v>
      </c>
      <c r="C116" s="153"/>
      <c r="D116" s="154"/>
      <c r="E116" s="183" t="s">
        <v>200</v>
      </c>
      <c r="F116" s="154" t="s">
        <v>201</v>
      </c>
      <c r="G116" s="156">
        <v>1200000</v>
      </c>
      <c r="H116" s="156">
        <v>0</v>
      </c>
      <c r="I116" s="158">
        <f t="shared" si="43"/>
        <v>172985.5</v>
      </c>
      <c r="J116" s="158">
        <f t="shared" si="44"/>
        <v>319677.20399999997</v>
      </c>
      <c r="K116" s="156">
        <f>SUM(G116*12%*0)</f>
        <v>0</v>
      </c>
      <c r="L116" s="156">
        <f>SUM(G116*6%*0)</f>
        <v>0</v>
      </c>
      <c r="M116" s="159">
        <f t="shared" si="46"/>
        <v>660000</v>
      </c>
      <c r="N116" s="159">
        <f t="shared" si="47"/>
        <v>440000</v>
      </c>
      <c r="O116" s="160">
        <v>0</v>
      </c>
      <c r="P116" s="1018">
        <f t="shared" si="48"/>
        <v>2792662.7039999999</v>
      </c>
      <c r="Q116" s="895">
        <f t="shared" si="45"/>
        <v>33511952.447999999</v>
      </c>
    </row>
    <row r="117" spans="2:17" ht="21.75" customHeight="1" x14ac:dyDescent="0.25">
      <c r="B117" s="142">
        <v>35</v>
      </c>
      <c r="C117" s="153"/>
      <c r="D117" s="154"/>
      <c r="E117" s="183" t="s">
        <v>200</v>
      </c>
      <c r="F117" s="154" t="s">
        <v>217</v>
      </c>
      <c r="G117" s="156">
        <v>1200000</v>
      </c>
      <c r="H117" s="156">
        <v>0</v>
      </c>
      <c r="I117" s="158">
        <f t="shared" si="43"/>
        <v>172985.5</v>
      </c>
      <c r="J117" s="158">
        <f t="shared" si="44"/>
        <v>319677.20399999997</v>
      </c>
      <c r="K117" s="156">
        <v>0</v>
      </c>
      <c r="L117" s="156">
        <v>0</v>
      </c>
      <c r="M117" s="159">
        <f t="shared" si="46"/>
        <v>660000</v>
      </c>
      <c r="N117" s="159">
        <f t="shared" si="47"/>
        <v>440000</v>
      </c>
      <c r="O117" s="160">
        <v>0</v>
      </c>
      <c r="P117" s="1018">
        <f t="shared" si="48"/>
        <v>2792662.7039999999</v>
      </c>
      <c r="Q117" s="895">
        <f t="shared" si="45"/>
        <v>33511952.447999999</v>
      </c>
    </row>
    <row r="118" spans="2:17" ht="21.75" customHeight="1" x14ac:dyDescent="0.25">
      <c r="B118" s="142">
        <v>36</v>
      </c>
      <c r="C118" s="153"/>
      <c r="D118" s="154"/>
      <c r="E118" s="183" t="s">
        <v>200</v>
      </c>
      <c r="F118" s="154" t="s">
        <v>217</v>
      </c>
      <c r="G118" s="156">
        <v>1200000</v>
      </c>
      <c r="H118" s="156">
        <v>0</v>
      </c>
      <c r="I118" s="158">
        <f t="shared" si="43"/>
        <v>172985.5</v>
      </c>
      <c r="J118" s="158">
        <f t="shared" si="44"/>
        <v>319677.20399999997</v>
      </c>
      <c r="K118" s="156">
        <v>0</v>
      </c>
      <c r="L118" s="156">
        <v>0</v>
      </c>
      <c r="M118" s="159">
        <f t="shared" si="46"/>
        <v>660000</v>
      </c>
      <c r="N118" s="159">
        <f t="shared" si="47"/>
        <v>440000</v>
      </c>
      <c r="O118" s="160">
        <v>0</v>
      </c>
      <c r="P118" s="1018">
        <f t="shared" si="48"/>
        <v>2792662.7039999999</v>
      </c>
      <c r="Q118" s="895">
        <f t="shared" si="45"/>
        <v>33511952.447999999</v>
      </c>
    </row>
    <row r="119" spans="2:17" ht="21.75" customHeight="1" x14ac:dyDescent="0.25">
      <c r="B119" s="142">
        <v>37</v>
      </c>
      <c r="C119" s="153"/>
      <c r="D119" s="154"/>
      <c r="E119" s="183" t="s">
        <v>200</v>
      </c>
      <c r="F119" s="154" t="s">
        <v>217</v>
      </c>
      <c r="G119" s="156">
        <v>1200000</v>
      </c>
      <c r="H119" s="156">
        <v>0</v>
      </c>
      <c r="I119" s="158">
        <f t="shared" si="43"/>
        <v>172985.5</v>
      </c>
      <c r="J119" s="158">
        <f t="shared" si="44"/>
        <v>319677.20399999997</v>
      </c>
      <c r="K119" s="156">
        <v>0</v>
      </c>
      <c r="L119" s="156">
        <v>0</v>
      </c>
      <c r="M119" s="159">
        <f t="shared" si="46"/>
        <v>660000</v>
      </c>
      <c r="N119" s="159">
        <f t="shared" si="47"/>
        <v>440000</v>
      </c>
      <c r="O119" s="160">
        <v>0</v>
      </c>
      <c r="P119" s="1018">
        <f t="shared" si="48"/>
        <v>2792662.7039999999</v>
      </c>
      <c r="Q119" s="895">
        <f t="shared" si="45"/>
        <v>33511952.447999999</v>
      </c>
    </row>
    <row r="120" spans="2:17" ht="21.75" customHeight="1" x14ac:dyDescent="0.25">
      <c r="B120" s="142">
        <v>38</v>
      </c>
      <c r="C120" s="153"/>
      <c r="D120" s="154"/>
      <c r="E120" s="183" t="s">
        <v>200</v>
      </c>
      <c r="F120" s="154" t="s">
        <v>217</v>
      </c>
      <c r="G120" s="156">
        <v>1200000</v>
      </c>
      <c r="H120" s="156">
        <v>0</v>
      </c>
      <c r="I120" s="158">
        <f t="shared" si="43"/>
        <v>172985.5</v>
      </c>
      <c r="J120" s="158">
        <f t="shared" si="44"/>
        <v>319677.20399999997</v>
      </c>
      <c r="K120" s="156">
        <v>0</v>
      </c>
      <c r="L120" s="156">
        <v>0</v>
      </c>
      <c r="M120" s="159">
        <f t="shared" si="46"/>
        <v>660000</v>
      </c>
      <c r="N120" s="159">
        <f t="shared" si="47"/>
        <v>440000</v>
      </c>
      <c r="O120" s="160">
        <v>0</v>
      </c>
      <c r="P120" s="1018">
        <f t="shared" si="48"/>
        <v>2792662.7039999999</v>
      </c>
      <c r="Q120" s="895">
        <f t="shared" si="45"/>
        <v>33511952.447999999</v>
      </c>
    </row>
    <row r="121" spans="2:17" ht="21.75" customHeight="1" x14ac:dyDescent="0.25">
      <c r="B121" s="142">
        <v>39</v>
      </c>
      <c r="C121" s="153"/>
      <c r="D121" s="154"/>
      <c r="E121" s="183" t="s">
        <v>200</v>
      </c>
      <c r="F121" s="154" t="s">
        <v>213</v>
      </c>
      <c r="G121" s="156">
        <v>1200000</v>
      </c>
      <c r="H121" s="156">
        <v>0</v>
      </c>
      <c r="I121" s="158">
        <f t="shared" si="43"/>
        <v>172985.5</v>
      </c>
      <c r="J121" s="158">
        <f t="shared" si="44"/>
        <v>319677.20399999997</v>
      </c>
      <c r="K121" s="156">
        <v>0</v>
      </c>
      <c r="L121" s="156">
        <v>0</v>
      </c>
      <c r="M121" s="159">
        <f t="shared" si="46"/>
        <v>660000</v>
      </c>
      <c r="N121" s="159">
        <f t="shared" si="47"/>
        <v>440000</v>
      </c>
      <c r="O121" s="160">
        <v>0</v>
      </c>
      <c r="P121" s="1018">
        <f t="shared" si="48"/>
        <v>2792662.7039999999</v>
      </c>
      <c r="Q121" s="895">
        <f t="shared" si="45"/>
        <v>33511952.447999999</v>
      </c>
    </row>
    <row r="122" spans="2:17" ht="21.75" customHeight="1" x14ac:dyDescent="0.25">
      <c r="B122" s="142">
        <v>40</v>
      </c>
      <c r="C122" s="153"/>
      <c r="D122" s="154"/>
      <c r="E122" s="183" t="s">
        <v>200</v>
      </c>
      <c r="F122" s="154" t="s">
        <v>218</v>
      </c>
      <c r="G122" s="156">
        <v>1200000</v>
      </c>
      <c r="H122" s="156">
        <v>0</v>
      </c>
      <c r="I122" s="158">
        <f t="shared" si="43"/>
        <v>172985.5</v>
      </c>
      <c r="J122" s="158">
        <f t="shared" si="44"/>
        <v>319677.20399999997</v>
      </c>
      <c r="K122" s="156">
        <v>0</v>
      </c>
      <c r="L122" s="156">
        <v>0</v>
      </c>
      <c r="M122" s="159">
        <f t="shared" si="46"/>
        <v>660000</v>
      </c>
      <c r="N122" s="159">
        <f t="shared" si="47"/>
        <v>440000</v>
      </c>
      <c r="O122" s="160">
        <v>0</v>
      </c>
      <c r="P122" s="1018">
        <f t="shared" si="48"/>
        <v>2792662.7039999999</v>
      </c>
      <c r="Q122" s="895">
        <f t="shared" si="45"/>
        <v>33511952.447999999</v>
      </c>
    </row>
    <row r="123" spans="2:17" ht="21.75" customHeight="1" x14ac:dyDescent="0.25">
      <c r="B123" s="142">
        <v>41</v>
      </c>
      <c r="C123" s="153"/>
      <c r="D123" s="154"/>
      <c r="E123" s="183" t="s">
        <v>200</v>
      </c>
      <c r="F123" s="154" t="s">
        <v>184</v>
      </c>
      <c r="G123" s="156">
        <v>1200000</v>
      </c>
      <c r="H123" s="156">
        <v>0</v>
      </c>
      <c r="I123" s="158">
        <f t="shared" si="43"/>
        <v>172985.5</v>
      </c>
      <c r="J123" s="158">
        <f t="shared" si="44"/>
        <v>319677.20399999997</v>
      </c>
      <c r="K123" s="156">
        <f>SUM(G123*12%*0)</f>
        <v>0</v>
      </c>
      <c r="L123" s="156">
        <f>SUM(G123*6%*0)</f>
        <v>0</v>
      </c>
      <c r="M123" s="159">
        <f t="shared" si="46"/>
        <v>660000</v>
      </c>
      <c r="N123" s="159">
        <f t="shared" si="47"/>
        <v>440000</v>
      </c>
      <c r="O123" s="160">
        <v>0</v>
      </c>
      <c r="P123" s="1018">
        <f t="shared" si="48"/>
        <v>2792662.7039999999</v>
      </c>
      <c r="Q123" s="895">
        <f t="shared" si="45"/>
        <v>33511952.447999999</v>
      </c>
    </row>
    <row r="124" spans="2:17" ht="21.75" customHeight="1" x14ac:dyDescent="0.25">
      <c r="B124" s="142">
        <v>42</v>
      </c>
      <c r="C124" s="153"/>
      <c r="D124" s="154"/>
      <c r="E124" s="183" t="s">
        <v>200</v>
      </c>
      <c r="F124" s="154" t="s">
        <v>197</v>
      </c>
      <c r="G124" s="156">
        <v>1200000</v>
      </c>
      <c r="H124" s="156">
        <v>0</v>
      </c>
      <c r="I124" s="158">
        <f t="shared" si="43"/>
        <v>172985.5</v>
      </c>
      <c r="J124" s="158">
        <f t="shared" si="44"/>
        <v>319677.20399999997</v>
      </c>
      <c r="K124" s="156">
        <v>0</v>
      </c>
      <c r="L124" s="156">
        <v>0</v>
      </c>
      <c r="M124" s="159">
        <f t="shared" si="46"/>
        <v>660000</v>
      </c>
      <c r="N124" s="159">
        <f t="shared" si="47"/>
        <v>440000</v>
      </c>
      <c r="O124" s="160">
        <v>0</v>
      </c>
      <c r="P124" s="1018">
        <f t="shared" si="48"/>
        <v>2792662.7039999999</v>
      </c>
      <c r="Q124" s="895">
        <f t="shared" si="45"/>
        <v>33511952.447999999</v>
      </c>
    </row>
    <row r="125" spans="2:17" ht="21.75" customHeight="1" x14ac:dyDescent="0.25">
      <c r="B125" s="142">
        <v>43</v>
      </c>
      <c r="C125" s="153"/>
      <c r="D125" s="154"/>
      <c r="E125" s="183" t="s">
        <v>200</v>
      </c>
      <c r="F125" s="154" t="s">
        <v>219</v>
      </c>
      <c r="G125" s="156">
        <v>1200000</v>
      </c>
      <c r="H125" s="156">
        <v>800000</v>
      </c>
      <c r="I125" s="158">
        <f t="shared" si="43"/>
        <v>172985.5</v>
      </c>
      <c r="J125" s="158">
        <f t="shared" si="44"/>
        <v>319677.20399999997</v>
      </c>
      <c r="K125" s="156">
        <f>SUM(G125*12%*0)</f>
        <v>0</v>
      </c>
      <c r="L125" s="156">
        <f>SUM(G125*6%*0)</f>
        <v>0</v>
      </c>
      <c r="M125" s="159">
        <f t="shared" si="46"/>
        <v>660000</v>
      </c>
      <c r="N125" s="159">
        <f t="shared" si="47"/>
        <v>440000</v>
      </c>
      <c r="O125" s="160">
        <v>0</v>
      </c>
      <c r="P125" s="1018">
        <f t="shared" si="48"/>
        <v>3592662.7039999999</v>
      </c>
      <c r="Q125" s="895">
        <f t="shared" si="45"/>
        <v>43111952.447999999</v>
      </c>
    </row>
    <row r="126" spans="2:17" ht="21.75" customHeight="1" x14ac:dyDescent="0.25">
      <c r="B126" s="142">
        <v>44</v>
      </c>
      <c r="C126" s="153"/>
      <c r="D126" s="154"/>
      <c r="E126" s="183" t="s">
        <v>200</v>
      </c>
      <c r="F126" s="154" t="s">
        <v>754</v>
      </c>
      <c r="G126" s="156">
        <v>1200000</v>
      </c>
      <c r="H126" s="156">
        <v>500000</v>
      </c>
      <c r="I126" s="158">
        <f t="shared" si="43"/>
        <v>172985.5</v>
      </c>
      <c r="J126" s="158">
        <f t="shared" si="44"/>
        <v>319677.20399999997</v>
      </c>
      <c r="K126" s="156">
        <v>0</v>
      </c>
      <c r="L126" s="156">
        <v>0</v>
      </c>
      <c r="M126" s="159">
        <f t="shared" si="46"/>
        <v>660000</v>
      </c>
      <c r="N126" s="159">
        <f t="shared" si="47"/>
        <v>440000</v>
      </c>
      <c r="O126" s="160">
        <v>0</v>
      </c>
      <c r="P126" s="1018">
        <f t="shared" si="48"/>
        <v>3292662.7039999999</v>
      </c>
      <c r="Q126" s="895">
        <f t="shared" si="45"/>
        <v>39511952.447999999</v>
      </c>
    </row>
    <row r="127" spans="2:17" ht="21.75" customHeight="1" x14ac:dyDescent="0.25">
      <c r="B127" s="142">
        <v>45</v>
      </c>
      <c r="C127" s="153"/>
      <c r="D127" s="154"/>
      <c r="E127" s="183" t="s">
        <v>200</v>
      </c>
      <c r="F127" s="154" t="s">
        <v>220</v>
      </c>
      <c r="G127" s="156">
        <v>1200000</v>
      </c>
      <c r="H127" s="156">
        <v>0</v>
      </c>
      <c r="I127" s="158">
        <f t="shared" si="43"/>
        <v>172985.5</v>
      </c>
      <c r="J127" s="158">
        <f t="shared" si="44"/>
        <v>319677.20399999997</v>
      </c>
      <c r="K127" s="156">
        <v>0</v>
      </c>
      <c r="L127" s="156">
        <v>0</v>
      </c>
      <c r="M127" s="159">
        <f t="shared" si="46"/>
        <v>660000</v>
      </c>
      <c r="N127" s="159">
        <f t="shared" si="47"/>
        <v>440000</v>
      </c>
      <c r="O127" s="160">
        <v>0</v>
      </c>
      <c r="P127" s="1018">
        <f t="shared" si="48"/>
        <v>2792662.7039999999</v>
      </c>
      <c r="Q127" s="895">
        <f t="shared" si="45"/>
        <v>33511952.447999999</v>
      </c>
    </row>
    <row r="128" spans="2:17" ht="21.75" customHeight="1" x14ac:dyDescent="0.25">
      <c r="B128" s="142">
        <v>46</v>
      </c>
      <c r="C128" s="153"/>
      <c r="D128" s="154"/>
      <c r="E128" s="183" t="s">
        <v>200</v>
      </c>
      <c r="F128" s="154" t="s">
        <v>221</v>
      </c>
      <c r="G128" s="156">
        <v>1200000</v>
      </c>
      <c r="H128" s="156">
        <v>0</v>
      </c>
      <c r="I128" s="158">
        <f t="shared" si="43"/>
        <v>172985.5</v>
      </c>
      <c r="J128" s="158">
        <f t="shared" si="44"/>
        <v>319677.20399999997</v>
      </c>
      <c r="K128" s="156">
        <v>0</v>
      </c>
      <c r="L128" s="156">
        <v>0</v>
      </c>
      <c r="M128" s="159">
        <f t="shared" si="46"/>
        <v>660000</v>
      </c>
      <c r="N128" s="159">
        <f t="shared" si="47"/>
        <v>440000</v>
      </c>
      <c r="O128" s="160">
        <v>0</v>
      </c>
      <c r="P128" s="1018">
        <f t="shared" si="48"/>
        <v>2792662.7039999999</v>
      </c>
      <c r="Q128" s="895">
        <f t="shared" si="45"/>
        <v>33511952.447999999</v>
      </c>
    </row>
    <row r="129" spans="2:17" ht="21.75" customHeight="1" x14ac:dyDescent="0.25">
      <c r="B129" s="142">
        <v>47</v>
      </c>
      <c r="C129" s="153"/>
      <c r="D129" s="154"/>
      <c r="E129" s="183" t="s">
        <v>200</v>
      </c>
      <c r="F129" s="154" t="s">
        <v>222</v>
      </c>
      <c r="G129" s="156">
        <v>1200000</v>
      </c>
      <c r="H129" s="156">
        <v>0</v>
      </c>
      <c r="I129" s="158">
        <f t="shared" si="43"/>
        <v>172985.5</v>
      </c>
      <c r="J129" s="158">
        <f t="shared" si="44"/>
        <v>319677.20399999997</v>
      </c>
      <c r="K129" s="156">
        <v>0</v>
      </c>
      <c r="L129" s="156">
        <v>0</v>
      </c>
      <c r="M129" s="159">
        <f t="shared" si="46"/>
        <v>660000</v>
      </c>
      <c r="N129" s="159">
        <f t="shared" si="47"/>
        <v>440000</v>
      </c>
      <c r="O129" s="160">
        <v>0</v>
      </c>
      <c r="P129" s="1018">
        <f t="shared" si="48"/>
        <v>2792662.7039999999</v>
      </c>
      <c r="Q129" s="895">
        <f t="shared" si="45"/>
        <v>33511952.447999999</v>
      </c>
    </row>
    <row r="130" spans="2:17" ht="21.75" customHeight="1" x14ac:dyDescent="0.25">
      <c r="B130" s="142">
        <v>48</v>
      </c>
      <c r="C130" s="153"/>
      <c r="D130" s="154"/>
      <c r="E130" s="183" t="s">
        <v>200</v>
      </c>
      <c r="F130" s="154" t="s">
        <v>221</v>
      </c>
      <c r="G130" s="156">
        <v>1200000</v>
      </c>
      <c r="H130" s="156">
        <v>0</v>
      </c>
      <c r="I130" s="158">
        <f t="shared" si="43"/>
        <v>172985.5</v>
      </c>
      <c r="J130" s="158">
        <f t="shared" si="44"/>
        <v>319677.20399999997</v>
      </c>
      <c r="K130" s="156">
        <v>0</v>
      </c>
      <c r="L130" s="156">
        <v>0</v>
      </c>
      <c r="M130" s="159">
        <f t="shared" si="46"/>
        <v>660000</v>
      </c>
      <c r="N130" s="159">
        <f t="shared" si="47"/>
        <v>440000</v>
      </c>
      <c r="O130" s="160">
        <v>0</v>
      </c>
      <c r="P130" s="1018">
        <f t="shared" si="48"/>
        <v>2792662.7039999999</v>
      </c>
      <c r="Q130" s="895">
        <f t="shared" si="45"/>
        <v>33511952.447999999</v>
      </c>
    </row>
    <row r="131" spans="2:17" ht="21.75" customHeight="1" x14ac:dyDescent="0.25">
      <c r="B131" s="142">
        <v>49</v>
      </c>
      <c r="C131" s="153"/>
      <c r="D131" s="154"/>
      <c r="E131" s="183" t="s">
        <v>200</v>
      </c>
      <c r="F131" s="154" t="s">
        <v>220</v>
      </c>
      <c r="G131" s="156">
        <v>1200000</v>
      </c>
      <c r="H131" s="156">
        <v>0</v>
      </c>
      <c r="I131" s="158">
        <f t="shared" si="43"/>
        <v>172985.5</v>
      </c>
      <c r="J131" s="158">
        <f t="shared" si="44"/>
        <v>319677.20399999997</v>
      </c>
      <c r="K131" s="156">
        <v>0</v>
      </c>
      <c r="L131" s="156">
        <v>0</v>
      </c>
      <c r="M131" s="159">
        <f t="shared" si="46"/>
        <v>660000</v>
      </c>
      <c r="N131" s="159">
        <f t="shared" si="47"/>
        <v>440000</v>
      </c>
      <c r="O131" s="160">
        <v>0</v>
      </c>
      <c r="P131" s="1018">
        <f t="shared" si="48"/>
        <v>2792662.7039999999</v>
      </c>
      <c r="Q131" s="895">
        <f t="shared" si="45"/>
        <v>33511952.447999999</v>
      </c>
    </row>
    <row r="132" spans="2:17" ht="21.75" customHeight="1" x14ac:dyDescent="0.25">
      <c r="B132" s="142">
        <v>50</v>
      </c>
      <c r="C132" s="153"/>
      <c r="D132" s="154"/>
      <c r="E132" s="183" t="s">
        <v>200</v>
      </c>
      <c r="F132" s="181" t="s">
        <v>223</v>
      </c>
      <c r="G132" s="156">
        <v>1200000</v>
      </c>
      <c r="H132" s="156">
        <v>0</v>
      </c>
      <c r="I132" s="158">
        <f t="shared" si="43"/>
        <v>172985.5</v>
      </c>
      <c r="J132" s="158">
        <f t="shared" si="44"/>
        <v>319677.20399999997</v>
      </c>
      <c r="K132" s="156">
        <v>0</v>
      </c>
      <c r="L132" s="156">
        <v>0</v>
      </c>
      <c r="M132" s="159">
        <f t="shared" si="46"/>
        <v>660000</v>
      </c>
      <c r="N132" s="159">
        <f t="shared" si="47"/>
        <v>440000</v>
      </c>
      <c r="O132" s="160">
        <v>0</v>
      </c>
      <c r="P132" s="1018">
        <f t="shared" si="48"/>
        <v>2792662.7039999999</v>
      </c>
      <c r="Q132" s="895">
        <f t="shared" si="45"/>
        <v>33511952.447999999</v>
      </c>
    </row>
    <row r="133" spans="2:17" ht="21.75" customHeight="1" x14ac:dyDescent="0.25">
      <c r="B133" s="142">
        <v>51</v>
      </c>
      <c r="C133" s="153"/>
      <c r="D133" s="154"/>
      <c r="E133" s="183" t="s">
        <v>200</v>
      </c>
      <c r="F133" s="154" t="s">
        <v>224</v>
      </c>
      <c r="G133" s="156">
        <v>1200000</v>
      </c>
      <c r="H133" s="156">
        <v>0</v>
      </c>
      <c r="I133" s="158">
        <f t="shared" si="43"/>
        <v>172985.5</v>
      </c>
      <c r="J133" s="158">
        <f t="shared" si="44"/>
        <v>319677.20399999997</v>
      </c>
      <c r="K133" s="156">
        <v>0</v>
      </c>
      <c r="L133" s="156">
        <v>0</v>
      </c>
      <c r="M133" s="159">
        <f t="shared" si="46"/>
        <v>660000</v>
      </c>
      <c r="N133" s="159">
        <f t="shared" si="47"/>
        <v>440000</v>
      </c>
      <c r="O133" s="160">
        <v>0</v>
      </c>
      <c r="P133" s="1018">
        <f t="shared" si="48"/>
        <v>2792662.7039999999</v>
      </c>
      <c r="Q133" s="895">
        <f t="shared" si="45"/>
        <v>33511952.447999999</v>
      </c>
    </row>
    <row r="134" spans="2:17" ht="21.75" customHeight="1" x14ac:dyDescent="0.25">
      <c r="B134" s="142">
        <v>52</v>
      </c>
      <c r="C134" s="153"/>
      <c r="D134" s="154"/>
      <c r="E134" s="183" t="s">
        <v>200</v>
      </c>
      <c r="F134" s="154" t="s">
        <v>213</v>
      </c>
      <c r="G134" s="156">
        <v>1200000</v>
      </c>
      <c r="H134" s="156">
        <v>0</v>
      </c>
      <c r="I134" s="158">
        <f t="shared" si="43"/>
        <v>172985.5</v>
      </c>
      <c r="J134" s="158">
        <f t="shared" si="44"/>
        <v>319677.20399999997</v>
      </c>
      <c r="K134" s="156">
        <v>0</v>
      </c>
      <c r="L134" s="156">
        <v>0</v>
      </c>
      <c r="M134" s="159">
        <f t="shared" si="46"/>
        <v>660000</v>
      </c>
      <c r="N134" s="159">
        <f t="shared" si="47"/>
        <v>440000</v>
      </c>
      <c r="O134" s="160">
        <v>0</v>
      </c>
      <c r="P134" s="1018">
        <f t="shared" si="48"/>
        <v>2792662.7039999999</v>
      </c>
      <c r="Q134" s="895">
        <f t="shared" si="45"/>
        <v>33511952.447999999</v>
      </c>
    </row>
    <row r="135" spans="2:17" ht="21.75" customHeight="1" x14ac:dyDescent="0.25">
      <c r="B135" s="142">
        <v>53</v>
      </c>
      <c r="C135" s="153"/>
      <c r="D135" s="154"/>
      <c r="E135" s="183" t="s">
        <v>200</v>
      </c>
      <c r="F135" s="154" t="s">
        <v>225</v>
      </c>
      <c r="G135" s="156">
        <v>1200000</v>
      </c>
      <c r="H135" s="156">
        <v>0</v>
      </c>
      <c r="I135" s="158">
        <f t="shared" si="43"/>
        <v>172985.5</v>
      </c>
      <c r="J135" s="158">
        <f t="shared" si="44"/>
        <v>319677.20399999997</v>
      </c>
      <c r="K135" s="156">
        <f>SUM(G135*12%*0)</f>
        <v>0</v>
      </c>
      <c r="L135" s="156">
        <v>0</v>
      </c>
      <c r="M135" s="159">
        <f t="shared" si="46"/>
        <v>660000</v>
      </c>
      <c r="N135" s="159">
        <f t="shared" si="47"/>
        <v>440000</v>
      </c>
      <c r="O135" s="160">
        <v>0</v>
      </c>
      <c r="P135" s="1018">
        <f t="shared" si="48"/>
        <v>2792662.7039999999</v>
      </c>
      <c r="Q135" s="895">
        <f t="shared" si="45"/>
        <v>33511952.447999999</v>
      </c>
    </row>
    <row r="136" spans="2:17" ht="21.75" customHeight="1" x14ac:dyDescent="0.25">
      <c r="B136" s="142">
        <v>54</v>
      </c>
      <c r="C136" s="153"/>
      <c r="D136" s="154"/>
      <c r="E136" s="183" t="s">
        <v>200</v>
      </c>
      <c r="F136" s="181" t="s">
        <v>226</v>
      </c>
      <c r="G136" s="156">
        <v>1200000</v>
      </c>
      <c r="H136" s="156">
        <v>0</v>
      </c>
      <c r="I136" s="158">
        <f t="shared" si="43"/>
        <v>172985.5</v>
      </c>
      <c r="J136" s="158">
        <f t="shared" si="44"/>
        <v>319677.20399999997</v>
      </c>
      <c r="K136" s="156">
        <v>0</v>
      </c>
      <c r="L136" s="156">
        <v>0</v>
      </c>
      <c r="M136" s="159">
        <f t="shared" si="46"/>
        <v>660000</v>
      </c>
      <c r="N136" s="159">
        <f t="shared" si="47"/>
        <v>440000</v>
      </c>
      <c r="O136" s="160">
        <v>0</v>
      </c>
      <c r="P136" s="1018">
        <f t="shared" si="48"/>
        <v>2792662.7039999999</v>
      </c>
      <c r="Q136" s="895">
        <f t="shared" si="45"/>
        <v>33511952.447999999</v>
      </c>
    </row>
    <row r="137" spans="2:17" ht="21.75" customHeight="1" x14ac:dyDescent="0.25">
      <c r="B137" s="142">
        <v>55</v>
      </c>
      <c r="C137" s="153"/>
      <c r="D137" s="154"/>
      <c r="E137" s="183" t="s">
        <v>200</v>
      </c>
      <c r="F137" s="181" t="s">
        <v>226</v>
      </c>
      <c r="G137" s="156">
        <v>1200000</v>
      </c>
      <c r="H137" s="156">
        <v>0</v>
      </c>
      <c r="I137" s="158">
        <f t="shared" si="43"/>
        <v>172985.5</v>
      </c>
      <c r="J137" s="158">
        <f t="shared" si="44"/>
        <v>319677.20399999997</v>
      </c>
      <c r="K137" s="156">
        <v>0</v>
      </c>
      <c r="L137" s="156">
        <v>0</v>
      </c>
      <c r="M137" s="159">
        <f t="shared" si="46"/>
        <v>660000</v>
      </c>
      <c r="N137" s="159">
        <f t="shared" si="47"/>
        <v>440000</v>
      </c>
      <c r="O137" s="160">
        <v>0</v>
      </c>
      <c r="P137" s="1018">
        <f t="shared" si="48"/>
        <v>2792662.7039999999</v>
      </c>
      <c r="Q137" s="895">
        <f t="shared" si="45"/>
        <v>33511952.447999999</v>
      </c>
    </row>
    <row r="138" spans="2:17" ht="21.75" customHeight="1" x14ac:dyDescent="0.25">
      <c r="B138" s="142">
        <v>56</v>
      </c>
      <c r="C138" s="153"/>
      <c r="D138" s="154"/>
      <c r="E138" s="183" t="s">
        <v>200</v>
      </c>
      <c r="F138" s="154" t="s">
        <v>197</v>
      </c>
      <c r="G138" s="156">
        <v>1200000</v>
      </c>
      <c r="H138" s="156">
        <v>0</v>
      </c>
      <c r="I138" s="158">
        <f t="shared" si="43"/>
        <v>172985.5</v>
      </c>
      <c r="J138" s="158">
        <f t="shared" si="44"/>
        <v>319677.20399999997</v>
      </c>
      <c r="K138" s="156">
        <v>0</v>
      </c>
      <c r="L138" s="156">
        <v>0</v>
      </c>
      <c r="M138" s="159">
        <f t="shared" si="46"/>
        <v>660000</v>
      </c>
      <c r="N138" s="159">
        <f t="shared" si="47"/>
        <v>440000</v>
      </c>
      <c r="O138" s="160">
        <v>0</v>
      </c>
      <c r="P138" s="1018">
        <f t="shared" si="48"/>
        <v>2792662.7039999999</v>
      </c>
      <c r="Q138" s="895">
        <f t="shared" si="45"/>
        <v>33511952.447999999</v>
      </c>
    </row>
    <row r="139" spans="2:17" ht="21.75" customHeight="1" x14ac:dyDescent="0.25">
      <c r="B139" s="142">
        <v>57</v>
      </c>
      <c r="C139" s="153"/>
      <c r="D139" s="154"/>
      <c r="E139" s="183" t="s">
        <v>200</v>
      </c>
      <c r="F139" s="154" t="s">
        <v>197</v>
      </c>
      <c r="G139" s="156">
        <v>1200000</v>
      </c>
      <c r="H139" s="156">
        <v>0</v>
      </c>
      <c r="I139" s="158">
        <f t="shared" si="43"/>
        <v>172985.5</v>
      </c>
      <c r="J139" s="158">
        <f t="shared" si="44"/>
        <v>319677.20399999997</v>
      </c>
      <c r="K139" s="156">
        <v>0</v>
      </c>
      <c r="L139" s="156">
        <v>0</v>
      </c>
      <c r="M139" s="159">
        <f t="shared" si="46"/>
        <v>660000</v>
      </c>
      <c r="N139" s="159">
        <f t="shared" si="47"/>
        <v>440000</v>
      </c>
      <c r="O139" s="160">
        <v>0</v>
      </c>
      <c r="P139" s="1018">
        <f t="shared" si="48"/>
        <v>2792662.7039999999</v>
      </c>
      <c r="Q139" s="895">
        <f t="shared" si="45"/>
        <v>33511952.447999999</v>
      </c>
    </row>
    <row r="140" spans="2:17" ht="21.75" customHeight="1" x14ac:dyDescent="0.25">
      <c r="B140" s="142">
        <v>58</v>
      </c>
      <c r="C140" s="153"/>
      <c r="D140" s="154"/>
      <c r="E140" s="183" t="s">
        <v>200</v>
      </c>
      <c r="F140" s="154" t="s">
        <v>198</v>
      </c>
      <c r="G140" s="156">
        <v>1200000</v>
      </c>
      <c r="H140" s="156">
        <v>0</v>
      </c>
      <c r="I140" s="158">
        <f t="shared" si="43"/>
        <v>172985.5</v>
      </c>
      <c r="J140" s="158">
        <f t="shared" si="44"/>
        <v>319677.20399999997</v>
      </c>
      <c r="K140" s="156">
        <v>0</v>
      </c>
      <c r="L140" s="156">
        <v>0</v>
      </c>
      <c r="M140" s="159">
        <f t="shared" si="46"/>
        <v>660000</v>
      </c>
      <c r="N140" s="159">
        <f t="shared" si="47"/>
        <v>440000</v>
      </c>
      <c r="O140" s="160">
        <v>0</v>
      </c>
      <c r="P140" s="1018">
        <f t="shared" si="48"/>
        <v>2792662.7039999999</v>
      </c>
      <c r="Q140" s="895">
        <f t="shared" si="45"/>
        <v>33511952.447999999</v>
      </c>
    </row>
    <row r="141" spans="2:17" ht="21.75" customHeight="1" x14ac:dyDescent="0.25">
      <c r="B141" s="142">
        <v>59</v>
      </c>
      <c r="C141" s="153"/>
      <c r="D141" s="154"/>
      <c r="E141" s="183" t="s">
        <v>200</v>
      </c>
      <c r="F141" s="154" t="s">
        <v>198</v>
      </c>
      <c r="G141" s="156">
        <v>1200000</v>
      </c>
      <c r="H141" s="156">
        <v>0</v>
      </c>
      <c r="I141" s="158">
        <f t="shared" si="43"/>
        <v>172985.5</v>
      </c>
      <c r="J141" s="158">
        <f t="shared" si="44"/>
        <v>319677.20399999997</v>
      </c>
      <c r="K141" s="156">
        <v>0</v>
      </c>
      <c r="L141" s="156">
        <v>0</v>
      </c>
      <c r="M141" s="159">
        <f t="shared" si="46"/>
        <v>660000</v>
      </c>
      <c r="N141" s="159">
        <f t="shared" si="47"/>
        <v>440000</v>
      </c>
      <c r="O141" s="160">
        <v>0</v>
      </c>
      <c r="P141" s="1018">
        <f t="shared" si="48"/>
        <v>2792662.7039999999</v>
      </c>
      <c r="Q141" s="895">
        <f t="shared" si="45"/>
        <v>33511952.447999999</v>
      </c>
    </row>
    <row r="142" spans="2:17" ht="21.75" customHeight="1" x14ac:dyDescent="0.25">
      <c r="B142" s="142">
        <v>60</v>
      </c>
      <c r="C142" s="153"/>
      <c r="D142" s="154"/>
      <c r="E142" s="183" t="s">
        <v>200</v>
      </c>
      <c r="F142" s="154" t="s">
        <v>228</v>
      </c>
      <c r="G142" s="156">
        <v>1200000</v>
      </c>
      <c r="H142" s="156">
        <v>0</v>
      </c>
      <c r="I142" s="158">
        <f t="shared" si="43"/>
        <v>172985.5</v>
      </c>
      <c r="J142" s="158">
        <f t="shared" si="44"/>
        <v>319677.20399999997</v>
      </c>
      <c r="K142" s="156">
        <f>SUM(G142*0)</f>
        <v>0</v>
      </c>
      <c r="L142" s="156">
        <f>SUM(G142*6%*0)</f>
        <v>0</v>
      </c>
      <c r="M142" s="159">
        <f t="shared" si="46"/>
        <v>660000</v>
      </c>
      <c r="N142" s="159">
        <f t="shared" si="47"/>
        <v>440000</v>
      </c>
      <c r="O142" s="160">
        <v>0</v>
      </c>
      <c r="P142" s="1018">
        <f t="shared" si="48"/>
        <v>2792662.7039999999</v>
      </c>
      <c r="Q142" s="895">
        <f t="shared" si="45"/>
        <v>33511952.447999999</v>
      </c>
    </row>
    <row r="143" spans="2:17" ht="21.75" customHeight="1" x14ac:dyDescent="0.25">
      <c r="B143" s="142">
        <v>61</v>
      </c>
      <c r="C143" s="153"/>
      <c r="D143" s="154"/>
      <c r="E143" s="183" t="s">
        <v>200</v>
      </c>
      <c r="F143" s="154" t="s">
        <v>229</v>
      </c>
      <c r="G143" s="156">
        <v>1200000</v>
      </c>
      <c r="H143" s="156">
        <v>0</v>
      </c>
      <c r="I143" s="158">
        <f t="shared" si="43"/>
        <v>172985.5</v>
      </c>
      <c r="J143" s="158">
        <f t="shared" si="44"/>
        <v>319677.20399999997</v>
      </c>
      <c r="K143" s="156">
        <f>SUM(G143*0)</f>
        <v>0</v>
      </c>
      <c r="L143" s="156">
        <f>SUM(G143*6%*0)</f>
        <v>0</v>
      </c>
      <c r="M143" s="159">
        <f t="shared" si="46"/>
        <v>660000</v>
      </c>
      <c r="N143" s="159">
        <f t="shared" si="47"/>
        <v>440000</v>
      </c>
      <c r="O143" s="160">
        <v>0</v>
      </c>
      <c r="P143" s="1018">
        <f t="shared" si="48"/>
        <v>2792662.7039999999</v>
      </c>
      <c r="Q143" s="895">
        <f t="shared" si="45"/>
        <v>33511952.447999999</v>
      </c>
    </row>
    <row r="144" spans="2:17" ht="21.75" customHeight="1" x14ac:dyDescent="0.25">
      <c r="B144" s="142">
        <v>62</v>
      </c>
      <c r="C144" s="153"/>
      <c r="D144" s="154"/>
      <c r="E144" s="183" t="s">
        <v>200</v>
      </c>
      <c r="F144" s="154" t="s">
        <v>229</v>
      </c>
      <c r="G144" s="156">
        <v>1200000</v>
      </c>
      <c r="H144" s="156">
        <v>0</v>
      </c>
      <c r="I144" s="158">
        <f t="shared" si="43"/>
        <v>172985.5</v>
      </c>
      <c r="J144" s="158">
        <f t="shared" si="44"/>
        <v>319677.20399999997</v>
      </c>
      <c r="K144" s="156">
        <f>SUM(G144*0)</f>
        <v>0</v>
      </c>
      <c r="L144" s="156">
        <f>SUM(G144*6%*0)</f>
        <v>0</v>
      </c>
      <c r="M144" s="159">
        <f t="shared" si="46"/>
        <v>660000</v>
      </c>
      <c r="N144" s="159">
        <f t="shared" si="47"/>
        <v>440000</v>
      </c>
      <c r="O144" s="160">
        <v>0</v>
      </c>
      <c r="P144" s="1018">
        <f t="shared" si="48"/>
        <v>2792662.7039999999</v>
      </c>
      <c r="Q144" s="895">
        <f t="shared" si="45"/>
        <v>33511952.447999999</v>
      </c>
    </row>
    <row r="145" spans="2:17" ht="21.75" customHeight="1" x14ac:dyDescent="0.25">
      <c r="B145" s="142">
        <v>63</v>
      </c>
      <c r="C145" s="153"/>
      <c r="D145" s="154"/>
      <c r="E145" s="183" t="s">
        <v>200</v>
      </c>
      <c r="F145" s="154" t="s">
        <v>206</v>
      </c>
      <c r="G145" s="156">
        <v>1200000</v>
      </c>
      <c r="H145" s="143"/>
      <c r="I145" s="158">
        <f t="shared" si="43"/>
        <v>172985.5</v>
      </c>
      <c r="J145" s="158">
        <f t="shared" si="44"/>
        <v>319677.20399999997</v>
      </c>
      <c r="K145" s="156">
        <f t="shared" ref="K145:K165" si="49">SUM(G145*0)</f>
        <v>0</v>
      </c>
      <c r="L145" s="156">
        <f t="shared" ref="L145:L165" si="50">SUM(G145*6%*0)</f>
        <v>0</v>
      </c>
      <c r="M145" s="159">
        <f t="shared" si="46"/>
        <v>660000</v>
      </c>
      <c r="N145" s="159">
        <f t="shared" si="47"/>
        <v>440000</v>
      </c>
      <c r="O145" s="160">
        <v>0</v>
      </c>
      <c r="P145" s="1018">
        <f t="shared" si="48"/>
        <v>2792662.7039999999</v>
      </c>
      <c r="Q145" s="895">
        <f t="shared" si="45"/>
        <v>33511952.447999999</v>
      </c>
    </row>
    <row r="146" spans="2:17" ht="21.75" customHeight="1" x14ac:dyDescent="0.25">
      <c r="B146" s="142">
        <v>64</v>
      </c>
      <c r="C146" s="153"/>
      <c r="D146" s="154"/>
      <c r="E146" s="183" t="s">
        <v>200</v>
      </c>
      <c r="F146" s="154" t="s">
        <v>217</v>
      </c>
      <c r="G146" s="156">
        <v>1200000</v>
      </c>
      <c r="H146" s="156"/>
      <c r="I146" s="158">
        <f t="shared" si="43"/>
        <v>172985.5</v>
      </c>
      <c r="J146" s="158">
        <f t="shared" si="44"/>
        <v>319677.20399999997</v>
      </c>
      <c r="K146" s="156">
        <f t="shared" si="49"/>
        <v>0</v>
      </c>
      <c r="L146" s="156">
        <f t="shared" si="50"/>
        <v>0</v>
      </c>
      <c r="M146" s="159">
        <f t="shared" si="46"/>
        <v>660000</v>
      </c>
      <c r="N146" s="159">
        <f t="shared" si="47"/>
        <v>440000</v>
      </c>
      <c r="O146" s="160">
        <v>0</v>
      </c>
      <c r="P146" s="1018">
        <f t="shared" si="48"/>
        <v>2792662.7039999999</v>
      </c>
      <c r="Q146" s="895">
        <f t="shared" si="45"/>
        <v>33511952.447999999</v>
      </c>
    </row>
    <row r="147" spans="2:17" ht="21.75" customHeight="1" x14ac:dyDescent="0.25">
      <c r="B147" s="142">
        <v>65</v>
      </c>
      <c r="C147" s="153"/>
      <c r="D147" s="154"/>
      <c r="E147" s="183" t="s">
        <v>200</v>
      </c>
      <c r="F147" s="154" t="s">
        <v>231</v>
      </c>
      <c r="G147" s="156">
        <v>1200000</v>
      </c>
      <c r="H147" s="156"/>
      <c r="I147" s="158">
        <f t="shared" ref="I147:I167" si="51">3459710*5%</f>
        <v>172985.5</v>
      </c>
      <c r="J147" s="158">
        <f t="shared" ref="J147:J167" si="52">3459710*9.24%</f>
        <v>319677.20399999997</v>
      </c>
      <c r="K147" s="156">
        <f t="shared" si="49"/>
        <v>0</v>
      </c>
      <c r="L147" s="156">
        <f t="shared" si="50"/>
        <v>0</v>
      </c>
      <c r="M147" s="159">
        <f t="shared" si="46"/>
        <v>660000</v>
      </c>
      <c r="N147" s="159">
        <f t="shared" si="47"/>
        <v>440000</v>
      </c>
      <c r="O147" s="160">
        <v>0</v>
      </c>
      <c r="P147" s="1018">
        <f t="shared" si="48"/>
        <v>2792662.7039999999</v>
      </c>
      <c r="Q147" s="895">
        <f t="shared" ref="Q147:Q167" si="53">P147*12</f>
        <v>33511952.447999999</v>
      </c>
    </row>
    <row r="148" spans="2:17" ht="21.75" customHeight="1" x14ac:dyDescent="0.25">
      <c r="B148" s="142">
        <v>66</v>
      </c>
      <c r="C148" s="153"/>
      <c r="D148" s="154"/>
      <c r="E148" s="183" t="s">
        <v>200</v>
      </c>
      <c r="F148" s="154" t="s">
        <v>232</v>
      </c>
      <c r="G148" s="156">
        <v>1200000</v>
      </c>
      <c r="H148" s="156"/>
      <c r="I148" s="158">
        <f t="shared" si="51"/>
        <v>172985.5</v>
      </c>
      <c r="J148" s="158">
        <f t="shared" si="52"/>
        <v>319677.20399999997</v>
      </c>
      <c r="K148" s="156">
        <f t="shared" si="49"/>
        <v>0</v>
      </c>
      <c r="L148" s="156">
        <f t="shared" si="50"/>
        <v>0</v>
      </c>
      <c r="M148" s="159">
        <f t="shared" ref="M148:M167" si="54">SUM(3*10000*22)</f>
        <v>660000</v>
      </c>
      <c r="N148" s="159">
        <f t="shared" ref="N148:N167" si="55">20000*22</f>
        <v>440000</v>
      </c>
      <c r="O148" s="160">
        <v>0</v>
      </c>
      <c r="P148" s="1018">
        <f t="shared" ref="P148:P167" si="56">SUM(G148:O148)</f>
        <v>2792662.7039999999</v>
      </c>
      <c r="Q148" s="895">
        <f t="shared" si="53"/>
        <v>33511952.447999999</v>
      </c>
    </row>
    <row r="149" spans="2:17" ht="21.75" customHeight="1" x14ac:dyDescent="0.25">
      <c r="B149" s="142">
        <v>67</v>
      </c>
      <c r="C149" s="153"/>
      <c r="D149" s="154"/>
      <c r="E149" s="183" t="s">
        <v>200</v>
      </c>
      <c r="F149" s="154" t="s">
        <v>233</v>
      </c>
      <c r="G149" s="156">
        <v>1200000</v>
      </c>
      <c r="H149" s="156"/>
      <c r="I149" s="158">
        <f t="shared" si="51"/>
        <v>172985.5</v>
      </c>
      <c r="J149" s="158">
        <f t="shared" si="52"/>
        <v>319677.20399999997</v>
      </c>
      <c r="K149" s="156">
        <f t="shared" si="49"/>
        <v>0</v>
      </c>
      <c r="L149" s="156">
        <f t="shared" si="50"/>
        <v>0</v>
      </c>
      <c r="M149" s="159">
        <f t="shared" si="54"/>
        <v>660000</v>
      </c>
      <c r="N149" s="159">
        <f t="shared" si="55"/>
        <v>440000</v>
      </c>
      <c r="O149" s="160">
        <v>0</v>
      </c>
      <c r="P149" s="1018">
        <f t="shared" si="56"/>
        <v>2792662.7039999999</v>
      </c>
      <c r="Q149" s="895">
        <f t="shared" si="53"/>
        <v>33511952.447999999</v>
      </c>
    </row>
    <row r="150" spans="2:17" ht="21.75" customHeight="1" x14ac:dyDescent="0.25">
      <c r="B150" s="142">
        <v>68</v>
      </c>
      <c r="C150" s="153"/>
      <c r="D150" s="154"/>
      <c r="E150" s="183" t="s">
        <v>200</v>
      </c>
      <c r="F150" s="154" t="s">
        <v>217</v>
      </c>
      <c r="G150" s="156">
        <v>1200000</v>
      </c>
      <c r="H150" s="156"/>
      <c r="I150" s="158">
        <f t="shared" si="51"/>
        <v>172985.5</v>
      </c>
      <c r="J150" s="158">
        <f t="shared" si="52"/>
        <v>319677.20399999997</v>
      </c>
      <c r="K150" s="156">
        <f t="shared" si="49"/>
        <v>0</v>
      </c>
      <c r="L150" s="156">
        <f t="shared" si="50"/>
        <v>0</v>
      </c>
      <c r="M150" s="159">
        <f t="shared" si="54"/>
        <v>660000</v>
      </c>
      <c r="N150" s="159">
        <f t="shared" si="55"/>
        <v>440000</v>
      </c>
      <c r="O150" s="160">
        <v>0</v>
      </c>
      <c r="P150" s="1018">
        <f t="shared" si="56"/>
        <v>2792662.7039999999</v>
      </c>
      <c r="Q150" s="895">
        <f t="shared" si="53"/>
        <v>33511952.447999999</v>
      </c>
    </row>
    <row r="151" spans="2:17" ht="21.75" customHeight="1" x14ac:dyDescent="0.25">
      <c r="B151" s="142">
        <v>69</v>
      </c>
      <c r="C151" s="153"/>
      <c r="D151" s="154"/>
      <c r="E151" s="183" t="s">
        <v>200</v>
      </c>
      <c r="F151" s="154" t="s">
        <v>206</v>
      </c>
      <c r="G151" s="156">
        <v>1200000</v>
      </c>
      <c r="H151" s="156"/>
      <c r="I151" s="158">
        <f t="shared" si="51"/>
        <v>172985.5</v>
      </c>
      <c r="J151" s="158">
        <f t="shared" si="52"/>
        <v>319677.20399999997</v>
      </c>
      <c r="K151" s="156">
        <f t="shared" si="49"/>
        <v>0</v>
      </c>
      <c r="L151" s="156">
        <f t="shared" si="50"/>
        <v>0</v>
      </c>
      <c r="M151" s="159">
        <f t="shared" si="54"/>
        <v>660000</v>
      </c>
      <c r="N151" s="159">
        <f t="shared" si="55"/>
        <v>440000</v>
      </c>
      <c r="O151" s="160">
        <v>0</v>
      </c>
      <c r="P151" s="1018">
        <f t="shared" si="56"/>
        <v>2792662.7039999999</v>
      </c>
      <c r="Q151" s="895">
        <f t="shared" si="53"/>
        <v>33511952.447999999</v>
      </c>
    </row>
    <row r="152" spans="2:17" ht="21.75" customHeight="1" x14ac:dyDescent="0.25">
      <c r="B152" s="142">
        <v>70</v>
      </c>
      <c r="C152" s="153"/>
      <c r="D152" s="154"/>
      <c r="E152" s="183" t="s">
        <v>200</v>
      </c>
      <c r="F152" s="154" t="s">
        <v>217</v>
      </c>
      <c r="G152" s="156">
        <v>1200000</v>
      </c>
      <c r="H152" s="156"/>
      <c r="I152" s="158">
        <f t="shared" si="51"/>
        <v>172985.5</v>
      </c>
      <c r="J152" s="158">
        <f t="shared" si="52"/>
        <v>319677.20399999997</v>
      </c>
      <c r="K152" s="156">
        <f t="shared" si="49"/>
        <v>0</v>
      </c>
      <c r="L152" s="156">
        <f t="shared" si="50"/>
        <v>0</v>
      </c>
      <c r="M152" s="159">
        <f t="shared" si="54"/>
        <v>660000</v>
      </c>
      <c r="N152" s="159">
        <f t="shared" si="55"/>
        <v>440000</v>
      </c>
      <c r="O152" s="160">
        <v>0</v>
      </c>
      <c r="P152" s="1018">
        <f t="shared" si="56"/>
        <v>2792662.7039999999</v>
      </c>
      <c r="Q152" s="895">
        <f t="shared" si="53"/>
        <v>33511952.447999999</v>
      </c>
    </row>
    <row r="153" spans="2:17" ht="21.75" customHeight="1" x14ac:dyDescent="0.25">
      <c r="B153" s="142">
        <v>71</v>
      </c>
      <c r="C153" s="153"/>
      <c r="D153" s="154"/>
      <c r="E153" s="183" t="s">
        <v>200</v>
      </c>
      <c r="F153" s="154" t="s">
        <v>197</v>
      </c>
      <c r="G153" s="156">
        <v>1200000</v>
      </c>
      <c r="H153" s="156"/>
      <c r="I153" s="158">
        <f t="shared" si="51"/>
        <v>172985.5</v>
      </c>
      <c r="J153" s="158">
        <f t="shared" si="52"/>
        <v>319677.20399999997</v>
      </c>
      <c r="K153" s="156">
        <f t="shared" si="49"/>
        <v>0</v>
      </c>
      <c r="L153" s="156">
        <f t="shared" si="50"/>
        <v>0</v>
      </c>
      <c r="M153" s="159">
        <f t="shared" si="54"/>
        <v>660000</v>
      </c>
      <c r="N153" s="159">
        <f t="shared" si="55"/>
        <v>440000</v>
      </c>
      <c r="O153" s="160">
        <v>0</v>
      </c>
      <c r="P153" s="1018">
        <f t="shared" si="56"/>
        <v>2792662.7039999999</v>
      </c>
      <c r="Q153" s="895">
        <f t="shared" si="53"/>
        <v>33511952.447999999</v>
      </c>
    </row>
    <row r="154" spans="2:17" ht="21.75" customHeight="1" x14ac:dyDescent="0.25">
      <c r="B154" s="142">
        <v>72</v>
      </c>
      <c r="C154" s="153"/>
      <c r="D154" s="154"/>
      <c r="E154" s="183" t="s">
        <v>200</v>
      </c>
      <c r="F154" s="154" t="s">
        <v>204</v>
      </c>
      <c r="G154" s="156">
        <v>1200000</v>
      </c>
      <c r="H154" s="156">
        <v>0</v>
      </c>
      <c r="I154" s="158">
        <f t="shared" si="51"/>
        <v>172985.5</v>
      </c>
      <c r="J154" s="158">
        <f t="shared" si="52"/>
        <v>319677.20399999997</v>
      </c>
      <c r="K154" s="156">
        <f t="shared" si="49"/>
        <v>0</v>
      </c>
      <c r="L154" s="156">
        <f t="shared" si="50"/>
        <v>0</v>
      </c>
      <c r="M154" s="159">
        <f t="shared" si="54"/>
        <v>660000</v>
      </c>
      <c r="N154" s="159">
        <f t="shared" si="55"/>
        <v>440000</v>
      </c>
      <c r="O154" s="160">
        <v>0</v>
      </c>
      <c r="P154" s="1018">
        <f t="shared" si="56"/>
        <v>2792662.7039999999</v>
      </c>
      <c r="Q154" s="895">
        <f t="shared" si="53"/>
        <v>33511952.447999999</v>
      </c>
    </row>
    <row r="155" spans="2:17" ht="21.75" customHeight="1" x14ac:dyDescent="0.25">
      <c r="B155" s="142">
        <v>73</v>
      </c>
      <c r="C155" s="153"/>
      <c r="D155" s="154"/>
      <c r="E155" s="183" t="s">
        <v>200</v>
      </c>
      <c r="F155" s="154" t="s">
        <v>206</v>
      </c>
      <c r="G155" s="156">
        <v>1200000</v>
      </c>
      <c r="H155" s="156"/>
      <c r="I155" s="158">
        <f t="shared" si="51"/>
        <v>172985.5</v>
      </c>
      <c r="J155" s="158">
        <f t="shared" si="52"/>
        <v>319677.20399999997</v>
      </c>
      <c r="K155" s="156">
        <f t="shared" si="49"/>
        <v>0</v>
      </c>
      <c r="L155" s="156">
        <f t="shared" si="50"/>
        <v>0</v>
      </c>
      <c r="M155" s="159">
        <f t="shared" si="54"/>
        <v>660000</v>
      </c>
      <c r="N155" s="159">
        <f t="shared" si="55"/>
        <v>440000</v>
      </c>
      <c r="O155" s="160">
        <v>0</v>
      </c>
      <c r="P155" s="1018">
        <f t="shared" si="56"/>
        <v>2792662.7039999999</v>
      </c>
      <c r="Q155" s="895">
        <f t="shared" si="53"/>
        <v>33511952.447999999</v>
      </c>
    </row>
    <row r="156" spans="2:17" ht="21.75" customHeight="1" x14ac:dyDescent="0.25">
      <c r="B156" s="142">
        <v>74</v>
      </c>
      <c r="C156" s="153"/>
      <c r="D156" s="154"/>
      <c r="E156" s="183" t="s">
        <v>200</v>
      </c>
      <c r="F156" s="154" t="s">
        <v>203</v>
      </c>
      <c r="G156" s="156">
        <v>1200000</v>
      </c>
      <c r="H156" s="156"/>
      <c r="I156" s="158">
        <f t="shared" si="51"/>
        <v>172985.5</v>
      </c>
      <c r="J156" s="158">
        <f t="shared" si="52"/>
        <v>319677.20399999997</v>
      </c>
      <c r="K156" s="156">
        <f t="shared" si="49"/>
        <v>0</v>
      </c>
      <c r="L156" s="156">
        <f t="shared" si="50"/>
        <v>0</v>
      </c>
      <c r="M156" s="159">
        <f t="shared" si="54"/>
        <v>660000</v>
      </c>
      <c r="N156" s="159">
        <f t="shared" si="55"/>
        <v>440000</v>
      </c>
      <c r="O156" s="160">
        <v>0</v>
      </c>
      <c r="P156" s="1018">
        <f t="shared" si="56"/>
        <v>2792662.7039999999</v>
      </c>
      <c r="Q156" s="895">
        <f t="shared" si="53"/>
        <v>33511952.447999999</v>
      </c>
    </row>
    <row r="157" spans="2:17" ht="21.75" customHeight="1" x14ac:dyDescent="0.25">
      <c r="B157" s="142">
        <v>75</v>
      </c>
      <c r="C157" s="153"/>
      <c r="D157" s="154"/>
      <c r="E157" s="183" t="s">
        <v>200</v>
      </c>
      <c r="F157" s="154" t="s">
        <v>235</v>
      </c>
      <c r="G157" s="156">
        <v>1200000</v>
      </c>
      <c r="H157" s="156"/>
      <c r="I157" s="158">
        <f t="shared" si="51"/>
        <v>172985.5</v>
      </c>
      <c r="J157" s="158">
        <f t="shared" si="52"/>
        <v>319677.20399999997</v>
      </c>
      <c r="K157" s="156">
        <f t="shared" si="49"/>
        <v>0</v>
      </c>
      <c r="L157" s="156">
        <f t="shared" si="50"/>
        <v>0</v>
      </c>
      <c r="M157" s="159">
        <f t="shared" si="54"/>
        <v>660000</v>
      </c>
      <c r="N157" s="159">
        <f t="shared" si="55"/>
        <v>440000</v>
      </c>
      <c r="O157" s="160">
        <v>0</v>
      </c>
      <c r="P157" s="1018">
        <f t="shared" si="56"/>
        <v>2792662.7039999999</v>
      </c>
      <c r="Q157" s="895">
        <f t="shared" si="53"/>
        <v>33511952.447999999</v>
      </c>
    </row>
    <row r="158" spans="2:17" ht="21.75" customHeight="1" x14ac:dyDescent="0.25">
      <c r="B158" s="142">
        <v>76</v>
      </c>
      <c r="C158" s="153"/>
      <c r="D158" s="154"/>
      <c r="E158" s="183" t="s">
        <v>200</v>
      </c>
      <c r="F158" s="154" t="s">
        <v>210</v>
      </c>
      <c r="G158" s="156">
        <v>1200000</v>
      </c>
      <c r="H158" s="156"/>
      <c r="I158" s="158">
        <f t="shared" si="51"/>
        <v>172985.5</v>
      </c>
      <c r="J158" s="158">
        <f t="shared" si="52"/>
        <v>319677.20399999997</v>
      </c>
      <c r="K158" s="156">
        <f t="shared" si="49"/>
        <v>0</v>
      </c>
      <c r="L158" s="156">
        <f t="shared" si="50"/>
        <v>0</v>
      </c>
      <c r="M158" s="159">
        <f t="shared" si="54"/>
        <v>660000</v>
      </c>
      <c r="N158" s="159">
        <f t="shared" si="55"/>
        <v>440000</v>
      </c>
      <c r="O158" s="160">
        <v>0</v>
      </c>
      <c r="P158" s="1018">
        <f t="shared" si="56"/>
        <v>2792662.7039999999</v>
      </c>
      <c r="Q158" s="895">
        <f t="shared" si="53"/>
        <v>33511952.447999999</v>
      </c>
    </row>
    <row r="159" spans="2:17" ht="21.75" customHeight="1" x14ac:dyDescent="0.25">
      <c r="B159" s="142">
        <v>77</v>
      </c>
      <c r="C159" s="153"/>
      <c r="D159" s="154"/>
      <c r="E159" s="183" t="s">
        <v>200</v>
      </c>
      <c r="F159" s="154" t="s">
        <v>236</v>
      </c>
      <c r="G159" s="156">
        <v>1200000</v>
      </c>
      <c r="H159" s="156"/>
      <c r="I159" s="158">
        <f t="shared" si="51"/>
        <v>172985.5</v>
      </c>
      <c r="J159" s="158">
        <f t="shared" si="52"/>
        <v>319677.20399999997</v>
      </c>
      <c r="K159" s="156">
        <f t="shared" si="49"/>
        <v>0</v>
      </c>
      <c r="L159" s="156">
        <f t="shared" si="50"/>
        <v>0</v>
      </c>
      <c r="M159" s="159">
        <f t="shared" si="54"/>
        <v>660000</v>
      </c>
      <c r="N159" s="159">
        <f t="shared" si="55"/>
        <v>440000</v>
      </c>
      <c r="O159" s="160">
        <v>0</v>
      </c>
      <c r="P159" s="1018">
        <f t="shared" si="56"/>
        <v>2792662.7039999999</v>
      </c>
      <c r="Q159" s="895">
        <f t="shared" si="53"/>
        <v>33511952.447999999</v>
      </c>
    </row>
    <row r="160" spans="2:17" ht="21.75" customHeight="1" x14ac:dyDescent="0.25">
      <c r="B160" s="142">
        <v>78</v>
      </c>
      <c r="C160" s="153"/>
      <c r="D160" s="154"/>
      <c r="E160" s="183" t="s">
        <v>200</v>
      </c>
      <c r="F160" s="154" t="s">
        <v>210</v>
      </c>
      <c r="G160" s="156">
        <v>1200000</v>
      </c>
      <c r="H160" s="156"/>
      <c r="I160" s="158">
        <f t="shared" si="51"/>
        <v>172985.5</v>
      </c>
      <c r="J160" s="158">
        <f t="shared" si="52"/>
        <v>319677.20399999997</v>
      </c>
      <c r="K160" s="156">
        <f t="shared" si="49"/>
        <v>0</v>
      </c>
      <c r="L160" s="156">
        <f t="shared" si="50"/>
        <v>0</v>
      </c>
      <c r="M160" s="159">
        <f t="shared" si="54"/>
        <v>660000</v>
      </c>
      <c r="N160" s="159">
        <f t="shared" si="55"/>
        <v>440000</v>
      </c>
      <c r="O160" s="160">
        <v>0</v>
      </c>
      <c r="P160" s="1018">
        <f t="shared" si="56"/>
        <v>2792662.7039999999</v>
      </c>
      <c r="Q160" s="895">
        <f t="shared" si="53"/>
        <v>33511952.447999999</v>
      </c>
    </row>
    <row r="161" spans="2:19" ht="21.75" customHeight="1" x14ac:dyDescent="0.25">
      <c r="B161" s="142">
        <v>79</v>
      </c>
      <c r="C161" s="153"/>
      <c r="D161" s="154"/>
      <c r="E161" s="183" t="s">
        <v>200</v>
      </c>
      <c r="F161" s="154" t="s">
        <v>201</v>
      </c>
      <c r="G161" s="156">
        <v>1200000</v>
      </c>
      <c r="H161" s="156"/>
      <c r="I161" s="158">
        <f t="shared" si="51"/>
        <v>172985.5</v>
      </c>
      <c r="J161" s="158">
        <f t="shared" si="52"/>
        <v>319677.20399999997</v>
      </c>
      <c r="K161" s="156">
        <f t="shared" si="49"/>
        <v>0</v>
      </c>
      <c r="L161" s="156">
        <f t="shared" si="50"/>
        <v>0</v>
      </c>
      <c r="M161" s="159">
        <f t="shared" si="54"/>
        <v>660000</v>
      </c>
      <c r="N161" s="159">
        <f t="shared" si="55"/>
        <v>440000</v>
      </c>
      <c r="O161" s="160">
        <v>0</v>
      </c>
      <c r="P161" s="1018">
        <f t="shared" si="56"/>
        <v>2792662.7039999999</v>
      </c>
      <c r="Q161" s="895">
        <f t="shared" si="53"/>
        <v>33511952.447999999</v>
      </c>
    </row>
    <row r="162" spans="2:19" ht="21.75" customHeight="1" x14ac:dyDescent="0.25">
      <c r="B162" s="142">
        <v>80</v>
      </c>
      <c r="C162" s="153"/>
      <c r="D162" s="154"/>
      <c r="E162" s="183" t="s">
        <v>200</v>
      </c>
      <c r="F162" s="154" t="s">
        <v>201</v>
      </c>
      <c r="G162" s="156">
        <v>1200000</v>
      </c>
      <c r="H162" s="156"/>
      <c r="I162" s="158">
        <f t="shared" si="51"/>
        <v>172985.5</v>
      </c>
      <c r="J162" s="158">
        <f t="shared" si="52"/>
        <v>319677.20399999997</v>
      </c>
      <c r="K162" s="156">
        <f t="shared" si="49"/>
        <v>0</v>
      </c>
      <c r="L162" s="156">
        <f t="shared" si="50"/>
        <v>0</v>
      </c>
      <c r="M162" s="159">
        <f t="shared" si="54"/>
        <v>660000</v>
      </c>
      <c r="N162" s="159">
        <f t="shared" si="55"/>
        <v>440000</v>
      </c>
      <c r="O162" s="160">
        <v>0</v>
      </c>
      <c r="P162" s="1018">
        <f t="shared" si="56"/>
        <v>2792662.7039999999</v>
      </c>
      <c r="Q162" s="895">
        <f t="shared" si="53"/>
        <v>33511952.447999999</v>
      </c>
    </row>
    <row r="163" spans="2:19" ht="21.75" customHeight="1" x14ac:dyDescent="0.25">
      <c r="B163" s="142">
        <v>81</v>
      </c>
      <c r="C163" s="153"/>
      <c r="D163" s="154"/>
      <c r="E163" s="183" t="s">
        <v>200</v>
      </c>
      <c r="F163" s="154" t="s">
        <v>239</v>
      </c>
      <c r="G163" s="156">
        <v>1200000</v>
      </c>
      <c r="H163" s="156"/>
      <c r="I163" s="158">
        <f t="shared" si="51"/>
        <v>172985.5</v>
      </c>
      <c r="J163" s="158">
        <f t="shared" si="52"/>
        <v>319677.20399999997</v>
      </c>
      <c r="K163" s="156">
        <f t="shared" si="49"/>
        <v>0</v>
      </c>
      <c r="L163" s="156">
        <f t="shared" si="50"/>
        <v>0</v>
      </c>
      <c r="M163" s="159">
        <f t="shared" si="54"/>
        <v>660000</v>
      </c>
      <c r="N163" s="159">
        <f t="shared" si="55"/>
        <v>440000</v>
      </c>
      <c r="O163" s="160">
        <v>0</v>
      </c>
      <c r="P163" s="1018">
        <f t="shared" si="56"/>
        <v>2792662.7039999999</v>
      </c>
      <c r="Q163" s="895">
        <f t="shared" si="53"/>
        <v>33511952.447999999</v>
      </c>
    </row>
    <row r="164" spans="2:19" ht="21.75" customHeight="1" x14ac:dyDescent="0.25">
      <c r="B164" s="142">
        <v>82</v>
      </c>
      <c r="C164" s="153"/>
      <c r="D164" s="154"/>
      <c r="E164" s="183" t="s">
        <v>200</v>
      </c>
      <c r="F164" s="154" t="s">
        <v>240</v>
      </c>
      <c r="G164" s="156">
        <v>1200000</v>
      </c>
      <c r="H164" s="156"/>
      <c r="I164" s="158">
        <f t="shared" si="51"/>
        <v>172985.5</v>
      </c>
      <c r="J164" s="158">
        <f t="shared" si="52"/>
        <v>319677.20399999997</v>
      </c>
      <c r="K164" s="156">
        <f t="shared" si="49"/>
        <v>0</v>
      </c>
      <c r="L164" s="156">
        <f t="shared" si="50"/>
        <v>0</v>
      </c>
      <c r="M164" s="159">
        <f t="shared" si="54"/>
        <v>660000</v>
      </c>
      <c r="N164" s="159">
        <f t="shared" si="55"/>
        <v>440000</v>
      </c>
      <c r="O164" s="160">
        <v>0</v>
      </c>
      <c r="P164" s="1018">
        <f t="shared" si="56"/>
        <v>2792662.7039999999</v>
      </c>
      <c r="Q164" s="895">
        <f t="shared" si="53"/>
        <v>33511952.447999999</v>
      </c>
    </row>
    <row r="165" spans="2:19" ht="21.75" customHeight="1" x14ac:dyDescent="0.25">
      <c r="B165" s="142">
        <v>83</v>
      </c>
      <c r="C165" s="153"/>
      <c r="D165" s="154"/>
      <c r="E165" s="183" t="s">
        <v>200</v>
      </c>
      <c r="F165" s="154" t="s">
        <v>203</v>
      </c>
      <c r="G165" s="156">
        <v>1200000</v>
      </c>
      <c r="H165" s="156"/>
      <c r="I165" s="158">
        <f t="shared" si="51"/>
        <v>172985.5</v>
      </c>
      <c r="J165" s="158">
        <f t="shared" si="52"/>
        <v>319677.20399999997</v>
      </c>
      <c r="K165" s="156">
        <f t="shared" si="49"/>
        <v>0</v>
      </c>
      <c r="L165" s="156">
        <f t="shared" si="50"/>
        <v>0</v>
      </c>
      <c r="M165" s="159">
        <f t="shared" si="54"/>
        <v>660000</v>
      </c>
      <c r="N165" s="159">
        <f t="shared" si="55"/>
        <v>440000</v>
      </c>
      <c r="O165" s="160">
        <v>0</v>
      </c>
      <c r="P165" s="1018">
        <f t="shared" si="56"/>
        <v>2792662.7039999999</v>
      </c>
      <c r="Q165" s="895">
        <f t="shared" si="53"/>
        <v>33511952.447999999</v>
      </c>
    </row>
    <row r="166" spans="2:19" ht="21.75" customHeight="1" x14ac:dyDescent="0.25">
      <c r="B166" s="142">
        <v>84</v>
      </c>
      <c r="C166" s="153"/>
      <c r="D166" s="154"/>
      <c r="E166" s="183" t="s">
        <v>200</v>
      </c>
      <c r="F166" s="154"/>
      <c r="G166" s="156">
        <v>1200000</v>
      </c>
      <c r="H166" s="156"/>
      <c r="I166" s="158">
        <f t="shared" si="51"/>
        <v>172985.5</v>
      </c>
      <c r="J166" s="158">
        <f t="shared" si="52"/>
        <v>319677.20399999997</v>
      </c>
      <c r="K166" s="156">
        <f>SUM(G166*0)</f>
        <v>0</v>
      </c>
      <c r="L166" s="156">
        <f>SUM(G166*6%*0)</f>
        <v>0</v>
      </c>
      <c r="M166" s="159">
        <f t="shared" si="54"/>
        <v>660000</v>
      </c>
      <c r="N166" s="159">
        <f t="shared" si="55"/>
        <v>440000</v>
      </c>
      <c r="O166" s="160">
        <v>0</v>
      </c>
      <c r="P166" s="1018">
        <f t="shared" si="56"/>
        <v>2792662.7039999999</v>
      </c>
      <c r="Q166" s="895">
        <f t="shared" si="53"/>
        <v>33511952.447999999</v>
      </c>
    </row>
    <row r="167" spans="2:19" ht="21.75" customHeight="1" x14ac:dyDescent="0.25">
      <c r="B167" s="142">
        <v>85</v>
      </c>
      <c r="C167" s="153"/>
      <c r="D167" s="154"/>
      <c r="E167" s="183" t="s">
        <v>200</v>
      </c>
      <c r="F167" s="154"/>
      <c r="G167" s="156">
        <v>1200000</v>
      </c>
      <c r="H167" s="156"/>
      <c r="I167" s="158">
        <f t="shared" si="51"/>
        <v>172985.5</v>
      </c>
      <c r="J167" s="158">
        <f t="shared" si="52"/>
        <v>319677.20399999997</v>
      </c>
      <c r="K167" s="156">
        <f>SUM(G167*0)</f>
        <v>0</v>
      </c>
      <c r="L167" s="156">
        <f>SUM(G167*6%*0)</f>
        <v>0</v>
      </c>
      <c r="M167" s="159">
        <f t="shared" si="54"/>
        <v>660000</v>
      </c>
      <c r="N167" s="159">
        <f t="shared" si="55"/>
        <v>440000</v>
      </c>
      <c r="O167" s="160">
        <v>0</v>
      </c>
      <c r="P167" s="1018">
        <f t="shared" si="56"/>
        <v>2792662.7039999999</v>
      </c>
      <c r="Q167" s="895">
        <f t="shared" si="53"/>
        <v>33511952.447999999</v>
      </c>
    </row>
    <row r="168" spans="2:19" ht="21.75" customHeight="1" x14ac:dyDescent="0.25">
      <c r="B168" s="142"/>
      <c r="C168" s="153"/>
      <c r="D168" s="154"/>
      <c r="E168" s="1058" t="s">
        <v>20</v>
      </c>
      <c r="F168" s="154"/>
      <c r="G168" s="143">
        <f>SUM(G83:G167)</f>
        <v>102000000</v>
      </c>
      <c r="H168" s="143">
        <f t="shared" ref="H168:O168" si="57">SUM(H83:H167)</f>
        <v>1300000</v>
      </c>
      <c r="I168" s="143">
        <f t="shared" si="57"/>
        <v>14703767.5</v>
      </c>
      <c r="J168" s="143">
        <f t="shared" si="57"/>
        <v>27172562.339999996</v>
      </c>
      <c r="K168" s="143">
        <f t="shared" si="57"/>
        <v>0</v>
      </c>
      <c r="L168" s="143">
        <f t="shared" si="57"/>
        <v>0</v>
      </c>
      <c r="M168" s="143">
        <f t="shared" si="57"/>
        <v>56100000</v>
      </c>
      <c r="N168" s="143">
        <f t="shared" si="57"/>
        <v>37400000</v>
      </c>
      <c r="O168" s="143">
        <f t="shared" si="57"/>
        <v>0</v>
      </c>
      <c r="P168" s="164">
        <f>SUM(P83:P167)</f>
        <v>238676329.83999974</v>
      </c>
      <c r="Q168" s="164">
        <f>SUM(Q83:Q167)</f>
        <v>2864115958.0799971</v>
      </c>
    </row>
    <row r="169" spans="2:19" ht="21.75" customHeight="1" x14ac:dyDescent="0.25">
      <c r="C169" s="165"/>
      <c r="D169" s="166"/>
      <c r="E169" s="1136"/>
      <c r="F169" s="166"/>
      <c r="G169" s="168"/>
      <c r="H169" s="168"/>
      <c r="I169" s="168"/>
      <c r="J169" s="168"/>
      <c r="K169" s="168"/>
      <c r="L169" s="168"/>
      <c r="M169" s="168"/>
      <c r="N169" s="168"/>
      <c r="O169" s="168"/>
      <c r="P169" s="1137"/>
      <c r="Q169" s="1137"/>
    </row>
    <row r="170" spans="2:19" ht="21.75" customHeight="1" x14ac:dyDescent="0.25">
      <c r="C170" s="165"/>
      <c r="D170" s="166"/>
      <c r="E170" s="184"/>
      <c r="F170" s="166"/>
      <c r="G170" s="167"/>
      <c r="H170" s="167"/>
      <c r="I170" s="168"/>
      <c r="J170" s="169"/>
      <c r="K170" s="167"/>
      <c r="L170" s="167"/>
      <c r="M170" s="169"/>
      <c r="N170" s="169"/>
      <c r="O170" s="185"/>
      <c r="Q170" s="1028">
        <f>Q168+Q80+Q62+Q44+Q43+Q39+Q20+Q16</f>
        <v>6579102714.7199955</v>
      </c>
    </row>
    <row r="171" spans="2:19" ht="21.75" customHeight="1" x14ac:dyDescent="0.25">
      <c r="C171" s="165"/>
      <c r="D171" s="1049" t="s">
        <v>728</v>
      </c>
      <c r="E171" s="184"/>
      <c r="F171" s="166"/>
      <c r="G171" s="167"/>
      <c r="H171" s="167"/>
      <c r="I171" s="168"/>
      <c r="J171" s="169"/>
      <c r="K171" s="167"/>
      <c r="L171" s="167"/>
      <c r="M171" s="169"/>
      <c r="N171" s="169"/>
      <c r="O171" s="185"/>
      <c r="Q171" s="1028"/>
    </row>
    <row r="172" spans="2:19" ht="21.75" customHeight="1" x14ac:dyDescent="0.25">
      <c r="C172" s="165"/>
      <c r="D172" s="166"/>
      <c r="E172" s="184"/>
      <c r="F172" s="166"/>
      <c r="G172" s="167"/>
      <c r="H172" s="167"/>
      <c r="I172" s="168"/>
      <c r="J172" s="169"/>
      <c r="K172" s="167"/>
      <c r="L172" s="167"/>
      <c r="M172" s="169"/>
      <c r="N172" s="169"/>
      <c r="O172" s="185"/>
    </row>
    <row r="173" spans="2:19" ht="21.75" customHeight="1" x14ac:dyDescent="0.25">
      <c r="J173" s="162"/>
    </row>
    <row r="174" spans="2:19" ht="21.75" customHeight="1" x14ac:dyDescent="0.25">
      <c r="C174" s="188"/>
      <c r="D174" s="139" t="s">
        <v>242</v>
      </c>
    </row>
    <row r="175" spans="2:19" s="135" customFormat="1" ht="28.15" customHeight="1" x14ac:dyDescent="0.25">
      <c r="B175" s="189" t="s">
        <v>124</v>
      </c>
      <c r="C175" s="189" t="s">
        <v>125</v>
      </c>
      <c r="D175" s="189" t="s">
        <v>126</v>
      </c>
      <c r="E175" s="189" t="s">
        <v>127</v>
      </c>
      <c r="F175" s="189" t="s">
        <v>128</v>
      </c>
      <c r="G175" s="190" t="s">
        <v>129</v>
      </c>
      <c r="H175" s="190" t="s">
        <v>243</v>
      </c>
      <c r="I175" s="190" t="s">
        <v>131</v>
      </c>
      <c r="J175" s="189" t="s">
        <v>132</v>
      </c>
      <c r="K175" s="190" t="s">
        <v>133</v>
      </c>
      <c r="L175" s="190" t="s">
        <v>134</v>
      </c>
      <c r="M175" s="189" t="s">
        <v>244</v>
      </c>
      <c r="N175" s="189" t="s">
        <v>245</v>
      </c>
      <c r="O175" s="190" t="s">
        <v>550</v>
      </c>
      <c r="P175" s="190" t="s">
        <v>246</v>
      </c>
      <c r="Q175" s="190" t="s">
        <v>247</v>
      </c>
      <c r="R175" s="190" t="s">
        <v>138</v>
      </c>
    </row>
    <row r="176" spans="2:19" ht="21.75" customHeight="1" x14ac:dyDescent="0.25">
      <c r="B176" s="191">
        <v>1</v>
      </c>
      <c r="C176" s="191"/>
      <c r="D176" s="192"/>
      <c r="E176" s="193"/>
      <c r="F176" s="194" t="s">
        <v>248</v>
      </c>
      <c r="G176" s="195">
        <f>'GAJI RINCI'!K83</f>
        <v>5500000</v>
      </c>
      <c r="H176" s="196">
        <f>'GAJI RINCI'!K91</f>
        <v>4950000</v>
      </c>
      <c r="I176" s="196">
        <f>'GAJI RINCI'!K99</f>
        <v>2000000</v>
      </c>
      <c r="J176" s="196">
        <f>'GAJI RINCI'!K107</f>
        <v>508200</v>
      </c>
      <c r="K176" s="196">
        <f>'GAJI RINCI'!J115</f>
        <v>275000</v>
      </c>
      <c r="L176" s="196">
        <f>'GAJI RINCI'!K115</f>
        <v>330000</v>
      </c>
      <c r="M176" s="196">
        <f>'GAJI RINCI'!K123</f>
        <v>3124000</v>
      </c>
      <c r="N176" s="196">
        <f>'GAJI RINCI'!K131</f>
        <v>2200000</v>
      </c>
      <c r="O176" s="1165">
        <v>2500000</v>
      </c>
      <c r="P176" s="196">
        <f>SUM(G176:O176)*70%</f>
        <v>14971039.999999998</v>
      </c>
      <c r="Q176" s="197">
        <f>SUM(G176:P176)</f>
        <v>36358240</v>
      </c>
      <c r="R176" s="198">
        <f>Q176*5</f>
        <v>181791200</v>
      </c>
      <c r="S176" s="162"/>
    </row>
    <row r="177" spans="2:19" ht="21.75" customHeight="1" x14ac:dyDescent="0.25">
      <c r="B177" s="191">
        <v>2</v>
      </c>
      <c r="C177" s="191"/>
      <c r="D177" s="192"/>
      <c r="E177" s="199"/>
      <c r="F177" s="194" t="s">
        <v>249</v>
      </c>
      <c r="G177" s="195">
        <f>'GAJI RINCI'!K84</f>
        <v>5000000</v>
      </c>
      <c r="H177" s="196">
        <f>'GAJI RINCI'!K92</f>
        <v>4500000</v>
      </c>
      <c r="I177" s="196">
        <f>'GAJI RINCI'!K100</f>
        <v>1800000</v>
      </c>
      <c r="J177" s="196">
        <f>'GAJI RINCI'!K108</f>
        <v>462000</v>
      </c>
      <c r="K177" s="196">
        <f>'GAJI RINCI'!J116</f>
        <v>250000</v>
      </c>
      <c r="L177" s="196">
        <f>'GAJI RINCI'!K116</f>
        <v>300000</v>
      </c>
      <c r="M177" s="196">
        <f>'GAJI RINCI'!K124</f>
        <v>3124000</v>
      </c>
      <c r="N177" s="196">
        <f>'GAJI RINCI'!K132</f>
        <v>2200000</v>
      </c>
      <c r="O177" s="1165">
        <v>2250000</v>
      </c>
      <c r="P177" s="196">
        <f t="shared" ref="P177:P180" si="58">SUM(G177:O177)*70%</f>
        <v>13920200</v>
      </c>
      <c r="Q177" s="197">
        <f t="shared" ref="Q177:Q180" si="59">SUM(G177:P177)</f>
        <v>33806200</v>
      </c>
      <c r="R177" s="198">
        <f>Q177*5</f>
        <v>169031000</v>
      </c>
      <c r="S177" s="162"/>
    </row>
    <row r="178" spans="2:19" ht="26.25" customHeight="1" x14ac:dyDescent="0.25">
      <c r="B178" s="191">
        <v>3</v>
      </c>
      <c r="C178" s="191"/>
      <c r="D178" s="200"/>
      <c r="E178" s="199"/>
      <c r="F178" s="194" t="s">
        <v>250</v>
      </c>
      <c r="G178" s="195">
        <f>'GAJI RINCI'!K85</f>
        <v>5000000</v>
      </c>
      <c r="H178" s="196">
        <f>'GAJI RINCI'!K93</f>
        <v>4500000</v>
      </c>
      <c r="I178" s="196">
        <f>'GAJI RINCI'!K101</f>
        <v>1800000</v>
      </c>
      <c r="J178" s="196">
        <f>'GAJI RINCI'!K109</f>
        <v>462000</v>
      </c>
      <c r="K178" s="196">
        <f>'GAJI RINCI'!J117</f>
        <v>250000</v>
      </c>
      <c r="L178" s="196">
        <f>'GAJI RINCI'!K117</f>
        <v>300000</v>
      </c>
      <c r="M178" s="196">
        <f>'GAJI RINCI'!K125</f>
        <v>3124000</v>
      </c>
      <c r="N178" s="196">
        <f>'GAJI RINCI'!K133</f>
        <v>2200000</v>
      </c>
      <c r="O178" s="1165">
        <v>2250000</v>
      </c>
      <c r="P178" s="196">
        <f t="shared" si="58"/>
        <v>13920200</v>
      </c>
      <c r="Q178" s="197">
        <f t="shared" si="59"/>
        <v>33806200</v>
      </c>
      <c r="R178" s="198">
        <f>Q178*5</f>
        <v>169031000</v>
      </c>
    </row>
    <row r="179" spans="2:19" ht="26.45" customHeight="1" x14ac:dyDescent="0.25">
      <c r="B179" s="191">
        <v>4</v>
      </c>
      <c r="C179" s="191"/>
      <c r="D179" s="200"/>
      <c r="E179" s="199"/>
      <c r="F179" s="194" t="s">
        <v>251</v>
      </c>
      <c r="G179" s="195">
        <f>'GAJI RINCI'!K86</f>
        <v>5000000</v>
      </c>
      <c r="H179" s="196">
        <f>'GAJI RINCI'!K94</f>
        <v>4500000</v>
      </c>
      <c r="I179" s="196">
        <f>'GAJI RINCI'!K102</f>
        <v>1800000</v>
      </c>
      <c r="J179" s="196">
        <f>'GAJI RINCI'!K110</f>
        <v>462000</v>
      </c>
      <c r="K179" s="196">
        <f>'GAJI RINCI'!J118</f>
        <v>250000</v>
      </c>
      <c r="L179" s="196">
        <f>'GAJI RINCI'!K118</f>
        <v>300000</v>
      </c>
      <c r="M179" s="196">
        <f>'GAJI RINCI'!K126</f>
        <v>3124000</v>
      </c>
      <c r="N179" s="196">
        <f>'GAJI RINCI'!K134</f>
        <v>2200000</v>
      </c>
      <c r="O179" s="1165">
        <v>2250000</v>
      </c>
      <c r="P179" s="196">
        <f t="shared" si="58"/>
        <v>13920200</v>
      </c>
      <c r="Q179" s="197">
        <f t="shared" si="59"/>
        <v>33806200</v>
      </c>
      <c r="R179" s="198">
        <f>Q179*5</f>
        <v>169031000</v>
      </c>
    </row>
    <row r="180" spans="2:19" ht="25.15" customHeight="1" x14ac:dyDescent="0.25">
      <c r="B180" s="191">
        <v>5</v>
      </c>
      <c r="C180" s="191"/>
      <c r="D180" s="200"/>
      <c r="E180" s="199"/>
      <c r="F180" s="194" t="s">
        <v>252</v>
      </c>
      <c r="G180" s="195">
        <f>'GAJI RINCI'!K87</f>
        <v>5000000</v>
      </c>
      <c r="H180" s="196">
        <f>'GAJI RINCI'!K95</f>
        <v>4500000</v>
      </c>
      <c r="I180" s="196">
        <f>'GAJI RINCI'!K103</f>
        <v>1800000</v>
      </c>
      <c r="J180" s="196">
        <f>'GAJI RINCI'!K111</f>
        <v>462000</v>
      </c>
      <c r="K180" s="196">
        <f>'GAJI RINCI'!J119</f>
        <v>250000</v>
      </c>
      <c r="L180" s="196">
        <f>'GAJI RINCI'!K119</f>
        <v>300000</v>
      </c>
      <c r="M180" s="196">
        <f>'GAJI RINCI'!K127</f>
        <v>3124000</v>
      </c>
      <c r="N180" s="196">
        <f>'GAJI RINCI'!K135</f>
        <v>2200000</v>
      </c>
      <c r="O180" s="1165">
        <v>2250000</v>
      </c>
      <c r="P180" s="196">
        <f t="shared" si="58"/>
        <v>13920200</v>
      </c>
      <c r="Q180" s="197">
        <f t="shared" si="59"/>
        <v>33806200</v>
      </c>
      <c r="R180" s="198">
        <f>Q180*5</f>
        <v>169031000</v>
      </c>
    </row>
    <row r="181" spans="2:19" ht="21.75" customHeight="1" x14ac:dyDescent="0.25">
      <c r="B181" s="191"/>
      <c r="C181" s="191"/>
      <c r="D181" s="199"/>
      <c r="E181" s="1058" t="s">
        <v>20</v>
      </c>
      <c r="F181" s="199"/>
      <c r="G181" s="203">
        <f t="shared" ref="G181:N181" si="60">SUM(G176:G180)</f>
        <v>25500000</v>
      </c>
      <c r="H181" s="203">
        <f t="shared" si="60"/>
        <v>22950000</v>
      </c>
      <c r="I181" s="203">
        <f t="shared" si="60"/>
        <v>9200000</v>
      </c>
      <c r="J181" s="203">
        <f t="shared" si="60"/>
        <v>2356200</v>
      </c>
      <c r="K181" s="203">
        <f t="shared" si="60"/>
        <v>1275000</v>
      </c>
      <c r="L181" s="203">
        <f t="shared" si="60"/>
        <v>1530000</v>
      </c>
      <c r="M181" s="203">
        <f>SUM(M176:M180)</f>
        <v>15620000</v>
      </c>
      <c r="N181" s="203">
        <f t="shared" si="60"/>
        <v>11000000</v>
      </c>
      <c r="O181" s="203">
        <f>SUM(O176:O180)</f>
        <v>11500000</v>
      </c>
      <c r="P181" s="203">
        <f>SUM(P176:P180)</f>
        <v>70651840</v>
      </c>
      <c r="Q181" s="203">
        <f>SUM(Q176:Q180)</f>
        <v>171583040</v>
      </c>
      <c r="R181" s="204">
        <f>SUM(R176:R180)</f>
        <v>857915200</v>
      </c>
    </row>
    <row r="182" spans="2:19" ht="21.75" customHeight="1" x14ac:dyDescent="0.25"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1"/>
      <c r="R182" s="202">
        <f>R181-67000000</f>
        <v>790915200</v>
      </c>
    </row>
    <row r="183" spans="2:19" ht="21.75" customHeight="1" x14ac:dyDescent="0.25">
      <c r="D183" s="180" t="s">
        <v>253</v>
      </c>
      <c r="Q183" s="201"/>
      <c r="R183" s="202">
        <f>R182*5%</f>
        <v>39545760</v>
      </c>
    </row>
    <row r="184" spans="2:19" ht="34.9" customHeight="1" x14ac:dyDescent="0.25">
      <c r="B184" s="140" t="s">
        <v>124</v>
      </c>
      <c r="C184" s="140" t="s">
        <v>125</v>
      </c>
      <c r="D184" s="140" t="s">
        <v>126</v>
      </c>
      <c r="E184" s="140" t="s">
        <v>254</v>
      </c>
      <c r="F184" s="140" t="s">
        <v>128</v>
      </c>
      <c r="G184" s="141" t="s">
        <v>129</v>
      </c>
      <c r="H184" s="141" t="s">
        <v>130</v>
      </c>
      <c r="I184" s="140" t="s">
        <v>255</v>
      </c>
      <c r="J184" s="190" t="s">
        <v>256</v>
      </c>
      <c r="K184" s="141" t="s">
        <v>779</v>
      </c>
      <c r="L184" s="141" t="s">
        <v>780</v>
      </c>
      <c r="M184" s="140"/>
      <c r="N184" s="140"/>
      <c r="O184" s="141" t="s">
        <v>257</v>
      </c>
      <c r="P184" s="141" t="s">
        <v>258</v>
      </c>
      <c r="Q184" s="201"/>
      <c r="R184" s="206">
        <f>R183/12</f>
        <v>3295480</v>
      </c>
    </row>
    <row r="185" spans="2:19" ht="25.9" customHeight="1" x14ac:dyDescent="0.25">
      <c r="B185" s="142">
        <v>1</v>
      </c>
      <c r="C185" s="142"/>
      <c r="D185" s="207"/>
      <c r="E185" s="208"/>
      <c r="F185" s="209" t="s">
        <v>259</v>
      </c>
      <c r="G185" s="195">
        <f>5500000*40%</f>
        <v>2200000</v>
      </c>
      <c r="H185" s="160"/>
      <c r="I185" s="160">
        <f>7*22*14200</f>
        <v>2186800</v>
      </c>
      <c r="J185" s="160">
        <v>800000</v>
      </c>
      <c r="K185" s="160">
        <v>1980000</v>
      </c>
      <c r="L185" s="160">
        <v>1500000</v>
      </c>
      <c r="M185" s="160"/>
      <c r="N185" s="160"/>
      <c r="O185" s="161">
        <f>SUM(G185:N185)</f>
        <v>8666800</v>
      </c>
      <c r="P185" s="161">
        <f>O185*5</f>
        <v>43334000</v>
      </c>
    </row>
    <row r="186" spans="2:19" ht="27.6" customHeight="1" x14ac:dyDescent="0.25">
      <c r="B186" s="142">
        <v>2</v>
      </c>
      <c r="C186" s="142"/>
      <c r="D186" s="207"/>
      <c r="E186" s="186"/>
      <c r="F186" s="209" t="s">
        <v>260</v>
      </c>
      <c r="G186" s="210">
        <f>5500000*30%</f>
        <v>1650000</v>
      </c>
      <c r="H186" s="160"/>
      <c r="I186" s="160">
        <f t="shared" ref="I186:I189" si="61">7*22*14200</f>
        <v>2186800</v>
      </c>
      <c r="J186" s="160">
        <v>800000</v>
      </c>
      <c r="K186" s="160">
        <v>1485000</v>
      </c>
      <c r="L186" s="160">
        <v>1500000</v>
      </c>
      <c r="M186" s="160"/>
      <c r="N186" s="160"/>
      <c r="O186" s="161">
        <f>SUM(G186:N186)</f>
        <v>7621800</v>
      </c>
      <c r="P186" s="161">
        <f>O186*5</f>
        <v>38109000</v>
      </c>
    </row>
    <row r="187" spans="2:19" ht="25.15" customHeight="1" x14ac:dyDescent="0.25">
      <c r="B187" s="142">
        <v>3</v>
      </c>
      <c r="C187" s="142"/>
      <c r="D187" s="207"/>
      <c r="E187" s="186"/>
      <c r="F187" s="209" t="s">
        <v>260</v>
      </c>
      <c r="G187" s="195">
        <f>5500000*30%</f>
        <v>1650000</v>
      </c>
      <c r="H187" s="160"/>
      <c r="I187" s="160">
        <f t="shared" si="61"/>
        <v>2186800</v>
      </c>
      <c r="J187" s="160">
        <v>800000</v>
      </c>
      <c r="K187" s="160">
        <v>1485000</v>
      </c>
      <c r="L187" s="160">
        <v>1500000</v>
      </c>
      <c r="M187" s="160"/>
      <c r="N187" s="160"/>
      <c r="O187" s="161">
        <f>SUM(G187:N187)</f>
        <v>7621800</v>
      </c>
      <c r="P187" s="161">
        <f>O187*5</f>
        <v>38109000</v>
      </c>
    </row>
    <row r="188" spans="2:19" ht="27" customHeight="1" x14ac:dyDescent="0.25">
      <c r="B188" s="142">
        <v>4</v>
      </c>
      <c r="C188" s="142"/>
      <c r="D188" s="207"/>
      <c r="E188" s="186"/>
      <c r="F188" s="209" t="s">
        <v>260</v>
      </c>
      <c r="G188" s="195">
        <f>G187</f>
        <v>1650000</v>
      </c>
      <c r="H188" s="160"/>
      <c r="I188" s="160">
        <f t="shared" si="61"/>
        <v>2186800</v>
      </c>
      <c r="J188" s="160">
        <v>800000</v>
      </c>
      <c r="K188" s="160">
        <v>1485000</v>
      </c>
      <c r="L188" s="160">
        <v>1500000</v>
      </c>
      <c r="M188" s="160"/>
      <c r="N188" s="160"/>
      <c r="O188" s="161">
        <f>SUM(G188:N188)</f>
        <v>7621800</v>
      </c>
      <c r="P188" s="161">
        <f>O188*5</f>
        <v>38109000</v>
      </c>
    </row>
    <row r="189" spans="2:19" ht="26.45" customHeight="1" x14ac:dyDescent="0.25">
      <c r="B189" s="142">
        <v>5</v>
      </c>
      <c r="C189" s="142"/>
      <c r="D189" s="207"/>
      <c r="E189" s="186"/>
      <c r="F189" s="209" t="s">
        <v>260</v>
      </c>
      <c r="G189" s="195">
        <f>G187</f>
        <v>1650000</v>
      </c>
      <c r="H189" s="160"/>
      <c r="I189" s="160">
        <f t="shared" si="61"/>
        <v>2186800</v>
      </c>
      <c r="J189" s="160">
        <v>800000</v>
      </c>
      <c r="K189" s="160">
        <v>1485000</v>
      </c>
      <c r="L189" s="160">
        <v>1500000</v>
      </c>
      <c r="M189" s="160"/>
      <c r="N189" s="160"/>
      <c r="O189" s="161">
        <f>SUM(G189:N189)</f>
        <v>7621800</v>
      </c>
      <c r="P189" s="161">
        <f>O189*5</f>
        <v>38109000</v>
      </c>
    </row>
    <row r="190" spans="2:19" ht="21.75" customHeight="1" x14ac:dyDescent="0.25">
      <c r="B190" s="142"/>
      <c r="C190" s="142"/>
      <c r="D190" s="186"/>
      <c r="E190" s="1058" t="s">
        <v>20</v>
      </c>
      <c r="F190" s="186"/>
      <c r="G190" s="164">
        <f>SUM(G185:G189)</f>
        <v>8800000</v>
      </c>
      <c r="H190" s="164"/>
      <c r="I190" s="164">
        <f>SUM(I185:I189)</f>
        <v>10934000</v>
      </c>
      <c r="J190" s="164">
        <f>SUM(J185:J189)</f>
        <v>4000000</v>
      </c>
      <c r="K190" s="164">
        <f t="shared" ref="K190:L190" si="62">SUM(K185:K189)</f>
        <v>7920000</v>
      </c>
      <c r="L190" s="164">
        <f t="shared" si="62"/>
        <v>7500000</v>
      </c>
      <c r="M190" s="187"/>
      <c r="N190" s="187"/>
      <c r="O190" s="164">
        <f>SUM(O185:O189)</f>
        <v>39154000</v>
      </c>
      <c r="P190" s="164">
        <f>SUM(P185:P189)</f>
        <v>195770000</v>
      </c>
      <c r="Q190" s="162"/>
    </row>
    <row r="191" spans="2:19" ht="21.75" customHeight="1" x14ac:dyDescent="0.25">
      <c r="P191" s="162"/>
    </row>
    <row r="192" spans="2:19" ht="21.75" customHeight="1" x14ac:dyDescent="0.25">
      <c r="D192" s="180" t="s">
        <v>261</v>
      </c>
    </row>
    <row r="193" spans="1:17" s="135" customFormat="1" ht="21.75" customHeight="1" x14ac:dyDescent="0.25">
      <c r="B193" s="140" t="s">
        <v>124</v>
      </c>
      <c r="C193" s="140" t="s">
        <v>262</v>
      </c>
      <c r="D193" s="140" t="s">
        <v>126</v>
      </c>
      <c r="E193" s="140" t="s">
        <v>263</v>
      </c>
      <c r="F193" s="140" t="s">
        <v>128</v>
      </c>
      <c r="G193" s="141" t="s">
        <v>129</v>
      </c>
      <c r="H193" s="211" t="s">
        <v>264</v>
      </c>
      <c r="I193" s="190" t="s">
        <v>256</v>
      </c>
      <c r="J193" s="140"/>
      <c r="K193" s="141"/>
      <c r="L193" s="141" t="s">
        <v>780</v>
      </c>
      <c r="M193" s="140"/>
      <c r="N193" s="140"/>
      <c r="O193" s="141" t="s">
        <v>257</v>
      </c>
      <c r="P193" s="141" t="s">
        <v>137</v>
      </c>
    </row>
    <row r="194" spans="1:17" ht="25.9" customHeight="1" x14ac:dyDescent="0.25">
      <c r="B194" s="142">
        <v>1</v>
      </c>
      <c r="C194" s="142"/>
      <c r="D194" s="212"/>
      <c r="E194" s="186"/>
      <c r="F194" s="514" t="s">
        <v>265</v>
      </c>
      <c r="G194" s="157">
        <v>770000</v>
      </c>
      <c r="H194" s="160">
        <v>937200</v>
      </c>
      <c r="I194" s="160">
        <v>300000</v>
      </c>
      <c r="J194" s="160"/>
      <c r="K194" s="160"/>
      <c r="L194" s="160">
        <v>750000</v>
      </c>
      <c r="M194" s="160"/>
      <c r="N194" s="160"/>
      <c r="O194" s="160">
        <f>SUM(G194:N194)</f>
        <v>2757200</v>
      </c>
      <c r="P194" s="161">
        <f>O194*5</f>
        <v>13786000</v>
      </c>
    </row>
    <row r="195" spans="1:17" ht="21.75" customHeight="1" x14ac:dyDescent="0.25">
      <c r="B195" s="142">
        <v>1</v>
      </c>
      <c r="C195" s="142"/>
      <c r="D195" s="212"/>
      <c r="E195" s="186"/>
      <c r="F195" s="213" t="s">
        <v>261</v>
      </c>
      <c r="G195" s="157">
        <v>660000</v>
      </c>
      <c r="H195" s="160">
        <v>937200</v>
      </c>
      <c r="I195" s="160">
        <v>300000</v>
      </c>
      <c r="J195" s="160"/>
      <c r="K195" s="160"/>
      <c r="L195" s="160">
        <v>750000</v>
      </c>
      <c r="M195" s="160"/>
      <c r="N195" s="160"/>
      <c r="O195" s="160">
        <f>SUM(G195:N195)</f>
        <v>2647200</v>
      </c>
      <c r="P195" s="161">
        <f>O195*5</f>
        <v>13236000</v>
      </c>
    </row>
    <row r="196" spans="1:17" ht="21.75" customHeight="1" x14ac:dyDescent="0.25">
      <c r="B196" s="142">
        <v>2</v>
      </c>
      <c r="C196" s="142"/>
      <c r="D196" s="212"/>
      <c r="E196" s="186"/>
      <c r="F196" s="213" t="s">
        <v>261</v>
      </c>
      <c r="G196" s="157">
        <v>660000</v>
      </c>
      <c r="H196" s="160">
        <v>937200</v>
      </c>
      <c r="I196" s="160">
        <v>300000</v>
      </c>
      <c r="J196" s="160"/>
      <c r="K196" s="160"/>
      <c r="L196" s="160">
        <v>750000</v>
      </c>
      <c r="M196" s="160"/>
      <c r="N196" s="160"/>
      <c r="O196" s="160">
        <f>SUM(G196:N196)</f>
        <v>2647200</v>
      </c>
      <c r="P196" s="161">
        <f>O196*5</f>
        <v>13236000</v>
      </c>
    </row>
    <row r="197" spans="1:17" ht="21.75" customHeight="1" x14ac:dyDescent="0.25">
      <c r="B197" s="142">
        <v>3</v>
      </c>
      <c r="C197" s="142"/>
      <c r="D197" s="212"/>
      <c r="E197" s="186"/>
      <c r="F197" s="213" t="s">
        <v>261</v>
      </c>
      <c r="G197" s="157">
        <v>660000</v>
      </c>
      <c r="H197" s="160">
        <v>937200</v>
      </c>
      <c r="I197" s="160">
        <v>300000</v>
      </c>
      <c r="J197" s="160"/>
      <c r="K197" s="160"/>
      <c r="L197" s="160">
        <v>750000</v>
      </c>
      <c r="M197" s="160"/>
      <c r="N197" s="160"/>
      <c r="O197" s="160">
        <f>SUM(G197:N197)</f>
        <v>2647200</v>
      </c>
      <c r="P197" s="161">
        <f>O197*5</f>
        <v>13236000</v>
      </c>
    </row>
    <row r="198" spans="1:17" ht="21.75" customHeight="1" x14ac:dyDescent="0.25">
      <c r="B198" s="142"/>
      <c r="C198" s="142"/>
      <c r="D198" s="186"/>
      <c r="E198" s="1058" t="s">
        <v>20</v>
      </c>
      <c r="F198" s="186"/>
      <c r="G198" s="164">
        <f>SUM(G194:G197)</f>
        <v>2750000</v>
      </c>
      <c r="H198" s="164">
        <f>SUM(H194:H197)</f>
        <v>3748800</v>
      </c>
      <c r="I198" s="164">
        <f>SUM(I194:I197)</f>
        <v>1200000</v>
      </c>
      <c r="J198" s="164">
        <f t="shared" ref="J198:L198" si="63">SUM(J194:J197)</f>
        <v>0</v>
      </c>
      <c r="K198" s="164">
        <f t="shared" si="63"/>
        <v>0</v>
      </c>
      <c r="L198" s="164">
        <f t="shared" si="63"/>
        <v>3000000</v>
      </c>
      <c r="M198" s="187"/>
      <c r="N198" s="187"/>
      <c r="O198" s="144">
        <f>SUM(O194:O197)</f>
        <v>10698800</v>
      </c>
      <c r="P198" s="164">
        <f>SUM(P194:P197)</f>
        <v>53494000</v>
      </c>
    </row>
    <row r="201" spans="1:17" ht="18" customHeight="1" x14ac:dyDescent="0.25">
      <c r="A201" s="214"/>
      <c r="B201" s="215"/>
      <c r="C201" s="215"/>
      <c r="D201" s="214"/>
      <c r="E201" s="214"/>
      <c r="F201" s="214"/>
      <c r="G201" s="216"/>
      <c r="H201" s="216"/>
      <c r="I201" s="216"/>
      <c r="J201" s="214"/>
      <c r="K201" s="1275" t="s">
        <v>266</v>
      </c>
      <c r="L201" s="1275"/>
      <c r="M201" s="1275"/>
      <c r="N201" s="1275"/>
      <c r="O201" s="1275"/>
      <c r="P201" s="217" t="e">
        <f>SUM(P16+O20+P39+O80+O168+#REF!+P181+O190+O198)</f>
        <v>#REF!</v>
      </c>
      <c r="Q201" s="162" t="e">
        <f>P198+P190+Q181+#REF!+P168+P80+Q39+P20+Q16</f>
        <v>#REF!</v>
      </c>
    </row>
    <row r="202" spans="1:17" x14ac:dyDescent="0.25">
      <c r="Q202" s="162"/>
    </row>
    <row r="207" spans="1:17" ht="15.75" x14ac:dyDescent="0.25">
      <c r="C207" s="218"/>
      <c r="D207" s="219" t="s">
        <v>267</v>
      </c>
      <c r="E207" s="220"/>
    </row>
    <row r="208" spans="1:17" x14ac:dyDescent="0.25">
      <c r="C208" s="218"/>
      <c r="D208" s="220"/>
      <c r="E208" s="220"/>
    </row>
    <row r="209" spans="3:10" ht="14.25" x14ac:dyDescent="0.25">
      <c r="C209" s="218">
        <v>1</v>
      </c>
      <c r="D209" s="221" t="s">
        <v>268</v>
      </c>
      <c r="E209" s="222">
        <v>5500000</v>
      </c>
      <c r="F209" s="223"/>
      <c r="I209" s="224"/>
    </row>
    <row r="210" spans="3:10" ht="14.25" x14ac:dyDescent="0.25">
      <c r="C210" s="218">
        <v>2</v>
      </c>
      <c r="D210" s="225" t="s">
        <v>269</v>
      </c>
      <c r="E210" s="222"/>
      <c r="F210" s="226"/>
      <c r="I210" s="224"/>
    </row>
    <row r="211" spans="3:10" ht="14.25" x14ac:dyDescent="0.25">
      <c r="C211" s="218">
        <v>3</v>
      </c>
      <c r="D211" s="225" t="s">
        <v>270</v>
      </c>
      <c r="E211" s="222"/>
      <c r="F211" s="226"/>
      <c r="I211" s="224"/>
    </row>
    <row r="212" spans="3:10" ht="14.25" x14ac:dyDescent="0.25">
      <c r="C212" s="218">
        <v>4</v>
      </c>
      <c r="D212" s="225" t="s">
        <v>271</v>
      </c>
      <c r="E212" s="227"/>
      <c r="F212" s="188"/>
      <c r="I212" s="228"/>
    </row>
    <row r="213" spans="3:10" ht="14.25" x14ac:dyDescent="0.25">
      <c r="C213" s="218">
        <v>5</v>
      </c>
      <c r="D213" s="225" t="s">
        <v>272</v>
      </c>
      <c r="E213" s="222"/>
      <c r="F213" s="226"/>
      <c r="I213" s="224"/>
    </row>
    <row r="214" spans="3:10" ht="14.25" x14ac:dyDescent="0.25">
      <c r="C214" s="218">
        <v>6</v>
      </c>
      <c r="D214" s="225" t="s">
        <v>273</v>
      </c>
      <c r="E214" s="222"/>
      <c r="F214" s="226"/>
      <c r="I214" s="224"/>
    </row>
    <row r="215" spans="3:10" ht="14.25" x14ac:dyDescent="0.25">
      <c r="C215" s="218">
        <v>7</v>
      </c>
      <c r="D215" s="225" t="s">
        <v>274</v>
      </c>
      <c r="E215" s="222"/>
      <c r="F215" s="226"/>
      <c r="I215" s="224"/>
    </row>
    <row r="216" spans="3:10" ht="16.5" x14ac:dyDescent="0.25">
      <c r="C216" s="218"/>
      <c r="D216" s="225"/>
      <c r="E216" s="229">
        <v>0</v>
      </c>
      <c r="F216" s="226"/>
      <c r="I216" s="230"/>
    </row>
    <row r="217" spans="3:10" ht="15" x14ac:dyDescent="0.25">
      <c r="C217" s="218"/>
      <c r="D217" s="225"/>
      <c r="E217" s="231">
        <f>SUM(E209:E216)</f>
        <v>5500000</v>
      </c>
      <c r="F217" s="223">
        <f>E217*40%</f>
        <v>2200000</v>
      </c>
      <c r="G217" s="137" t="s">
        <v>275</v>
      </c>
      <c r="J217" s="162"/>
    </row>
    <row r="218" spans="3:10" ht="16.5" x14ac:dyDescent="0.25">
      <c r="D218" s="226"/>
      <c r="E218" s="223"/>
      <c r="F218" s="232"/>
    </row>
    <row r="219" spans="3:10" ht="14.25" x14ac:dyDescent="0.25">
      <c r="E219" s="223"/>
      <c r="F219" s="223"/>
    </row>
    <row r="237" spans="4:13" x14ac:dyDescent="0.25">
      <c r="D237" s="136" t="s">
        <v>583</v>
      </c>
    </row>
    <row r="240" spans="4:13" x14ac:dyDescent="0.25">
      <c r="D240" s="934" t="s">
        <v>586</v>
      </c>
      <c r="M240" s="934" t="s">
        <v>687</v>
      </c>
    </row>
    <row r="241" spans="3:13" x14ac:dyDescent="0.25">
      <c r="G241" s="934" t="s">
        <v>594</v>
      </c>
    </row>
    <row r="242" spans="3:13" x14ac:dyDescent="0.25">
      <c r="C242" s="135">
        <v>1</v>
      </c>
      <c r="D242" s="136" t="s">
        <v>584</v>
      </c>
      <c r="L242" s="137">
        <v>1</v>
      </c>
      <c r="M242" s="136" t="s">
        <v>688</v>
      </c>
    </row>
    <row r="243" spans="3:13" x14ac:dyDescent="0.25">
      <c r="C243" s="135">
        <v>2</v>
      </c>
      <c r="D243" s="136" t="s">
        <v>130</v>
      </c>
      <c r="F243" s="136">
        <v>1</v>
      </c>
      <c r="G243" s="137" t="s">
        <v>602</v>
      </c>
      <c r="L243" s="137">
        <v>2</v>
      </c>
      <c r="M243" s="136" t="s">
        <v>689</v>
      </c>
    </row>
    <row r="244" spans="3:13" x14ac:dyDescent="0.25">
      <c r="C244" s="135">
        <v>3</v>
      </c>
      <c r="D244" s="136" t="s">
        <v>585</v>
      </c>
      <c r="F244" s="136">
        <v>2</v>
      </c>
      <c r="G244" s="137" t="s">
        <v>603</v>
      </c>
      <c r="L244" s="137">
        <v>3</v>
      </c>
      <c r="M244" s="136" t="s">
        <v>690</v>
      </c>
    </row>
    <row r="245" spans="3:13" x14ac:dyDescent="0.25">
      <c r="C245" s="135">
        <v>4</v>
      </c>
      <c r="D245" s="136" t="s">
        <v>601</v>
      </c>
      <c r="F245" s="136">
        <v>3</v>
      </c>
      <c r="G245" s="137" t="s">
        <v>604</v>
      </c>
      <c r="L245" s="137">
        <v>4</v>
      </c>
      <c r="M245" s="136" t="s">
        <v>691</v>
      </c>
    </row>
    <row r="246" spans="3:13" x14ac:dyDescent="0.25">
      <c r="C246" s="135">
        <v>5</v>
      </c>
      <c r="D246" s="136" t="s">
        <v>587</v>
      </c>
      <c r="L246" s="137">
        <v>5</v>
      </c>
      <c r="M246" s="136" t="s">
        <v>692</v>
      </c>
    </row>
    <row r="247" spans="3:13" x14ac:dyDescent="0.25">
      <c r="C247" s="135">
        <v>6</v>
      </c>
      <c r="D247" s="136" t="s">
        <v>588</v>
      </c>
      <c r="L247" s="137">
        <v>6</v>
      </c>
      <c r="M247" s="136" t="s">
        <v>693</v>
      </c>
    </row>
    <row r="248" spans="3:13" x14ac:dyDescent="0.25">
      <c r="C248" s="135">
        <v>7</v>
      </c>
      <c r="D248" s="136" t="s">
        <v>589</v>
      </c>
      <c r="L248" s="137">
        <v>7</v>
      </c>
    </row>
    <row r="249" spans="3:13" x14ac:dyDescent="0.25">
      <c r="C249" s="135">
        <v>8</v>
      </c>
      <c r="D249" s="136" t="s">
        <v>590</v>
      </c>
    </row>
    <row r="250" spans="3:13" x14ac:dyDescent="0.25">
      <c r="C250" s="135">
        <v>9</v>
      </c>
      <c r="D250" s="136" t="s">
        <v>591</v>
      </c>
    </row>
    <row r="251" spans="3:13" x14ac:dyDescent="0.25">
      <c r="C251" s="135">
        <v>10</v>
      </c>
      <c r="D251" s="136" t="s">
        <v>592</v>
      </c>
    </row>
    <row r="252" spans="3:13" x14ac:dyDescent="0.25">
      <c r="C252" s="135">
        <v>11</v>
      </c>
      <c r="D252" s="136" t="s">
        <v>593</v>
      </c>
    </row>
    <row r="253" spans="3:13" x14ac:dyDescent="0.25">
      <c r="C253" s="135">
        <v>12</v>
      </c>
      <c r="D253" s="136" t="s">
        <v>595</v>
      </c>
    </row>
    <row r="254" spans="3:13" x14ac:dyDescent="0.25">
      <c r="C254" s="135">
        <v>13</v>
      </c>
      <c r="D254" s="136" t="s">
        <v>598</v>
      </c>
    </row>
    <row r="255" spans="3:13" x14ac:dyDescent="0.25">
      <c r="C255" s="135">
        <v>14</v>
      </c>
      <c r="D255" s="136" t="s">
        <v>599</v>
      </c>
    </row>
    <row r="256" spans="3:13" x14ac:dyDescent="0.25">
      <c r="C256" s="135">
        <v>15</v>
      </c>
      <c r="D256" s="136" t="s">
        <v>600</v>
      </c>
    </row>
    <row r="257" spans="2:9" x14ac:dyDescent="0.25">
      <c r="C257" s="135">
        <v>16</v>
      </c>
    </row>
    <row r="258" spans="2:9" x14ac:dyDescent="0.25">
      <c r="C258" s="135">
        <v>17</v>
      </c>
    </row>
    <row r="259" spans="2:9" x14ac:dyDescent="0.25">
      <c r="C259" s="135">
        <v>18</v>
      </c>
    </row>
    <row r="260" spans="2:9" x14ac:dyDescent="0.25">
      <c r="C260" s="135">
        <v>19</v>
      </c>
    </row>
    <row r="261" spans="2:9" x14ac:dyDescent="0.25">
      <c r="C261" s="135">
        <v>20</v>
      </c>
    </row>
    <row r="263" spans="2:9" x14ac:dyDescent="0.25">
      <c r="D263" s="136" t="s">
        <v>276</v>
      </c>
      <c r="E263" s="162">
        <f>SUM(E210:E216)</f>
        <v>0</v>
      </c>
    </row>
    <row r="264" spans="2:9" x14ac:dyDescent="0.25">
      <c r="E264" s="136">
        <v>14497500</v>
      </c>
    </row>
    <row r="265" spans="2:9" x14ac:dyDescent="0.25">
      <c r="E265" s="162">
        <f>SUM(E263:E264)</f>
        <v>14497500</v>
      </c>
      <c r="F265" s="162">
        <f>E265*2</f>
        <v>28995000</v>
      </c>
    </row>
    <row r="266" spans="2:9" ht="15.75" x14ac:dyDescent="0.25">
      <c r="D266" s="233" t="s">
        <v>277</v>
      </c>
    </row>
    <row r="267" spans="2:9" x14ac:dyDescent="0.25">
      <c r="B267" s="136"/>
      <c r="C267" s="136"/>
    </row>
    <row r="268" spans="2:9" ht="15.75" x14ac:dyDescent="0.25">
      <c r="B268" s="136"/>
      <c r="C268" s="136"/>
      <c r="D268" s="139" t="s">
        <v>268</v>
      </c>
      <c r="E268" s="234">
        <v>7248750</v>
      </c>
    </row>
    <row r="269" spans="2:9" ht="15.75" x14ac:dyDescent="0.25">
      <c r="D269" s="235" t="s">
        <v>270</v>
      </c>
      <c r="E269" s="234">
        <v>205000</v>
      </c>
      <c r="F269" s="223"/>
    </row>
    <row r="270" spans="2:9" ht="15.75" x14ac:dyDescent="0.25">
      <c r="D270" s="235" t="s">
        <v>271</v>
      </c>
      <c r="E270" s="236">
        <v>378840</v>
      </c>
    </row>
    <row r="271" spans="2:9" ht="20.25" x14ac:dyDescent="0.25">
      <c r="D271" s="235" t="s">
        <v>272</v>
      </c>
      <c r="E271" s="237">
        <v>507413</v>
      </c>
      <c r="F271" s="223">
        <f>SUM(E269:E271)</f>
        <v>1091253</v>
      </c>
      <c r="G271" s="238">
        <f>E268</f>
        <v>7248750</v>
      </c>
      <c r="H271" s="137">
        <f>F271+G271</f>
        <v>8340003</v>
      </c>
      <c r="I271" s="137">
        <f>H271*2</f>
        <v>16680006</v>
      </c>
    </row>
    <row r="272" spans="2:9" ht="18" x14ac:dyDescent="0.25">
      <c r="D272" s="134"/>
      <c r="E272" s="239">
        <f>SUM(E268:E271)</f>
        <v>8340003</v>
      </c>
      <c r="F272" s="240"/>
    </row>
    <row r="273" spans="2:10" ht="18" x14ac:dyDescent="0.25">
      <c r="D273" s="134"/>
      <c r="E273" s="239"/>
      <c r="F273" s="240"/>
    </row>
    <row r="274" spans="2:10" ht="20.25" x14ac:dyDescent="0.25">
      <c r="D274" s="134"/>
      <c r="F274" s="241"/>
    </row>
    <row r="275" spans="2:10" ht="18" x14ac:dyDescent="0.25">
      <c r="D275" s="134"/>
      <c r="F275" s="242"/>
    </row>
    <row r="276" spans="2:10" x14ac:dyDescent="0.25">
      <c r="D276" s="134"/>
    </row>
    <row r="277" spans="2:10" x14ac:dyDescent="0.25">
      <c r="D277" s="134"/>
    </row>
    <row r="278" spans="2:10" x14ac:dyDescent="0.25">
      <c r="D278" s="134"/>
    </row>
    <row r="279" spans="2:10" x14ac:dyDescent="0.25">
      <c r="D279" s="134"/>
      <c r="G279" s="137" t="s">
        <v>278</v>
      </c>
      <c r="I279" s="137" t="s">
        <v>279</v>
      </c>
      <c r="J279" s="136" t="s">
        <v>280</v>
      </c>
    </row>
    <row r="280" spans="2:10" ht="15" x14ac:dyDescent="0.25">
      <c r="D280" s="134"/>
      <c r="F280" s="243">
        <f>'[2]GAJI RINCI'!J183</f>
        <v>0</v>
      </c>
      <c r="G280" s="238">
        <f>F275</f>
        <v>0</v>
      </c>
      <c r="H280" s="137">
        <f>F280-G280</f>
        <v>0</v>
      </c>
      <c r="I280" s="137">
        <v>26707241</v>
      </c>
      <c r="J280" s="244">
        <f>H280-I280</f>
        <v>-26707241</v>
      </c>
    </row>
    <row r="281" spans="2:10" x14ac:dyDescent="0.25">
      <c r="D281" s="134"/>
    </row>
    <row r="282" spans="2:10" x14ac:dyDescent="0.25">
      <c r="D282" s="134"/>
    </row>
    <row r="283" spans="2:10" x14ac:dyDescent="0.25">
      <c r="B283" s="136"/>
      <c r="C283" s="136"/>
    </row>
    <row r="284" spans="2:10" x14ac:dyDescent="0.25">
      <c r="B284" s="136"/>
      <c r="C284" s="136"/>
      <c r="D284" s="180" t="s">
        <v>281</v>
      </c>
    </row>
    <row r="285" spans="2:10" x14ac:dyDescent="0.25">
      <c r="B285" s="136"/>
      <c r="C285" s="136"/>
      <c r="D285" s="136" t="s">
        <v>238</v>
      </c>
      <c r="E285" s="137">
        <v>500000</v>
      </c>
    </row>
    <row r="286" spans="2:10" x14ac:dyDescent="0.25">
      <c r="B286" s="136"/>
      <c r="C286" s="136"/>
      <c r="D286" s="136" t="s">
        <v>241</v>
      </c>
      <c r="E286" s="137">
        <v>500000</v>
      </c>
    </row>
    <row r="287" spans="2:10" x14ac:dyDescent="0.25">
      <c r="B287" s="136"/>
      <c r="C287" s="136"/>
      <c r="E287" s="137">
        <v>500000</v>
      </c>
    </row>
    <row r="288" spans="2:10" x14ac:dyDescent="0.25">
      <c r="B288" s="136"/>
      <c r="C288" s="136"/>
      <c r="E288" s="162">
        <f>SUM(E285:E287)</f>
        <v>1500000</v>
      </c>
      <c r="F288" s="162">
        <f>E288*12</f>
        <v>18000000</v>
      </c>
    </row>
    <row r="289" spans="2:3" x14ac:dyDescent="0.25">
      <c r="B289" s="136"/>
      <c r="C289" s="136"/>
    </row>
    <row r="290" spans="2:3" x14ac:dyDescent="0.25">
      <c r="B290" s="136"/>
      <c r="C290" s="136"/>
    </row>
    <row r="291" spans="2:3" x14ac:dyDescent="0.25">
      <c r="B291" s="136"/>
      <c r="C291" s="136"/>
    </row>
    <row r="292" spans="2:3" x14ac:dyDescent="0.25">
      <c r="B292" s="136"/>
      <c r="C292" s="136"/>
    </row>
    <row r="293" spans="2:3" x14ac:dyDescent="0.25">
      <c r="B293" s="136"/>
      <c r="C293" s="136"/>
    </row>
    <row r="294" spans="2:3" x14ac:dyDescent="0.25">
      <c r="B294" s="136"/>
      <c r="C294" s="136"/>
    </row>
    <row r="295" spans="2:3" x14ac:dyDescent="0.25">
      <c r="B295" s="136"/>
      <c r="C295" s="136"/>
    </row>
    <row r="296" spans="2:3" x14ac:dyDescent="0.25">
      <c r="B296" s="136"/>
      <c r="C296" s="136"/>
    </row>
    <row r="297" spans="2:3" x14ac:dyDescent="0.25">
      <c r="B297" s="136"/>
      <c r="C297" s="136"/>
    </row>
    <row r="298" spans="2:3" x14ac:dyDescent="0.25">
      <c r="B298" s="136"/>
      <c r="C298" s="136"/>
    </row>
    <row r="299" spans="2:3" x14ac:dyDescent="0.25">
      <c r="B299" s="136"/>
      <c r="C299" s="136"/>
    </row>
    <row r="300" spans="2:3" x14ac:dyDescent="0.25">
      <c r="B300" s="136"/>
      <c r="C300" s="136"/>
    </row>
    <row r="301" spans="2:3" x14ac:dyDescent="0.25">
      <c r="B301" s="136"/>
      <c r="C301" s="136"/>
    </row>
    <row r="302" spans="2:3" x14ac:dyDescent="0.25">
      <c r="B302" s="136"/>
      <c r="C302" s="136"/>
    </row>
    <row r="303" spans="2:3" x14ac:dyDescent="0.25">
      <c r="B303" s="136"/>
      <c r="C303" s="136"/>
    </row>
    <row r="304" spans="2:3" x14ac:dyDescent="0.25">
      <c r="B304" s="136"/>
      <c r="C304" s="136"/>
    </row>
    <row r="305" spans="2:3" x14ac:dyDescent="0.25">
      <c r="B305" s="136"/>
      <c r="C305" s="136"/>
    </row>
    <row r="306" spans="2:3" x14ac:dyDescent="0.25">
      <c r="B306" s="136"/>
      <c r="C306" s="136"/>
    </row>
    <row r="307" spans="2:3" x14ac:dyDescent="0.25">
      <c r="B307" s="136"/>
      <c r="C307" s="136"/>
    </row>
    <row r="308" spans="2:3" x14ac:dyDescent="0.25">
      <c r="B308" s="136"/>
      <c r="C308" s="136"/>
    </row>
    <row r="309" spans="2:3" x14ac:dyDescent="0.25">
      <c r="B309" s="136"/>
      <c r="C309" s="136"/>
    </row>
    <row r="310" spans="2:3" x14ac:dyDescent="0.25">
      <c r="B310" s="136"/>
      <c r="C310" s="136"/>
    </row>
    <row r="311" spans="2:3" x14ac:dyDescent="0.25">
      <c r="B311" s="136"/>
      <c r="C311" s="136"/>
    </row>
    <row r="312" spans="2:3" x14ac:dyDescent="0.25">
      <c r="B312" s="136"/>
      <c r="C312" s="136"/>
    </row>
    <row r="313" spans="2:3" x14ac:dyDescent="0.25">
      <c r="B313" s="136"/>
      <c r="C313" s="136"/>
    </row>
    <row r="314" spans="2:3" x14ac:dyDescent="0.25">
      <c r="B314" s="136"/>
      <c r="C314" s="136"/>
    </row>
    <row r="315" spans="2:3" x14ac:dyDescent="0.25">
      <c r="B315" s="136"/>
      <c r="C315" s="136"/>
    </row>
    <row r="316" spans="2:3" x14ac:dyDescent="0.25">
      <c r="B316" s="136"/>
      <c r="C316" s="136"/>
    </row>
    <row r="317" spans="2:3" x14ac:dyDescent="0.25">
      <c r="B317" s="136"/>
      <c r="C317" s="136"/>
    </row>
    <row r="318" spans="2:3" x14ac:dyDescent="0.25">
      <c r="B318" s="136"/>
      <c r="C318" s="136"/>
    </row>
    <row r="319" spans="2:3" x14ac:dyDescent="0.25">
      <c r="B319" s="136"/>
      <c r="C319" s="136"/>
    </row>
    <row r="320" spans="2:3" x14ac:dyDescent="0.25">
      <c r="B320" s="136"/>
      <c r="C320" s="136"/>
    </row>
    <row r="321" spans="2:3" x14ac:dyDescent="0.25">
      <c r="B321" s="136"/>
      <c r="C321" s="136"/>
    </row>
    <row r="322" spans="2:3" x14ac:dyDescent="0.25">
      <c r="B322" s="136"/>
      <c r="C322" s="136"/>
    </row>
    <row r="323" spans="2:3" x14ac:dyDescent="0.25">
      <c r="B323" s="136"/>
      <c r="C323" s="136"/>
    </row>
    <row r="324" spans="2:3" x14ac:dyDescent="0.25">
      <c r="B324" s="136"/>
      <c r="C324" s="136"/>
    </row>
    <row r="325" spans="2:3" x14ac:dyDescent="0.25">
      <c r="B325" s="136"/>
      <c r="C325" s="136"/>
    </row>
    <row r="326" spans="2:3" x14ac:dyDescent="0.25">
      <c r="B326" s="136"/>
      <c r="C326" s="136"/>
    </row>
    <row r="327" spans="2:3" x14ac:dyDescent="0.25">
      <c r="B327" s="136"/>
      <c r="C327" s="136"/>
    </row>
    <row r="328" spans="2:3" x14ac:dyDescent="0.25">
      <c r="B328" s="136"/>
      <c r="C328" s="136"/>
    </row>
    <row r="329" spans="2:3" x14ac:dyDescent="0.25">
      <c r="B329" s="136"/>
      <c r="C329" s="136"/>
    </row>
    <row r="330" spans="2:3" x14ac:dyDescent="0.25">
      <c r="B330" s="136"/>
      <c r="C330" s="136"/>
    </row>
    <row r="331" spans="2:3" x14ac:dyDescent="0.25">
      <c r="B331" s="136"/>
      <c r="C331" s="136"/>
    </row>
    <row r="332" spans="2:3" x14ac:dyDescent="0.25">
      <c r="B332" s="136"/>
      <c r="C332" s="136"/>
    </row>
    <row r="333" spans="2:3" x14ac:dyDescent="0.25">
      <c r="B333" s="136"/>
      <c r="C333" s="136"/>
    </row>
    <row r="334" spans="2:3" x14ac:dyDescent="0.25">
      <c r="B334" s="136"/>
      <c r="C334" s="136"/>
    </row>
    <row r="335" spans="2:3" x14ac:dyDescent="0.25">
      <c r="B335" s="136"/>
      <c r="C335" s="136"/>
    </row>
    <row r="336" spans="2:3" x14ac:dyDescent="0.25">
      <c r="B336" s="136"/>
      <c r="C336" s="136"/>
    </row>
    <row r="337" spans="2:3" x14ac:dyDescent="0.25">
      <c r="B337" s="136"/>
      <c r="C337" s="136"/>
    </row>
    <row r="338" spans="2:3" x14ac:dyDescent="0.25">
      <c r="B338" s="136"/>
      <c r="C338" s="136"/>
    </row>
    <row r="339" spans="2:3" x14ac:dyDescent="0.25">
      <c r="B339" s="136"/>
      <c r="C339" s="136"/>
    </row>
    <row r="340" spans="2:3" x14ac:dyDescent="0.25">
      <c r="B340" s="136"/>
      <c r="C340" s="136"/>
    </row>
    <row r="341" spans="2:3" x14ac:dyDescent="0.25">
      <c r="B341" s="136"/>
      <c r="C341" s="136"/>
    </row>
    <row r="342" spans="2:3" x14ac:dyDescent="0.25">
      <c r="B342" s="136"/>
      <c r="C342" s="136"/>
    </row>
    <row r="343" spans="2:3" x14ac:dyDescent="0.25">
      <c r="B343" s="136"/>
      <c r="C343" s="136"/>
    </row>
    <row r="344" spans="2:3" x14ac:dyDescent="0.25">
      <c r="B344" s="136"/>
      <c r="C344" s="136"/>
    </row>
    <row r="345" spans="2:3" x14ac:dyDescent="0.25">
      <c r="B345" s="136"/>
      <c r="C345" s="136"/>
    </row>
    <row r="346" spans="2:3" x14ac:dyDescent="0.25">
      <c r="B346" s="136"/>
      <c r="C346" s="136"/>
    </row>
    <row r="347" spans="2:3" x14ac:dyDescent="0.25">
      <c r="B347" s="136"/>
      <c r="C347" s="136"/>
    </row>
    <row r="348" spans="2:3" x14ac:dyDescent="0.25">
      <c r="B348" s="136"/>
      <c r="C348" s="136"/>
    </row>
    <row r="349" spans="2:3" x14ac:dyDescent="0.25">
      <c r="B349" s="136"/>
      <c r="C349" s="136"/>
    </row>
    <row r="350" spans="2:3" x14ac:dyDescent="0.25">
      <c r="B350" s="136"/>
      <c r="C350" s="136"/>
    </row>
    <row r="351" spans="2:3" x14ac:dyDescent="0.25">
      <c r="B351" s="136"/>
      <c r="C351" s="136"/>
    </row>
    <row r="352" spans="2:3" x14ac:dyDescent="0.25">
      <c r="B352" s="136"/>
      <c r="C352" s="136"/>
    </row>
    <row r="353" spans="2:3" x14ac:dyDescent="0.25">
      <c r="B353" s="136"/>
      <c r="C353" s="136"/>
    </row>
    <row r="354" spans="2:3" x14ac:dyDescent="0.25">
      <c r="B354" s="136"/>
      <c r="C354" s="136"/>
    </row>
    <row r="355" spans="2:3" x14ac:dyDescent="0.25">
      <c r="B355" s="136"/>
      <c r="C355" s="136"/>
    </row>
    <row r="356" spans="2:3" x14ac:dyDescent="0.25">
      <c r="B356" s="136"/>
      <c r="C356" s="136"/>
    </row>
    <row r="357" spans="2:3" x14ac:dyDescent="0.25">
      <c r="B357" s="136"/>
      <c r="C357" s="136"/>
    </row>
    <row r="358" spans="2:3" x14ac:dyDescent="0.25">
      <c r="B358" s="136"/>
      <c r="C358" s="136"/>
    </row>
    <row r="359" spans="2:3" x14ac:dyDescent="0.25">
      <c r="B359" s="136"/>
      <c r="C359" s="136"/>
    </row>
    <row r="360" spans="2:3" x14ac:dyDescent="0.25">
      <c r="B360" s="136"/>
      <c r="C360" s="136"/>
    </row>
    <row r="361" spans="2:3" x14ac:dyDescent="0.25">
      <c r="B361" s="136"/>
      <c r="C361" s="136"/>
    </row>
    <row r="362" spans="2:3" x14ac:dyDescent="0.25">
      <c r="B362" s="136"/>
      <c r="C362" s="136"/>
    </row>
    <row r="363" spans="2:3" x14ac:dyDescent="0.25">
      <c r="B363" s="136"/>
      <c r="C363" s="136"/>
    </row>
    <row r="364" spans="2:3" x14ac:dyDescent="0.25">
      <c r="B364" s="136"/>
      <c r="C364" s="136"/>
    </row>
    <row r="365" spans="2:3" x14ac:dyDescent="0.25">
      <c r="B365" s="136"/>
      <c r="C365" s="136"/>
    </row>
    <row r="366" spans="2:3" x14ac:dyDescent="0.25">
      <c r="B366" s="136"/>
      <c r="C366" s="136"/>
    </row>
    <row r="367" spans="2:3" x14ac:dyDescent="0.25">
      <c r="B367" s="136"/>
      <c r="C367" s="136"/>
    </row>
    <row r="368" spans="2:3" x14ac:dyDescent="0.25">
      <c r="B368" s="136"/>
      <c r="C368" s="136"/>
    </row>
    <row r="369" spans="2:3" x14ac:dyDescent="0.25">
      <c r="B369" s="136"/>
      <c r="C369" s="136"/>
    </row>
    <row r="370" spans="2:3" x14ac:dyDescent="0.25">
      <c r="B370" s="136"/>
      <c r="C370" s="136"/>
    </row>
    <row r="371" spans="2:3" x14ac:dyDescent="0.25">
      <c r="B371" s="136"/>
      <c r="C371" s="136"/>
    </row>
    <row r="372" spans="2:3" x14ac:dyDescent="0.25">
      <c r="B372" s="136"/>
      <c r="C372" s="136"/>
    </row>
    <row r="373" spans="2:3" x14ac:dyDescent="0.25">
      <c r="B373" s="136"/>
      <c r="C373" s="136"/>
    </row>
    <row r="374" spans="2:3" x14ac:dyDescent="0.25">
      <c r="B374" s="136"/>
      <c r="C374" s="136"/>
    </row>
    <row r="375" spans="2:3" x14ac:dyDescent="0.25">
      <c r="B375" s="136"/>
      <c r="C375" s="136"/>
    </row>
    <row r="376" spans="2:3" x14ac:dyDescent="0.25">
      <c r="B376" s="136"/>
      <c r="C376" s="136"/>
    </row>
    <row r="377" spans="2:3" x14ac:dyDescent="0.25">
      <c r="B377" s="136"/>
      <c r="C377" s="136"/>
    </row>
    <row r="378" spans="2:3" x14ac:dyDescent="0.25">
      <c r="B378" s="136"/>
      <c r="C378" s="136"/>
    </row>
    <row r="379" spans="2:3" x14ac:dyDescent="0.25">
      <c r="B379" s="136"/>
      <c r="C379" s="136"/>
    </row>
    <row r="380" spans="2:3" x14ac:dyDescent="0.25">
      <c r="B380" s="136"/>
      <c r="C380" s="136"/>
    </row>
    <row r="381" spans="2:3" x14ac:dyDescent="0.25">
      <c r="B381" s="136"/>
      <c r="C381" s="136"/>
    </row>
    <row r="382" spans="2:3" x14ac:dyDescent="0.25">
      <c r="B382" s="136"/>
      <c r="C382" s="136"/>
    </row>
    <row r="383" spans="2:3" x14ac:dyDescent="0.25">
      <c r="B383" s="136"/>
      <c r="C383" s="136"/>
    </row>
    <row r="384" spans="2:3" x14ac:dyDescent="0.25">
      <c r="B384" s="136"/>
      <c r="C384" s="136"/>
    </row>
    <row r="385" spans="2:3" x14ac:dyDescent="0.25">
      <c r="B385" s="136"/>
      <c r="C385" s="136"/>
    </row>
    <row r="386" spans="2:3" x14ac:dyDescent="0.25">
      <c r="B386" s="136"/>
      <c r="C386" s="136"/>
    </row>
    <row r="387" spans="2:3" x14ac:dyDescent="0.25">
      <c r="B387" s="136"/>
      <c r="C387" s="136"/>
    </row>
    <row r="388" spans="2:3" x14ac:dyDescent="0.25">
      <c r="B388" s="136"/>
      <c r="C388" s="136"/>
    </row>
    <row r="389" spans="2:3" x14ac:dyDescent="0.25">
      <c r="B389" s="136"/>
      <c r="C389" s="136"/>
    </row>
    <row r="390" spans="2:3" x14ac:dyDescent="0.25">
      <c r="B390" s="136"/>
      <c r="C390" s="136"/>
    </row>
    <row r="391" spans="2:3" x14ac:dyDescent="0.25">
      <c r="B391" s="136"/>
      <c r="C391" s="136"/>
    </row>
    <row r="392" spans="2:3" x14ac:dyDescent="0.25">
      <c r="B392" s="136"/>
      <c r="C392" s="136"/>
    </row>
    <row r="393" spans="2:3" x14ac:dyDescent="0.25">
      <c r="B393" s="136"/>
      <c r="C393" s="136"/>
    </row>
    <row r="394" spans="2:3" x14ac:dyDescent="0.25">
      <c r="B394" s="136"/>
      <c r="C394" s="136"/>
    </row>
  </sheetData>
  <mergeCells count="1">
    <mergeCell ref="K201:O201"/>
  </mergeCells>
  <pageMargins left="0.7" right="0.7" top="0.75" bottom="0.75" header="0.3" footer="0.3"/>
  <pageSetup paperSize="9" orientation="portrait" horizontalDpi="4294967293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showGridLines="0" topLeftCell="A31" workbookViewId="0">
      <selection activeCell="D47" sqref="D47"/>
    </sheetView>
  </sheetViews>
  <sheetFormatPr defaultRowHeight="15" x14ac:dyDescent="0.25"/>
  <cols>
    <col min="1" max="2" width="10" customWidth="1"/>
    <col min="3" max="3" width="49.5703125" customWidth="1"/>
    <col min="4" max="8" width="14.7109375" customWidth="1"/>
    <col min="10" max="10" width="14.85546875" customWidth="1"/>
    <col min="11" max="11" width="15.28515625" customWidth="1"/>
  </cols>
  <sheetData>
    <row r="1" spans="1:16" ht="12" customHeight="1" thickBot="1" x14ac:dyDescent="0.3"/>
    <row r="2" spans="1:16" ht="6" customHeight="1" thickTop="1" x14ac:dyDescent="0.25">
      <c r="A2" s="1293"/>
      <c r="B2" s="1294"/>
      <c r="C2" s="1205"/>
      <c r="D2" s="1206"/>
      <c r="E2" s="1206"/>
      <c r="F2" s="1206"/>
      <c r="G2" s="1206"/>
      <c r="H2" s="1207"/>
    </row>
    <row r="3" spans="1:16" ht="18" x14ac:dyDescent="0.25">
      <c r="A3" s="1295"/>
      <c r="B3" s="1296"/>
      <c r="C3" s="1303" t="s">
        <v>94</v>
      </c>
      <c r="D3" s="1304"/>
      <c r="E3" s="1304"/>
      <c r="F3" s="1304"/>
      <c r="G3" s="1304"/>
      <c r="H3" s="1305"/>
    </row>
    <row r="4" spans="1:16" ht="17.25" x14ac:dyDescent="0.25">
      <c r="A4" s="1295"/>
      <c r="B4" s="1296"/>
      <c r="C4" s="1314" t="s">
        <v>118</v>
      </c>
      <c r="D4" s="1315"/>
      <c r="E4" s="1315"/>
      <c r="F4" s="1315"/>
      <c r="G4" s="1315"/>
      <c r="H4" s="1316"/>
    </row>
    <row r="5" spans="1:16" ht="17.25" x14ac:dyDescent="0.25">
      <c r="A5" s="1295"/>
      <c r="B5" s="1296"/>
      <c r="C5" s="1314" t="s">
        <v>569</v>
      </c>
      <c r="D5" s="1315"/>
      <c r="E5" s="1315"/>
      <c r="F5" s="1315"/>
      <c r="G5" s="1315"/>
      <c r="H5" s="1316"/>
    </row>
    <row r="6" spans="1:16" ht="18" x14ac:dyDescent="0.25">
      <c r="A6" s="1295"/>
      <c r="B6" s="1296"/>
      <c r="C6" s="1303" t="s">
        <v>465</v>
      </c>
      <c r="D6" s="1304"/>
      <c r="E6" s="1304"/>
      <c r="F6" s="1304"/>
      <c r="G6" s="1304"/>
      <c r="H6" s="1305"/>
    </row>
    <row r="7" spans="1:16" ht="5.45" customHeight="1" thickBot="1" x14ac:dyDescent="0.3">
      <c r="A7" s="1213"/>
      <c r="B7" s="1297"/>
      <c r="C7" s="1300"/>
      <c r="D7" s="1301"/>
      <c r="E7" s="1301"/>
      <c r="F7" s="1301"/>
      <c r="G7" s="1301"/>
      <c r="H7" s="1302"/>
    </row>
    <row r="8" spans="1:16" ht="9" customHeight="1" thickTop="1" thickBot="1" x14ac:dyDescent="0.3">
      <c r="A8" s="343"/>
      <c r="B8" s="343"/>
      <c r="C8" s="343"/>
      <c r="D8" s="343"/>
      <c r="E8" s="343"/>
      <c r="F8" s="343"/>
      <c r="G8" s="343"/>
    </row>
    <row r="9" spans="1:16" ht="17.45" customHeight="1" thickTop="1" thickBot="1" x14ac:dyDescent="0.3">
      <c r="A9" s="1317" t="s">
        <v>573</v>
      </c>
      <c r="B9" s="1256"/>
      <c r="C9" s="1256"/>
      <c r="D9" s="1256"/>
      <c r="E9" s="1256"/>
      <c r="F9" s="1256"/>
      <c r="G9" s="1256"/>
      <c r="H9" s="543"/>
      <c r="I9" s="344"/>
      <c r="J9" s="344"/>
      <c r="K9" s="344"/>
      <c r="L9" s="344"/>
      <c r="M9" s="344"/>
      <c r="N9" s="344"/>
      <c r="O9" s="344"/>
      <c r="P9" s="344"/>
    </row>
    <row r="10" spans="1:16" x14ac:dyDescent="0.25">
      <c r="A10" s="1306" t="s">
        <v>98</v>
      </c>
      <c r="B10" s="1318" t="s">
        <v>99</v>
      </c>
      <c r="C10" s="1319"/>
      <c r="D10" s="1310" t="s">
        <v>575</v>
      </c>
      <c r="E10" s="1308" t="s">
        <v>720</v>
      </c>
      <c r="F10" s="1308" t="s">
        <v>95</v>
      </c>
      <c r="G10" s="1312" t="s">
        <v>6</v>
      </c>
      <c r="H10" s="1298" t="s">
        <v>7</v>
      </c>
    </row>
    <row r="11" spans="1:16" ht="28.9" customHeight="1" x14ac:dyDescent="0.25">
      <c r="A11" s="1307"/>
      <c r="B11" s="1320"/>
      <c r="C11" s="1321"/>
      <c r="D11" s="1311"/>
      <c r="E11" s="1309"/>
      <c r="F11" s="1309"/>
      <c r="G11" s="1313"/>
      <c r="H11" s="1299"/>
    </row>
    <row r="12" spans="1:16" ht="14.45" customHeight="1" thickBot="1" x14ac:dyDescent="0.3">
      <c r="A12" s="607" t="s">
        <v>282</v>
      </c>
      <c r="B12" s="1276"/>
      <c r="C12" s="1276"/>
      <c r="D12" s="544" t="s">
        <v>285</v>
      </c>
      <c r="E12" s="544" t="s">
        <v>286</v>
      </c>
      <c r="F12" s="544" t="s">
        <v>287</v>
      </c>
      <c r="G12" s="544" t="s">
        <v>338</v>
      </c>
      <c r="H12" s="545"/>
    </row>
    <row r="13" spans="1:16" ht="9" customHeight="1" thickBot="1" x14ac:dyDescent="0.3">
      <c r="A13" s="546"/>
      <c r="B13" s="546"/>
      <c r="C13" s="546"/>
      <c r="D13" s="546"/>
      <c r="E13" s="546"/>
      <c r="F13" s="546"/>
      <c r="G13" s="546"/>
      <c r="H13" s="547"/>
    </row>
    <row r="14" spans="1:16" ht="14.45" customHeight="1" x14ac:dyDescent="0.25">
      <c r="A14" s="842" t="str">
        <f>'GAJI RINCI'!B11</f>
        <v>92.01.10</v>
      </c>
      <c r="B14" s="1281" t="str">
        <f>'GAJI RINCI'!C11</f>
        <v>BIAYA HONOR BADAN PENGAWAS DAN STAF BP</v>
      </c>
      <c r="C14" s="1282"/>
      <c r="D14" s="843">
        <f>'GAJI RINCI'!M11</f>
        <v>105600000</v>
      </c>
      <c r="E14" s="843">
        <f>'GAJI RINCI'!N11</f>
        <v>116319074</v>
      </c>
      <c r="F14" s="843">
        <f>'GAJI RINCI'!O11</f>
        <v>133919074</v>
      </c>
      <c r="G14" s="844">
        <f>D14-F14</f>
        <v>-28319074</v>
      </c>
      <c r="H14" s="1122" t="str">
        <f>IF(G14&gt;0,"BERTAMBAH",IF(G14&lt;0,"BERKURANG","TETAP"))</f>
        <v>BERKURANG</v>
      </c>
    </row>
    <row r="15" spans="1:16" x14ac:dyDescent="0.25">
      <c r="A15" s="845" t="str">
        <f>'GAJI RINCI'!B19</f>
        <v>92.01.11</v>
      </c>
      <c r="B15" s="1279" t="str">
        <f>'GAJI RINCI'!C19</f>
        <v xml:space="preserve">TUNJ. TRANSPORT  BADAN PENGAWAS </v>
      </c>
      <c r="C15" s="1280"/>
      <c r="D15" s="846">
        <f>'GAJI RINCI'!M19</f>
        <v>131208000</v>
      </c>
      <c r="E15" s="846">
        <f>'GAJI RINCI'!N19</f>
        <v>46343700</v>
      </c>
      <c r="F15" s="846">
        <f>'GAJI RINCI'!O19</f>
        <v>65978700</v>
      </c>
      <c r="G15" s="128">
        <f>D15-F15</f>
        <v>65229300</v>
      </c>
      <c r="H15" s="574" t="str">
        <f t="shared" ref="H15:H41" si="0">IF(G15&gt;0,"BERTAMBAH",IF(G15&lt;0,"BERKURANG","TETAP"))</f>
        <v>BERTAMBAH</v>
      </c>
    </row>
    <row r="16" spans="1:16" x14ac:dyDescent="0.25">
      <c r="A16" s="845" t="str">
        <f>'GAJI RINCI'!B27</f>
        <v>92.01.12</v>
      </c>
      <c r="B16" s="878" t="str">
        <f>'GAJI RINCI'!C27</f>
        <v>TUNJ. KOORDINASI</v>
      </c>
      <c r="C16" s="879"/>
      <c r="D16" s="846">
        <f>'GAJI RINCI'!M27</f>
        <v>95040000</v>
      </c>
      <c r="E16" s="846">
        <f>'GAJI RINCI'!N27</f>
        <v>23760000</v>
      </c>
      <c r="F16" s="846">
        <f>'GAJI RINCI'!O27</f>
        <v>39600000</v>
      </c>
      <c r="G16" s="128">
        <f t="shared" ref="G16:G22" si="1">D16-F16</f>
        <v>55440000</v>
      </c>
      <c r="H16" s="574" t="str">
        <f t="shared" si="0"/>
        <v>BERTAMBAH</v>
      </c>
    </row>
    <row r="17" spans="1:10" x14ac:dyDescent="0.25">
      <c r="A17" s="845" t="str">
        <f>'GAJI RINCI'!B35</f>
        <v>92.01.13</v>
      </c>
      <c r="B17" s="1279" t="str">
        <f>'GAJI RINCI'!C35</f>
        <v>TUNJ. MONITORING, EVALUASI DAN PELAPORAN - BP</v>
      </c>
      <c r="C17" s="1280"/>
      <c r="D17" s="846">
        <f>'GAJI RINCI'!M35</f>
        <v>48000000</v>
      </c>
      <c r="E17" s="846">
        <f>'GAJI RINCI'!N35</f>
        <v>20400000</v>
      </c>
      <c r="F17" s="846">
        <f>'GAJI RINCI'!O35</f>
        <v>28400000</v>
      </c>
      <c r="G17" s="128">
        <f t="shared" si="1"/>
        <v>19600000</v>
      </c>
      <c r="H17" s="574" t="str">
        <f t="shared" si="0"/>
        <v>BERTAMBAH</v>
      </c>
    </row>
    <row r="18" spans="1:10" x14ac:dyDescent="0.25">
      <c r="A18" s="932" t="s">
        <v>545</v>
      </c>
      <c r="B18" s="933" t="s">
        <v>578</v>
      </c>
      <c r="C18" s="879"/>
      <c r="D18" s="846">
        <f>'GAJI RINCI'!M43</f>
        <v>90000000</v>
      </c>
      <c r="E18" s="846">
        <f>'GAJI RINCI'!N43</f>
        <v>22500000</v>
      </c>
      <c r="F18" s="846">
        <f>'GAJI RINCI'!O43</f>
        <v>37500000</v>
      </c>
      <c r="G18" s="128">
        <f t="shared" si="1"/>
        <v>52500000</v>
      </c>
      <c r="H18" s="574" t="str">
        <f t="shared" si="0"/>
        <v>BERTAMBAH</v>
      </c>
    </row>
    <row r="19" spans="1:10" x14ac:dyDescent="0.25">
      <c r="A19" s="845" t="str">
        <f>'GAJI RINCI'!B52</f>
        <v>92.01.20</v>
      </c>
      <c r="B19" s="1279" t="str">
        <f>'GAJI RINCI'!C52</f>
        <v>BIAYA HONOR KOMITE AUDIT</v>
      </c>
      <c r="C19" s="1280"/>
      <c r="D19" s="846">
        <f>'GAJI RINCI'!M52</f>
        <v>33000000</v>
      </c>
      <c r="E19" s="846">
        <f>'GAJI RINCI'!N52</f>
        <v>8250000</v>
      </c>
      <c r="F19" s="846">
        <f>'GAJI RINCI'!O52</f>
        <v>13750000</v>
      </c>
      <c r="G19" s="128">
        <f t="shared" si="1"/>
        <v>19250000</v>
      </c>
      <c r="H19" s="574" t="str">
        <f t="shared" si="0"/>
        <v>BERTAMBAH</v>
      </c>
      <c r="J19" s="782">
        <f>SUM(D32:D40)</f>
        <v>8169202442.6399994</v>
      </c>
    </row>
    <row r="20" spans="1:10" x14ac:dyDescent="0.25">
      <c r="A20" s="845" t="str">
        <f>'GAJI RINCI'!B59</f>
        <v>92.01.21</v>
      </c>
      <c r="B20" s="1279" t="str">
        <f>'GAJI RINCI'!C59</f>
        <v>TUNJ. TRANSPORT  KOMITE  AUDIT</v>
      </c>
      <c r="C20" s="1280"/>
      <c r="D20" s="846">
        <f>'GAJI RINCI'!M59</f>
        <v>44985600</v>
      </c>
      <c r="E20" s="846">
        <f>'GAJI RINCI'!N59</f>
        <v>10098000</v>
      </c>
      <c r="F20" s="846">
        <f>'GAJI RINCI'!O59</f>
        <v>16830000</v>
      </c>
      <c r="G20" s="128">
        <f t="shared" si="1"/>
        <v>28155600</v>
      </c>
      <c r="H20" s="574" t="str">
        <f t="shared" si="0"/>
        <v>BERTAMBAH</v>
      </c>
      <c r="J20" s="782">
        <f>SUM(D14:D30)</f>
        <v>1809408000</v>
      </c>
    </row>
    <row r="21" spans="1:10" ht="14.45" customHeight="1" x14ac:dyDescent="0.25">
      <c r="A21" s="1006" t="str">
        <f>'GAJI RINCI'!B66</f>
        <v>92.01.22</v>
      </c>
      <c r="B21" s="1283" t="str">
        <f>'GAJI RINCI'!C66</f>
        <v>TUNJ. MONITORING, EVALUASI DAN PELAPORAN - KOMITE AUDIT</v>
      </c>
      <c r="C21" s="1284"/>
      <c r="D21" s="1011">
        <f>'GAJI RINCI'!M66</f>
        <v>14400000</v>
      </c>
      <c r="E21" s="846">
        <f>'GAJI RINCI'!N66</f>
        <v>3600000</v>
      </c>
      <c r="F21" s="846">
        <f>'GAJI RINCI'!O66</f>
        <v>6000000</v>
      </c>
      <c r="G21" s="128">
        <f t="shared" si="1"/>
        <v>8400000</v>
      </c>
      <c r="H21" s="574" t="str">
        <f t="shared" si="0"/>
        <v>BERTAMBAH</v>
      </c>
    </row>
    <row r="22" spans="1:10" ht="14.45" customHeight="1" x14ac:dyDescent="0.25">
      <c r="A22" s="1008" t="s">
        <v>579</v>
      </c>
      <c r="B22" s="1009" t="s">
        <v>580</v>
      </c>
      <c r="C22" s="1010"/>
      <c r="D22" s="1013">
        <f>'GAJI RINCI'!M73</f>
        <v>36000000</v>
      </c>
      <c r="E22" s="846">
        <f>'GAJI RINCI'!N73</f>
        <v>9000000</v>
      </c>
      <c r="F22" s="846">
        <f>'GAJI RINCI'!O73</f>
        <v>15000000</v>
      </c>
      <c r="G22" s="128">
        <f t="shared" si="1"/>
        <v>21000000</v>
      </c>
      <c r="H22" s="574" t="str">
        <f t="shared" si="0"/>
        <v>BERTAMBAH</v>
      </c>
    </row>
    <row r="23" spans="1:10" x14ac:dyDescent="0.25">
      <c r="A23" s="1007" t="str">
        <f>'GAJI RINCI'!B82</f>
        <v>92.01.30</v>
      </c>
      <c r="B23" s="1285" t="str">
        <f>'GAJI RINCI'!C82</f>
        <v>BIAYA GAJI DIREKSI</v>
      </c>
      <c r="C23" s="1286"/>
      <c r="D23" s="1012">
        <f>'GAJI RINCI'!M82</f>
        <v>306000000</v>
      </c>
      <c r="E23" s="846">
        <f>'GAJI RINCI'!N82</f>
        <v>177982500</v>
      </c>
      <c r="F23" s="846">
        <f>'GAJI RINCI'!O82</f>
        <v>228982500</v>
      </c>
      <c r="G23" s="128">
        <f t="shared" ref="G23:G41" si="2">D23-F23</f>
        <v>77017500</v>
      </c>
      <c r="H23" s="574" t="str">
        <f t="shared" si="0"/>
        <v>BERTAMBAH</v>
      </c>
    </row>
    <row r="24" spans="1:10" x14ac:dyDescent="0.25">
      <c r="A24" s="845" t="str">
        <f>'GAJI RINCI'!B90</f>
        <v>92.01.31</v>
      </c>
      <c r="B24" s="1277" t="str">
        <f>'GAJI RINCI'!C90</f>
        <v>BIAYA TUNJANGAN JABATAN</v>
      </c>
      <c r="C24" s="1278"/>
      <c r="D24" s="846">
        <f>'GAJI RINCI'!M90</f>
        <v>275400000</v>
      </c>
      <c r="E24" s="846">
        <f>'GAJI RINCI'!N90</f>
        <v>97200000</v>
      </c>
      <c r="F24" s="846">
        <f>'GAJI RINCI'!O90</f>
        <v>143100000</v>
      </c>
      <c r="G24" s="128">
        <f t="shared" si="2"/>
        <v>132300000</v>
      </c>
      <c r="H24" s="574" t="str">
        <f t="shared" si="0"/>
        <v>BERTAMBAH</v>
      </c>
    </row>
    <row r="25" spans="1:10" x14ac:dyDescent="0.25">
      <c r="A25" s="845" t="str">
        <f>'GAJI RINCI'!B98</f>
        <v>92.01.32</v>
      </c>
      <c r="B25" s="1277" t="str">
        <f>'GAJI RINCI'!C98</f>
        <v xml:space="preserve">TUNJANGAN JAMSOSTEK KESEHATAN </v>
      </c>
      <c r="C25" s="1278"/>
      <c r="D25" s="846">
        <f>'GAJI RINCI'!M98</f>
        <v>110400000</v>
      </c>
      <c r="E25" s="846">
        <f>'GAJI RINCI'!N98</f>
        <v>30470000</v>
      </c>
      <c r="F25" s="846">
        <f>'GAJI RINCI'!O98</f>
        <v>48870000</v>
      </c>
      <c r="G25" s="128">
        <f t="shared" si="2"/>
        <v>61530000</v>
      </c>
      <c r="H25" s="574" t="str">
        <f t="shared" si="0"/>
        <v>BERTAMBAH</v>
      </c>
    </row>
    <row r="26" spans="1:10" x14ac:dyDescent="0.25">
      <c r="A26" s="845" t="str">
        <f>'GAJI RINCI'!B106</f>
        <v>92.01.33</v>
      </c>
      <c r="B26" s="1277" t="str">
        <f>'GAJI RINCI'!C106</f>
        <v>TUNJANGAN JAMSOSTEK KETENAGAKERJAAN</v>
      </c>
      <c r="C26" s="1278"/>
      <c r="D26" s="846">
        <f>'GAJI RINCI'!M106</f>
        <v>28274400</v>
      </c>
      <c r="E26" s="846">
        <f>'GAJI RINCI'!N106</f>
        <v>12372360</v>
      </c>
      <c r="F26" s="846">
        <f>'GAJI RINCI'!O106</f>
        <v>17084760</v>
      </c>
      <c r="G26" s="128">
        <f t="shared" si="2"/>
        <v>11189640</v>
      </c>
      <c r="H26" s="574" t="str">
        <f t="shared" si="0"/>
        <v>BERTAMBAH</v>
      </c>
    </row>
    <row r="27" spans="1:10" x14ac:dyDescent="0.25">
      <c r="A27" s="845" t="str">
        <f>'GAJI RINCI'!B114</f>
        <v>92.01.34</v>
      </c>
      <c r="B27" s="1277" t="str">
        <f>'GAJI RINCI'!C114</f>
        <v>TUNJ. ISTRI DAN ANAK</v>
      </c>
      <c r="C27" s="1278"/>
      <c r="D27" s="846">
        <f>'GAJI RINCI'!M114</f>
        <v>33660000</v>
      </c>
      <c r="E27" s="846">
        <f>'GAJI RINCI'!N114</f>
        <v>13238782</v>
      </c>
      <c r="F27" s="846">
        <f>'GAJI RINCI'!O114</f>
        <v>21128762</v>
      </c>
      <c r="G27" s="128">
        <f t="shared" si="2"/>
        <v>12531238</v>
      </c>
      <c r="H27" s="574" t="str">
        <f t="shared" si="0"/>
        <v>BERTAMBAH</v>
      </c>
    </row>
    <row r="28" spans="1:10" x14ac:dyDescent="0.25">
      <c r="A28" s="845" t="str">
        <f>'GAJI RINCI'!B122</f>
        <v>92.01.35</v>
      </c>
      <c r="B28" s="1277" t="str">
        <f>'GAJI RINCI'!C122</f>
        <v>TUNJANGAN TRANSPORT</v>
      </c>
      <c r="C28" s="1278"/>
      <c r="D28" s="846">
        <f>'GAJI RINCI'!M122</f>
        <v>187440000</v>
      </c>
      <c r="E28" s="846">
        <f>'GAJI RINCI'!N122</f>
        <v>61781400</v>
      </c>
      <c r="F28" s="846">
        <f>'GAJI RINCI'!O122</f>
        <v>89831400</v>
      </c>
      <c r="G28" s="128">
        <f t="shared" si="2"/>
        <v>97608600</v>
      </c>
      <c r="H28" s="574" t="str">
        <f t="shared" si="0"/>
        <v>BERTAMBAH</v>
      </c>
    </row>
    <row r="29" spans="1:10" x14ac:dyDescent="0.25">
      <c r="A29" s="845" t="str">
        <f>'GAJI RINCI'!B130</f>
        <v>92.01.36</v>
      </c>
      <c r="B29" s="1277" t="str">
        <f>'GAJI RINCI'!C130</f>
        <v>TUNJANGAN UANG MAKAN</v>
      </c>
      <c r="C29" s="1278"/>
      <c r="D29" s="846">
        <f>'GAJI RINCI'!M130</f>
        <v>132000000</v>
      </c>
      <c r="E29" s="846">
        <f>'GAJI RINCI'!N130</f>
        <v>42240000</v>
      </c>
      <c r="F29" s="846">
        <f>'GAJI RINCI'!O130</f>
        <v>64240000</v>
      </c>
      <c r="G29" s="128">
        <f>D29-F29</f>
        <v>67760000</v>
      </c>
      <c r="H29" s="574" t="str">
        <f>IF(G29&gt;0,"BERTAMBAH",IF(G29&lt;0,"BERKURANG","TETAP"))</f>
        <v>BERTAMBAH</v>
      </c>
    </row>
    <row r="30" spans="1:10" ht="17.25" customHeight="1" x14ac:dyDescent="0.25">
      <c r="A30" s="845" t="str">
        <f>'GAJI RINCI'!B138</f>
        <v>92.01.37</v>
      </c>
      <c r="B30" s="1277" t="str">
        <f>'GAJI RINCI'!C138</f>
        <v>TUNJANGAN UANG KOMUNIKASI</v>
      </c>
      <c r="C30" s="1278"/>
      <c r="D30" s="846">
        <f>'GAJI RINCI'!M138</f>
        <v>138000000</v>
      </c>
      <c r="E30" s="846">
        <f>'GAJI RINCI'!N138</f>
        <v>34500000</v>
      </c>
      <c r="F30" s="846">
        <f>'GAJI RINCI'!O138</f>
        <v>57500000</v>
      </c>
      <c r="G30" s="128">
        <f>D30-F30</f>
        <v>80500000</v>
      </c>
      <c r="H30" s="574" t="str">
        <f>IF(G30&gt;0,"BERTAMBAH",IF(G30&lt;0,"BERKURANG","TETAP"))</f>
        <v>BERTAMBAH</v>
      </c>
    </row>
    <row r="31" spans="1:10" x14ac:dyDescent="0.25">
      <c r="A31" s="845" t="str">
        <f>'GAJI RINCI'!B146</f>
        <v>92.01.38</v>
      </c>
      <c r="B31" s="1277" t="str">
        <f>'GAJI RINCI'!C146</f>
        <v>REPRESENTASI DIREKSI</v>
      </c>
      <c r="C31" s="1278"/>
      <c r="D31" s="846">
        <f>'GAJI RINCI'!M146</f>
        <v>847822080</v>
      </c>
      <c r="E31" s="846">
        <f>'GAJI RINCI'!N146</f>
        <v>257751270</v>
      </c>
      <c r="F31" s="846">
        <f>'GAJI RINCI'!O146</f>
        <v>398417950</v>
      </c>
      <c r="G31" s="128">
        <f t="shared" si="2"/>
        <v>449404130</v>
      </c>
      <c r="H31" s="574" t="str">
        <f>IF(G31&gt;0,"BERTAMBAH",IF(G31&lt;0,"BERKURANG","TETAP"))</f>
        <v>BERTAMBAH</v>
      </c>
    </row>
    <row r="32" spans="1:10" x14ac:dyDescent="0.25">
      <c r="A32" s="845" t="str">
        <f>'GAJI RINCI'!B154</f>
        <v>92.01.40</v>
      </c>
      <c r="B32" s="1277" t="str">
        <f>'GAJI RINCI'!C154</f>
        <v>GAJI POKOK SPI</v>
      </c>
      <c r="C32" s="1278"/>
      <c r="D32" s="846">
        <f>'GAJI RINCI'!M154</f>
        <v>0</v>
      </c>
      <c r="E32" s="846">
        <f>'GAJI RINCI'!N154</f>
        <v>0</v>
      </c>
      <c r="F32" s="846">
        <v>0</v>
      </c>
      <c r="G32" s="128">
        <f t="shared" si="2"/>
        <v>0</v>
      </c>
      <c r="H32" s="574" t="str">
        <f t="shared" si="0"/>
        <v>TETAP</v>
      </c>
    </row>
    <row r="33" spans="1:11" x14ac:dyDescent="0.25">
      <c r="A33" s="845" t="str">
        <f>'GAJI RINCI'!B161</f>
        <v>92.01.50</v>
      </c>
      <c r="B33" s="1277" t="str">
        <f>'GAJI RINCI'!C161</f>
        <v>GAJI POKOK PEGAWAI</v>
      </c>
      <c r="C33" s="1278"/>
      <c r="D33" s="1159">
        <f>'GAJI RINCI'!M161</f>
        <v>2997566400</v>
      </c>
      <c r="E33" s="846">
        <f>'GAJI RINCI'!N161</f>
        <v>2105052600</v>
      </c>
      <c r="F33" s="846">
        <f>'GAJI RINCI'!O161</f>
        <v>2572739300</v>
      </c>
      <c r="G33" s="128">
        <f t="shared" si="2"/>
        <v>424827100</v>
      </c>
      <c r="H33" s="574" t="str">
        <f t="shared" si="0"/>
        <v>BERTAMBAH</v>
      </c>
    </row>
    <row r="34" spans="1:11" x14ac:dyDescent="0.25">
      <c r="A34" s="845" t="str">
        <f>'GAJI RINCI'!B171</f>
        <v>92.01.51</v>
      </c>
      <c r="B34" s="1277" t="str">
        <f>'GAJI RINCI'!C171</f>
        <v>TUNJANGAN JABATAN PEGAWAI</v>
      </c>
      <c r="C34" s="1278"/>
      <c r="D34" s="1159">
        <f>'GAJI RINCI'!M171</f>
        <v>355800000</v>
      </c>
      <c r="E34" s="846">
        <f>'GAJI RINCI'!N171</f>
        <v>127480000</v>
      </c>
      <c r="F34" s="846">
        <f>'GAJI RINCI'!O171</f>
        <v>181600000</v>
      </c>
      <c r="G34" s="128">
        <f t="shared" si="2"/>
        <v>174200000</v>
      </c>
      <c r="H34" s="574" t="str">
        <f t="shared" si="0"/>
        <v>BERTAMBAH</v>
      </c>
      <c r="J34">
        <v>2398062972</v>
      </c>
    </row>
    <row r="35" spans="1:11" x14ac:dyDescent="0.25">
      <c r="A35" s="845" t="str">
        <f>'GAJI RINCI'!B179</f>
        <v>92.01.52</v>
      </c>
      <c r="B35" s="1277" t="str">
        <f>'GAJI RINCI'!C179</f>
        <v>TUNJANGAN KESEHATAN DAN BPJS TK - PEGAWAI</v>
      </c>
      <c r="C35" s="1278"/>
      <c r="D35" s="1159">
        <f>'GAJI RINCI'!M179</f>
        <v>834679422.71999991</v>
      </c>
      <c r="E35" s="846">
        <f>'GAJI RINCI'!N179</f>
        <v>584625692</v>
      </c>
      <c r="F35" s="846">
        <f>'GAJI RINCI'!O179</f>
        <v>704272570</v>
      </c>
      <c r="G35" s="128">
        <f t="shared" si="2"/>
        <v>130406852.71999991</v>
      </c>
      <c r="H35" s="574" t="str">
        <f t="shared" si="0"/>
        <v>BERTAMBAH</v>
      </c>
      <c r="J35" s="782">
        <f>D36-J34</f>
        <v>0</v>
      </c>
    </row>
    <row r="36" spans="1:11" x14ac:dyDescent="0.25">
      <c r="A36" s="845" t="str">
        <f>'GAJI RINCI'!B190</f>
        <v>92.01.53</v>
      </c>
      <c r="B36" s="1277" t="str">
        <f>'GAJI RINCI'!C190</f>
        <v>TUNJANGAN LAIN-LAIN PEGAWAI</v>
      </c>
      <c r="C36" s="1278"/>
      <c r="D36" s="1011">
        <f>'GAJI RINCI'!M190</f>
        <v>2398062972</v>
      </c>
      <c r="E36" s="1011">
        <f>'GAJI RINCI'!N190</f>
        <v>1357948564</v>
      </c>
      <c r="F36" s="1011">
        <f>'GAJI RINCI'!O190</f>
        <v>1750621383</v>
      </c>
      <c r="G36" s="128">
        <f t="shared" si="2"/>
        <v>647441589</v>
      </c>
      <c r="H36" s="574" t="str">
        <f t="shared" si="0"/>
        <v>BERTAMBAH</v>
      </c>
    </row>
    <row r="37" spans="1:11" x14ac:dyDescent="0.25">
      <c r="A37" s="1061" t="s">
        <v>556</v>
      </c>
      <c r="B37" s="1277" t="s">
        <v>730</v>
      </c>
      <c r="C37" s="1278"/>
      <c r="D37" s="1159">
        <f>'GAJI RINCI'!M201</f>
        <v>812478097.91999996</v>
      </c>
      <c r="E37" s="1062">
        <v>194704614</v>
      </c>
      <c r="F37" s="1063">
        <v>258134346</v>
      </c>
      <c r="G37" s="128">
        <f t="shared" si="2"/>
        <v>554343751.91999996</v>
      </c>
      <c r="H37" s="573" t="str">
        <f t="shared" si="0"/>
        <v>BERTAMBAH</v>
      </c>
      <c r="J37" s="782">
        <f>SUM(D33:D36)</f>
        <v>6586108794.7199993</v>
      </c>
    </row>
    <row r="38" spans="1:11" x14ac:dyDescent="0.25">
      <c r="A38" s="845" t="str">
        <f>'GAJI RINCI'!B207</f>
        <v>92.01.55</v>
      </c>
      <c r="B38" s="1277" t="str">
        <f>'GAJI RINCI'!C207</f>
        <v>BIAYA PENGANGKATAN CALON PEGAWAI 80%</v>
      </c>
      <c r="C38" s="1278"/>
      <c r="D38" s="1012">
        <f>'GAJI RINCI'!M207</f>
        <v>0</v>
      </c>
      <c r="E38" s="1012">
        <f>'GAJI RINCI'!N207</f>
        <v>0</v>
      </c>
      <c r="F38" s="1012">
        <f>'GAJI RINCI'!O207</f>
        <v>0</v>
      </c>
      <c r="G38" s="128">
        <f t="shared" si="2"/>
        <v>0</v>
      </c>
      <c r="H38" s="574" t="str">
        <f t="shared" si="0"/>
        <v>TETAP</v>
      </c>
    </row>
    <row r="39" spans="1:11" x14ac:dyDescent="0.25">
      <c r="A39" s="845" t="str">
        <f>'GAJI RINCI'!B211</f>
        <v>92.01.55</v>
      </c>
      <c r="B39" s="1277" t="str">
        <f>'GAJI RINCI'!C211</f>
        <v>BIAYA TUNJANGAN KINERJA</v>
      </c>
      <c r="C39" s="1278"/>
      <c r="D39" s="846">
        <f>'GAJI RINCI'!M211</f>
        <v>0</v>
      </c>
      <c r="E39" s="846">
        <f>'GAJI RINCI'!N211</f>
        <v>0</v>
      </c>
      <c r="F39" s="846">
        <v>0</v>
      </c>
      <c r="G39" s="128">
        <f t="shared" si="2"/>
        <v>0</v>
      </c>
      <c r="H39" s="840" t="str">
        <f t="shared" si="0"/>
        <v>TETAP</v>
      </c>
      <c r="J39" s="1170">
        <f>J35/12</f>
        <v>0</v>
      </c>
      <c r="K39" s="1172">
        <f>J39/18</f>
        <v>0</v>
      </c>
    </row>
    <row r="40" spans="1:11" x14ac:dyDescent="0.25">
      <c r="A40" s="847" t="str">
        <f>'GAJI RINCI'!B225</f>
        <v>92.01.56</v>
      </c>
      <c r="B40" s="1289" t="str">
        <f>'GAJI RINCI'!C225</f>
        <v>BIAYA TUNJANGAN HARI RAYA</v>
      </c>
      <c r="C40" s="1290"/>
      <c r="D40" s="846">
        <f>'GAJI RINCI'!M225</f>
        <v>770615550</v>
      </c>
      <c r="E40" s="846">
        <f>'GAJI RINCI'!N225</f>
        <v>492066281</v>
      </c>
      <c r="F40" s="846">
        <f>'GAJI RINCI'!O225</f>
        <v>492066281</v>
      </c>
      <c r="G40" s="128">
        <f t="shared" si="2"/>
        <v>278549269</v>
      </c>
      <c r="H40" s="573" t="str">
        <f t="shared" si="0"/>
        <v>BERTAMBAH</v>
      </c>
      <c r="J40" s="1171"/>
      <c r="K40" s="874"/>
    </row>
    <row r="41" spans="1:11" x14ac:dyDescent="0.25">
      <c r="A41" s="848" t="str">
        <f>'GAJI RINCI'!B245</f>
        <v>92.01.57</v>
      </c>
      <c r="B41" s="1291" t="str">
        <f>'GAJI RINCI'!C245</f>
        <v>BIAYA GAJI 13</v>
      </c>
      <c r="C41" s="1292"/>
      <c r="D41" s="849">
        <f>'GAJI RINCI'!M245</f>
        <v>0</v>
      </c>
      <c r="E41" s="846">
        <f>'GAJI RINCI'!N245</f>
        <v>0</v>
      </c>
      <c r="F41" s="849">
        <f>'GAJI RINCI'!O245</f>
        <v>0</v>
      </c>
      <c r="G41" s="128">
        <f t="shared" si="2"/>
        <v>0</v>
      </c>
      <c r="H41" s="841" t="str">
        <f t="shared" si="0"/>
        <v>TETAP</v>
      </c>
      <c r="J41" s="1171"/>
      <c r="K41" s="874"/>
    </row>
    <row r="42" spans="1:11" ht="15.75" thickBot="1" x14ac:dyDescent="0.3">
      <c r="A42" s="1287" t="s">
        <v>339</v>
      </c>
      <c r="B42" s="1288"/>
      <c r="C42" s="1288"/>
      <c r="D42" s="548">
        <f>SUM(D14:D41)</f>
        <v>10826432522.640001</v>
      </c>
      <c r="E42" s="549">
        <f>SUM(E14:E41)</f>
        <v>5849684837</v>
      </c>
      <c r="F42" s="549">
        <f>SUM(F14:F41)</f>
        <v>7385567026</v>
      </c>
      <c r="G42" s="549">
        <f>SUM(G14:G41)</f>
        <v>3440865496.6399999</v>
      </c>
      <c r="H42" s="550" t="str">
        <f>IF(G42&gt;0,"BERTAMBAH",IF(G42&lt;0,"BERKURANG","TETAP"))</f>
        <v>BERTAMBAH</v>
      </c>
      <c r="J42" s="1170">
        <f>E42/7</f>
        <v>835669262.42857146</v>
      </c>
      <c r="K42" s="876">
        <f>K43/J43</f>
        <v>-1.7204862079059224</v>
      </c>
    </row>
    <row r="43" spans="1:11" x14ac:dyDescent="0.25">
      <c r="A43" s="59"/>
      <c r="B43" s="1255"/>
      <c r="C43" s="1255"/>
      <c r="D43" s="345"/>
      <c r="E43" s="345"/>
      <c r="F43" s="345"/>
      <c r="J43" s="875">
        <f>(F42-E42)/5</f>
        <v>307176437.80000001</v>
      </c>
      <c r="K43" s="877">
        <f>J43-J42</f>
        <v>-528492824.62857145</v>
      </c>
    </row>
    <row r="44" spans="1:11" ht="16.5" x14ac:dyDescent="0.3">
      <c r="A44" s="59"/>
      <c r="F44" s="806" t="s">
        <v>733</v>
      </c>
      <c r="J44" s="874"/>
      <c r="K44" s="875"/>
    </row>
    <row r="45" spans="1:11" ht="16.5" x14ac:dyDescent="0.3">
      <c r="A45" s="59"/>
      <c r="C45" s="810" t="s">
        <v>517</v>
      </c>
      <c r="F45" s="813" t="s">
        <v>515</v>
      </c>
      <c r="J45" s="874"/>
      <c r="K45" s="874"/>
    </row>
    <row r="46" spans="1:11" ht="16.5" x14ac:dyDescent="0.3">
      <c r="A46" s="59"/>
      <c r="C46" s="456" t="s">
        <v>94</v>
      </c>
      <c r="F46" s="806" t="s">
        <v>94</v>
      </c>
      <c r="J46" s="874"/>
      <c r="K46" s="874"/>
    </row>
    <row r="47" spans="1:11" x14ac:dyDescent="0.25">
      <c r="A47" s="59"/>
      <c r="D47" s="456"/>
      <c r="E47" s="456"/>
      <c r="F47" s="456"/>
      <c r="J47" s="874"/>
      <c r="K47" s="874"/>
    </row>
    <row r="48" spans="1:11" x14ac:dyDescent="0.25">
      <c r="A48" s="59"/>
      <c r="D48" s="456"/>
      <c r="E48" s="456"/>
      <c r="F48" s="456"/>
    </row>
    <row r="49" spans="1:6" x14ac:dyDescent="0.25">
      <c r="A49" s="59"/>
      <c r="D49" s="456"/>
      <c r="E49" s="456"/>
      <c r="F49" s="456"/>
    </row>
    <row r="50" spans="1:6" ht="16.5" x14ac:dyDescent="0.3">
      <c r="C50" s="811" t="s">
        <v>518</v>
      </c>
      <c r="F50" s="812" t="s">
        <v>516</v>
      </c>
    </row>
    <row r="51" spans="1:6" ht="16.5" x14ac:dyDescent="0.3">
      <c r="C51" s="456" t="s">
        <v>519</v>
      </c>
      <c r="F51" s="806" t="s">
        <v>248</v>
      </c>
    </row>
  </sheetData>
  <mergeCells count="43">
    <mergeCell ref="A2:B7"/>
    <mergeCell ref="H10:H11"/>
    <mergeCell ref="C7:H7"/>
    <mergeCell ref="C6:H6"/>
    <mergeCell ref="A10:A11"/>
    <mergeCell ref="F10:F11"/>
    <mergeCell ref="E10:E11"/>
    <mergeCell ref="D10:D11"/>
    <mergeCell ref="G10:G11"/>
    <mergeCell ref="C5:H5"/>
    <mergeCell ref="C4:H4"/>
    <mergeCell ref="C3:H3"/>
    <mergeCell ref="C2:H2"/>
    <mergeCell ref="A9:G9"/>
    <mergeCell ref="B10:C11"/>
    <mergeCell ref="B43:C43"/>
    <mergeCell ref="B34:C34"/>
    <mergeCell ref="B35:C35"/>
    <mergeCell ref="B36:C36"/>
    <mergeCell ref="B37:C37"/>
    <mergeCell ref="B38:C38"/>
    <mergeCell ref="B39:C39"/>
    <mergeCell ref="A42:C42"/>
    <mergeCell ref="B40:C40"/>
    <mergeCell ref="B41:C41"/>
    <mergeCell ref="B33:C33"/>
    <mergeCell ref="B19:C19"/>
    <mergeCell ref="B17:C17"/>
    <mergeCell ref="B15:C15"/>
    <mergeCell ref="B14:C14"/>
    <mergeCell ref="B27:C27"/>
    <mergeCell ref="B20:C20"/>
    <mergeCell ref="B21:C21"/>
    <mergeCell ref="B23:C23"/>
    <mergeCell ref="B24:C24"/>
    <mergeCell ref="B25:C25"/>
    <mergeCell ref="B26:C26"/>
    <mergeCell ref="B30:C30"/>
    <mergeCell ref="B12:C12"/>
    <mergeCell ref="B28:C28"/>
    <mergeCell ref="B29:C29"/>
    <mergeCell ref="B31:C31"/>
    <mergeCell ref="B32:C32"/>
  </mergeCells>
  <pageMargins left="0.98425196850393704" right="0" top="0" bottom="0" header="0.31496062992125984" footer="0.31496062992125984"/>
  <pageSetup paperSize="9" scale="80" orientation="landscape" horizontalDpi="4294967293" verticalDpi="14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S264"/>
  <sheetViews>
    <sheetView showGridLines="0" topLeftCell="A150" zoomScaleNormal="100" workbookViewId="0">
      <selection activeCell="G151" sqref="G151:I151"/>
    </sheetView>
  </sheetViews>
  <sheetFormatPr defaultRowHeight="15" x14ac:dyDescent="0.25"/>
  <cols>
    <col min="1" max="1" width="2.7109375" customWidth="1"/>
    <col min="2" max="2" width="7.85546875" customWidth="1"/>
    <col min="3" max="3" width="21.85546875" customWidth="1"/>
    <col min="4" max="4" width="8.5703125" customWidth="1"/>
    <col min="5" max="5" width="7.7109375" style="59" customWidth="1"/>
    <col min="6" max="6" width="7.42578125" style="59" bestFit="1" customWidth="1"/>
    <col min="7" max="7" width="4.5703125" bestFit="1" customWidth="1"/>
    <col min="8" max="8" width="10.7109375" style="56" bestFit="1" customWidth="1"/>
    <col min="9" max="9" width="13.85546875" style="56" customWidth="1"/>
    <col min="10" max="10" width="11.5703125" customWidth="1"/>
    <col min="11" max="11" width="13.42578125" customWidth="1"/>
    <col min="12" max="12" width="15.5703125" customWidth="1"/>
    <col min="13" max="13" width="16.7109375" bestFit="1" customWidth="1"/>
    <col min="14" max="14" width="21.85546875" customWidth="1"/>
    <col min="15" max="15" width="16.140625" customWidth="1"/>
    <col min="16" max="16" width="17.140625" customWidth="1"/>
    <col min="17" max="17" width="17.42578125" bestFit="1" customWidth="1"/>
    <col min="18" max="19" width="14.7109375" customWidth="1"/>
  </cols>
  <sheetData>
    <row r="1" spans="2:19" ht="15.75" thickBot="1" x14ac:dyDescent="0.3"/>
    <row r="2" spans="2:19" ht="18.75" thickTop="1" x14ac:dyDescent="0.25">
      <c r="B2" s="1338"/>
      <c r="C2" s="1339"/>
      <c r="D2" s="1266" t="s">
        <v>96</v>
      </c>
      <c r="E2" s="1267"/>
      <c r="F2" s="1267"/>
      <c r="G2" s="1267"/>
      <c r="H2" s="1267"/>
      <c r="I2" s="1267"/>
      <c r="J2" s="1267"/>
      <c r="K2" s="1267"/>
      <c r="L2" s="1267"/>
      <c r="M2" s="1267"/>
      <c r="N2" s="1267"/>
      <c r="O2" s="1267"/>
      <c r="P2" s="1267"/>
      <c r="Q2" s="1268"/>
    </row>
    <row r="3" spans="2:19" ht="18" x14ac:dyDescent="0.25">
      <c r="B3" s="1340"/>
      <c r="C3" s="1341"/>
      <c r="D3" s="1269" t="s">
        <v>0</v>
      </c>
      <c r="E3" s="1270"/>
      <c r="F3" s="1270"/>
      <c r="G3" s="1270"/>
      <c r="H3" s="1270"/>
      <c r="I3" s="1270"/>
      <c r="J3" s="1270"/>
      <c r="K3" s="1270"/>
      <c r="L3" s="1270"/>
      <c r="M3" s="1270"/>
      <c r="N3" s="1270"/>
      <c r="O3" s="1270"/>
      <c r="P3" s="1270"/>
      <c r="Q3" s="1271"/>
    </row>
    <row r="4" spans="2:19" ht="18" x14ac:dyDescent="0.25">
      <c r="B4" s="1340"/>
      <c r="C4" s="1341"/>
      <c r="D4" s="1269" t="s">
        <v>569</v>
      </c>
      <c r="E4" s="1270"/>
      <c r="F4" s="1270"/>
      <c r="G4" s="1270"/>
      <c r="H4" s="1270"/>
      <c r="I4" s="1270"/>
      <c r="J4" s="1270"/>
      <c r="K4" s="1270"/>
      <c r="L4" s="1270"/>
      <c r="M4" s="1270"/>
      <c r="N4" s="1270"/>
      <c r="O4" s="1270"/>
      <c r="P4" s="1270"/>
      <c r="Q4" s="1271"/>
    </row>
    <row r="5" spans="2:19" ht="18.75" thickBot="1" x14ac:dyDescent="0.3">
      <c r="B5" s="1342"/>
      <c r="C5" s="1343"/>
      <c r="D5" s="1272" t="s">
        <v>524</v>
      </c>
      <c r="E5" s="1273"/>
      <c r="F5" s="1273"/>
      <c r="G5" s="1273"/>
      <c r="H5" s="1273"/>
      <c r="I5" s="1273"/>
      <c r="J5" s="1273"/>
      <c r="K5" s="1273"/>
      <c r="L5" s="1273"/>
      <c r="M5" s="1273"/>
      <c r="N5" s="1273"/>
      <c r="O5" s="1273"/>
      <c r="P5" s="1273"/>
      <c r="Q5" s="1274"/>
    </row>
    <row r="6" spans="2:19" ht="6.6" customHeight="1" thickTop="1" thickBot="1" x14ac:dyDescent="0.3">
      <c r="B6" s="245"/>
      <c r="C6" s="246"/>
      <c r="D6" s="247"/>
      <c r="E6" s="254"/>
      <c r="F6" s="254"/>
      <c r="G6" s="247"/>
      <c r="H6" s="254"/>
      <c r="I6" s="254"/>
      <c r="J6" s="247"/>
      <c r="K6" s="247"/>
      <c r="L6" s="247"/>
      <c r="M6" s="247"/>
      <c r="N6" s="247"/>
      <c r="O6" s="247"/>
      <c r="P6" s="247"/>
      <c r="Q6" s="247"/>
    </row>
    <row r="7" spans="2:19" ht="17.25" thickTop="1" thickBot="1" x14ac:dyDescent="0.3">
      <c r="B7" s="1336" t="s">
        <v>571</v>
      </c>
      <c r="C7" s="1336"/>
      <c r="D7" s="1336"/>
      <c r="E7" s="1336"/>
      <c r="F7" s="1336"/>
      <c r="G7" s="1336"/>
      <c r="H7" s="1336"/>
      <c r="I7" s="1336"/>
      <c r="J7" s="1336"/>
      <c r="K7" s="1336"/>
      <c r="L7" s="1336"/>
      <c r="M7" s="1336"/>
      <c r="N7" s="1336"/>
      <c r="O7" s="1336"/>
      <c r="P7" s="1336"/>
      <c r="Q7" s="1336"/>
    </row>
    <row r="8" spans="2:19" ht="38.25" x14ac:dyDescent="0.25">
      <c r="B8" s="530" t="s">
        <v>282</v>
      </c>
      <c r="C8" s="1350" t="s">
        <v>2</v>
      </c>
      <c r="D8" s="1351"/>
      <c r="E8" s="1351"/>
      <c r="F8" s="1352"/>
      <c r="G8" s="1337" t="s">
        <v>3</v>
      </c>
      <c r="H8" s="1337"/>
      <c r="I8" s="1337"/>
      <c r="J8" s="1337"/>
      <c r="K8" s="531" t="s">
        <v>4</v>
      </c>
      <c r="L8" s="531" t="s">
        <v>283</v>
      </c>
      <c r="M8" s="579" t="s">
        <v>575</v>
      </c>
      <c r="N8" s="580" t="s">
        <v>719</v>
      </c>
      <c r="O8" s="580" t="s">
        <v>95</v>
      </c>
      <c r="P8" s="531" t="s">
        <v>284</v>
      </c>
      <c r="Q8" s="533" t="s">
        <v>7</v>
      </c>
    </row>
    <row r="9" spans="2:19" ht="15.75" thickBot="1" x14ac:dyDescent="0.3">
      <c r="B9" s="581"/>
      <c r="C9" s="534"/>
      <c r="D9" s="559"/>
      <c r="E9" s="559"/>
      <c r="F9" s="559"/>
      <c r="G9" s="559"/>
      <c r="H9" s="559"/>
      <c r="I9" s="559"/>
      <c r="J9" s="559"/>
      <c r="K9" s="559"/>
      <c r="L9" s="559"/>
      <c r="M9" s="582" t="s">
        <v>285</v>
      </c>
      <c r="N9" s="582" t="s">
        <v>286</v>
      </c>
      <c r="O9" s="582" t="s">
        <v>287</v>
      </c>
      <c r="P9" s="559" t="s">
        <v>338</v>
      </c>
      <c r="Q9" s="545"/>
    </row>
    <row r="10" spans="2:19" ht="25.15" customHeight="1" x14ac:dyDescent="0.25">
      <c r="C10" s="1335" t="s">
        <v>288</v>
      </c>
      <c r="D10" s="1335"/>
      <c r="E10" s="1335"/>
      <c r="F10" s="1335"/>
    </row>
    <row r="11" spans="2:19" x14ac:dyDescent="0.25">
      <c r="B11" s="251" t="s">
        <v>289</v>
      </c>
      <c r="C11" s="371" t="s">
        <v>290</v>
      </c>
      <c r="D11" s="356"/>
      <c r="E11" s="356"/>
      <c r="F11" s="356"/>
      <c r="G11" s="356"/>
      <c r="H11" s="356"/>
      <c r="I11" s="356"/>
      <c r="J11" s="356"/>
      <c r="K11" s="356"/>
      <c r="L11" s="357"/>
      <c r="M11" s="248">
        <f>L17</f>
        <v>105600000</v>
      </c>
      <c r="N11" s="253">
        <v>116319074</v>
      </c>
      <c r="O11" s="509">
        <v>133919074</v>
      </c>
      <c r="P11" s="325">
        <f>M11-O11</f>
        <v>-28319074</v>
      </c>
      <c r="Q11" s="328" t="str">
        <f>IF(P11&gt;0,"BERTAMBAH",IF(P11&lt;0,"BERKURANG","TETAP"))</f>
        <v>BERKURANG</v>
      </c>
    </row>
    <row r="12" spans="2:19" x14ac:dyDescent="0.25">
      <c r="B12" s="28"/>
      <c r="C12" s="1356" t="s">
        <v>259</v>
      </c>
      <c r="D12" s="1357"/>
      <c r="E12" s="1357"/>
      <c r="F12" s="1358"/>
      <c r="G12" s="269">
        <v>0.4</v>
      </c>
      <c r="H12" s="92">
        <v>1</v>
      </c>
      <c r="I12" s="115" t="s">
        <v>291</v>
      </c>
      <c r="J12" s="101">
        <f>K83</f>
        <v>5500000</v>
      </c>
      <c r="K12" s="91">
        <f>J12*G12</f>
        <v>2200000</v>
      </c>
      <c r="L12" s="271">
        <f>K12*12</f>
        <v>26400000</v>
      </c>
      <c r="M12" s="881"/>
      <c r="N12" s="850"/>
      <c r="O12" s="850"/>
      <c r="P12" s="850"/>
      <c r="Q12" s="882"/>
      <c r="S12" s="341"/>
    </row>
    <row r="13" spans="2:19" x14ac:dyDescent="0.25">
      <c r="B13" s="2"/>
      <c r="C13" s="1332" t="s">
        <v>260</v>
      </c>
      <c r="D13" s="1333"/>
      <c r="E13" s="1333"/>
      <c r="F13" s="1334"/>
      <c r="G13" s="105">
        <v>0.3</v>
      </c>
      <c r="H13" s="46">
        <v>1</v>
      </c>
      <c r="I13" s="31" t="s">
        <v>291</v>
      </c>
      <c r="J13" s="35">
        <f>J12</f>
        <v>5500000</v>
      </c>
      <c r="K13" s="32">
        <f>J13*G13</f>
        <v>1650000</v>
      </c>
      <c r="L13" s="272">
        <f>K13*12</f>
        <v>19800000</v>
      </c>
      <c r="M13" s="884"/>
      <c r="N13" s="793"/>
      <c r="O13" s="122"/>
      <c r="P13" s="793"/>
      <c r="Q13" s="885"/>
      <c r="S13" s="341"/>
    </row>
    <row r="14" spans="2:19" x14ac:dyDescent="0.25">
      <c r="B14" s="2"/>
      <c r="C14" s="1332" t="s">
        <v>260</v>
      </c>
      <c r="D14" s="1333"/>
      <c r="E14" s="1333"/>
      <c r="F14" s="1334"/>
      <c r="G14" s="105">
        <v>0.3</v>
      </c>
      <c r="H14" s="46">
        <v>1</v>
      </c>
      <c r="I14" s="31" t="s">
        <v>291</v>
      </c>
      <c r="J14" s="35">
        <f>J13</f>
        <v>5500000</v>
      </c>
      <c r="K14" s="32">
        <f>J14*G14</f>
        <v>1650000</v>
      </c>
      <c r="L14" s="272">
        <f>K14*12</f>
        <v>19800000</v>
      </c>
      <c r="M14" s="884"/>
      <c r="N14" s="793"/>
      <c r="O14" s="793"/>
      <c r="P14" s="793"/>
      <c r="Q14" s="885"/>
      <c r="S14" s="341"/>
    </row>
    <row r="15" spans="2:19" x14ac:dyDescent="0.25">
      <c r="B15" s="2"/>
      <c r="C15" s="1332" t="s">
        <v>260</v>
      </c>
      <c r="D15" s="1333"/>
      <c r="E15" s="1333"/>
      <c r="F15" s="1334"/>
      <c r="G15" s="105">
        <v>0.3</v>
      </c>
      <c r="H15" s="46">
        <v>1</v>
      </c>
      <c r="I15" s="31" t="s">
        <v>291</v>
      </c>
      <c r="J15" s="35">
        <f>J14</f>
        <v>5500000</v>
      </c>
      <c r="K15" s="32">
        <f>J15*G15</f>
        <v>1650000</v>
      </c>
      <c r="L15" s="272">
        <f>K15*12</f>
        <v>19800000</v>
      </c>
      <c r="M15" s="884"/>
      <c r="N15" s="793"/>
      <c r="O15" s="793"/>
      <c r="P15" s="793"/>
      <c r="Q15" s="885"/>
      <c r="S15" s="341"/>
    </row>
    <row r="16" spans="2:19" x14ac:dyDescent="0.25">
      <c r="B16" s="2"/>
      <c r="C16" s="1332" t="s">
        <v>260</v>
      </c>
      <c r="D16" s="1333"/>
      <c r="E16" s="1333"/>
      <c r="F16" s="1334"/>
      <c r="G16" s="105">
        <v>0.3</v>
      </c>
      <c r="H16" s="46">
        <v>1</v>
      </c>
      <c r="I16" s="31" t="s">
        <v>291</v>
      </c>
      <c r="J16" s="35">
        <f>J15</f>
        <v>5500000</v>
      </c>
      <c r="K16" s="39">
        <f>J16*G16</f>
        <v>1650000</v>
      </c>
      <c r="L16" s="282">
        <f>K16*12</f>
        <v>19800000</v>
      </c>
      <c r="M16" s="884"/>
      <c r="N16" s="793"/>
      <c r="O16" s="793"/>
      <c r="P16" s="793"/>
      <c r="Q16" s="885"/>
      <c r="S16" s="341"/>
    </row>
    <row r="17" spans="2:19" x14ac:dyDescent="0.25">
      <c r="B17" s="5"/>
      <c r="C17" s="1353" t="s">
        <v>5</v>
      </c>
      <c r="D17" s="1354"/>
      <c r="E17" s="1354"/>
      <c r="F17" s="1355"/>
      <c r="G17" s="265"/>
      <c r="H17" s="266"/>
      <c r="I17" s="266"/>
      <c r="J17" s="265"/>
      <c r="K17" s="267">
        <f>SUM(K12:K16)</f>
        <v>8800000</v>
      </c>
      <c r="L17" s="268">
        <f>SUM(L12:L16)</f>
        <v>105600000</v>
      </c>
      <c r="M17" s="886"/>
      <c r="N17" s="887"/>
      <c r="O17" s="887"/>
      <c r="P17" s="887"/>
      <c r="Q17" s="888"/>
    </row>
    <row r="18" spans="2:19" ht="6.6" customHeight="1" x14ac:dyDescent="0.25"/>
    <row r="19" spans="2:19" x14ac:dyDescent="0.25">
      <c r="B19" s="250" t="s">
        <v>292</v>
      </c>
      <c r="C19" s="368" t="s">
        <v>293</v>
      </c>
      <c r="D19" s="369"/>
      <c r="E19" s="369"/>
      <c r="F19" s="369"/>
      <c r="G19" s="369"/>
      <c r="H19" s="369"/>
      <c r="I19" s="369"/>
      <c r="J19" s="369"/>
      <c r="K19" s="369"/>
      <c r="L19" s="370"/>
      <c r="M19" s="248">
        <f>L25</f>
        <v>131208000</v>
      </c>
      <c r="N19" s="320">
        <v>46343700</v>
      </c>
      <c r="O19" s="509">
        <v>65978700</v>
      </c>
      <c r="P19" s="325">
        <f>M19-O19</f>
        <v>65229300</v>
      </c>
      <c r="Q19" s="349" t="str">
        <f>IF(P19&gt;0,"BERTAMBAH",IF(P19&lt;0,"BERKURANG","TETAP"))</f>
        <v>BERTAMBAH</v>
      </c>
    </row>
    <row r="20" spans="2:19" x14ac:dyDescent="0.25">
      <c r="B20" s="28"/>
      <c r="C20" s="1356" t="s">
        <v>259</v>
      </c>
      <c r="D20" s="1357"/>
      <c r="E20" s="1357"/>
      <c r="F20" s="1358"/>
      <c r="G20" s="255">
        <v>7</v>
      </c>
      <c r="H20" s="256" t="s">
        <v>457</v>
      </c>
      <c r="I20" s="256">
        <v>22</v>
      </c>
      <c r="J20" s="257">
        <v>14200</v>
      </c>
      <c r="K20" s="257">
        <f>J20*G20*I20</f>
        <v>2186800</v>
      </c>
      <c r="L20" s="258">
        <f>K20*12</f>
        <v>26241600</v>
      </c>
      <c r="M20" s="881"/>
      <c r="N20" s="850"/>
      <c r="O20" s="850"/>
      <c r="P20" s="850"/>
      <c r="Q20" s="882"/>
    </row>
    <row r="21" spans="2:19" x14ac:dyDescent="0.25">
      <c r="B21" s="2"/>
      <c r="C21" s="1332" t="s">
        <v>260</v>
      </c>
      <c r="D21" s="1333"/>
      <c r="E21" s="1333"/>
      <c r="F21" s="1334"/>
      <c r="G21" s="259">
        <v>7</v>
      </c>
      <c r="H21" s="260" t="s">
        <v>457</v>
      </c>
      <c r="I21" s="260">
        <v>22</v>
      </c>
      <c r="J21" s="262">
        <v>14200</v>
      </c>
      <c r="K21" s="262">
        <f>G21*I21*J21</f>
        <v>2186800</v>
      </c>
      <c r="L21" s="263">
        <f>K21*12</f>
        <v>26241600</v>
      </c>
      <c r="M21" s="884"/>
      <c r="N21" s="793"/>
      <c r="O21" s="793"/>
      <c r="P21" s="793"/>
      <c r="Q21" s="885"/>
    </row>
    <row r="22" spans="2:19" x14ac:dyDescent="0.25">
      <c r="B22" s="2"/>
      <c r="C22" s="1332" t="s">
        <v>260</v>
      </c>
      <c r="D22" s="1333"/>
      <c r="E22" s="1333"/>
      <c r="F22" s="1334"/>
      <c r="G22" s="259">
        <v>7</v>
      </c>
      <c r="H22" s="260" t="s">
        <v>457</v>
      </c>
      <c r="I22" s="260">
        <v>22</v>
      </c>
      <c r="J22" s="262">
        <v>14200</v>
      </c>
      <c r="K22" s="262">
        <f>G22*I22*J22</f>
        <v>2186800</v>
      </c>
      <c r="L22" s="263">
        <f>K22*12</f>
        <v>26241600</v>
      </c>
      <c r="M22" s="884"/>
      <c r="N22" s="793"/>
      <c r="O22" s="793"/>
      <c r="P22" s="793"/>
      <c r="Q22" s="885"/>
    </row>
    <row r="23" spans="2:19" x14ac:dyDescent="0.25">
      <c r="B23" s="2"/>
      <c r="C23" s="1332" t="s">
        <v>260</v>
      </c>
      <c r="D23" s="1333"/>
      <c r="E23" s="1333"/>
      <c r="F23" s="1334"/>
      <c r="G23" s="259">
        <v>7</v>
      </c>
      <c r="H23" s="260" t="s">
        <v>457</v>
      </c>
      <c r="I23" s="260">
        <v>22</v>
      </c>
      <c r="J23" s="262">
        <v>14200</v>
      </c>
      <c r="K23" s="262">
        <f>G23*I23*J23</f>
        <v>2186800</v>
      </c>
      <c r="L23" s="263">
        <f>K23*12</f>
        <v>26241600</v>
      </c>
      <c r="M23" s="884"/>
      <c r="N23" s="793"/>
      <c r="O23" s="793"/>
      <c r="P23" s="793"/>
      <c r="Q23" s="885"/>
    </row>
    <row r="24" spans="2:19" x14ac:dyDescent="0.25">
      <c r="B24" s="2"/>
      <c r="C24" s="1332" t="s">
        <v>260</v>
      </c>
      <c r="D24" s="1333"/>
      <c r="E24" s="1333"/>
      <c r="F24" s="1334"/>
      <c r="G24" s="259">
        <v>7</v>
      </c>
      <c r="H24" s="260" t="s">
        <v>457</v>
      </c>
      <c r="I24" s="260">
        <v>22</v>
      </c>
      <c r="J24" s="262">
        <v>14200</v>
      </c>
      <c r="K24" s="264">
        <f>G24*I24*J24</f>
        <v>2186800</v>
      </c>
      <c r="L24" s="281">
        <f>K24*12</f>
        <v>26241600</v>
      </c>
      <c r="M24" s="884"/>
      <c r="N24" s="793"/>
      <c r="O24" s="793"/>
      <c r="P24" s="793"/>
      <c r="Q24" s="885"/>
    </row>
    <row r="25" spans="2:19" x14ac:dyDescent="0.25">
      <c r="B25" s="5"/>
      <c r="C25" s="1353" t="s">
        <v>5</v>
      </c>
      <c r="D25" s="1354"/>
      <c r="E25" s="1354"/>
      <c r="F25" s="1355"/>
      <c r="G25" s="265"/>
      <c r="H25" s="266"/>
      <c r="I25" s="266"/>
      <c r="J25" s="265"/>
      <c r="K25" s="267">
        <f>SUM(K20:K24)</f>
        <v>10934000</v>
      </c>
      <c r="L25" s="268">
        <f>SUM(L20:L24)</f>
        <v>131208000</v>
      </c>
      <c r="M25" s="886"/>
      <c r="N25" s="887"/>
      <c r="O25" s="887"/>
      <c r="P25" s="887"/>
      <c r="Q25" s="888"/>
    </row>
    <row r="26" spans="2:19" x14ac:dyDescent="0.25">
      <c r="B26" s="394"/>
      <c r="C26" s="286"/>
      <c r="D26" s="286"/>
      <c r="E26" s="286"/>
      <c r="F26" s="286"/>
      <c r="G26" s="286"/>
      <c r="H26" s="285"/>
      <c r="I26" s="285"/>
      <c r="J26" s="286"/>
      <c r="K26" s="284"/>
      <c r="L26" s="284"/>
    </row>
    <row r="27" spans="2:19" x14ac:dyDescent="0.25">
      <c r="B27" s="251" t="s">
        <v>544</v>
      </c>
      <c r="C27" s="371" t="s">
        <v>577</v>
      </c>
      <c r="D27" s="356"/>
      <c r="E27" s="356"/>
      <c r="F27" s="356"/>
      <c r="G27" s="356"/>
      <c r="H27" s="356"/>
      <c r="I27" s="356"/>
      <c r="J27" s="356"/>
      <c r="K27" s="356"/>
      <c r="L27" s="357"/>
      <c r="M27" s="248">
        <f>L33</f>
        <v>95040000</v>
      </c>
      <c r="N27" s="253">
        <v>23760000</v>
      </c>
      <c r="O27" s="509">
        <v>39600000</v>
      </c>
      <c r="P27" s="325">
        <f>M27-O27</f>
        <v>55440000</v>
      </c>
      <c r="Q27" s="349" t="str">
        <f>IF(P27&gt;0,"BERTAMBAH",IF(P27&lt;0,"BERKURANG","TETAP"))</f>
        <v>BERTAMBAH</v>
      </c>
    </row>
    <row r="28" spans="2:19" x14ac:dyDescent="0.25">
      <c r="B28" s="28"/>
      <c r="C28" s="1356" t="s">
        <v>259</v>
      </c>
      <c r="D28" s="1357"/>
      <c r="E28" s="1357"/>
      <c r="F28" s="1358"/>
      <c r="G28" s="269"/>
      <c r="H28" s="92"/>
      <c r="I28" s="880">
        <v>0.9</v>
      </c>
      <c r="J28" s="101">
        <v>2200000</v>
      </c>
      <c r="K28" s="91">
        <f>I28*J28</f>
        <v>1980000</v>
      </c>
      <c r="L28" s="271">
        <f>K28*12</f>
        <v>23760000</v>
      </c>
      <c r="M28" s="881"/>
      <c r="N28" s="850"/>
      <c r="O28" s="850"/>
      <c r="P28" s="850"/>
      <c r="Q28" s="882"/>
      <c r="S28" s="341"/>
    </row>
    <row r="29" spans="2:19" x14ac:dyDescent="0.25">
      <c r="B29" s="2"/>
      <c r="C29" s="1332" t="s">
        <v>260</v>
      </c>
      <c r="D29" s="1333"/>
      <c r="E29" s="1333"/>
      <c r="F29" s="1334"/>
      <c r="G29" s="105"/>
      <c r="H29" s="46"/>
      <c r="I29" s="883">
        <v>0.9</v>
      </c>
      <c r="J29" s="32">
        <v>1650000</v>
      </c>
      <c r="K29" s="32">
        <f>I29*J29</f>
        <v>1485000</v>
      </c>
      <c r="L29" s="272">
        <f>K29*12</f>
        <v>17820000</v>
      </c>
      <c r="M29" s="884"/>
      <c r="N29" s="793"/>
      <c r="O29" s="122"/>
      <c r="P29" s="793"/>
      <c r="Q29" s="885"/>
      <c r="S29" s="341"/>
    </row>
    <row r="30" spans="2:19" x14ac:dyDescent="0.25">
      <c r="B30" s="2"/>
      <c r="C30" s="1332" t="s">
        <v>260</v>
      </c>
      <c r="D30" s="1333"/>
      <c r="E30" s="1333"/>
      <c r="F30" s="1334"/>
      <c r="G30" s="105"/>
      <c r="H30" s="46"/>
      <c r="I30" s="883">
        <v>0.9</v>
      </c>
      <c r="J30" s="32">
        <v>1650000</v>
      </c>
      <c r="K30" s="32">
        <f>I30*J30</f>
        <v>1485000</v>
      </c>
      <c r="L30" s="272">
        <f>K30*12</f>
        <v>17820000</v>
      </c>
      <c r="M30" s="884"/>
      <c r="N30" s="793"/>
      <c r="O30" s="793"/>
      <c r="P30" s="793"/>
      <c r="Q30" s="885"/>
      <c r="S30" s="341"/>
    </row>
    <row r="31" spans="2:19" x14ac:dyDescent="0.25">
      <c r="B31" s="2"/>
      <c r="C31" s="1332" t="s">
        <v>260</v>
      </c>
      <c r="D31" s="1333"/>
      <c r="E31" s="1333"/>
      <c r="F31" s="1334"/>
      <c r="G31" s="105"/>
      <c r="H31" s="46"/>
      <c r="I31" s="883">
        <v>0.9</v>
      </c>
      <c r="J31" s="32">
        <v>1650000</v>
      </c>
      <c r="K31" s="32">
        <f>I31*J31</f>
        <v>1485000</v>
      </c>
      <c r="L31" s="272">
        <f>K31*12</f>
        <v>17820000</v>
      </c>
      <c r="M31" s="884"/>
      <c r="N31" s="793"/>
      <c r="O31" s="793"/>
      <c r="P31" s="793"/>
      <c r="Q31" s="885"/>
      <c r="S31" s="341"/>
    </row>
    <row r="32" spans="2:19" x14ac:dyDescent="0.25">
      <c r="B32" s="2"/>
      <c r="C32" s="1332" t="s">
        <v>260</v>
      </c>
      <c r="D32" s="1333"/>
      <c r="E32" s="1333"/>
      <c r="F32" s="1334"/>
      <c r="G32" s="105"/>
      <c r="H32" s="46"/>
      <c r="I32" s="883">
        <v>0.9</v>
      </c>
      <c r="J32" s="32">
        <v>1650000</v>
      </c>
      <c r="K32" s="39">
        <f>I32*J32</f>
        <v>1485000</v>
      </c>
      <c r="L32" s="282">
        <f>K32*12</f>
        <v>17820000</v>
      </c>
      <c r="M32" s="884"/>
      <c r="N32" s="793"/>
      <c r="O32" s="793"/>
      <c r="P32" s="793"/>
      <c r="Q32" s="885"/>
      <c r="S32" s="341"/>
    </row>
    <row r="33" spans="2:17" x14ac:dyDescent="0.25">
      <c r="B33" s="5"/>
      <c r="C33" s="1353" t="s">
        <v>5</v>
      </c>
      <c r="D33" s="1354"/>
      <c r="E33" s="1354"/>
      <c r="F33" s="1355"/>
      <c r="G33" s="265"/>
      <c r="H33" s="266"/>
      <c r="I33" s="266"/>
      <c r="J33" s="265"/>
      <c r="K33" s="267">
        <f>SUM(K28:K32)</f>
        <v>7920000</v>
      </c>
      <c r="L33" s="268">
        <f>SUM(L28:L32)</f>
        <v>95040000</v>
      </c>
      <c r="M33" s="886"/>
      <c r="N33" s="887"/>
      <c r="O33" s="887"/>
      <c r="P33" s="887"/>
      <c r="Q33" s="888"/>
    </row>
    <row r="34" spans="2:17" ht="6.6" customHeight="1" x14ac:dyDescent="0.25"/>
    <row r="35" spans="2:17" x14ac:dyDescent="0.25">
      <c r="B35" s="250" t="s">
        <v>545</v>
      </c>
      <c r="C35" s="367" t="s">
        <v>295</v>
      </c>
      <c r="D35" s="356"/>
      <c r="E35" s="356"/>
      <c r="F35" s="356"/>
      <c r="G35" s="356"/>
      <c r="H35" s="356"/>
      <c r="I35" s="356"/>
      <c r="J35" s="356"/>
      <c r="K35" s="356"/>
      <c r="L35" s="357"/>
      <c r="M35" s="248">
        <f>L41</f>
        <v>48000000</v>
      </c>
      <c r="N35" s="253">
        <v>20400000</v>
      </c>
      <c r="O35" s="509">
        <v>28400000</v>
      </c>
      <c r="P35" s="325">
        <f>M35-O35</f>
        <v>19600000</v>
      </c>
      <c r="Q35" s="468" t="str">
        <f>IF(P35&gt;0,"BERTAMBAH",IF(P35&lt;0,"BERKURANG","TETAP"))</f>
        <v>BERTAMBAH</v>
      </c>
    </row>
    <row r="36" spans="2:17" x14ac:dyDescent="0.25">
      <c r="B36" s="28"/>
      <c r="C36" s="1356" t="s">
        <v>259</v>
      </c>
      <c r="D36" s="1357"/>
      <c r="E36" s="1357"/>
      <c r="F36" s="1358"/>
      <c r="G36" s="96">
        <v>1</v>
      </c>
      <c r="H36" s="256" t="s">
        <v>291</v>
      </c>
      <c r="I36" s="256" t="s">
        <v>543</v>
      </c>
      <c r="J36" s="115" t="s">
        <v>296</v>
      </c>
      <c r="K36" s="91">
        <v>800000</v>
      </c>
      <c r="L36" s="272">
        <f>K36*12</f>
        <v>9600000</v>
      </c>
      <c r="M36" s="881"/>
      <c r="N36" s="850"/>
      <c r="O36" s="850"/>
      <c r="P36" s="850"/>
      <c r="Q36" s="882"/>
    </row>
    <row r="37" spans="2:17" x14ac:dyDescent="0.25">
      <c r="B37" s="2"/>
      <c r="C37" s="1332" t="s">
        <v>260</v>
      </c>
      <c r="D37" s="1333"/>
      <c r="E37" s="1333"/>
      <c r="F37" s="1334"/>
      <c r="G37" s="29">
        <v>1</v>
      </c>
      <c r="H37" s="260" t="s">
        <v>291</v>
      </c>
      <c r="I37" s="260" t="s">
        <v>543</v>
      </c>
      <c r="J37" s="31" t="s">
        <v>296</v>
      </c>
      <c r="K37" s="32">
        <v>800000</v>
      </c>
      <c r="L37" s="272">
        <f>K37*12</f>
        <v>9600000</v>
      </c>
      <c r="M37" s="884"/>
      <c r="N37" s="793"/>
      <c r="O37" s="793"/>
      <c r="P37" s="793"/>
      <c r="Q37" s="885"/>
    </row>
    <row r="38" spans="2:17" x14ac:dyDescent="0.25">
      <c r="B38" s="2"/>
      <c r="C38" s="1332" t="s">
        <v>260</v>
      </c>
      <c r="D38" s="1333"/>
      <c r="E38" s="1333"/>
      <c r="F38" s="1334"/>
      <c r="G38" s="29">
        <v>1</v>
      </c>
      <c r="H38" s="260" t="s">
        <v>291</v>
      </c>
      <c r="I38" s="260" t="s">
        <v>543</v>
      </c>
      <c r="J38" s="31" t="s">
        <v>296</v>
      </c>
      <c r="K38" s="32">
        <v>800000</v>
      </c>
      <c r="L38" s="272">
        <f>K38*12</f>
        <v>9600000</v>
      </c>
      <c r="M38" s="884"/>
      <c r="N38" s="793"/>
      <c r="O38" s="793"/>
      <c r="P38" s="793"/>
      <c r="Q38" s="885"/>
    </row>
    <row r="39" spans="2:17" x14ac:dyDescent="0.25">
      <c r="B39" s="2"/>
      <c r="C39" s="1332" t="s">
        <v>260</v>
      </c>
      <c r="D39" s="1333"/>
      <c r="E39" s="1333"/>
      <c r="F39" s="1334"/>
      <c r="G39" s="29">
        <v>1</v>
      </c>
      <c r="H39" s="260" t="s">
        <v>291</v>
      </c>
      <c r="I39" s="260" t="s">
        <v>543</v>
      </c>
      <c r="J39" s="31" t="s">
        <v>296</v>
      </c>
      <c r="K39" s="32">
        <v>800000</v>
      </c>
      <c r="L39" s="272">
        <f>K39*12</f>
        <v>9600000</v>
      </c>
      <c r="M39" s="884"/>
      <c r="N39" s="793"/>
      <c r="O39" s="793"/>
      <c r="P39" s="793"/>
      <c r="Q39" s="885"/>
    </row>
    <row r="40" spans="2:17" x14ac:dyDescent="0.25">
      <c r="B40" s="2"/>
      <c r="C40" s="1332" t="s">
        <v>260</v>
      </c>
      <c r="D40" s="1333"/>
      <c r="E40" s="1333"/>
      <c r="F40" s="1334"/>
      <c r="G40" s="29">
        <v>1</v>
      </c>
      <c r="H40" s="260" t="s">
        <v>291</v>
      </c>
      <c r="I40" s="260" t="s">
        <v>543</v>
      </c>
      <c r="J40" s="31" t="s">
        <v>296</v>
      </c>
      <c r="K40" s="39">
        <v>800000</v>
      </c>
      <c r="L40" s="282">
        <f>K40*12</f>
        <v>9600000</v>
      </c>
      <c r="M40" s="884"/>
      <c r="N40" s="793"/>
      <c r="O40" s="793"/>
      <c r="P40" s="793"/>
      <c r="Q40" s="885"/>
    </row>
    <row r="41" spans="2:17" x14ac:dyDescent="0.25">
      <c r="B41" s="5"/>
      <c r="C41" s="1353" t="s">
        <v>5</v>
      </c>
      <c r="D41" s="1354"/>
      <c r="E41" s="1354"/>
      <c r="F41" s="1355"/>
      <c r="G41" s="265"/>
      <c r="H41" s="266"/>
      <c r="I41" s="266"/>
      <c r="J41" s="265"/>
      <c r="K41" s="267">
        <f>SUM(K36:K40)</f>
        <v>4000000</v>
      </c>
      <c r="L41" s="268">
        <f>SUM(L36:L40)</f>
        <v>48000000</v>
      </c>
      <c r="M41" s="886"/>
      <c r="N41" s="887"/>
      <c r="O41" s="887"/>
      <c r="P41" s="887"/>
      <c r="Q41" s="888"/>
    </row>
    <row r="42" spans="2:17" x14ac:dyDescent="0.25">
      <c r="B42" s="394"/>
      <c r="C42" s="924"/>
      <c r="D42" s="924"/>
      <c r="E42" s="924"/>
      <c r="F42" s="924"/>
      <c r="G42" s="286"/>
      <c r="H42" s="285"/>
      <c r="I42" s="285"/>
      <c r="J42" s="286"/>
      <c r="K42" s="284"/>
      <c r="L42" s="284"/>
    </row>
    <row r="43" spans="2:17" x14ac:dyDescent="0.25">
      <c r="B43" s="250" t="s">
        <v>545</v>
      </c>
      <c r="C43" s="367" t="s">
        <v>578</v>
      </c>
      <c r="D43" s="356"/>
      <c r="E43" s="356"/>
      <c r="F43" s="356"/>
      <c r="G43" s="356"/>
      <c r="H43" s="356"/>
      <c r="I43" s="356"/>
      <c r="J43" s="356"/>
      <c r="K43" s="356"/>
      <c r="L43" s="357"/>
      <c r="M43" s="248">
        <f>L49</f>
        <v>90000000</v>
      </c>
      <c r="N43" s="253">
        <v>22500000</v>
      </c>
      <c r="O43" s="509">
        <v>37500000</v>
      </c>
      <c r="P43" s="325">
        <f>M43-O43</f>
        <v>52500000</v>
      </c>
      <c r="Q43" s="468" t="str">
        <f>IF(P43&gt;0,"BERTAMBAH",IF(P43&lt;0,"BERKURANG","TETAP"))</f>
        <v>BERTAMBAH</v>
      </c>
    </row>
    <row r="44" spans="2:17" x14ac:dyDescent="0.25">
      <c r="B44" s="28"/>
      <c r="C44" s="1356" t="s">
        <v>259</v>
      </c>
      <c r="D44" s="1357"/>
      <c r="E44" s="1357"/>
      <c r="F44" s="1358"/>
      <c r="G44" s="96">
        <v>1</v>
      </c>
      <c r="H44" s="256" t="s">
        <v>291</v>
      </c>
      <c r="I44" s="256" t="s">
        <v>543</v>
      </c>
      <c r="J44" s="115" t="s">
        <v>296</v>
      </c>
      <c r="K44" s="1030">
        <v>1500000</v>
      </c>
      <c r="L44" s="272">
        <f>K44*12</f>
        <v>18000000</v>
      </c>
      <c r="M44" s="881"/>
      <c r="N44" s="850"/>
      <c r="O44" s="850"/>
      <c r="P44" s="850"/>
      <c r="Q44" s="882"/>
    </row>
    <row r="45" spans="2:17" x14ac:dyDescent="0.25">
      <c r="B45" s="2"/>
      <c r="C45" s="1332" t="s">
        <v>260</v>
      </c>
      <c r="D45" s="1333"/>
      <c r="E45" s="1333"/>
      <c r="F45" s="1334"/>
      <c r="G45" s="29">
        <v>1</v>
      </c>
      <c r="H45" s="260" t="s">
        <v>291</v>
      </c>
      <c r="I45" s="260" t="s">
        <v>543</v>
      </c>
      <c r="J45" s="31" t="s">
        <v>296</v>
      </c>
      <c r="K45" s="32">
        <v>1500000</v>
      </c>
      <c r="L45" s="272">
        <f>K45*12</f>
        <v>18000000</v>
      </c>
      <c r="M45" s="884"/>
      <c r="N45" s="793"/>
      <c r="O45" s="793"/>
      <c r="P45" s="793"/>
      <c r="Q45" s="885"/>
    </row>
    <row r="46" spans="2:17" x14ac:dyDescent="0.25">
      <c r="B46" s="2"/>
      <c r="C46" s="1332" t="s">
        <v>260</v>
      </c>
      <c r="D46" s="1333"/>
      <c r="E46" s="1333"/>
      <c r="F46" s="1334"/>
      <c r="G46" s="29">
        <v>1</v>
      </c>
      <c r="H46" s="260" t="s">
        <v>291</v>
      </c>
      <c r="I46" s="260" t="s">
        <v>543</v>
      </c>
      <c r="J46" s="31" t="s">
        <v>296</v>
      </c>
      <c r="K46" s="32">
        <v>1500000</v>
      </c>
      <c r="L46" s="272">
        <f>K46*12</f>
        <v>18000000</v>
      </c>
      <c r="M46" s="884"/>
      <c r="N46" s="793"/>
      <c r="O46" s="793"/>
      <c r="P46" s="793"/>
      <c r="Q46" s="885"/>
    </row>
    <row r="47" spans="2:17" x14ac:dyDescent="0.25">
      <c r="B47" s="2"/>
      <c r="C47" s="1332" t="s">
        <v>260</v>
      </c>
      <c r="D47" s="1333"/>
      <c r="E47" s="1333"/>
      <c r="F47" s="1334"/>
      <c r="G47" s="29">
        <v>1</v>
      </c>
      <c r="H47" s="260" t="s">
        <v>291</v>
      </c>
      <c r="I47" s="260" t="s">
        <v>543</v>
      </c>
      <c r="J47" s="31" t="s">
        <v>296</v>
      </c>
      <c r="K47" s="32">
        <v>1500000</v>
      </c>
      <c r="L47" s="272">
        <f>K47*12</f>
        <v>18000000</v>
      </c>
      <c r="M47" s="884"/>
      <c r="N47" s="793"/>
      <c r="O47" s="793"/>
      <c r="P47" s="793"/>
      <c r="Q47" s="885"/>
    </row>
    <row r="48" spans="2:17" x14ac:dyDescent="0.25">
      <c r="B48" s="2"/>
      <c r="C48" s="1332" t="s">
        <v>260</v>
      </c>
      <c r="D48" s="1333"/>
      <c r="E48" s="1333"/>
      <c r="F48" s="1334"/>
      <c r="G48" s="29">
        <v>1</v>
      </c>
      <c r="H48" s="260" t="s">
        <v>291</v>
      </c>
      <c r="I48" s="260" t="s">
        <v>543</v>
      </c>
      <c r="J48" s="31" t="s">
        <v>296</v>
      </c>
      <c r="K48" s="32">
        <v>1500000</v>
      </c>
      <c r="L48" s="282">
        <f>K48*12</f>
        <v>18000000</v>
      </c>
      <c r="M48" s="884"/>
      <c r="N48" s="793"/>
      <c r="O48" s="793"/>
      <c r="P48" s="793"/>
      <c r="Q48" s="885"/>
    </row>
    <row r="49" spans="2:17" x14ac:dyDescent="0.25">
      <c r="B49" s="5"/>
      <c r="C49" s="1353" t="s">
        <v>5</v>
      </c>
      <c r="D49" s="1354"/>
      <c r="E49" s="1354"/>
      <c r="F49" s="1355"/>
      <c r="G49" s="265"/>
      <c r="H49" s="266"/>
      <c r="I49" s="266"/>
      <c r="J49" s="265"/>
      <c r="K49" s="267">
        <f>SUM(K44:K48)</f>
        <v>7500000</v>
      </c>
      <c r="L49" s="268">
        <f>SUM(L44:L48)</f>
        <v>90000000</v>
      </c>
      <c r="M49" s="886"/>
      <c r="N49" s="887"/>
      <c r="O49" s="887"/>
      <c r="P49" s="887"/>
      <c r="Q49" s="888"/>
    </row>
    <row r="50" spans="2:17" x14ac:dyDescent="0.25">
      <c r="B50" s="394"/>
      <c r="C50" s="286"/>
      <c r="D50" s="286"/>
      <c r="E50" s="286"/>
      <c r="F50" s="286"/>
      <c r="G50" s="286"/>
      <c r="H50" s="285"/>
      <c r="I50" s="285"/>
      <c r="J50" s="286"/>
      <c r="K50" s="284"/>
      <c r="L50" s="284"/>
    </row>
    <row r="51" spans="2:17" ht="25.15" customHeight="1" x14ac:dyDescent="0.25">
      <c r="C51" s="1386" t="s">
        <v>458</v>
      </c>
      <c r="D51" s="1386"/>
      <c r="E51" s="1386"/>
      <c r="F51" s="1386"/>
    </row>
    <row r="52" spans="2:17" ht="16.5" x14ac:dyDescent="0.3">
      <c r="B52" s="250" t="s">
        <v>294</v>
      </c>
      <c r="C52" s="367" t="s">
        <v>297</v>
      </c>
      <c r="D52" s="356"/>
      <c r="E52" s="356"/>
      <c r="F52" s="356"/>
      <c r="G52" s="356"/>
      <c r="H52" s="356"/>
      <c r="I52" s="356"/>
      <c r="J52" s="356"/>
      <c r="K52" s="356"/>
      <c r="L52" s="357"/>
      <c r="M52" s="318">
        <f>L57</f>
        <v>33000000</v>
      </c>
      <c r="N52" s="512">
        <v>8250000</v>
      </c>
      <c r="O52" s="511">
        <v>13750000</v>
      </c>
      <c r="P52" s="325">
        <f>M52-O52</f>
        <v>19250000</v>
      </c>
      <c r="Q52" s="468" t="str">
        <f>IF(P52&gt;0,"BERTAMBAH",IF(P52&lt;0,"BERKURANG","TETAP"))</f>
        <v>BERTAMBAH</v>
      </c>
    </row>
    <row r="53" spans="2:17" x14ac:dyDescent="0.25">
      <c r="B53" s="28"/>
      <c r="C53" s="1380" t="s">
        <v>265</v>
      </c>
      <c r="D53" s="1381"/>
      <c r="E53" s="1381"/>
      <c r="F53" s="1382"/>
      <c r="G53" s="269">
        <v>0.35</v>
      </c>
      <c r="H53" s="287">
        <v>1</v>
      </c>
      <c r="I53" s="115" t="s">
        <v>291</v>
      </c>
      <c r="J53" s="1056">
        <v>2200000</v>
      </c>
      <c r="K53" s="91">
        <f>J53*G53</f>
        <v>770000</v>
      </c>
      <c r="L53" s="271">
        <f>K53*12</f>
        <v>9240000</v>
      </c>
      <c r="M53" s="881"/>
      <c r="N53" s="850"/>
      <c r="O53" s="850"/>
      <c r="P53" s="850"/>
      <c r="Q53" s="882"/>
    </row>
    <row r="54" spans="2:17" x14ac:dyDescent="0.25">
      <c r="B54" s="2"/>
      <c r="C54" s="1332" t="s">
        <v>261</v>
      </c>
      <c r="D54" s="1333"/>
      <c r="E54" s="1333"/>
      <c r="F54" s="1334"/>
      <c r="G54" s="105">
        <v>0.3</v>
      </c>
      <c r="H54" s="30">
        <v>1</v>
      </c>
      <c r="I54" s="31" t="s">
        <v>291</v>
      </c>
      <c r="J54" s="403">
        <v>2200000</v>
      </c>
      <c r="K54" s="32">
        <f>J54*G54</f>
        <v>660000</v>
      </c>
      <c r="L54" s="272">
        <f>K54*12</f>
        <v>7920000</v>
      </c>
      <c r="M54" s="884"/>
      <c r="N54" s="793"/>
      <c r="O54" s="793"/>
      <c r="P54" s="793"/>
      <c r="Q54" s="885"/>
    </row>
    <row r="55" spans="2:17" x14ac:dyDescent="0.25">
      <c r="B55" s="2"/>
      <c r="C55" s="1332" t="s">
        <v>261</v>
      </c>
      <c r="D55" s="1333"/>
      <c r="E55" s="1333"/>
      <c r="F55" s="1334"/>
      <c r="G55" s="105">
        <v>0.3</v>
      </c>
      <c r="H55" s="30">
        <v>1</v>
      </c>
      <c r="I55" s="31" t="s">
        <v>291</v>
      </c>
      <c r="J55" s="35">
        <v>2200000</v>
      </c>
      <c r="K55" s="32">
        <f>J55*G55</f>
        <v>660000</v>
      </c>
      <c r="L55" s="272">
        <f>K55*12</f>
        <v>7920000</v>
      </c>
      <c r="M55" s="884"/>
      <c r="N55" s="793"/>
      <c r="O55" s="793"/>
      <c r="P55" s="793"/>
      <c r="Q55" s="885"/>
    </row>
    <row r="56" spans="2:17" x14ac:dyDescent="0.25">
      <c r="B56" s="2"/>
      <c r="C56" s="1332" t="s">
        <v>261</v>
      </c>
      <c r="D56" s="1333"/>
      <c r="E56" s="1333"/>
      <c r="F56" s="1334"/>
      <c r="G56" s="105">
        <v>0.3</v>
      </c>
      <c r="H56" s="30">
        <v>1</v>
      </c>
      <c r="I56" s="31" t="s">
        <v>291</v>
      </c>
      <c r="J56" s="1057">
        <v>2200000</v>
      </c>
      <c r="K56" s="39">
        <f>J56*G56</f>
        <v>660000</v>
      </c>
      <c r="L56" s="282">
        <f>K56*12</f>
        <v>7920000</v>
      </c>
      <c r="M56" s="884"/>
      <c r="N56" s="793"/>
      <c r="O56" s="793"/>
      <c r="P56" s="793"/>
      <c r="Q56" s="885"/>
    </row>
    <row r="57" spans="2:17" x14ac:dyDescent="0.25">
      <c r="B57" s="5"/>
      <c r="C57" s="1353" t="s">
        <v>5</v>
      </c>
      <c r="D57" s="1354"/>
      <c r="E57" s="1354"/>
      <c r="F57" s="1355"/>
      <c r="G57" s="277"/>
      <c r="H57" s="278"/>
      <c r="I57" s="278"/>
      <c r="J57" s="277"/>
      <c r="K57" s="37">
        <f>SUM(K53:K56)</f>
        <v>2750000</v>
      </c>
      <c r="L57" s="280">
        <f>SUM(L53:L56)</f>
        <v>33000000</v>
      </c>
      <c r="M57" s="886"/>
      <c r="N57" s="887"/>
      <c r="O57" s="887"/>
      <c r="P57" s="887"/>
      <c r="Q57" s="888"/>
    </row>
    <row r="58" spans="2:17" ht="6.6" customHeight="1" x14ac:dyDescent="0.25"/>
    <row r="59" spans="2:17" x14ac:dyDescent="0.25">
      <c r="B59" s="250" t="s">
        <v>546</v>
      </c>
      <c r="C59" s="368" t="s">
        <v>298</v>
      </c>
      <c r="D59" s="369"/>
      <c r="E59" s="369"/>
      <c r="F59" s="369"/>
      <c r="G59" s="369"/>
      <c r="H59" s="369"/>
      <c r="I59" s="369"/>
      <c r="J59" s="369"/>
      <c r="K59" s="369"/>
      <c r="L59" s="370"/>
      <c r="M59" s="318">
        <f>L64</f>
        <v>44985600</v>
      </c>
      <c r="N59" s="322">
        <v>10098000</v>
      </c>
      <c r="O59" s="511">
        <v>16830000</v>
      </c>
      <c r="P59" s="325">
        <f>O59-M59</f>
        <v>-28155600</v>
      </c>
      <c r="Q59" s="349" t="str">
        <f>IF(P59&gt;0,"BERTAMBAH",IF(P59&lt;0,"BERKURANG","TETAP"))</f>
        <v>BERKURANG</v>
      </c>
    </row>
    <row r="60" spans="2:17" x14ac:dyDescent="0.25">
      <c r="B60" s="516"/>
      <c r="C60" s="1397" t="s">
        <v>265</v>
      </c>
      <c r="D60" s="1398"/>
      <c r="E60" s="1398"/>
      <c r="F60" s="1399"/>
      <c r="G60" s="925">
        <v>3</v>
      </c>
      <c r="H60" s="926" t="s">
        <v>457</v>
      </c>
      <c r="I60" s="926">
        <v>22</v>
      </c>
      <c r="J60" s="927">
        <v>14200</v>
      </c>
      <c r="K60" s="928">
        <f>J60*I60*G60</f>
        <v>937200</v>
      </c>
      <c r="L60" s="929">
        <f>K60*12</f>
        <v>11246400</v>
      </c>
      <c r="M60" s="909"/>
      <c r="N60" s="910"/>
      <c r="O60" s="911"/>
      <c r="P60" s="912"/>
      <c r="Q60" s="913"/>
    </row>
    <row r="61" spans="2:17" x14ac:dyDescent="0.25">
      <c r="B61" s="353"/>
      <c r="C61" s="1373" t="s">
        <v>261</v>
      </c>
      <c r="D61" s="1374"/>
      <c r="E61" s="1374"/>
      <c r="F61" s="1375"/>
      <c r="G61" s="930">
        <v>3</v>
      </c>
      <c r="H61" s="515" t="s">
        <v>457</v>
      </c>
      <c r="I61" s="260">
        <v>22</v>
      </c>
      <c r="J61" s="931">
        <v>14200</v>
      </c>
      <c r="K61" s="517">
        <f>J61*I61*G61</f>
        <v>937200</v>
      </c>
      <c r="L61" s="518">
        <f>K61*12</f>
        <v>11246400</v>
      </c>
      <c r="M61" s="884"/>
      <c r="N61" s="793"/>
      <c r="O61" s="793"/>
      <c r="P61" s="793"/>
      <c r="Q61" s="885"/>
    </row>
    <row r="62" spans="2:17" x14ac:dyDescent="0.25">
      <c r="B62" s="2"/>
      <c r="C62" s="1332" t="s">
        <v>261</v>
      </c>
      <c r="D62" s="1333"/>
      <c r="E62" s="1333"/>
      <c r="F62" s="1334"/>
      <c r="G62" s="930">
        <v>3</v>
      </c>
      <c r="H62" s="515" t="s">
        <v>457</v>
      </c>
      <c r="I62" s="260">
        <v>22</v>
      </c>
      <c r="J62" s="931">
        <v>14200</v>
      </c>
      <c r="K62" s="517">
        <f>J62*I62*G62</f>
        <v>937200</v>
      </c>
      <c r="L62" s="518">
        <f>K62*12</f>
        <v>11246400</v>
      </c>
      <c r="M62" s="884"/>
      <c r="N62" s="793"/>
      <c r="O62" s="793"/>
      <c r="P62" s="793"/>
      <c r="Q62" s="885"/>
    </row>
    <row r="63" spans="2:17" x14ac:dyDescent="0.25">
      <c r="B63" s="2"/>
      <c r="C63" s="1332" t="s">
        <v>261</v>
      </c>
      <c r="D63" s="1333"/>
      <c r="E63" s="1333"/>
      <c r="F63" s="1334"/>
      <c r="G63" s="930">
        <v>3</v>
      </c>
      <c r="H63" s="515" t="s">
        <v>457</v>
      </c>
      <c r="I63" s="260">
        <v>22</v>
      </c>
      <c r="J63" s="931">
        <v>14200</v>
      </c>
      <c r="K63" s="519">
        <f>J63*I63*G63</f>
        <v>937200</v>
      </c>
      <c r="L63" s="520">
        <f>K63*12</f>
        <v>11246400</v>
      </c>
      <c r="M63" s="884"/>
      <c r="N63" s="793"/>
      <c r="O63" s="793"/>
      <c r="P63" s="793"/>
      <c r="Q63" s="885"/>
    </row>
    <row r="64" spans="2:17" x14ac:dyDescent="0.25">
      <c r="B64" s="5"/>
      <c r="C64" s="1353" t="s">
        <v>5</v>
      </c>
      <c r="D64" s="1354"/>
      <c r="E64" s="1354"/>
      <c r="F64" s="1355"/>
      <c r="G64" s="37"/>
      <c r="H64" s="40"/>
      <c r="I64" s="40"/>
      <c r="J64" s="37"/>
      <c r="K64" s="37">
        <f>SUM(K60:K63)</f>
        <v>3748800</v>
      </c>
      <c r="L64" s="268">
        <f>SUM(L60:L63)</f>
        <v>44985600</v>
      </c>
      <c r="M64" s="886"/>
      <c r="N64" s="887"/>
      <c r="O64" s="887"/>
      <c r="P64" s="887"/>
      <c r="Q64" s="888"/>
    </row>
    <row r="65" spans="2:17" ht="6.6" customHeight="1" x14ac:dyDescent="0.25"/>
    <row r="66" spans="2:17" ht="16.5" x14ac:dyDescent="0.3">
      <c r="B66" s="250" t="s">
        <v>547</v>
      </c>
      <c r="C66" s="367" t="s">
        <v>299</v>
      </c>
      <c r="D66" s="356"/>
      <c r="E66" s="356"/>
      <c r="F66" s="356"/>
      <c r="G66" s="356"/>
      <c r="H66" s="356"/>
      <c r="I66" s="356"/>
      <c r="J66" s="356"/>
      <c r="K66" s="356"/>
      <c r="L66" s="357"/>
      <c r="M66" s="513">
        <f>L71</f>
        <v>14400000</v>
      </c>
      <c r="N66" s="512">
        <v>3600000</v>
      </c>
      <c r="O66" s="511">
        <v>6000000</v>
      </c>
      <c r="P66" s="325">
        <f>M66-O66</f>
        <v>8400000</v>
      </c>
      <c r="Q66" s="349" t="str">
        <f>IF(P66&gt;0,"BERTAMBAH",IF(P66&lt;0,"BERKURANG","TETAP"))</f>
        <v>BERTAMBAH</v>
      </c>
    </row>
    <row r="67" spans="2:17" x14ac:dyDescent="0.25">
      <c r="B67" s="28"/>
      <c r="C67" s="1378" t="s">
        <v>265</v>
      </c>
      <c r="D67" s="1378"/>
      <c r="E67" s="1378"/>
      <c r="F67" s="1378"/>
      <c r="G67" s="256"/>
      <c r="H67" s="256" t="s">
        <v>291</v>
      </c>
      <c r="I67" s="256" t="s">
        <v>543</v>
      </c>
      <c r="J67" s="115" t="s">
        <v>296</v>
      </c>
      <c r="K67" s="91">
        <v>300000</v>
      </c>
      <c r="L67" s="91">
        <f>K67*12</f>
        <v>3600000</v>
      </c>
      <c r="M67" s="881"/>
      <c r="N67" s="850"/>
      <c r="O67" s="850"/>
      <c r="P67" s="850"/>
      <c r="Q67" s="882"/>
    </row>
    <row r="68" spans="2:17" x14ac:dyDescent="0.25">
      <c r="B68" s="2"/>
      <c r="C68" s="1324" t="s">
        <v>261</v>
      </c>
      <c r="D68" s="1324"/>
      <c r="E68" s="1324"/>
      <c r="F68" s="1324"/>
      <c r="G68" s="260"/>
      <c r="H68" s="283" t="s">
        <v>291</v>
      </c>
      <c r="I68" s="260" t="s">
        <v>543</v>
      </c>
      <c r="J68" s="31" t="s">
        <v>296</v>
      </c>
      <c r="K68" s="32">
        <v>300000</v>
      </c>
      <c r="L68" s="32">
        <f>K68*12</f>
        <v>3600000</v>
      </c>
      <c r="M68" s="884"/>
      <c r="N68" s="793"/>
      <c r="O68" s="793"/>
      <c r="P68" s="793"/>
      <c r="Q68" s="885"/>
    </row>
    <row r="69" spans="2:17" x14ac:dyDescent="0.25">
      <c r="B69" s="2"/>
      <c r="C69" s="1324" t="s">
        <v>261</v>
      </c>
      <c r="D69" s="1324"/>
      <c r="E69" s="1324"/>
      <c r="F69" s="1324"/>
      <c r="G69" s="260"/>
      <c r="H69" s="283" t="s">
        <v>291</v>
      </c>
      <c r="I69" s="260" t="s">
        <v>543</v>
      </c>
      <c r="J69" s="31" t="s">
        <v>296</v>
      </c>
      <c r="K69" s="32">
        <v>300000</v>
      </c>
      <c r="L69" s="32">
        <f>K69*12</f>
        <v>3600000</v>
      </c>
      <c r="M69" s="884"/>
      <c r="N69" s="793"/>
      <c r="O69" s="793"/>
      <c r="P69" s="793"/>
      <c r="Q69" s="885"/>
    </row>
    <row r="70" spans="2:17" x14ac:dyDescent="0.25">
      <c r="B70" s="2"/>
      <c r="C70" s="1324" t="s">
        <v>261</v>
      </c>
      <c r="D70" s="1324"/>
      <c r="E70" s="1324"/>
      <c r="F70" s="1324"/>
      <c r="G70" s="260"/>
      <c r="H70" s="283" t="s">
        <v>291</v>
      </c>
      <c r="I70" s="260" t="s">
        <v>543</v>
      </c>
      <c r="J70" s="31" t="s">
        <v>296</v>
      </c>
      <c r="K70" s="39">
        <v>300000</v>
      </c>
      <c r="L70" s="39">
        <f>K70*12</f>
        <v>3600000</v>
      </c>
      <c r="M70" s="884"/>
      <c r="N70" s="793"/>
      <c r="O70" s="793"/>
      <c r="P70" s="793"/>
      <c r="Q70" s="885"/>
    </row>
    <row r="71" spans="2:17" x14ac:dyDescent="0.25">
      <c r="B71" s="5"/>
      <c r="C71" s="1370" t="s">
        <v>5</v>
      </c>
      <c r="D71" s="1371"/>
      <c r="E71" s="1371"/>
      <c r="F71" s="1372"/>
      <c r="G71" s="288"/>
      <c r="H71" s="40"/>
      <c r="I71" s="40"/>
      <c r="J71" s="37"/>
      <c r="K71" s="37">
        <f>SUM(K67:K70)</f>
        <v>1200000</v>
      </c>
      <c r="L71" s="268">
        <f>SUM(L67:L70)</f>
        <v>14400000</v>
      </c>
      <c r="M71" s="886"/>
      <c r="N71" s="887"/>
      <c r="O71" s="887"/>
      <c r="P71" s="887"/>
      <c r="Q71" s="888"/>
    </row>
    <row r="72" spans="2:17" ht="7.9" customHeight="1" x14ac:dyDescent="0.25"/>
    <row r="73" spans="2:17" ht="15" customHeight="1" x14ac:dyDescent="0.3">
      <c r="B73" s="250" t="s">
        <v>579</v>
      </c>
      <c r="C73" s="367" t="s">
        <v>580</v>
      </c>
      <c r="D73" s="356"/>
      <c r="E73" s="356"/>
      <c r="F73" s="356"/>
      <c r="G73" s="356"/>
      <c r="H73" s="356"/>
      <c r="I73" s="356"/>
      <c r="J73" s="356"/>
      <c r="K73" s="356"/>
      <c r="L73" s="357"/>
      <c r="M73" s="513">
        <f>L78</f>
        <v>36000000</v>
      </c>
      <c r="N73" s="512">
        <v>9000000</v>
      </c>
      <c r="O73" s="511">
        <v>15000000</v>
      </c>
      <c r="P73" s="325">
        <f>M73-O73</f>
        <v>21000000</v>
      </c>
      <c r="Q73" s="349" t="str">
        <f>IF(P73&gt;0,"BERTAMBAH",IF(P73&lt;0,"BERKURANG","TETAP"))</f>
        <v>BERTAMBAH</v>
      </c>
    </row>
    <row r="74" spans="2:17" ht="15" customHeight="1" x14ac:dyDescent="0.25">
      <c r="B74" s="28"/>
      <c r="C74" s="1378" t="s">
        <v>265</v>
      </c>
      <c r="D74" s="1378"/>
      <c r="E74" s="1378"/>
      <c r="F74" s="1378"/>
      <c r="G74" s="256"/>
      <c r="H74" s="256" t="s">
        <v>291</v>
      </c>
      <c r="I74" s="256" t="s">
        <v>543</v>
      </c>
      <c r="J74" s="115" t="s">
        <v>296</v>
      </c>
      <c r="K74" s="91">
        <v>750000</v>
      </c>
      <c r="L74" s="91">
        <f>K74*12</f>
        <v>9000000</v>
      </c>
      <c r="M74" s="881"/>
      <c r="N74" s="850"/>
      <c r="O74" s="850"/>
      <c r="P74" s="850"/>
      <c r="Q74" s="882"/>
    </row>
    <row r="75" spans="2:17" ht="15" customHeight="1" x14ac:dyDescent="0.25">
      <c r="B75" s="2"/>
      <c r="C75" s="1324" t="s">
        <v>261</v>
      </c>
      <c r="D75" s="1324"/>
      <c r="E75" s="1324"/>
      <c r="F75" s="1324"/>
      <c r="G75" s="260"/>
      <c r="H75" s="283" t="s">
        <v>291</v>
      </c>
      <c r="I75" s="260" t="s">
        <v>543</v>
      </c>
      <c r="J75" s="31" t="s">
        <v>296</v>
      </c>
      <c r="K75" s="91">
        <v>750000</v>
      </c>
      <c r="L75" s="32">
        <f>K75*12</f>
        <v>9000000</v>
      </c>
      <c r="M75" s="884"/>
      <c r="N75" s="793"/>
      <c r="O75" s="793"/>
      <c r="P75" s="793"/>
      <c r="Q75" s="885"/>
    </row>
    <row r="76" spans="2:17" ht="15" customHeight="1" x14ac:dyDescent="0.25">
      <c r="B76" s="2"/>
      <c r="C76" s="1324" t="s">
        <v>261</v>
      </c>
      <c r="D76" s="1324"/>
      <c r="E76" s="1324"/>
      <c r="F76" s="1324"/>
      <c r="G76" s="260"/>
      <c r="H76" s="283" t="s">
        <v>291</v>
      </c>
      <c r="I76" s="260" t="s">
        <v>543</v>
      </c>
      <c r="J76" s="31" t="s">
        <v>296</v>
      </c>
      <c r="K76" s="91">
        <v>750000</v>
      </c>
      <c r="L76" s="32">
        <f>K76*12</f>
        <v>9000000</v>
      </c>
      <c r="M76" s="884"/>
      <c r="N76" s="793"/>
      <c r="O76" s="793"/>
      <c r="P76" s="793"/>
      <c r="Q76" s="885"/>
    </row>
    <row r="77" spans="2:17" ht="15" customHeight="1" x14ac:dyDescent="0.25">
      <c r="B77" s="2"/>
      <c r="C77" s="1324" t="s">
        <v>261</v>
      </c>
      <c r="D77" s="1324"/>
      <c r="E77" s="1324"/>
      <c r="F77" s="1324"/>
      <c r="G77" s="260"/>
      <c r="H77" s="283" t="s">
        <v>291</v>
      </c>
      <c r="I77" s="260" t="s">
        <v>543</v>
      </c>
      <c r="J77" s="31" t="s">
        <v>296</v>
      </c>
      <c r="K77" s="91">
        <v>750000</v>
      </c>
      <c r="L77" s="39">
        <f>K77*12</f>
        <v>9000000</v>
      </c>
      <c r="M77" s="884"/>
      <c r="N77" s="793"/>
      <c r="O77" s="793"/>
      <c r="P77" s="793"/>
      <c r="Q77" s="885"/>
    </row>
    <row r="78" spans="2:17" ht="15" customHeight="1" x14ac:dyDescent="0.25">
      <c r="B78" s="5"/>
      <c r="C78" s="1370" t="s">
        <v>5</v>
      </c>
      <c r="D78" s="1371"/>
      <c r="E78" s="1371"/>
      <c r="F78" s="1372"/>
      <c r="G78" s="288"/>
      <c r="H78" s="40"/>
      <c r="I78" s="40"/>
      <c r="J78" s="37"/>
      <c r="K78" s="37">
        <f>SUM(K74:K77)</f>
        <v>3000000</v>
      </c>
      <c r="L78" s="268">
        <f>SUM(L74:L77)</f>
        <v>36000000</v>
      </c>
      <c r="M78" s="886"/>
      <c r="N78" s="887"/>
      <c r="O78" s="887"/>
      <c r="P78" s="887"/>
      <c r="Q78" s="888"/>
    </row>
    <row r="79" spans="2:17" ht="7.9" customHeight="1" x14ac:dyDescent="0.25"/>
    <row r="80" spans="2:17" ht="15.75" customHeight="1" x14ac:dyDescent="0.25">
      <c r="K80" s="341">
        <f>K75+K68+K62+K54</f>
        <v>2647200</v>
      </c>
    </row>
    <row r="81" spans="2:19" ht="23.25" x14ac:dyDescent="0.35">
      <c r="C81" s="588" t="s">
        <v>242</v>
      </c>
    </row>
    <row r="82" spans="2:19" x14ac:dyDescent="0.25">
      <c r="B82" s="273" t="s">
        <v>140</v>
      </c>
      <c r="C82" s="361" t="s">
        <v>300</v>
      </c>
      <c r="D82" s="362"/>
      <c r="E82" s="362"/>
      <c r="F82" s="362"/>
      <c r="G82" s="362"/>
      <c r="H82" s="362"/>
      <c r="I82" s="362"/>
      <c r="J82" s="362"/>
      <c r="K82" s="362"/>
      <c r="L82" s="363"/>
      <c r="M82" s="248">
        <f>L88</f>
        <v>306000000</v>
      </c>
      <c r="N82" s="253">
        <v>177982500</v>
      </c>
      <c r="O82" s="325">
        <v>228982500</v>
      </c>
      <c r="P82" s="325">
        <f>M82-O82</f>
        <v>77017500</v>
      </c>
      <c r="Q82" s="349" t="str">
        <f>IF(P82&gt;0,"BERTAMBAH",IF(P82&lt;0,"BERKURANG","TETAP"))</f>
        <v>BERTAMBAH</v>
      </c>
    </row>
    <row r="83" spans="2:19" x14ac:dyDescent="0.25">
      <c r="B83" s="28"/>
      <c r="C83" s="1356" t="s">
        <v>248</v>
      </c>
      <c r="D83" s="1357"/>
      <c r="E83" s="1357"/>
      <c r="F83" s="1357"/>
      <c r="G83" s="1357"/>
      <c r="H83" s="1357"/>
      <c r="I83" s="1357"/>
      <c r="J83" s="1358"/>
      <c r="K83" s="96">
        <v>5500000</v>
      </c>
      <c r="L83" s="324">
        <f>K83*12</f>
        <v>66000000</v>
      </c>
      <c r="M83" s="881"/>
      <c r="N83" s="850"/>
      <c r="O83" s="850"/>
      <c r="P83" s="850"/>
      <c r="Q83" s="882"/>
      <c r="S83" s="341"/>
    </row>
    <row r="84" spans="2:19" x14ac:dyDescent="0.25">
      <c r="B84" s="2"/>
      <c r="C84" s="1332" t="s">
        <v>249</v>
      </c>
      <c r="D84" s="1333"/>
      <c r="E84" s="1333"/>
      <c r="F84" s="1333"/>
      <c r="G84" s="1333"/>
      <c r="H84" s="1333"/>
      <c r="I84" s="1333"/>
      <c r="J84" s="1334"/>
      <c r="K84" s="29">
        <v>5000000</v>
      </c>
      <c r="L84" s="327">
        <f>K84*12</f>
        <v>60000000</v>
      </c>
      <c r="M84" s="884"/>
      <c r="N84" s="122"/>
      <c r="O84" s="793"/>
      <c r="P84" s="793"/>
      <c r="Q84" s="885"/>
      <c r="S84" s="341"/>
    </row>
    <row r="85" spans="2:19" ht="14.45" customHeight="1" x14ac:dyDescent="0.25">
      <c r="B85" s="2"/>
      <c r="C85" s="1367" t="s">
        <v>250</v>
      </c>
      <c r="D85" s="1368"/>
      <c r="E85" s="1368"/>
      <c r="F85" s="1368"/>
      <c r="G85" s="1368"/>
      <c r="H85" s="1368"/>
      <c r="I85" s="1368"/>
      <c r="J85" s="1369"/>
      <c r="K85" s="29">
        <v>5000000</v>
      </c>
      <c r="L85" s="327">
        <f>K85*12</f>
        <v>60000000</v>
      </c>
      <c r="M85" s="884"/>
      <c r="N85" s="793"/>
      <c r="O85" s="793"/>
      <c r="P85" s="793"/>
      <c r="Q85" s="885"/>
      <c r="S85" s="341"/>
    </row>
    <row r="86" spans="2:19" x14ac:dyDescent="0.25">
      <c r="B86" s="2"/>
      <c r="C86" s="1332" t="s">
        <v>251</v>
      </c>
      <c r="D86" s="1333"/>
      <c r="E86" s="1333"/>
      <c r="F86" s="1333"/>
      <c r="G86" s="1333"/>
      <c r="H86" s="1333"/>
      <c r="I86" s="1333"/>
      <c r="J86" s="1334"/>
      <c r="K86" s="29">
        <v>5000000</v>
      </c>
      <c r="L86" s="327">
        <f>K86*12</f>
        <v>60000000</v>
      </c>
      <c r="M86" s="884"/>
      <c r="N86" s="793"/>
      <c r="O86" s="793"/>
      <c r="P86" s="793"/>
      <c r="Q86" s="885"/>
      <c r="S86" s="341"/>
    </row>
    <row r="87" spans="2:19" ht="14.45" customHeight="1" x14ac:dyDescent="0.25">
      <c r="B87" s="2"/>
      <c r="C87" s="1367" t="s">
        <v>252</v>
      </c>
      <c r="D87" s="1368"/>
      <c r="E87" s="1368"/>
      <c r="F87" s="1368"/>
      <c r="G87" s="1368"/>
      <c r="H87" s="1368"/>
      <c r="I87" s="1368"/>
      <c r="J87" s="1369"/>
      <c r="K87" s="326">
        <v>5000000</v>
      </c>
      <c r="L87" s="854">
        <f>K87*12</f>
        <v>60000000</v>
      </c>
      <c r="M87" s="884"/>
      <c r="N87" s="793"/>
      <c r="O87" s="793"/>
      <c r="P87" s="793"/>
      <c r="Q87" s="885"/>
      <c r="S87" s="341"/>
    </row>
    <row r="88" spans="2:19" x14ac:dyDescent="0.25">
      <c r="B88" s="289"/>
      <c r="C88" s="1326" t="s">
        <v>5</v>
      </c>
      <c r="D88" s="1326"/>
      <c r="E88" s="1326"/>
      <c r="F88" s="1326"/>
      <c r="G88" s="265"/>
      <c r="H88" s="265"/>
      <c r="I88" s="265"/>
      <c r="J88" s="265"/>
      <c r="K88" s="267">
        <f>SUM(K83:K87)</f>
        <v>25500000</v>
      </c>
      <c r="L88" s="268">
        <f>SUM(L83:L87)</f>
        <v>306000000</v>
      </c>
      <c r="M88" s="886"/>
      <c r="N88" s="887"/>
      <c r="O88" s="887"/>
      <c r="P88" s="887"/>
      <c r="Q88" s="888"/>
    </row>
    <row r="89" spans="2:19" ht="6.6" customHeight="1" x14ac:dyDescent="0.25"/>
    <row r="90" spans="2:19" ht="14.45" customHeight="1" x14ac:dyDescent="0.25">
      <c r="B90" s="273" t="s">
        <v>561</v>
      </c>
      <c r="C90" s="1329" t="s">
        <v>301</v>
      </c>
      <c r="D90" s="1330"/>
      <c r="E90" s="1330"/>
      <c r="F90" s="1330"/>
      <c r="G90" s="1330"/>
      <c r="H90" s="1330"/>
      <c r="I90" s="1330"/>
      <c r="J90" s="1330"/>
      <c r="K90" s="1330"/>
      <c r="L90" s="1331"/>
      <c r="M90" s="248">
        <f>L96</f>
        <v>275400000</v>
      </c>
      <c r="N90" s="320">
        <v>97200000</v>
      </c>
      <c r="O90" s="329">
        <v>143100000</v>
      </c>
      <c r="P90" s="329">
        <f>M90-O90</f>
        <v>132300000</v>
      </c>
      <c r="Q90" s="349" t="str">
        <f>IF(P90&gt;0,"BERTAMBAH",IF(P90&lt;0,"BERKURANG","TETAP"))</f>
        <v>BERTAMBAH</v>
      </c>
    </row>
    <row r="91" spans="2:19" x14ac:dyDescent="0.25">
      <c r="B91" s="1"/>
      <c r="C91" s="1379" t="s">
        <v>248</v>
      </c>
      <c r="D91" s="1379"/>
      <c r="E91" s="1379"/>
      <c r="F91" s="1379"/>
      <c r="G91" s="1348"/>
      <c r="H91" s="1349"/>
      <c r="I91" s="330">
        <v>0.9</v>
      </c>
      <c r="J91" s="331"/>
      <c r="K91" s="760">
        <f>K83*I91</f>
        <v>4950000</v>
      </c>
      <c r="L91" s="332">
        <f>K91*12</f>
        <v>59400000</v>
      </c>
      <c r="M91" s="881"/>
      <c r="N91" s="850"/>
      <c r="O91" s="850"/>
      <c r="P91" s="850"/>
      <c r="Q91" s="882"/>
    </row>
    <row r="92" spans="2:19" x14ac:dyDescent="0.25">
      <c r="B92" s="7"/>
      <c r="C92" s="1324" t="s">
        <v>249</v>
      </c>
      <c r="D92" s="1324"/>
      <c r="E92" s="1324"/>
      <c r="F92" s="1324"/>
      <c r="G92" s="1346"/>
      <c r="H92" s="1347"/>
      <c r="I92" s="291">
        <v>0.9</v>
      </c>
      <c r="J92" s="331"/>
      <c r="K92" s="760">
        <f>K84*I92</f>
        <v>4500000</v>
      </c>
      <c r="L92" s="332">
        <f>K92*12</f>
        <v>54000000</v>
      </c>
      <c r="M92" s="884"/>
      <c r="N92" s="793"/>
      <c r="O92" s="793"/>
      <c r="P92" s="793"/>
      <c r="Q92" s="885"/>
    </row>
    <row r="93" spans="2:19" x14ac:dyDescent="0.25">
      <c r="B93" s="7"/>
      <c r="C93" s="1324" t="s">
        <v>250</v>
      </c>
      <c r="D93" s="1324"/>
      <c r="E93" s="1324"/>
      <c r="F93" s="1324"/>
      <c r="G93" s="1346"/>
      <c r="H93" s="1347"/>
      <c r="I93" s="291">
        <v>0.9</v>
      </c>
      <c r="J93" s="331"/>
      <c r="K93" s="760">
        <f>K85*I93</f>
        <v>4500000</v>
      </c>
      <c r="L93" s="332">
        <f>K93*12</f>
        <v>54000000</v>
      </c>
      <c r="M93" s="884"/>
      <c r="N93" s="793"/>
      <c r="O93" s="793"/>
      <c r="P93" s="793"/>
      <c r="Q93" s="885"/>
    </row>
    <row r="94" spans="2:19" x14ac:dyDescent="0.25">
      <c r="B94" s="7"/>
      <c r="C94" s="1324" t="s">
        <v>251</v>
      </c>
      <c r="D94" s="1324"/>
      <c r="E94" s="1324"/>
      <c r="F94" s="1324"/>
      <c r="G94" s="1346"/>
      <c r="H94" s="1347"/>
      <c r="I94" s="291">
        <v>0.9</v>
      </c>
      <c r="J94" s="331"/>
      <c r="K94" s="760">
        <f>K86*I94</f>
        <v>4500000</v>
      </c>
      <c r="L94" s="332">
        <f>K94*12</f>
        <v>54000000</v>
      </c>
      <c r="M94" s="884"/>
      <c r="N94" s="793"/>
      <c r="O94" s="793"/>
      <c r="P94" s="793"/>
      <c r="Q94" s="885"/>
    </row>
    <row r="95" spans="2:19" x14ac:dyDescent="0.25">
      <c r="B95" s="7"/>
      <c r="C95" s="1324" t="s">
        <v>252</v>
      </c>
      <c r="D95" s="1324"/>
      <c r="E95" s="1324"/>
      <c r="F95" s="1324"/>
      <c r="G95" s="1344"/>
      <c r="H95" s="1345"/>
      <c r="I95" s="291">
        <v>0.9</v>
      </c>
      <c r="J95" s="331"/>
      <c r="K95" s="760">
        <f>K87*I95</f>
        <v>4500000</v>
      </c>
      <c r="L95" s="340">
        <f>K95*12</f>
        <v>54000000</v>
      </c>
      <c r="M95" s="884"/>
      <c r="N95" s="793"/>
      <c r="O95" s="793"/>
      <c r="P95" s="793"/>
      <c r="Q95" s="885"/>
    </row>
    <row r="96" spans="2:19" x14ac:dyDescent="0.25">
      <c r="B96" s="289"/>
      <c r="C96" s="1326" t="s">
        <v>5</v>
      </c>
      <c r="D96" s="1326"/>
      <c r="E96" s="1326"/>
      <c r="F96" s="1326"/>
      <c r="G96" s="265"/>
      <c r="H96" s="265"/>
      <c r="I96" s="265"/>
      <c r="J96" s="265"/>
      <c r="K96" s="267">
        <f>SUM(K91:K95)</f>
        <v>22950000</v>
      </c>
      <c r="L96" s="268">
        <f>SUM(L91:L95)</f>
        <v>275400000</v>
      </c>
      <c r="M96" s="886"/>
      <c r="N96" s="887"/>
      <c r="O96" s="887"/>
      <c r="P96" s="887"/>
      <c r="Q96" s="888"/>
    </row>
    <row r="97" spans="2:17" ht="6.6" customHeight="1" x14ac:dyDescent="0.25"/>
    <row r="98" spans="2:17" ht="16.5" x14ac:dyDescent="0.3">
      <c r="B98" s="273" t="s">
        <v>318</v>
      </c>
      <c r="C98" s="364" t="s">
        <v>302</v>
      </c>
      <c r="D98" s="365"/>
      <c r="E98" s="365"/>
      <c r="F98" s="365"/>
      <c r="G98" s="365"/>
      <c r="H98" s="365"/>
      <c r="I98" s="365"/>
      <c r="J98" s="365"/>
      <c r="K98" s="365"/>
      <c r="L98" s="366"/>
      <c r="M98" s="248">
        <f>L104</f>
        <v>110400000</v>
      </c>
      <c r="N98" s="320">
        <v>30470000</v>
      </c>
      <c r="O98" s="333">
        <v>48870000</v>
      </c>
      <c r="P98" s="329">
        <f>M98-O98</f>
        <v>61530000</v>
      </c>
      <c r="Q98" s="349" t="str">
        <f>IF(P98&gt;0,"BERTAMBAH",IF(P98&lt;0,"BERKURANG","TETAP"))</f>
        <v>BERTAMBAH</v>
      </c>
    </row>
    <row r="99" spans="2:17" x14ac:dyDescent="0.25">
      <c r="B99" s="1"/>
      <c r="C99" s="1325" t="s">
        <v>248</v>
      </c>
      <c r="D99" s="1325"/>
      <c r="E99" s="1325"/>
      <c r="F99" s="1325"/>
      <c r="G99" s="1360"/>
      <c r="H99" s="1377"/>
      <c r="I99" s="96" t="s">
        <v>335</v>
      </c>
      <c r="J99" s="257"/>
      <c r="K99" s="257">
        <v>2000000</v>
      </c>
      <c r="L99" s="258">
        <f>K99*12</f>
        <v>24000000</v>
      </c>
      <c r="M99" s="881"/>
      <c r="N99" s="850"/>
      <c r="O99" s="850"/>
      <c r="P99" s="850"/>
      <c r="Q99" s="882"/>
    </row>
    <row r="100" spans="2:17" x14ac:dyDescent="0.25">
      <c r="B100" s="7"/>
      <c r="C100" s="1324" t="s">
        <v>249</v>
      </c>
      <c r="D100" s="1324"/>
      <c r="E100" s="1324"/>
      <c r="F100" s="1324"/>
      <c r="G100" s="1365">
        <v>0.9</v>
      </c>
      <c r="H100" s="1376"/>
      <c r="I100" s="29" t="s">
        <v>335</v>
      </c>
      <c r="J100" s="262">
        <v>2000000</v>
      </c>
      <c r="K100" s="262">
        <f>J100*G100</f>
        <v>1800000</v>
      </c>
      <c r="L100" s="263">
        <f>K100*12</f>
        <v>21600000</v>
      </c>
      <c r="M100" s="884"/>
      <c r="N100" s="793"/>
      <c r="O100" s="793"/>
      <c r="P100" s="793"/>
      <c r="Q100" s="885"/>
    </row>
    <row r="101" spans="2:17" x14ac:dyDescent="0.25">
      <c r="B101" s="7"/>
      <c r="C101" s="1324" t="s">
        <v>250</v>
      </c>
      <c r="D101" s="1324"/>
      <c r="E101" s="1324"/>
      <c r="F101" s="1324"/>
      <c r="G101" s="1365">
        <v>0.9</v>
      </c>
      <c r="H101" s="1376"/>
      <c r="I101" s="29" t="s">
        <v>335</v>
      </c>
      <c r="J101" s="262">
        <v>2000000</v>
      </c>
      <c r="K101" s="262">
        <f>J101*G101</f>
        <v>1800000</v>
      </c>
      <c r="L101" s="263">
        <f>K101*12</f>
        <v>21600000</v>
      </c>
      <c r="M101" s="884"/>
      <c r="N101" s="793"/>
      <c r="O101" s="793"/>
      <c r="P101" s="793"/>
      <c r="Q101" s="885"/>
    </row>
    <row r="102" spans="2:17" x14ac:dyDescent="0.25">
      <c r="B102" s="7"/>
      <c r="C102" s="1324" t="s">
        <v>251</v>
      </c>
      <c r="D102" s="1324"/>
      <c r="E102" s="1324"/>
      <c r="F102" s="1324"/>
      <c r="G102" s="1365">
        <v>0.9</v>
      </c>
      <c r="H102" s="1376"/>
      <c r="I102" s="29" t="s">
        <v>335</v>
      </c>
      <c r="J102" s="262">
        <v>2000000</v>
      </c>
      <c r="K102" s="262">
        <f>J102*G102</f>
        <v>1800000</v>
      </c>
      <c r="L102" s="263">
        <f>K102*12</f>
        <v>21600000</v>
      </c>
      <c r="M102" s="884"/>
      <c r="N102" s="793"/>
      <c r="O102" s="793"/>
      <c r="P102" s="793"/>
      <c r="Q102" s="885"/>
    </row>
    <row r="103" spans="2:17" x14ac:dyDescent="0.25">
      <c r="B103" s="7"/>
      <c r="C103" s="1324" t="s">
        <v>252</v>
      </c>
      <c r="D103" s="1324"/>
      <c r="E103" s="1324"/>
      <c r="F103" s="1324"/>
      <c r="G103" s="1365">
        <v>0.9</v>
      </c>
      <c r="H103" s="1376"/>
      <c r="I103" s="29" t="s">
        <v>335</v>
      </c>
      <c r="J103" s="262">
        <v>2000000</v>
      </c>
      <c r="K103" s="264">
        <f>J103*G103</f>
        <v>1800000</v>
      </c>
      <c r="L103" s="281">
        <f>K103*12</f>
        <v>21600000</v>
      </c>
      <c r="M103" s="884"/>
      <c r="N103" s="793"/>
      <c r="O103" s="793"/>
      <c r="P103" s="793"/>
      <c r="Q103" s="885"/>
    </row>
    <row r="104" spans="2:17" x14ac:dyDescent="0.25">
      <c r="B104" s="289"/>
      <c r="C104" s="1326" t="s">
        <v>5</v>
      </c>
      <c r="D104" s="1326"/>
      <c r="E104" s="1326"/>
      <c r="F104" s="1326"/>
      <c r="G104" s="1364"/>
      <c r="H104" s="1364"/>
      <c r="I104" s="265"/>
      <c r="J104" s="292"/>
      <c r="K104" s="267">
        <f>SUM(K99:K103)</f>
        <v>9200000</v>
      </c>
      <c r="L104" s="268">
        <f>SUM(L99:L103)</f>
        <v>110400000</v>
      </c>
      <c r="M104" s="886"/>
      <c r="N104" s="887"/>
      <c r="O104" s="887"/>
      <c r="P104" s="887"/>
      <c r="Q104" s="888"/>
    </row>
    <row r="105" spans="2:17" ht="6.6" customHeight="1" x14ac:dyDescent="0.25"/>
    <row r="106" spans="2:17" x14ac:dyDescent="0.25">
      <c r="B106" s="273" t="s">
        <v>562</v>
      </c>
      <c r="C106" s="364" t="s">
        <v>303</v>
      </c>
      <c r="D106" s="365"/>
      <c r="E106" s="365"/>
      <c r="F106" s="365"/>
      <c r="G106" s="365"/>
      <c r="H106" s="365"/>
      <c r="I106" s="365"/>
      <c r="J106" s="365"/>
      <c r="K106" s="365"/>
      <c r="L106" s="366"/>
      <c r="M106" s="248">
        <f>L112</f>
        <v>28274400</v>
      </c>
      <c r="N106" s="320">
        <v>12372360</v>
      </c>
      <c r="O106" s="329">
        <v>17084760</v>
      </c>
      <c r="P106" s="329">
        <f>M106-O106</f>
        <v>11189640</v>
      </c>
      <c r="Q106" s="328" t="str">
        <f>IF(P106&gt;0,"BERTAMBAH",IF(P106&lt;0,"BERKURANG","TETAP"))</f>
        <v>BERTAMBAH</v>
      </c>
    </row>
    <row r="107" spans="2:17" x14ac:dyDescent="0.25">
      <c r="B107" s="1"/>
      <c r="C107" s="1325" t="s">
        <v>248</v>
      </c>
      <c r="D107" s="1325"/>
      <c r="E107" s="1325"/>
      <c r="F107" s="1325"/>
      <c r="G107" s="1388">
        <v>9.2399999999999996E-2</v>
      </c>
      <c r="H107" s="1388"/>
      <c r="I107" s="1388"/>
      <c r="J107" s="1388"/>
      <c r="K107" s="257">
        <f>G107*K83</f>
        <v>508200</v>
      </c>
      <c r="L107" s="334">
        <f>K107*12</f>
        <v>6098400</v>
      </c>
      <c r="M107" s="881"/>
      <c r="N107" s="850"/>
      <c r="O107" s="850"/>
      <c r="P107" s="850"/>
      <c r="Q107" s="882"/>
    </row>
    <row r="108" spans="2:17" x14ac:dyDescent="0.25">
      <c r="B108" s="7"/>
      <c r="C108" s="1324" t="s">
        <v>249</v>
      </c>
      <c r="D108" s="1324"/>
      <c r="E108" s="1324"/>
      <c r="F108" s="1324"/>
      <c r="G108" s="1387">
        <v>9.2399999999999996E-2</v>
      </c>
      <c r="H108" s="1387"/>
      <c r="I108" s="1387"/>
      <c r="J108" s="1387"/>
      <c r="K108" s="262">
        <f>G108*K84</f>
        <v>462000</v>
      </c>
      <c r="L108" s="263">
        <f>K108*12</f>
        <v>5544000</v>
      </c>
      <c r="M108" s="884"/>
      <c r="N108" s="793"/>
      <c r="O108" s="793"/>
      <c r="P108" s="793"/>
      <c r="Q108" s="885"/>
    </row>
    <row r="109" spans="2:17" x14ac:dyDescent="0.25">
      <c r="B109" s="7"/>
      <c r="C109" s="1324" t="s">
        <v>250</v>
      </c>
      <c r="D109" s="1324"/>
      <c r="E109" s="1324"/>
      <c r="F109" s="1324"/>
      <c r="G109" s="1387">
        <v>9.2399999999999996E-2</v>
      </c>
      <c r="H109" s="1387"/>
      <c r="I109" s="1387"/>
      <c r="J109" s="1387"/>
      <c r="K109" s="262">
        <f>G109*K85</f>
        <v>462000</v>
      </c>
      <c r="L109" s="263">
        <f>K109*12</f>
        <v>5544000</v>
      </c>
      <c r="M109" s="884"/>
      <c r="N109" s="793"/>
      <c r="O109" s="793"/>
      <c r="P109" s="793"/>
      <c r="Q109" s="885"/>
    </row>
    <row r="110" spans="2:17" x14ac:dyDescent="0.25">
      <c r="B110" s="7"/>
      <c r="C110" s="1324" t="s">
        <v>251</v>
      </c>
      <c r="D110" s="1324"/>
      <c r="E110" s="1324"/>
      <c r="F110" s="1324"/>
      <c r="G110" s="1387">
        <v>9.2399999999999996E-2</v>
      </c>
      <c r="H110" s="1387"/>
      <c r="I110" s="1387"/>
      <c r="J110" s="1387"/>
      <c r="K110" s="262">
        <f>G110*K86</f>
        <v>462000</v>
      </c>
      <c r="L110" s="263">
        <f>K110*12</f>
        <v>5544000</v>
      </c>
      <c r="M110" s="884"/>
      <c r="N110" s="793"/>
      <c r="O110" s="793"/>
      <c r="P110" s="793"/>
      <c r="Q110" s="885"/>
    </row>
    <row r="111" spans="2:17" x14ac:dyDescent="0.25">
      <c r="B111" s="7"/>
      <c r="C111" s="1324" t="s">
        <v>252</v>
      </c>
      <c r="D111" s="1324"/>
      <c r="E111" s="1324"/>
      <c r="F111" s="1324"/>
      <c r="G111" s="1387">
        <v>9.2399999999999996E-2</v>
      </c>
      <c r="H111" s="1387"/>
      <c r="I111" s="1387"/>
      <c r="J111" s="1387"/>
      <c r="K111" s="264">
        <f>G111*K87</f>
        <v>462000</v>
      </c>
      <c r="L111" s="281">
        <f>K111*12</f>
        <v>5544000</v>
      </c>
      <c r="M111" s="884"/>
      <c r="N111" s="793"/>
      <c r="O111" s="793"/>
      <c r="P111" s="793"/>
      <c r="Q111" s="885"/>
    </row>
    <row r="112" spans="2:17" x14ac:dyDescent="0.25">
      <c r="B112" s="289"/>
      <c r="C112" s="1326" t="s">
        <v>5</v>
      </c>
      <c r="D112" s="1326"/>
      <c r="E112" s="1326"/>
      <c r="F112" s="1326"/>
      <c r="G112" s="1364"/>
      <c r="H112" s="1364"/>
      <c r="I112" s="1364"/>
      <c r="J112" s="1364"/>
      <c r="K112" s="267">
        <f>SUM(K107:K111)</f>
        <v>2356200</v>
      </c>
      <c r="L112" s="268">
        <f>SUM(L107:L111)</f>
        <v>28274400</v>
      </c>
      <c r="M112" s="886"/>
      <c r="N112" s="887"/>
      <c r="O112" s="887"/>
      <c r="P112" s="887"/>
      <c r="Q112" s="888"/>
    </row>
    <row r="113" spans="2:18" ht="6.6" customHeight="1" x14ac:dyDescent="0.25"/>
    <row r="114" spans="2:18" x14ac:dyDescent="0.25">
      <c r="B114" s="273" t="s">
        <v>563</v>
      </c>
      <c r="C114" s="364" t="s">
        <v>304</v>
      </c>
      <c r="D114" s="365"/>
      <c r="E114" s="365"/>
      <c r="F114" s="365"/>
      <c r="G114" s="365"/>
      <c r="H114" s="365"/>
      <c r="I114" s="365"/>
      <c r="J114" s="365"/>
      <c r="K114" s="365"/>
      <c r="L114" s="366"/>
      <c r="M114" s="248">
        <f>L120</f>
        <v>33660000</v>
      </c>
      <c r="N114" s="320">
        <v>13238782</v>
      </c>
      <c r="O114" s="329">
        <v>21128762</v>
      </c>
      <c r="P114" s="329">
        <f>M114-O114</f>
        <v>12531238</v>
      </c>
      <c r="Q114" s="349" t="str">
        <f>IF(P114&gt;0,"BERTAMBAH",IF(P114&lt;0,"BERKURANG","TETAP"))</f>
        <v>BERTAMBAH</v>
      </c>
    </row>
    <row r="115" spans="2:18" x14ac:dyDescent="0.25">
      <c r="B115" s="1"/>
      <c r="C115" s="1325" t="s">
        <v>248</v>
      </c>
      <c r="D115" s="1325"/>
      <c r="E115" s="1325"/>
      <c r="F115" s="1325"/>
      <c r="G115" s="290">
        <v>0.05</v>
      </c>
      <c r="H115" s="293">
        <v>0.02</v>
      </c>
      <c r="I115" s="294">
        <f>K83</f>
        <v>5500000</v>
      </c>
      <c r="J115" s="889">
        <f>G115*I115</f>
        <v>275000</v>
      </c>
      <c r="K115" s="257">
        <f>I115*H115*3</f>
        <v>330000</v>
      </c>
      <c r="L115" s="258">
        <f>(J115+K115)*12</f>
        <v>7260000</v>
      </c>
      <c r="M115" s="1204"/>
      <c r="N115" s="850"/>
      <c r="O115" s="850"/>
      <c r="P115" s="850"/>
      <c r="Q115" s="914"/>
      <c r="R115" s="341"/>
    </row>
    <row r="116" spans="2:18" x14ac:dyDescent="0.25">
      <c r="B116" s="7"/>
      <c r="C116" s="1324" t="s">
        <v>249</v>
      </c>
      <c r="D116" s="1324"/>
      <c r="E116" s="1324"/>
      <c r="F116" s="1324"/>
      <c r="G116" s="290">
        <v>0.05</v>
      </c>
      <c r="H116" s="295">
        <v>0.02</v>
      </c>
      <c r="I116" s="296">
        <v>5000000</v>
      </c>
      <c r="J116" s="261">
        <f>G116*I116</f>
        <v>250000</v>
      </c>
      <c r="K116" s="262">
        <f>I116*H116*3</f>
        <v>300000</v>
      </c>
      <c r="L116" s="263">
        <f>(J116+K116)*12</f>
        <v>6600000</v>
      </c>
      <c r="M116" s="884"/>
      <c r="N116" s="793"/>
      <c r="O116" s="793"/>
      <c r="P116" s="793"/>
      <c r="Q116" s="915"/>
      <c r="R116" s="341"/>
    </row>
    <row r="117" spans="2:18" x14ac:dyDescent="0.25">
      <c r="B117" s="7"/>
      <c r="C117" s="1324" t="s">
        <v>250</v>
      </c>
      <c r="D117" s="1324"/>
      <c r="E117" s="1324"/>
      <c r="F117" s="1324"/>
      <c r="G117" s="290">
        <v>0.05</v>
      </c>
      <c r="H117" s="295">
        <v>0.02</v>
      </c>
      <c r="I117" s="296">
        <v>5000000</v>
      </c>
      <c r="J117" s="261">
        <f>G117*I117</f>
        <v>250000</v>
      </c>
      <c r="K117" s="262">
        <f>I117*H117*3</f>
        <v>300000</v>
      </c>
      <c r="L117" s="263">
        <f>(J117+K117)*12</f>
        <v>6600000</v>
      </c>
      <c r="M117" s="884"/>
      <c r="N117" s="793"/>
      <c r="O117" s="793"/>
      <c r="P117" s="793"/>
      <c r="Q117" s="915"/>
      <c r="R117" s="341"/>
    </row>
    <row r="118" spans="2:18" x14ac:dyDescent="0.25">
      <c r="B118" s="7"/>
      <c r="C118" s="1324" t="s">
        <v>251</v>
      </c>
      <c r="D118" s="1324"/>
      <c r="E118" s="1324"/>
      <c r="F118" s="1324"/>
      <c r="G118" s="290">
        <v>0.05</v>
      </c>
      <c r="H118" s="295">
        <v>0.02</v>
      </c>
      <c r="I118" s="296">
        <v>5000000</v>
      </c>
      <c r="J118" s="261">
        <f>G118*I118</f>
        <v>250000</v>
      </c>
      <c r="K118" s="262">
        <f>I118*H118*3</f>
        <v>300000</v>
      </c>
      <c r="L118" s="263">
        <f>(J118+K118)*12</f>
        <v>6600000</v>
      </c>
      <c r="M118" s="884"/>
      <c r="N118" s="793"/>
      <c r="O118" s="793"/>
      <c r="P118" s="793"/>
      <c r="Q118" s="915"/>
      <c r="R118" s="341"/>
    </row>
    <row r="119" spans="2:18" x14ac:dyDescent="0.25">
      <c r="B119" s="7"/>
      <c r="C119" s="1324" t="s">
        <v>252</v>
      </c>
      <c r="D119" s="1324"/>
      <c r="E119" s="1324"/>
      <c r="F119" s="1324"/>
      <c r="G119" s="290">
        <v>0.05</v>
      </c>
      <c r="H119" s="295">
        <v>0.02</v>
      </c>
      <c r="I119" s="296">
        <v>5000000</v>
      </c>
      <c r="J119" s="890">
        <f>G119*I119</f>
        <v>250000</v>
      </c>
      <c r="K119" s="264">
        <f>I119*H119*3</f>
        <v>300000</v>
      </c>
      <c r="L119" s="281">
        <f>(J119+K119)*12</f>
        <v>6600000</v>
      </c>
      <c r="M119" s="884"/>
      <c r="N119" s="793"/>
      <c r="O119" s="793"/>
      <c r="P119" s="793"/>
      <c r="Q119" s="915"/>
      <c r="R119" s="341"/>
    </row>
    <row r="120" spans="2:18" x14ac:dyDescent="0.25">
      <c r="B120" s="289"/>
      <c r="C120" s="1326" t="s">
        <v>5</v>
      </c>
      <c r="D120" s="1326"/>
      <c r="E120" s="1326"/>
      <c r="F120" s="1326"/>
      <c r="G120" s="265"/>
      <c r="H120" s="265"/>
      <c r="I120" s="265"/>
      <c r="J120" s="761">
        <f>SUM(J115:J119)</f>
        <v>1275000</v>
      </c>
      <c r="K120" s="337">
        <f>SUM(K115:K119)</f>
        <v>1530000</v>
      </c>
      <c r="L120" s="268">
        <f>SUM(L115:L119)</f>
        <v>33660000</v>
      </c>
      <c r="M120" s="886"/>
      <c r="N120" s="887"/>
      <c r="O120" s="887"/>
      <c r="P120" s="887"/>
      <c r="Q120" s="916"/>
    </row>
    <row r="121" spans="2:18" ht="6.6" customHeight="1" x14ac:dyDescent="0.25">
      <c r="Q121" s="892"/>
    </row>
    <row r="122" spans="2:18" x14ac:dyDescent="0.25">
      <c r="B122" s="273" t="s">
        <v>564</v>
      </c>
      <c r="C122" s="364" t="s">
        <v>305</v>
      </c>
      <c r="D122" s="365"/>
      <c r="E122" s="365"/>
      <c r="F122" s="365"/>
      <c r="G122" s="365"/>
      <c r="H122" s="365"/>
      <c r="I122" s="365"/>
      <c r="J122" s="365"/>
      <c r="K122" s="365"/>
      <c r="L122" s="366"/>
      <c r="M122" s="248">
        <f>L128</f>
        <v>187440000</v>
      </c>
      <c r="N122" s="320">
        <v>61781400</v>
      </c>
      <c r="O122" s="329">
        <v>89831400</v>
      </c>
      <c r="P122" s="329">
        <f>M122-O122</f>
        <v>97608600</v>
      </c>
      <c r="Q122" s="349" t="str">
        <f>IF(P122&gt;0,"BERTAMBAH",IF(P122&lt;0,"BERKURANG","TETAP"))</f>
        <v>BERTAMBAH</v>
      </c>
    </row>
    <row r="123" spans="2:18" x14ac:dyDescent="0.25">
      <c r="B123" s="1"/>
      <c r="C123" s="1325" t="s">
        <v>248</v>
      </c>
      <c r="D123" s="1325"/>
      <c r="E123" s="1325"/>
      <c r="F123" s="1325"/>
      <c r="G123" s="256">
        <v>10</v>
      </c>
      <c r="H123" s="256">
        <v>22</v>
      </c>
      <c r="I123" s="256" t="s">
        <v>336</v>
      </c>
      <c r="J123" s="335">
        <v>14200</v>
      </c>
      <c r="K123" s="335">
        <f>G123*H123*J123</f>
        <v>3124000</v>
      </c>
      <c r="L123" s="258">
        <f>K123*12</f>
        <v>37488000</v>
      </c>
      <c r="M123" s="881"/>
      <c r="N123" s="850"/>
      <c r="O123" s="850"/>
      <c r="P123" s="850"/>
      <c r="Q123" s="914"/>
    </row>
    <row r="124" spans="2:18" x14ac:dyDescent="0.25">
      <c r="B124" s="7"/>
      <c r="C124" s="1324" t="s">
        <v>249</v>
      </c>
      <c r="D124" s="1324"/>
      <c r="E124" s="1324"/>
      <c r="F124" s="1324"/>
      <c r="G124" s="260">
        <v>10</v>
      </c>
      <c r="H124" s="260">
        <v>22</v>
      </c>
      <c r="I124" s="260" t="s">
        <v>336</v>
      </c>
      <c r="J124" s="262">
        <v>14200</v>
      </c>
      <c r="K124" s="336">
        <f>G124*H124*J124</f>
        <v>3124000</v>
      </c>
      <c r="L124" s="263">
        <f>K124*12</f>
        <v>37488000</v>
      </c>
      <c r="M124" s="884"/>
      <c r="N124" s="793"/>
      <c r="O124" s="793"/>
      <c r="P124" s="793"/>
      <c r="Q124" s="885"/>
    </row>
    <row r="125" spans="2:18" x14ac:dyDescent="0.25">
      <c r="B125" s="7"/>
      <c r="C125" s="1324" t="s">
        <v>250</v>
      </c>
      <c r="D125" s="1324"/>
      <c r="E125" s="1324"/>
      <c r="F125" s="1324"/>
      <c r="G125" s="260">
        <v>10</v>
      </c>
      <c r="H125" s="260">
        <v>22</v>
      </c>
      <c r="I125" s="260" t="s">
        <v>336</v>
      </c>
      <c r="J125" s="262">
        <v>14200</v>
      </c>
      <c r="K125" s="336">
        <f>G125*H125*J125</f>
        <v>3124000</v>
      </c>
      <c r="L125" s="263">
        <f>K125*12</f>
        <v>37488000</v>
      </c>
      <c r="M125" s="884"/>
      <c r="N125" s="793"/>
      <c r="O125" s="793"/>
      <c r="P125" s="793"/>
      <c r="Q125" s="885"/>
    </row>
    <row r="126" spans="2:18" x14ac:dyDescent="0.25">
      <c r="B126" s="7"/>
      <c r="C126" s="1324" t="s">
        <v>251</v>
      </c>
      <c r="D126" s="1324"/>
      <c r="E126" s="1324"/>
      <c r="F126" s="1324"/>
      <c r="G126" s="260">
        <v>10</v>
      </c>
      <c r="H126" s="260">
        <v>22</v>
      </c>
      <c r="I126" s="260" t="s">
        <v>336</v>
      </c>
      <c r="J126" s="262">
        <v>14200</v>
      </c>
      <c r="K126" s="336">
        <f>G126*H126*J126</f>
        <v>3124000</v>
      </c>
      <c r="L126" s="263">
        <f>K126*12</f>
        <v>37488000</v>
      </c>
      <c r="M126" s="884"/>
      <c r="N126" s="793"/>
      <c r="O126" s="793"/>
      <c r="P126" s="793"/>
      <c r="Q126" s="885"/>
    </row>
    <row r="127" spans="2:18" x14ac:dyDescent="0.25">
      <c r="B127" s="7"/>
      <c r="C127" s="1324" t="s">
        <v>252</v>
      </c>
      <c r="D127" s="1324"/>
      <c r="E127" s="1324"/>
      <c r="F127" s="1324"/>
      <c r="G127" s="260">
        <v>10</v>
      </c>
      <c r="H127" s="260">
        <v>22</v>
      </c>
      <c r="I127" s="260" t="s">
        <v>336</v>
      </c>
      <c r="J127" s="262">
        <v>14200</v>
      </c>
      <c r="K127" s="891">
        <f>G127*H127*J127</f>
        <v>3124000</v>
      </c>
      <c r="L127" s="281">
        <f>K127*12</f>
        <v>37488000</v>
      </c>
      <c r="M127" s="884"/>
      <c r="N127" s="793"/>
      <c r="O127" s="793"/>
      <c r="P127" s="793"/>
      <c r="Q127" s="885"/>
    </row>
    <row r="128" spans="2:18" x14ac:dyDescent="0.25">
      <c r="B128" s="289"/>
      <c r="C128" s="1326" t="s">
        <v>5</v>
      </c>
      <c r="D128" s="1326"/>
      <c r="E128" s="1326"/>
      <c r="F128" s="1326"/>
      <c r="G128" s="297"/>
      <c r="H128" s="265"/>
      <c r="I128" s="265"/>
      <c r="J128" s="265"/>
      <c r="K128" s="337">
        <f>SUM(K123:K127)</f>
        <v>15620000</v>
      </c>
      <c r="L128" s="338">
        <f>SUM(L123:L127)</f>
        <v>187440000</v>
      </c>
      <c r="M128" s="886"/>
      <c r="N128" s="887"/>
      <c r="O128" s="887"/>
      <c r="P128" s="887"/>
      <c r="Q128" s="888"/>
    </row>
    <row r="129" spans="2:17" ht="6.6" customHeight="1" x14ac:dyDescent="0.25"/>
    <row r="130" spans="2:17" ht="16.5" x14ac:dyDescent="0.3">
      <c r="B130" s="273" t="s">
        <v>565</v>
      </c>
      <c r="C130" s="364" t="s">
        <v>306</v>
      </c>
      <c r="D130" s="365"/>
      <c r="E130" s="365"/>
      <c r="F130" s="365"/>
      <c r="G130" s="365"/>
      <c r="H130" s="365"/>
      <c r="I130" s="365"/>
      <c r="J130" s="365"/>
      <c r="K130" s="365"/>
      <c r="L130" s="366"/>
      <c r="M130" s="248">
        <f>L136</f>
        <v>132000000</v>
      </c>
      <c r="N130" s="320">
        <v>42240000</v>
      </c>
      <c r="O130" s="329">
        <v>64240000</v>
      </c>
      <c r="P130" s="333">
        <f>M130-O130</f>
        <v>67760000</v>
      </c>
      <c r="Q130" s="328" t="str">
        <f>IF(P130&gt;0,"BERTAMBAH",IF(P130&lt;0,"BERKURANG","TETAP"))</f>
        <v>BERTAMBAH</v>
      </c>
    </row>
    <row r="131" spans="2:17" x14ac:dyDescent="0.25">
      <c r="B131" s="1"/>
      <c r="C131" s="1325" t="s">
        <v>248</v>
      </c>
      <c r="D131" s="1325"/>
      <c r="E131" s="1325"/>
      <c r="F131" s="1325"/>
      <c r="G131" s="1404">
        <v>22</v>
      </c>
      <c r="H131" s="1404"/>
      <c r="I131" s="298" t="s">
        <v>336</v>
      </c>
      <c r="J131" s="335">
        <v>100000</v>
      </c>
      <c r="K131" s="257">
        <f>G131*J131</f>
        <v>2200000</v>
      </c>
      <c r="L131" s="334">
        <f>K131*12</f>
        <v>26400000</v>
      </c>
      <c r="M131" s="89"/>
      <c r="N131" s="68"/>
      <c r="O131" s="68"/>
      <c r="P131" s="68"/>
      <c r="Q131" s="69"/>
    </row>
    <row r="132" spans="2:17" x14ac:dyDescent="0.25">
      <c r="B132" s="7"/>
      <c r="C132" s="1324" t="s">
        <v>249</v>
      </c>
      <c r="D132" s="1324"/>
      <c r="E132" s="1324"/>
      <c r="F132" s="1324"/>
      <c r="G132" s="1359">
        <v>22</v>
      </c>
      <c r="H132" s="1359"/>
      <c r="I132" s="299" t="s">
        <v>336</v>
      </c>
      <c r="J132" s="336">
        <v>100000</v>
      </c>
      <c r="K132" s="262">
        <f>G132*J132</f>
        <v>2200000</v>
      </c>
      <c r="L132" s="339">
        <f>K132*12</f>
        <v>26400000</v>
      </c>
      <c r="M132" s="60"/>
      <c r="Q132" s="61"/>
    </row>
    <row r="133" spans="2:17" x14ac:dyDescent="0.25">
      <c r="B133" s="7"/>
      <c r="C133" s="1324" t="s">
        <v>250</v>
      </c>
      <c r="D133" s="1324"/>
      <c r="E133" s="1324"/>
      <c r="F133" s="1324"/>
      <c r="G133" s="1359">
        <v>22</v>
      </c>
      <c r="H133" s="1359"/>
      <c r="I133" s="299" t="s">
        <v>336</v>
      </c>
      <c r="J133" s="336">
        <v>100000</v>
      </c>
      <c r="K133" s="262">
        <f>G133*J133</f>
        <v>2200000</v>
      </c>
      <c r="L133" s="339">
        <f>K133*12</f>
        <v>26400000</v>
      </c>
      <c r="M133" s="60"/>
      <c r="Q133" s="61"/>
    </row>
    <row r="134" spans="2:17" x14ac:dyDescent="0.25">
      <c r="B134" s="7"/>
      <c r="C134" s="1324" t="s">
        <v>251</v>
      </c>
      <c r="D134" s="1324"/>
      <c r="E134" s="1324"/>
      <c r="F134" s="1324"/>
      <c r="G134" s="1359">
        <v>22</v>
      </c>
      <c r="H134" s="1359"/>
      <c r="I134" s="299" t="s">
        <v>336</v>
      </c>
      <c r="J134" s="336">
        <v>100000</v>
      </c>
      <c r="K134" s="262">
        <f>G134*J134</f>
        <v>2200000</v>
      </c>
      <c r="L134" s="339">
        <f>K134*12</f>
        <v>26400000</v>
      </c>
      <c r="M134" s="60"/>
      <c r="Q134" s="61"/>
    </row>
    <row r="135" spans="2:17" x14ac:dyDescent="0.25">
      <c r="B135" s="7"/>
      <c r="C135" s="1324" t="s">
        <v>252</v>
      </c>
      <c r="D135" s="1324"/>
      <c r="E135" s="1324"/>
      <c r="F135" s="1324"/>
      <c r="G135" s="1359">
        <v>22</v>
      </c>
      <c r="H135" s="1359"/>
      <c r="I135" s="299" t="s">
        <v>336</v>
      </c>
      <c r="J135" s="336">
        <v>100000</v>
      </c>
      <c r="K135" s="264">
        <f>G135*J135</f>
        <v>2200000</v>
      </c>
      <c r="L135" s="855">
        <f>K135*12</f>
        <v>26400000</v>
      </c>
      <c r="M135" s="60"/>
      <c r="Q135" s="61"/>
    </row>
    <row r="136" spans="2:17" x14ac:dyDescent="0.25">
      <c r="B136" s="289"/>
      <c r="C136" s="1326" t="s">
        <v>5</v>
      </c>
      <c r="D136" s="1326"/>
      <c r="E136" s="1326"/>
      <c r="F136" s="1326"/>
      <c r="G136" s="300"/>
      <c r="H136" s="265"/>
      <c r="I136" s="265"/>
      <c r="J136" s="265"/>
      <c r="K136" s="267">
        <f>SUM(K131:K135)</f>
        <v>11000000</v>
      </c>
      <c r="L136" s="268">
        <f>SUM(L131:L135)</f>
        <v>132000000</v>
      </c>
      <c r="M136" s="62"/>
      <c r="N136" s="63"/>
      <c r="O136" s="63"/>
      <c r="P136" s="63"/>
      <c r="Q136" s="64"/>
    </row>
    <row r="137" spans="2:17" ht="7.5" customHeight="1" x14ac:dyDescent="0.25">
      <c r="B137" s="285"/>
      <c r="C137" s="286"/>
      <c r="D137" s="286"/>
      <c r="E137" s="286"/>
      <c r="F137" s="286"/>
      <c r="G137" s="893"/>
      <c r="H137" s="286"/>
      <c r="I137" s="286"/>
      <c r="J137" s="286"/>
      <c r="K137" s="284"/>
      <c r="L137" s="284"/>
    </row>
    <row r="138" spans="2:17" ht="16.5" x14ac:dyDescent="0.3">
      <c r="B138" s="273" t="s">
        <v>548</v>
      </c>
      <c r="C138" s="364" t="s">
        <v>549</v>
      </c>
      <c r="D138" s="365"/>
      <c r="E138" s="365"/>
      <c r="F138" s="365"/>
      <c r="G138" s="365"/>
      <c r="H138" s="365"/>
      <c r="I138" s="365"/>
      <c r="J138" s="365"/>
      <c r="K138" s="365"/>
      <c r="L138" s="366"/>
      <c r="M138" s="248">
        <f>L144</f>
        <v>138000000</v>
      </c>
      <c r="N138" s="320">
        <v>34500000</v>
      </c>
      <c r="O138" s="329">
        <v>57500000</v>
      </c>
      <c r="P138" s="333">
        <f>M138-O138</f>
        <v>80500000</v>
      </c>
      <c r="Q138" s="328" t="str">
        <f>IF(P138&gt;0,"BERTAMBAH",IF(P138&lt;0,"BERKURANG","TETAP"))</f>
        <v>BERTAMBAH</v>
      </c>
    </row>
    <row r="139" spans="2:17" x14ac:dyDescent="0.25">
      <c r="B139" s="1"/>
      <c r="C139" s="1325" t="s">
        <v>248</v>
      </c>
      <c r="D139" s="1325"/>
      <c r="E139" s="1325"/>
      <c r="F139" s="1325"/>
      <c r="G139" s="1360"/>
      <c r="H139" s="1360"/>
      <c r="I139" s="1360"/>
      <c r="J139" s="335">
        <v>2500000</v>
      </c>
      <c r="K139" s="257">
        <f>J139</f>
        <v>2500000</v>
      </c>
      <c r="L139" s="334">
        <f>K139*12</f>
        <v>30000000</v>
      </c>
      <c r="M139" s="881"/>
      <c r="N139" s="850"/>
      <c r="O139" s="850"/>
      <c r="P139" s="850"/>
      <c r="Q139" s="882"/>
    </row>
    <row r="140" spans="2:17" x14ac:dyDescent="0.25">
      <c r="B140" s="7"/>
      <c r="C140" s="1324" t="s">
        <v>249</v>
      </c>
      <c r="D140" s="1324"/>
      <c r="E140" s="1324"/>
      <c r="F140" s="1324"/>
      <c r="G140" s="1361">
        <v>0.9</v>
      </c>
      <c r="H140" s="1362"/>
      <c r="I140" s="1363"/>
      <c r="J140" s="336">
        <v>2500000</v>
      </c>
      <c r="K140" s="262">
        <f>G140*J140</f>
        <v>2250000</v>
      </c>
      <c r="L140" s="339">
        <f>K140*12</f>
        <v>27000000</v>
      </c>
      <c r="M140" s="884"/>
      <c r="N140" s="793"/>
      <c r="O140" s="793"/>
      <c r="P140" s="793"/>
      <c r="Q140" s="885"/>
    </row>
    <row r="141" spans="2:17" x14ac:dyDescent="0.25">
      <c r="B141" s="7"/>
      <c r="C141" s="1324" t="s">
        <v>250</v>
      </c>
      <c r="D141" s="1324"/>
      <c r="E141" s="1324"/>
      <c r="F141" s="1324"/>
      <c r="G141" s="1361">
        <v>0.9</v>
      </c>
      <c r="H141" s="1362"/>
      <c r="I141" s="1363"/>
      <c r="J141" s="336">
        <v>2500000</v>
      </c>
      <c r="K141" s="262">
        <f>G141*J141</f>
        <v>2250000</v>
      </c>
      <c r="L141" s="339">
        <f>K141*12</f>
        <v>27000000</v>
      </c>
      <c r="M141" s="884"/>
      <c r="N141" s="793"/>
      <c r="O141" s="793"/>
      <c r="P141" s="793"/>
      <c r="Q141" s="885"/>
    </row>
    <row r="142" spans="2:17" x14ac:dyDescent="0.25">
      <c r="B142" s="7"/>
      <c r="C142" s="1324" t="s">
        <v>251</v>
      </c>
      <c r="D142" s="1324"/>
      <c r="E142" s="1324"/>
      <c r="F142" s="1324"/>
      <c r="G142" s="1361">
        <v>0.9</v>
      </c>
      <c r="H142" s="1362"/>
      <c r="I142" s="1363"/>
      <c r="J142" s="336">
        <v>2500000</v>
      </c>
      <c r="K142" s="262">
        <f>G142*J142</f>
        <v>2250000</v>
      </c>
      <c r="L142" s="339">
        <f>K142*12</f>
        <v>27000000</v>
      </c>
      <c r="M142" s="884"/>
      <c r="N142" s="793"/>
      <c r="O142" s="793"/>
      <c r="P142" s="793"/>
      <c r="Q142" s="885"/>
    </row>
    <row r="143" spans="2:17" x14ac:dyDescent="0.25">
      <c r="B143" s="7"/>
      <c r="C143" s="1324" t="s">
        <v>252</v>
      </c>
      <c r="D143" s="1324"/>
      <c r="E143" s="1324"/>
      <c r="F143" s="1324"/>
      <c r="G143" s="1361">
        <v>0.9</v>
      </c>
      <c r="H143" s="1362"/>
      <c r="I143" s="1363"/>
      <c r="J143" s="336">
        <v>2500000</v>
      </c>
      <c r="K143" s="264">
        <f>G143*J143</f>
        <v>2250000</v>
      </c>
      <c r="L143" s="855">
        <f>K143*12</f>
        <v>27000000</v>
      </c>
      <c r="M143" s="884"/>
      <c r="N143" s="793"/>
      <c r="O143" s="793"/>
      <c r="P143" s="793"/>
      <c r="Q143" s="885"/>
    </row>
    <row r="144" spans="2:17" x14ac:dyDescent="0.25">
      <c r="B144" s="289"/>
      <c r="C144" s="1326" t="s">
        <v>5</v>
      </c>
      <c r="D144" s="1326"/>
      <c r="E144" s="1326"/>
      <c r="F144" s="1326"/>
      <c r="G144" s="300"/>
      <c r="H144" s="265"/>
      <c r="I144" s="265"/>
      <c r="J144" s="265"/>
      <c r="K144" s="267">
        <f>SUM(K139:K143)</f>
        <v>11500000</v>
      </c>
      <c r="L144" s="268">
        <f>SUM(L139:L143)</f>
        <v>138000000</v>
      </c>
      <c r="M144" s="886"/>
      <c r="N144" s="887"/>
      <c r="O144" s="887"/>
      <c r="P144" s="887"/>
      <c r="Q144" s="888"/>
    </row>
    <row r="145" spans="2:19" ht="6.6" customHeight="1" x14ac:dyDescent="0.25">
      <c r="P145" s="56"/>
    </row>
    <row r="146" spans="2:19" x14ac:dyDescent="0.25">
      <c r="B146" s="273" t="s">
        <v>566</v>
      </c>
      <c r="C146" s="364" t="s">
        <v>307</v>
      </c>
      <c r="D146" s="365"/>
      <c r="E146" s="365"/>
      <c r="F146" s="365"/>
      <c r="G146" s="365"/>
      <c r="H146" s="365"/>
      <c r="I146" s="365"/>
      <c r="J146" s="365"/>
      <c r="K146" s="365"/>
      <c r="L146" s="366"/>
      <c r="M146" s="248">
        <f>L152</f>
        <v>847822080</v>
      </c>
      <c r="N146" s="320">
        <v>257751270</v>
      </c>
      <c r="O146" s="329">
        <v>398417950</v>
      </c>
      <c r="P146" s="329">
        <f>M146-O146</f>
        <v>449404130</v>
      </c>
      <c r="Q146" s="328" t="str">
        <f>IF(P146&gt;0,"BERTAMBAH",IF(P146&lt;0,"BERKURANG","TETAP"))</f>
        <v>BERTAMBAH</v>
      </c>
    </row>
    <row r="147" spans="2:19" x14ac:dyDescent="0.25">
      <c r="B147" s="1"/>
      <c r="C147" s="1325" t="s">
        <v>248</v>
      </c>
      <c r="D147" s="1325"/>
      <c r="E147" s="1325"/>
      <c r="F147" s="1325"/>
      <c r="G147" s="1360">
        <v>0.7</v>
      </c>
      <c r="H147" s="1360"/>
      <c r="I147" s="1360"/>
      <c r="J147" s="301">
        <f>K83+K91+K99+K107+K115+K123+K131+J115+K139</f>
        <v>21387200</v>
      </c>
      <c r="K147" s="257">
        <f>J147*G147</f>
        <v>14971039.999999998</v>
      </c>
      <c r="L147" s="334">
        <f>K147*12</f>
        <v>179652479.99999997</v>
      </c>
      <c r="M147" s="89"/>
      <c r="N147" s="68"/>
      <c r="O147" s="68"/>
      <c r="P147" s="68"/>
      <c r="Q147" s="69"/>
    </row>
    <row r="148" spans="2:19" x14ac:dyDescent="0.25">
      <c r="B148" s="7"/>
      <c r="C148" s="1324" t="s">
        <v>249</v>
      </c>
      <c r="D148" s="1324"/>
      <c r="E148" s="1324"/>
      <c r="F148" s="1324"/>
      <c r="G148" s="1365">
        <v>0.7</v>
      </c>
      <c r="H148" s="1365"/>
      <c r="I148" s="1365"/>
      <c r="J148" s="302">
        <f>K84+K92+K100+K108+K116+K124+K132+J116+K140</f>
        <v>19886000</v>
      </c>
      <c r="K148" s="262">
        <f>J148*G148</f>
        <v>13920200</v>
      </c>
      <c r="L148" s="263">
        <f>K148*12</f>
        <v>167042400</v>
      </c>
      <c r="M148" s="60"/>
      <c r="Q148" s="61"/>
    </row>
    <row r="149" spans="2:19" x14ac:dyDescent="0.25">
      <c r="B149" s="7"/>
      <c r="C149" s="1324" t="s">
        <v>250</v>
      </c>
      <c r="D149" s="1324"/>
      <c r="E149" s="1324"/>
      <c r="F149" s="1324"/>
      <c r="G149" s="1365">
        <v>0.7</v>
      </c>
      <c r="H149" s="1365"/>
      <c r="I149" s="1365"/>
      <c r="J149" s="302">
        <f>K85+K93+K101+K109+K117+K125+K133+J117+K141</f>
        <v>19886000</v>
      </c>
      <c r="K149" s="262">
        <f>J149*G149</f>
        <v>13920200</v>
      </c>
      <c r="L149" s="263">
        <f>K149*12</f>
        <v>167042400</v>
      </c>
      <c r="M149" s="60"/>
      <c r="Q149" s="61"/>
    </row>
    <row r="150" spans="2:19" x14ac:dyDescent="0.25">
      <c r="B150" s="7"/>
      <c r="C150" s="1324" t="s">
        <v>251</v>
      </c>
      <c r="D150" s="1324"/>
      <c r="E150" s="1324"/>
      <c r="F150" s="1324"/>
      <c r="G150" s="1365">
        <v>0.7</v>
      </c>
      <c r="H150" s="1365"/>
      <c r="I150" s="1365"/>
      <c r="J150" s="302">
        <f>K86+K94+K102+K110+K118+K126+K134+J118+K142</f>
        <v>19886000</v>
      </c>
      <c r="K150" s="262">
        <f>J150*G150</f>
        <v>13920200</v>
      </c>
      <c r="L150" s="263">
        <f>K150*12</f>
        <v>167042400</v>
      </c>
      <c r="M150" s="60"/>
      <c r="Q150" s="61"/>
    </row>
    <row r="151" spans="2:19" x14ac:dyDescent="0.25">
      <c r="B151" s="7"/>
      <c r="C151" s="1324" t="s">
        <v>252</v>
      </c>
      <c r="D151" s="1324"/>
      <c r="E151" s="1324"/>
      <c r="F151" s="1324"/>
      <c r="G151" s="1365">
        <v>0.7</v>
      </c>
      <c r="H151" s="1365"/>
      <c r="I151" s="1365"/>
      <c r="J151" s="302">
        <f>K87+K95+K103+K111+K119+K127+K135+J119+K143</f>
        <v>19886000</v>
      </c>
      <c r="K151" s="264">
        <f>J151*G151</f>
        <v>13920200</v>
      </c>
      <c r="L151" s="263">
        <f>K151*12</f>
        <v>167042400</v>
      </c>
      <c r="M151" s="60"/>
      <c r="N151" s="341"/>
      <c r="P151" s="341"/>
      <c r="Q151" s="61"/>
    </row>
    <row r="152" spans="2:19" x14ac:dyDescent="0.25">
      <c r="B152" s="289"/>
      <c r="C152" s="1326" t="s">
        <v>5</v>
      </c>
      <c r="D152" s="1326"/>
      <c r="E152" s="1326"/>
      <c r="F152" s="1326"/>
      <c r="G152" s="1364"/>
      <c r="H152" s="1364"/>
      <c r="I152" s="1364"/>
      <c r="J152" s="508"/>
      <c r="K152" s="337">
        <f>SUM(K147:K151)</f>
        <v>70651840</v>
      </c>
      <c r="L152" s="338">
        <f>SUM(L147:L151)</f>
        <v>847822080</v>
      </c>
      <c r="M152" s="62"/>
      <c r="N152" s="342"/>
      <c r="O152" s="63"/>
      <c r="P152" s="63"/>
      <c r="Q152" s="64"/>
    </row>
    <row r="153" spans="2:19" ht="25.15" customHeight="1" x14ac:dyDescent="0.25">
      <c r="B153" s="285"/>
      <c r="C153" s="587" t="s">
        <v>145</v>
      </c>
      <c r="D153" s="286"/>
      <c r="E153" s="286"/>
      <c r="F153" s="286"/>
      <c r="G153" s="286"/>
      <c r="H153" s="286"/>
      <c r="I153" s="286"/>
      <c r="J153" s="286"/>
      <c r="K153" s="284"/>
      <c r="L153" s="284"/>
    </row>
    <row r="154" spans="2:19" x14ac:dyDescent="0.25">
      <c r="B154" s="273" t="s">
        <v>560</v>
      </c>
      <c r="C154" s="364" t="s">
        <v>308</v>
      </c>
      <c r="D154" s="365"/>
      <c r="E154" s="365"/>
      <c r="F154" s="365"/>
      <c r="G154" s="365"/>
      <c r="H154" s="365"/>
      <c r="I154" s="365"/>
      <c r="J154" s="365"/>
      <c r="K154" s="365"/>
      <c r="L154" s="366"/>
      <c r="M154" s="319">
        <f>L159</f>
        <v>0</v>
      </c>
      <c r="N154" s="321">
        <v>0</v>
      </c>
      <c r="O154" s="504">
        <f>N154+L159</f>
        <v>0</v>
      </c>
      <c r="P154" s="329">
        <f>O154-M154</f>
        <v>0</v>
      </c>
      <c r="Q154" s="349" t="str">
        <f>IF(P154&gt;0,"BERTAMBAH",IF(P154&lt;0,"BERKURANG","TETAP"))</f>
        <v>TETAP</v>
      </c>
    </row>
    <row r="155" spans="2:19" ht="16.5" x14ac:dyDescent="0.3">
      <c r="B155" s="1"/>
      <c r="C155" s="1389" t="s">
        <v>729</v>
      </c>
      <c r="D155" s="1389"/>
      <c r="E155" s="1389"/>
      <c r="F155" s="1389"/>
      <c r="G155" s="1030">
        <v>1</v>
      </c>
      <c r="H155" s="1059" t="s">
        <v>291</v>
      </c>
      <c r="I155" s="1060"/>
      <c r="J155" s="926" t="s">
        <v>309</v>
      </c>
      <c r="K155" s="335">
        <v>0</v>
      </c>
      <c r="L155" s="334">
        <f>K155*12</f>
        <v>0</v>
      </c>
      <c r="M155" s="89"/>
      <c r="N155" s="68"/>
      <c r="O155" s="521"/>
      <c r="P155" s="68"/>
      <c r="Q155" s="69"/>
    </row>
    <row r="156" spans="2:19" ht="16.5" x14ac:dyDescent="0.3">
      <c r="B156" s="858"/>
      <c r="C156" s="1324" t="s">
        <v>310</v>
      </c>
      <c r="D156" s="1324"/>
      <c r="E156" s="1324"/>
      <c r="F156" s="1324"/>
      <c r="G156" s="32">
        <v>1</v>
      </c>
      <c r="H156" s="29" t="s">
        <v>291</v>
      </c>
      <c r="I156" s="302"/>
      <c r="J156" s="260" t="s">
        <v>309</v>
      </c>
      <c r="K156" s="262">
        <v>0</v>
      </c>
      <c r="L156" s="263">
        <f>K156*12</f>
        <v>0</v>
      </c>
      <c r="M156" s="60"/>
      <c r="O156" s="813"/>
      <c r="Q156" s="61"/>
    </row>
    <row r="157" spans="2:19" x14ac:dyDescent="0.25">
      <c r="B157" s="7"/>
      <c r="C157" s="1324" t="s">
        <v>311</v>
      </c>
      <c r="D157" s="1324"/>
      <c r="E157" s="1324"/>
      <c r="F157" s="1324"/>
      <c r="G157" s="32">
        <v>1</v>
      </c>
      <c r="H157" s="29" t="s">
        <v>291</v>
      </c>
      <c r="I157" s="302"/>
      <c r="J157" s="260" t="s">
        <v>309</v>
      </c>
      <c r="K157" s="262">
        <v>0</v>
      </c>
      <c r="L157" s="263">
        <f>K157*12</f>
        <v>0</v>
      </c>
      <c r="M157" s="60"/>
      <c r="Q157" s="61"/>
    </row>
    <row r="158" spans="2:19" x14ac:dyDescent="0.25">
      <c r="B158" s="7"/>
      <c r="C158" s="1324" t="s">
        <v>312</v>
      </c>
      <c r="D158" s="1324"/>
      <c r="E158" s="1324"/>
      <c r="F158" s="1324"/>
      <c r="G158" s="32">
        <v>1</v>
      </c>
      <c r="H158" s="29" t="s">
        <v>291</v>
      </c>
      <c r="I158" s="302"/>
      <c r="J158" s="260" t="s">
        <v>309</v>
      </c>
      <c r="K158" s="264">
        <v>0</v>
      </c>
      <c r="L158" s="340">
        <f>K158*12</f>
        <v>0</v>
      </c>
      <c r="Q158" s="61"/>
    </row>
    <row r="159" spans="2:19" ht="17.25" x14ac:dyDescent="0.4">
      <c r="B159" s="507"/>
      <c r="C159" s="1326" t="s">
        <v>5</v>
      </c>
      <c r="D159" s="1326"/>
      <c r="E159" s="1326"/>
      <c r="F159" s="1326"/>
      <c r="G159" s="1400"/>
      <c r="H159" s="1401"/>
      <c r="I159" s="1402"/>
      <c r="J159" s="270"/>
      <c r="K159" s="337">
        <f>SUM(K155:K158)</f>
        <v>0</v>
      </c>
      <c r="L159" s="338">
        <f>SUM(L155:L158)</f>
        <v>0</v>
      </c>
      <c r="M159" s="62"/>
      <c r="N159" s="63"/>
      <c r="O159" s="63"/>
      <c r="P159" s="63"/>
      <c r="Q159" s="64"/>
      <c r="S159" s="522"/>
    </row>
    <row r="160" spans="2:19" ht="18" x14ac:dyDescent="0.25">
      <c r="B160" s="506"/>
      <c r="C160" s="587" t="s">
        <v>313</v>
      </c>
      <c r="D160" s="286"/>
      <c r="E160" s="286"/>
      <c r="F160" s="286"/>
      <c r="G160" s="286"/>
      <c r="H160" s="286"/>
      <c r="I160" s="286"/>
      <c r="J160" s="286"/>
      <c r="K160" s="284"/>
      <c r="L160" s="284"/>
    </row>
    <row r="161" spans="2:17" x14ac:dyDescent="0.25">
      <c r="B161" s="273" t="s">
        <v>552</v>
      </c>
      <c r="C161" s="364" t="s">
        <v>314</v>
      </c>
      <c r="D161" s="365"/>
      <c r="E161" s="365"/>
      <c r="F161" s="365"/>
      <c r="G161" s="365"/>
      <c r="H161" s="365"/>
      <c r="I161" s="365"/>
      <c r="J161" s="365"/>
      <c r="K161" s="365"/>
      <c r="L161" s="366"/>
      <c r="M161" s="249">
        <f>L169</f>
        <v>2997566400</v>
      </c>
      <c r="N161" s="253">
        <v>2105052600</v>
      </c>
      <c r="O161" s="329">
        <v>2572739300</v>
      </c>
      <c r="P161" s="329">
        <f>M161-O161</f>
        <v>424827100</v>
      </c>
      <c r="Q161" s="349" t="str">
        <f>IF(P161&gt;0,"BERTAMBAH",IF(P161&lt;0,"BERKURANG","TETAP"))</f>
        <v>BERTAMBAH</v>
      </c>
    </row>
    <row r="162" spans="2:17" x14ac:dyDescent="0.25">
      <c r="B162" s="748"/>
      <c r="C162" s="1325" t="s">
        <v>315</v>
      </c>
      <c r="D162" s="1325"/>
      <c r="E162" s="1325"/>
      <c r="F162" s="1325"/>
      <c r="G162" s="298">
        <v>8</v>
      </c>
      <c r="H162" s="755" t="s">
        <v>291</v>
      </c>
      <c r="I162" s="618"/>
      <c r="J162" s="756"/>
      <c r="K162" s="756">
        <f>GAJI!G16</f>
        <v>22875800</v>
      </c>
      <c r="L162" s="756">
        <f>K162*12</f>
        <v>274509600</v>
      </c>
      <c r="M162" s="68"/>
      <c r="N162" s="68"/>
      <c r="O162" s="68"/>
      <c r="P162" s="68"/>
      <c r="Q162" s="69"/>
    </row>
    <row r="163" spans="2:17" x14ac:dyDescent="0.25">
      <c r="B163" s="387"/>
      <c r="C163" s="1332" t="s">
        <v>584</v>
      </c>
      <c r="D163" s="1333"/>
      <c r="E163" s="1333"/>
      <c r="F163" s="1334"/>
      <c r="G163" s="409">
        <v>1</v>
      </c>
      <c r="H163" s="757" t="s">
        <v>291</v>
      </c>
      <c r="I163" s="419"/>
      <c r="J163" s="871"/>
      <c r="K163" s="871">
        <f>GAJI!G20</f>
        <v>2899500</v>
      </c>
      <c r="L163" s="758">
        <f t="shared" ref="L163:L164" si="0">K163*12</f>
        <v>34794000</v>
      </c>
      <c r="Q163" s="61"/>
    </row>
    <row r="164" spans="2:17" x14ac:dyDescent="0.25">
      <c r="B164" s="387"/>
      <c r="C164" s="1327" t="s">
        <v>146</v>
      </c>
      <c r="D164" s="1327"/>
      <c r="E164" s="1327"/>
      <c r="F164" s="1327"/>
      <c r="G164" s="299">
        <v>16</v>
      </c>
      <c r="H164" s="757" t="s">
        <v>291</v>
      </c>
      <c r="I164" s="402"/>
      <c r="J164" s="758"/>
      <c r="K164" s="758">
        <f>GAJI!G39</f>
        <v>46015700</v>
      </c>
      <c r="L164" s="758">
        <f t="shared" si="0"/>
        <v>552188400</v>
      </c>
      <c r="Q164" s="61"/>
    </row>
    <row r="165" spans="2:17" x14ac:dyDescent="0.25">
      <c r="B165" s="387"/>
      <c r="C165" s="1000" t="s">
        <v>327</v>
      </c>
      <c r="D165" s="1001"/>
      <c r="E165" s="1001"/>
      <c r="F165" s="1002"/>
      <c r="G165" s="1050">
        <v>2</v>
      </c>
      <c r="H165" s="757" t="s">
        <v>291</v>
      </c>
      <c r="I165" s="402"/>
      <c r="J165" s="758"/>
      <c r="K165" s="758">
        <f>GAJI!G45</f>
        <v>5568400</v>
      </c>
      <c r="L165" s="758">
        <f>K165*12</f>
        <v>66820800</v>
      </c>
      <c r="Q165" s="61"/>
    </row>
    <row r="166" spans="2:17" x14ac:dyDescent="0.25">
      <c r="B166" s="387"/>
      <c r="C166" s="1324" t="s">
        <v>178</v>
      </c>
      <c r="D166" s="1324"/>
      <c r="E166" s="1324"/>
      <c r="F166" s="1324"/>
      <c r="G166" s="299">
        <v>13</v>
      </c>
      <c r="H166" s="757" t="s">
        <v>291</v>
      </c>
      <c r="I166" s="402"/>
      <c r="J166" s="758"/>
      <c r="K166" s="758">
        <f>GAJI!G62</f>
        <v>37302200</v>
      </c>
      <c r="L166" s="758">
        <f>K166*12</f>
        <v>447626400</v>
      </c>
      <c r="Q166" s="61"/>
    </row>
    <row r="167" spans="2:17" x14ac:dyDescent="0.25">
      <c r="B167" s="387"/>
      <c r="C167" s="1332" t="str">
        <f>GAJI!D64</f>
        <v>CALON PEGAWAI 80 %</v>
      </c>
      <c r="D167" s="1333"/>
      <c r="E167" s="1333"/>
      <c r="F167" s="1334"/>
      <c r="G167" s="299">
        <f>GAJI!B79</f>
        <v>15</v>
      </c>
      <c r="H167" s="757" t="s">
        <v>291</v>
      </c>
      <c r="I167" s="402"/>
      <c r="J167" s="758"/>
      <c r="K167" s="758">
        <f>GAJI!G80</f>
        <v>33135600</v>
      </c>
      <c r="L167" s="758">
        <f t="shared" ref="L167:L168" si="1">K167*12</f>
        <v>397627200</v>
      </c>
      <c r="N167" s="341"/>
      <c r="Q167" s="61"/>
    </row>
    <row r="168" spans="2:17" x14ac:dyDescent="0.25">
      <c r="B168" s="387"/>
      <c r="C168" s="1324" t="s">
        <v>316</v>
      </c>
      <c r="D168" s="1324"/>
      <c r="E168" s="1324"/>
      <c r="F168" s="1324"/>
      <c r="G168" s="299">
        <v>85</v>
      </c>
      <c r="H168" s="757" t="s">
        <v>291</v>
      </c>
      <c r="I168" s="402"/>
      <c r="J168" s="758"/>
      <c r="K168" s="759">
        <f>GAJI!G168</f>
        <v>102000000</v>
      </c>
      <c r="L168" s="759">
        <f t="shared" si="1"/>
        <v>1224000000</v>
      </c>
      <c r="Q168" s="61"/>
    </row>
    <row r="169" spans="2:17" x14ac:dyDescent="0.25">
      <c r="B169" s="749"/>
      <c r="C169" s="1403" t="s">
        <v>5</v>
      </c>
      <c r="D169" s="1403"/>
      <c r="E169" s="1403"/>
      <c r="F169" s="1403"/>
      <c r="G169" s="750">
        <f>SUM(G162:G168)</f>
        <v>140</v>
      </c>
      <c r="H169" s="751"/>
      <c r="I169" s="752"/>
      <c r="J169" s="753"/>
      <c r="K169" s="754">
        <f>SUM(K162:K168)</f>
        <v>249797200</v>
      </c>
      <c r="L169" s="754">
        <f>SUM(L162:L168)</f>
        <v>2997566400</v>
      </c>
      <c r="M169" s="63"/>
      <c r="N169" s="63"/>
      <c r="O169" s="63"/>
      <c r="P169" s="63"/>
      <c r="Q169" s="64"/>
    </row>
    <row r="170" spans="2:17" ht="6.6" customHeight="1" x14ac:dyDescent="0.25"/>
    <row r="171" spans="2:17" x14ac:dyDescent="0.25">
      <c r="B171" s="273" t="s">
        <v>553</v>
      </c>
      <c r="C171" s="364" t="s">
        <v>310</v>
      </c>
      <c r="D171" s="365"/>
      <c r="E171" s="365"/>
      <c r="F171" s="365"/>
      <c r="G171" s="365"/>
      <c r="H171" s="365"/>
      <c r="I171" s="365"/>
      <c r="J171" s="365"/>
      <c r="K171" s="365"/>
      <c r="L171" s="366"/>
      <c r="M171" s="249">
        <f>L177</f>
        <v>355800000</v>
      </c>
      <c r="N171" s="253">
        <v>127480000</v>
      </c>
      <c r="O171" s="329">
        <v>181600000</v>
      </c>
      <c r="P171" s="329">
        <f>M171-O171</f>
        <v>174200000</v>
      </c>
      <c r="Q171" s="328" t="str">
        <f>IF(P171&gt;0,"BERTAMBAH",IF(P171&lt;0,"BERKURANG","TETAP"))</f>
        <v>BERTAMBAH</v>
      </c>
    </row>
    <row r="172" spans="2:17" x14ac:dyDescent="0.25">
      <c r="B172" s="28"/>
      <c r="C172" s="1325" t="s">
        <v>139</v>
      </c>
      <c r="D172" s="1325"/>
      <c r="E172" s="1325"/>
      <c r="F172" s="1325"/>
      <c r="G172" s="298">
        <v>8</v>
      </c>
      <c r="H172" s="96" t="s">
        <v>291</v>
      </c>
      <c r="I172" s="290"/>
      <c r="J172" s="38"/>
      <c r="K172" s="91">
        <f>GAJI!H16</f>
        <v>10000000</v>
      </c>
      <c r="L172" s="271">
        <f>K172*12</f>
        <v>120000000</v>
      </c>
      <c r="M172" s="89"/>
      <c r="N172" s="68"/>
      <c r="O172" s="68"/>
      <c r="P172" s="68"/>
      <c r="Q172" s="69"/>
    </row>
    <row r="173" spans="2:17" x14ac:dyDescent="0.25">
      <c r="B173" s="353"/>
      <c r="C173" s="1332" t="s">
        <v>584</v>
      </c>
      <c r="D173" s="1333"/>
      <c r="E173" s="1333"/>
      <c r="F173" s="1334"/>
      <c r="G173" s="409">
        <v>1</v>
      </c>
      <c r="H173" s="29" t="s">
        <v>291</v>
      </c>
      <c r="I173" s="330"/>
      <c r="J173" s="1162"/>
      <c r="K173" s="65">
        <f>GAJI!H20</f>
        <v>1250000</v>
      </c>
      <c r="L173" s="272">
        <f>K173*12</f>
        <v>15000000</v>
      </c>
      <c r="M173" s="60"/>
      <c r="Q173" s="61"/>
    </row>
    <row r="174" spans="2:17" x14ac:dyDescent="0.25">
      <c r="B174" s="2"/>
      <c r="C174" s="1324" t="s">
        <v>146</v>
      </c>
      <c r="D174" s="1324"/>
      <c r="E174" s="1324"/>
      <c r="F174" s="1324"/>
      <c r="G174" s="299">
        <v>16</v>
      </c>
      <c r="H174" s="29" t="s">
        <v>291</v>
      </c>
      <c r="I174" s="304"/>
      <c r="J174" s="32"/>
      <c r="K174" s="32">
        <f>GAJI!H39</f>
        <v>15200000</v>
      </c>
      <c r="L174" s="272">
        <f>K174*12</f>
        <v>182400000</v>
      </c>
      <c r="M174" s="60"/>
      <c r="Q174" s="61"/>
    </row>
    <row r="175" spans="2:17" x14ac:dyDescent="0.25">
      <c r="B175" s="16"/>
      <c r="C175" s="1003" t="s">
        <v>327</v>
      </c>
      <c r="D175" s="1004"/>
      <c r="E175" s="1004"/>
      <c r="F175" s="1005"/>
      <c r="G175" s="1051">
        <v>2</v>
      </c>
      <c r="H175" s="29" t="s">
        <v>291</v>
      </c>
      <c r="I175" s="1052"/>
      <c r="J175" s="392"/>
      <c r="K175" s="392">
        <f>GAJI!H45</f>
        <v>1900000</v>
      </c>
      <c r="L175" s="272">
        <f>K175*12</f>
        <v>22800000</v>
      </c>
      <c r="M175" s="60"/>
      <c r="N175" s="341">
        <f>M171-355800000</f>
        <v>0</v>
      </c>
      <c r="Q175" s="61"/>
    </row>
    <row r="176" spans="2:17" x14ac:dyDescent="0.25">
      <c r="B176" s="16"/>
      <c r="C176" s="1003" t="s">
        <v>777</v>
      </c>
      <c r="D176" s="1004"/>
      <c r="E176" s="1004"/>
      <c r="F176" s="1005"/>
      <c r="G176" s="1051">
        <v>2</v>
      </c>
      <c r="H176" s="29" t="s">
        <v>291</v>
      </c>
      <c r="I176" s="1052"/>
      <c r="J176" s="392"/>
      <c r="K176" s="54">
        <f>GAJI!H168</f>
        <v>1300000</v>
      </c>
      <c r="L176" s="282">
        <f>K176*12</f>
        <v>15600000</v>
      </c>
      <c r="M176" s="60"/>
      <c r="Q176" s="61"/>
    </row>
    <row r="177" spans="2:17" x14ac:dyDescent="0.25">
      <c r="B177" s="5"/>
      <c r="C177" s="1326" t="s">
        <v>5</v>
      </c>
      <c r="D177" s="1326"/>
      <c r="E177" s="1326"/>
      <c r="F177" s="1326"/>
      <c r="G177" s="303"/>
      <c r="H177" s="305"/>
      <c r="I177" s="305"/>
      <c r="J177" s="1160"/>
      <c r="K177" s="429">
        <f>SUM(K172:K176)</f>
        <v>29650000</v>
      </c>
      <c r="L177" s="1161">
        <f>SUM(L172:L176)</f>
        <v>355800000</v>
      </c>
      <c r="M177" s="62"/>
      <c r="N177" s="63"/>
      <c r="O177" s="63"/>
      <c r="P177" s="63"/>
      <c r="Q177" s="64"/>
    </row>
    <row r="178" spans="2:17" ht="6.6" customHeight="1" x14ac:dyDescent="0.25"/>
    <row r="179" spans="2:17" x14ac:dyDescent="0.25">
      <c r="B179" s="273" t="s">
        <v>554</v>
      </c>
      <c r="C179" s="368" t="s">
        <v>311</v>
      </c>
      <c r="D179" s="369"/>
      <c r="E179" s="369"/>
      <c r="F179" s="369"/>
      <c r="G179" s="369"/>
      <c r="H179" s="369"/>
      <c r="I179" s="369"/>
      <c r="J179" s="369"/>
      <c r="K179" s="369"/>
      <c r="L179" s="370"/>
      <c r="M179" s="249">
        <f>L188</f>
        <v>834679422.71999991</v>
      </c>
      <c r="N179" s="253">
        <v>584625692</v>
      </c>
      <c r="O179" s="329">
        <v>704272570</v>
      </c>
      <c r="P179" s="329">
        <f>M179-O179</f>
        <v>130406852.71999991</v>
      </c>
      <c r="Q179" s="349" t="str">
        <f>IF(P179&gt;0,"BERTAMBAH",IF(P179&lt;0,"BERKURANG","TETAP"))</f>
        <v>BERTAMBAH</v>
      </c>
    </row>
    <row r="180" spans="2:17" x14ac:dyDescent="0.25">
      <c r="B180" s="28"/>
      <c r="C180" s="1379" t="s">
        <v>315</v>
      </c>
      <c r="D180" s="1379"/>
      <c r="E180" s="1379"/>
      <c r="F180" s="1379"/>
      <c r="G180" s="409">
        <v>8</v>
      </c>
      <c r="H180" s="66" t="s">
        <v>291</v>
      </c>
      <c r="I180" s="1155">
        <f>GAJI!I16+GAJI!J16</f>
        <v>3941301.6319999998</v>
      </c>
      <c r="J180" s="65"/>
      <c r="K180" s="65">
        <f>I180*J180</f>
        <v>0</v>
      </c>
      <c r="L180" s="1128">
        <f>I180*12</f>
        <v>47295619.583999999</v>
      </c>
      <c r="M180" s="89"/>
      <c r="N180" s="68"/>
      <c r="O180" s="68"/>
      <c r="P180" s="68"/>
      <c r="Q180" s="69"/>
    </row>
    <row r="181" spans="2:17" x14ac:dyDescent="0.25">
      <c r="B181" s="353"/>
      <c r="C181" s="1332" t="s">
        <v>584</v>
      </c>
      <c r="D181" s="1333"/>
      <c r="E181" s="1333"/>
      <c r="F181" s="1334"/>
      <c r="G181" s="409">
        <v>1</v>
      </c>
      <c r="H181" s="29" t="s">
        <v>291</v>
      </c>
      <c r="I181" s="1155">
        <f>GAJI!I20+GAJI!J20</f>
        <v>492662.70399999997</v>
      </c>
      <c r="J181" s="65"/>
      <c r="K181" s="65"/>
      <c r="L181" s="1128">
        <f t="shared" ref="L181:L187" si="2">I181*12</f>
        <v>5911952.4479999999</v>
      </c>
      <c r="M181" s="60"/>
      <c r="Q181" s="61"/>
    </row>
    <row r="182" spans="2:17" x14ac:dyDescent="0.25">
      <c r="B182" s="2"/>
      <c r="C182" s="1327" t="s">
        <v>146</v>
      </c>
      <c r="D182" s="1327"/>
      <c r="E182" s="1327"/>
      <c r="F182" s="1327"/>
      <c r="G182" s="299">
        <v>16</v>
      </c>
      <c r="H182" s="29" t="s">
        <v>291</v>
      </c>
      <c r="I182" s="1156">
        <f>GAJI!I39+GAJI!J39</f>
        <v>7882603.2639999995</v>
      </c>
      <c r="J182" s="32"/>
      <c r="K182" s="32"/>
      <c r="L182" s="1128">
        <f t="shared" si="2"/>
        <v>94591239.167999998</v>
      </c>
      <c r="M182" s="60"/>
      <c r="Q182" s="61"/>
    </row>
    <row r="183" spans="2:17" x14ac:dyDescent="0.25">
      <c r="B183" s="2"/>
      <c r="C183" s="1000" t="s">
        <v>327</v>
      </c>
      <c r="D183" s="1001"/>
      <c r="E183" s="1001"/>
      <c r="F183" s="1002"/>
      <c r="G183" s="299">
        <v>2</v>
      </c>
      <c r="H183" s="29" t="s">
        <v>291</v>
      </c>
      <c r="I183" s="1157">
        <f>GAJI!I45+GAJI!J45</f>
        <v>985325.40799999994</v>
      </c>
      <c r="J183" s="32"/>
      <c r="K183" s="32"/>
      <c r="L183" s="1128">
        <f t="shared" si="2"/>
        <v>11823904.896</v>
      </c>
      <c r="M183" s="60"/>
      <c r="Q183" s="61"/>
    </row>
    <row r="184" spans="2:17" x14ac:dyDescent="0.25">
      <c r="B184" s="2"/>
      <c r="C184" s="1324" t="s">
        <v>178</v>
      </c>
      <c r="D184" s="1324"/>
      <c r="E184" s="1324"/>
      <c r="F184" s="1324"/>
      <c r="G184" s="299">
        <v>13</v>
      </c>
      <c r="H184" s="29" t="s">
        <v>291</v>
      </c>
      <c r="I184" s="1156">
        <f>GAJI!I62+GAJI!J62</f>
        <v>6404615.1519999988</v>
      </c>
      <c r="J184" s="32"/>
      <c r="K184" s="32"/>
      <c r="L184" s="1128">
        <f t="shared" si="2"/>
        <v>76855381.823999986</v>
      </c>
      <c r="M184" s="60"/>
      <c r="Q184" s="61"/>
    </row>
    <row r="185" spans="2:17" x14ac:dyDescent="0.25">
      <c r="B185" s="2"/>
      <c r="C185" s="1332" t="s">
        <v>755</v>
      </c>
      <c r="D185" s="1333"/>
      <c r="E185" s="1333"/>
      <c r="F185" s="1334"/>
      <c r="G185" s="299">
        <v>15</v>
      </c>
      <c r="H185" s="29" t="s">
        <v>291</v>
      </c>
      <c r="I185" s="1156">
        <f>GAJI!I80+GAJI!J80</f>
        <v>7389940.5599999996</v>
      </c>
      <c r="J185" s="32"/>
      <c r="K185" s="32"/>
      <c r="L185" s="1128">
        <f t="shared" si="2"/>
        <v>88679286.719999999</v>
      </c>
      <c r="M185" s="60"/>
      <c r="Q185" s="61"/>
    </row>
    <row r="186" spans="2:17" x14ac:dyDescent="0.25">
      <c r="B186" s="2"/>
      <c r="C186" s="1324" t="s">
        <v>316</v>
      </c>
      <c r="D186" s="1324"/>
      <c r="E186" s="1324"/>
      <c r="F186" s="1324"/>
      <c r="G186" s="299">
        <v>85</v>
      </c>
      <c r="H186" s="29" t="s">
        <v>291</v>
      </c>
      <c r="I186" s="1156">
        <f>GAJI!I168+GAJI!J168</f>
        <v>41876329.839999996</v>
      </c>
      <c r="J186" s="32"/>
      <c r="K186" s="39"/>
      <c r="L186" s="1128">
        <f t="shared" si="2"/>
        <v>502515958.07999992</v>
      </c>
      <c r="M186" s="60"/>
      <c r="Q186" s="61"/>
    </row>
    <row r="187" spans="2:17" x14ac:dyDescent="0.25">
      <c r="B187" s="16"/>
      <c r="C187" s="1332" t="s">
        <v>757</v>
      </c>
      <c r="D187" s="1333"/>
      <c r="E187" s="1333"/>
      <c r="F187" s="1334"/>
      <c r="G187" s="1051">
        <v>1</v>
      </c>
      <c r="H187" s="29" t="s">
        <v>291</v>
      </c>
      <c r="I187" s="1147">
        <v>583840</v>
      </c>
      <c r="J187" s="392"/>
      <c r="K187" s="54"/>
      <c r="L187" s="1158">
        <f t="shared" si="2"/>
        <v>7006080</v>
      </c>
      <c r="M187" s="60"/>
      <c r="N187" s="341"/>
      <c r="Q187" s="61"/>
    </row>
    <row r="188" spans="2:17" x14ac:dyDescent="0.25">
      <c r="B188" s="5"/>
      <c r="C188" s="1326" t="s">
        <v>5</v>
      </c>
      <c r="D188" s="1326"/>
      <c r="E188" s="1326"/>
      <c r="F188" s="1326"/>
      <c r="G188" s="303">
        <f>SUM(G180:G187)</f>
        <v>141</v>
      </c>
      <c r="H188" s="305"/>
      <c r="I188" s="305"/>
      <c r="J188" s="279"/>
      <c r="K188" s="37">
        <f>SUM(K180:K186)</f>
        <v>0</v>
      </c>
      <c r="L188" s="280">
        <f>SUM(L180:L187)</f>
        <v>834679422.71999991</v>
      </c>
      <c r="M188" s="62"/>
      <c r="N188" s="63"/>
      <c r="O188" s="63"/>
      <c r="P188" s="63"/>
      <c r="Q188" s="64"/>
    </row>
    <row r="189" spans="2:17" ht="6.6" customHeight="1" x14ac:dyDescent="0.25"/>
    <row r="190" spans="2:17" x14ac:dyDescent="0.25">
      <c r="B190" s="273" t="s">
        <v>555</v>
      </c>
      <c r="C190" s="364" t="s">
        <v>317</v>
      </c>
      <c r="D190" s="365"/>
      <c r="E190" s="365"/>
      <c r="F190" s="365"/>
      <c r="G190" s="365"/>
      <c r="H190" s="365"/>
      <c r="I190" s="365"/>
      <c r="J190" s="365"/>
      <c r="K190" s="365"/>
      <c r="L190" s="366"/>
      <c r="M190" s="249">
        <f>L199</f>
        <v>2398062972</v>
      </c>
      <c r="N190" s="253">
        <v>1357948564</v>
      </c>
      <c r="O190" s="329">
        <v>1750621383</v>
      </c>
      <c r="P190" s="329">
        <f>M190-O190</f>
        <v>647441589</v>
      </c>
      <c r="Q190" s="328" t="str">
        <f>IF(P190&gt;0,"BERTAMBAH",IF(P190&lt;0,"BERKURANG","TETAP"))</f>
        <v>BERTAMBAH</v>
      </c>
    </row>
    <row r="191" spans="2:17" x14ac:dyDescent="0.25">
      <c r="B191" s="28"/>
      <c r="C191" s="1325" t="s">
        <v>315</v>
      </c>
      <c r="D191" s="1325"/>
      <c r="E191" s="1325"/>
      <c r="F191" s="1325"/>
      <c r="G191" s="298">
        <v>8</v>
      </c>
      <c r="H191" s="96" t="s">
        <v>291</v>
      </c>
      <c r="I191" s="306"/>
      <c r="J191" s="91"/>
      <c r="K191" s="91">
        <f>GAJI!K16+GAJI!L16+GAJI!M16+GAJI!N16+GAJI!O16</f>
        <v>21116338</v>
      </c>
      <c r="L191" s="271">
        <f t="shared" ref="L191:L198" si="3">K191*12</f>
        <v>253396056</v>
      </c>
      <c r="M191" s="89"/>
      <c r="N191" s="68"/>
      <c r="O191" s="68"/>
      <c r="P191" s="68"/>
      <c r="Q191" s="69"/>
    </row>
    <row r="192" spans="2:17" x14ac:dyDescent="0.25">
      <c r="B192" s="353"/>
      <c r="C192" s="1139" t="s">
        <v>584</v>
      </c>
      <c r="D192" s="1139"/>
      <c r="E192" s="1139"/>
      <c r="F192" s="1139"/>
      <c r="G192" s="409">
        <v>1</v>
      </c>
      <c r="H192" s="29" t="s">
        <v>291</v>
      </c>
      <c r="I192" s="1166"/>
      <c r="J192" s="65"/>
      <c r="K192" s="65">
        <f>GAJI!K20+GAJI!L20+GAJI!M20+GAJI!N20+GAJI!O20</f>
        <v>2364945</v>
      </c>
      <c r="L192" s="272">
        <f t="shared" si="3"/>
        <v>28379340</v>
      </c>
      <c r="M192" s="60"/>
      <c r="Q192" s="61"/>
    </row>
    <row r="193" spans="2:17" x14ac:dyDescent="0.25">
      <c r="B193" s="2"/>
      <c r="C193" s="1327" t="s">
        <v>146</v>
      </c>
      <c r="D193" s="1327"/>
      <c r="E193" s="1327"/>
      <c r="F193" s="1327"/>
      <c r="G193" s="299">
        <v>16</v>
      </c>
      <c r="H193" s="29" t="s">
        <v>291</v>
      </c>
      <c r="I193" s="304"/>
      <c r="J193" s="32"/>
      <c r="K193" s="32">
        <f>GAJI!K39+GAJI!L39+GAJI!M39+GAJI!N39+GAJI!O39</f>
        <v>34174436</v>
      </c>
      <c r="L193" s="272">
        <f t="shared" si="3"/>
        <v>410093232</v>
      </c>
      <c r="M193" s="60"/>
      <c r="Q193" s="61"/>
    </row>
    <row r="194" spans="2:17" x14ac:dyDescent="0.25">
      <c r="B194" s="2"/>
      <c r="C194" s="1000" t="s">
        <v>327</v>
      </c>
      <c r="D194" s="1001"/>
      <c r="E194" s="1001"/>
      <c r="F194" s="1002"/>
      <c r="G194" s="299">
        <v>2</v>
      </c>
      <c r="H194" s="29" t="s">
        <v>291</v>
      </c>
      <c r="I194" s="304"/>
      <c r="J194" s="32"/>
      <c r="K194" s="32">
        <f>GAJI!K45+GAJI!L45+GAJI!M45+GAJI!N45+GAJI!O45</f>
        <v>4090420</v>
      </c>
      <c r="L194" s="272">
        <f t="shared" si="3"/>
        <v>49085040</v>
      </c>
      <c r="M194" s="60"/>
      <c r="Q194" s="61"/>
    </row>
    <row r="195" spans="2:17" x14ac:dyDescent="0.25">
      <c r="B195" s="2"/>
      <c r="C195" s="1324" t="s">
        <v>178</v>
      </c>
      <c r="D195" s="1324"/>
      <c r="E195" s="1324"/>
      <c r="F195" s="1324"/>
      <c r="G195" s="299">
        <v>13</v>
      </c>
      <c r="H195" s="29" t="s">
        <v>291</v>
      </c>
      <c r="I195" s="304"/>
      <c r="J195" s="32"/>
      <c r="K195" s="32">
        <f>GAJI!K62+GAJI!L62+GAJI!M62+GAJI!N62</f>
        <v>21147526</v>
      </c>
      <c r="L195" s="272">
        <f t="shared" si="3"/>
        <v>253770312</v>
      </c>
      <c r="M195" s="60"/>
      <c r="Q195" s="61"/>
    </row>
    <row r="196" spans="2:17" x14ac:dyDescent="0.25">
      <c r="B196" s="2"/>
      <c r="C196" s="1332" t="s">
        <v>778</v>
      </c>
      <c r="D196" s="1333"/>
      <c r="E196" s="1333"/>
      <c r="F196" s="1334"/>
      <c r="G196" s="299">
        <v>15</v>
      </c>
      <c r="H196" s="29" t="s">
        <v>291</v>
      </c>
      <c r="I196" s="304"/>
      <c r="J196" s="32"/>
      <c r="K196" s="32">
        <f>GAJI!K80+GAJI!L80+GAJI!M80+GAJI!N80</f>
        <v>23444916</v>
      </c>
      <c r="L196" s="272">
        <f t="shared" si="3"/>
        <v>281338992</v>
      </c>
      <c r="M196" s="60"/>
      <c r="Q196" s="61"/>
    </row>
    <row r="197" spans="2:17" x14ac:dyDescent="0.25">
      <c r="B197" s="2"/>
      <c r="C197" s="1324" t="s">
        <v>316</v>
      </c>
      <c r="D197" s="1324"/>
      <c r="E197" s="1324"/>
      <c r="F197" s="1324"/>
      <c r="G197" s="299">
        <v>85</v>
      </c>
      <c r="H197" s="29" t="s">
        <v>291</v>
      </c>
      <c r="I197" s="304"/>
      <c r="J197" s="32"/>
      <c r="K197" s="32">
        <f>GAJI!M168+GAJI!N168</f>
        <v>93500000</v>
      </c>
      <c r="L197" s="272">
        <f t="shared" si="3"/>
        <v>1122000000</v>
      </c>
      <c r="M197" s="60"/>
      <c r="Q197" s="61"/>
    </row>
    <row r="198" spans="2:17" x14ac:dyDescent="0.25">
      <c r="B198" s="2"/>
      <c r="C198" s="1324" t="s">
        <v>281</v>
      </c>
      <c r="D198" s="1324"/>
      <c r="E198" s="1324"/>
      <c r="F198" s="1324"/>
      <c r="G198" s="299"/>
      <c r="H198" s="29" t="s">
        <v>291</v>
      </c>
      <c r="I198" s="304"/>
      <c r="J198" s="32"/>
      <c r="K198" s="39">
        <f>J198*G198</f>
        <v>0</v>
      </c>
      <c r="L198" s="282">
        <f t="shared" si="3"/>
        <v>0</v>
      </c>
      <c r="M198" s="60"/>
      <c r="Q198" s="61"/>
    </row>
    <row r="199" spans="2:17" x14ac:dyDescent="0.25">
      <c r="B199" s="5"/>
      <c r="C199" s="1326" t="s">
        <v>5</v>
      </c>
      <c r="D199" s="1326"/>
      <c r="E199" s="1326"/>
      <c r="F199" s="1326"/>
      <c r="G199" s="303">
        <f>SUM(G191:G198)</f>
        <v>140</v>
      </c>
      <c r="H199" s="305"/>
      <c r="I199" s="305"/>
      <c r="J199" s="279"/>
      <c r="K199" s="37">
        <f>SUM(K191:K198)</f>
        <v>199838581</v>
      </c>
      <c r="L199" s="280">
        <f>SUM(L191:L198)</f>
        <v>2398062972</v>
      </c>
      <c r="M199" s="62"/>
      <c r="N199" s="63"/>
      <c r="O199" s="63"/>
      <c r="P199" s="63"/>
      <c r="Q199" s="64"/>
    </row>
    <row r="200" spans="2:17" ht="6.6" customHeight="1" x14ac:dyDescent="0.25"/>
    <row r="201" spans="2:17" ht="14.45" customHeight="1" x14ac:dyDescent="0.25">
      <c r="B201" s="273" t="s">
        <v>556</v>
      </c>
      <c r="C201" s="1329" t="s">
        <v>319</v>
      </c>
      <c r="D201" s="1330"/>
      <c r="E201" s="1330"/>
      <c r="F201" s="1330"/>
      <c r="G201" s="1330"/>
      <c r="H201" s="1330"/>
      <c r="I201" s="1330"/>
      <c r="J201" s="1330"/>
      <c r="K201" s="1330"/>
      <c r="L201" s="1331"/>
      <c r="M201" s="248">
        <f>L205</f>
        <v>812478097.91999996</v>
      </c>
      <c r="N201" s="253">
        <v>194704614</v>
      </c>
      <c r="O201" s="329">
        <v>258134346</v>
      </c>
      <c r="P201" s="329">
        <f>M201-O201</f>
        <v>554343751.91999996</v>
      </c>
      <c r="Q201" s="464" t="str">
        <f>IF(P201&gt;0,"BERTAMBAH",IF(P201&lt;0,"BERKURANG","TETAP"))</f>
        <v>BERTAMBAH</v>
      </c>
    </row>
    <row r="202" spans="2:17" x14ac:dyDescent="0.25">
      <c r="B202" s="28"/>
      <c r="C202" s="1325" t="s">
        <v>320</v>
      </c>
      <c r="D202" s="1325"/>
      <c r="E202" s="1325"/>
      <c r="F202" s="1325"/>
      <c r="G202" s="298">
        <v>40</v>
      </c>
      <c r="H202" s="96" t="s">
        <v>291</v>
      </c>
      <c r="I202" s="107"/>
      <c r="J202" s="91">
        <v>1200000</v>
      </c>
      <c r="K202" s="91">
        <f>J202*G202</f>
        <v>48000000</v>
      </c>
      <c r="L202" s="271">
        <f>K202*12</f>
        <v>576000000</v>
      </c>
      <c r="M202" s="89"/>
      <c r="N202" s="68"/>
      <c r="O202" s="68"/>
      <c r="P202" s="68"/>
      <c r="Q202" s="69"/>
    </row>
    <row r="203" spans="2:17" x14ac:dyDescent="0.25">
      <c r="B203" s="2"/>
      <c r="C203" s="1324" t="s">
        <v>321</v>
      </c>
      <c r="D203" s="1324"/>
      <c r="E203" s="1324"/>
      <c r="F203" s="1324"/>
      <c r="G203" s="299">
        <v>40</v>
      </c>
      <c r="H203" s="29" t="s">
        <v>291</v>
      </c>
      <c r="I203" s="36"/>
      <c r="J203" s="32">
        <f>GAJI!I61</f>
        <v>172985.5</v>
      </c>
      <c r="K203" s="32">
        <f>G203*J203</f>
        <v>6919420</v>
      </c>
      <c r="L203" s="856">
        <f>K203*12</f>
        <v>83033040</v>
      </c>
      <c r="M203" s="60"/>
      <c r="N203" s="1119"/>
      <c r="Q203" s="61"/>
    </row>
    <row r="204" spans="2:17" x14ac:dyDescent="0.25">
      <c r="B204" s="2"/>
      <c r="C204" s="1324" t="s">
        <v>322</v>
      </c>
      <c r="D204" s="1324"/>
      <c r="E204" s="1324"/>
      <c r="F204" s="1324"/>
      <c r="G204" s="299">
        <v>40</v>
      </c>
      <c r="H204" s="29" t="s">
        <v>291</v>
      </c>
      <c r="I204" s="36"/>
      <c r="J204" s="32">
        <f>GAJI!J61</f>
        <v>319677.20399999997</v>
      </c>
      <c r="K204" s="1138">
        <f>G204*J204</f>
        <v>12787088.159999998</v>
      </c>
      <c r="L204" s="857">
        <f>K204*12</f>
        <v>153445057.91999999</v>
      </c>
      <c r="M204" s="1148"/>
      <c r="N204" s="1119"/>
      <c r="O204" s="1119"/>
      <c r="Q204" s="61"/>
    </row>
    <row r="205" spans="2:17" x14ac:dyDescent="0.25">
      <c r="B205" s="5"/>
      <c r="C205" s="1326" t="s">
        <v>5</v>
      </c>
      <c r="D205" s="1326"/>
      <c r="E205" s="1326"/>
      <c r="F205" s="1326"/>
      <c r="G205" s="303"/>
      <c r="H205" s="303"/>
      <c r="I205" s="303"/>
      <c r="J205" s="279"/>
      <c r="K205" s="37">
        <f>SUM(K202:K204)</f>
        <v>67706508.159999996</v>
      </c>
      <c r="L205" s="280">
        <f>SUM(L202:L204)</f>
        <v>812478097.91999996</v>
      </c>
      <c r="M205" s="62"/>
      <c r="N205" s="63"/>
      <c r="O205" s="63"/>
      <c r="P205" s="63"/>
      <c r="Q205" s="64"/>
    </row>
    <row r="206" spans="2:17" ht="6.6" customHeight="1" x14ac:dyDescent="0.25"/>
    <row r="207" spans="2:17" ht="14.45" customHeight="1" x14ac:dyDescent="0.25">
      <c r="B207" s="273" t="s">
        <v>557</v>
      </c>
      <c r="C207" s="1329" t="s">
        <v>324</v>
      </c>
      <c r="D207" s="1330"/>
      <c r="E207" s="1330"/>
      <c r="F207" s="1330"/>
      <c r="G207" s="1330"/>
      <c r="H207" s="1330"/>
      <c r="I207" s="1330"/>
      <c r="J207" s="1330"/>
      <c r="K207" s="1330"/>
      <c r="L207" s="1331"/>
      <c r="M207" s="319">
        <f>L209</f>
        <v>0</v>
      </c>
      <c r="N207" s="321">
        <v>0</v>
      </c>
      <c r="O207" s="505">
        <f>N207+L209</f>
        <v>0</v>
      </c>
      <c r="P207" s="329">
        <f>O207-M207</f>
        <v>0</v>
      </c>
      <c r="Q207" s="349" t="str">
        <f>IF(P207&gt;0,"BERTAMBAH",IF(P207&lt;0,"BERKURANG","TETAP"))</f>
        <v>TETAP</v>
      </c>
    </row>
    <row r="208" spans="2:17" x14ac:dyDescent="0.25">
      <c r="B208" s="28"/>
      <c r="C208" s="1325" t="s">
        <v>725</v>
      </c>
      <c r="D208" s="1325"/>
      <c r="E208" s="1325"/>
      <c r="F208" s="1325"/>
      <c r="G208" s="91">
        <v>15</v>
      </c>
      <c r="H208" s="93" t="s">
        <v>291</v>
      </c>
      <c r="I208" s="107"/>
      <c r="J208" s="38"/>
      <c r="K208" s="38">
        <f>GAJI!O80</f>
        <v>0</v>
      </c>
      <c r="L208" s="307">
        <f>K208*12</f>
        <v>0</v>
      </c>
      <c r="M208" s="89"/>
      <c r="N208" s="68"/>
      <c r="O208" s="68"/>
      <c r="P208" s="68"/>
      <c r="Q208" s="69"/>
    </row>
    <row r="209" spans="2:17" x14ac:dyDescent="0.25">
      <c r="B209" s="5"/>
      <c r="C209" s="1326" t="s">
        <v>5</v>
      </c>
      <c r="D209" s="1326"/>
      <c r="E209" s="1326"/>
      <c r="F209" s="1326"/>
      <c r="G209" s="303"/>
      <c r="H209" s="303"/>
      <c r="I209" s="303"/>
      <c r="J209" s="279"/>
      <c r="K209" s="279"/>
      <c r="L209" s="280">
        <f>SUM(L208)</f>
        <v>0</v>
      </c>
      <c r="M209" s="62"/>
      <c r="N209" s="63"/>
      <c r="O209" s="63"/>
      <c r="P209" s="63"/>
      <c r="Q209" s="64"/>
    </row>
    <row r="210" spans="2:17" ht="6.6" customHeight="1" x14ac:dyDescent="0.25"/>
    <row r="211" spans="2:17" ht="14.45" customHeight="1" x14ac:dyDescent="0.25">
      <c r="B211" s="273" t="s">
        <v>557</v>
      </c>
      <c r="C211" s="1329" t="s">
        <v>325</v>
      </c>
      <c r="D211" s="1330"/>
      <c r="E211" s="1330"/>
      <c r="F211" s="1330"/>
      <c r="G211" s="1330"/>
      <c r="H211" s="1330"/>
      <c r="I211" s="1330"/>
      <c r="J211" s="1330"/>
      <c r="K211" s="1330"/>
      <c r="L211" s="1331"/>
      <c r="M211" s="319">
        <f>L223</f>
        <v>0</v>
      </c>
      <c r="N211" s="321">
        <v>0</v>
      </c>
      <c r="O211" s="504">
        <f>N211+L223</f>
        <v>0</v>
      </c>
      <c r="P211" s="329">
        <f>O211-M211</f>
        <v>0</v>
      </c>
      <c r="Q211" s="349" t="str">
        <f>IF(P211&gt;0,"BERTAMBAH",IF(P211&lt;0,"BERKURANG","TETAP"))</f>
        <v>TETAP</v>
      </c>
    </row>
    <row r="212" spans="2:17" x14ac:dyDescent="0.25">
      <c r="B212" s="1"/>
      <c r="C212" s="1328" t="s">
        <v>248</v>
      </c>
      <c r="D212" s="1328"/>
      <c r="E212" s="1328"/>
      <c r="F212" s="1328"/>
      <c r="G212" s="298">
        <v>1</v>
      </c>
      <c r="H212" s="96" t="s">
        <v>291</v>
      </c>
      <c r="I212" s="308"/>
      <c r="J212" s="91">
        <v>0</v>
      </c>
      <c r="K212" s="1030"/>
      <c r="L212" s="1031"/>
      <c r="M212" s="89"/>
      <c r="N212" s="68"/>
      <c r="O212" s="68"/>
      <c r="P212" s="68"/>
      <c r="Q212" s="69"/>
    </row>
    <row r="213" spans="2:17" x14ac:dyDescent="0.25">
      <c r="B213" s="7"/>
      <c r="C213" s="1323" t="s">
        <v>249</v>
      </c>
      <c r="D213" s="1323"/>
      <c r="E213" s="1323"/>
      <c r="F213" s="1323"/>
      <c r="G213" s="46">
        <v>1</v>
      </c>
      <c r="H213" s="29" t="s">
        <v>291</v>
      </c>
      <c r="I213" s="309"/>
      <c r="J213" s="35">
        <v>0</v>
      </c>
      <c r="K213" s="32"/>
      <c r="L213" s="272"/>
      <c r="M213" s="60"/>
      <c r="Q213" s="61"/>
    </row>
    <row r="214" spans="2:17" x14ac:dyDescent="0.25">
      <c r="B214" s="7"/>
      <c r="C214" s="1323" t="s">
        <v>337</v>
      </c>
      <c r="D214" s="1323"/>
      <c r="E214" s="1323"/>
      <c r="F214" s="1323"/>
      <c r="G214" s="299">
        <v>1</v>
      </c>
      <c r="H214" s="29" t="s">
        <v>291</v>
      </c>
      <c r="I214" s="310"/>
      <c r="J214" s="36">
        <v>0</v>
      </c>
      <c r="K214" s="32"/>
      <c r="L214" s="272"/>
      <c r="M214" s="1148"/>
      <c r="Q214" s="61"/>
    </row>
    <row r="215" spans="2:17" x14ac:dyDescent="0.25">
      <c r="B215" s="7"/>
      <c r="C215" s="1323" t="s">
        <v>251</v>
      </c>
      <c r="D215" s="1323"/>
      <c r="E215" s="1323"/>
      <c r="F215" s="1323"/>
      <c r="G215" s="299">
        <v>1</v>
      </c>
      <c r="H215" s="29" t="s">
        <v>291</v>
      </c>
      <c r="I215" s="310"/>
      <c r="J215" s="36"/>
      <c r="K215" s="32"/>
      <c r="L215" s="272"/>
      <c r="M215" s="1164"/>
      <c r="Q215" s="61"/>
    </row>
    <row r="216" spans="2:17" ht="14.45" customHeight="1" x14ac:dyDescent="0.25">
      <c r="B216" s="7"/>
      <c r="C216" s="1323" t="s">
        <v>326</v>
      </c>
      <c r="D216" s="1323"/>
      <c r="E216" s="1323"/>
      <c r="F216" s="1323"/>
      <c r="G216" s="299">
        <v>1</v>
      </c>
      <c r="H216" s="29" t="s">
        <v>291</v>
      </c>
      <c r="I216" s="310"/>
      <c r="J216" s="36">
        <v>0</v>
      </c>
      <c r="K216" s="32"/>
      <c r="L216" s="272"/>
      <c r="M216" s="60"/>
      <c r="Q216" s="61"/>
    </row>
    <row r="217" spans="2:17" x14ac:dyDescent="0.25">
      <c r="B217" s="7"/>
      <c r="C217" s="1322" t="s">
        <v>726</v>
      </c>
      <c r="D217" s="1322"/>
      <c r="E217" s="1322"/>
      <c r="F217" s="1322"/>
      <c r="G217" s="299">
        <v>9</v>
      </c>
      <c r="H217" s="29" t="s">
        <v>291</v>
      </c>
      <c r="I217" s="310"/>
      <c r="J217" s="36">
        <v>0</v>
      </c>
      <c r="K217" s="32"/>
      <c r="L217" s="272"/>
      <c r="M217" s="1148"/>
      <c r="Q217" s="61"/>
    </row>
    <row r="218" spans="2:17" x14ac:dyDescent="0.25">
      <c r="B218" s="7"/>
      <c r="C218" s="1322" t="s">
        <v>146</v>
      </c>
      <c r="D218" s="1322"/>
      <c r="E218" s="1322"/>
      <c r="F218" s="1322"/>
      <c r="G218" s="299">
        <v>16</v>
      </c>
      <c r="H218" s="29" t="s">
        <v>291</v>
      </c>
      <c r="I218" s="310"/>
      <c r="J218" s="36">
        <v>0</v>
      </c>
      <c r="K218" s="32"/>
      <c r="L218" s="272"/>
      <c r="M218" s="1164"/>
      <c r="Q218" s="61"/>
    </row>
    <row r="219" spans="2:17" x14ac:dyDescent="0.25">
      <c r="B219" s="7"/>
      <c r="C219" s="1322" t="s">
        <v>327</v>
      </c>
      <c r="D219" s="1322"/>
      <c r="E219" s="1322"/>
      <c r="F219" s="1322"/>
      <c r="G219" s="299">
        <v>2</v>
      </c>
      <c r="H219" s="29" t="s">
        <v>291</v>
      </c>
      <c r="I219" s="310"/>
      <c r="J219" s="36"/>
      <c r="K219" s="32"/>
      <c r="L219" s="272"/>
      <c r="M219" s="60"/>
      <c r="Q219" s="61"/>
    </row>
    <row r="220" spans="2:17" x14ac:dyDescent="0.25">
      <c r="B220" s="7"/>
      <c r="C220" s="1322" t="s">
        <v>178</v>
      </c>
      <c r="D220" s="1322"/>
      <c r="E220" s="1322"/>
      <c r="F220" s="1322"/>
      <c r="G220" s="299">
        <v>18</v>
      </c>
      <c r="H220" s="29" t="s">
        <v>291</v>
      </c>
      <c r="I220" s="310"/>
      <c r="J220" s="36"/>
      <c r="K220" s="32"/>
      <c r="L220" s="272"/>
      <c r="M220" s="60"/>
      <c r="Q220" s="61"/>
    </row>
    <row r="221" spans="2:17" x14ac:dyDescent="0.25">
      <c r="B221" s="7"/>
      <c r="C221" s="1366" t="s">
        <v>328</v>
      </c>
      <c r="D221" s="1366"/>
      <c r="E221" s="1366"/>
      <c r="F221" s="1366"/>
      <c r="G221" s="311">
        <v>83</v>
      </c>
      <c r="H221" s="29" t="s">
        <v>291</v>
      </c>
      <c r="I221" s="312"/>
      <c r="J221" s="36">
        <v>0</v>
      </c>
      <c r="K221" s="32"/>
      <c r="L221" s="272"/>
      <c r="M221" s="60"/>
      <c r="Q221" s="61"/>
    </row>
    <row r="222" spans="2:17" x14ac:dyDescent="0.25">
      <c r="B222" s="7"/>
      <c r="C222" s="1366" t="s">
        <v>329</v>
      </c>
      <c r="D222" s="1366"/>
      <c r="E222" s="1366"/>
      <c r="F222" s="1366"/>
      <c r="G222" s="311">
        <v>19</v>
      </c>
      <c r="H222" s="29" t="s">
        <v>291</v>
      </c>
      <c r="I222" s="312"/>
      <c r="J222" s="51"/>
      <c r="K222" s="32">
        <v>0</v>
      </c>
      <c r="L222" s="282">
        <f>J222+K222*6</f>
        <v>0</v>
      </c>
      <c r="M222" s="60"/>
      <c r="Q222" s="61"/>
    </row>
    <row r="223" spans="2:17" x14ac:dyDescent="0.25">
      <c r="B223" s="5"/>
      <c r="C223" s="1326" t="s">
        <v>5</v>
      </c>
      <c r="D223" s="1326"/>
      <c r="E223" s="1326"/>
      <c r="F223" s="1326"/>
      <c r="G223" s="265">
        <f>SUM(G212:G222)</f>
        <v>152</v>
      </c>
      <c r="H223" s="292"/>
      <c r="I223" s="292"/>
      <c r="J223" s="267"/>
      <c r="K223" s="267"/>
      <c r="L223" s="268">
        <f>SUM(L212:L222)</f>
        <v>0</v>
      </c>
      <c r="M223" s="62"/>
      <c r="N223" s="63"/>
      <c r="O223" s="63"/>
      <c r="P223" s="63"/>
      <c r="Q223" s="64"/>
    </row>
    <row r="224" spans="2:17" ht="6.6" customHeight="1" x14ac:dyDescent="0.25"/>
    <row r="225" spans="2:17" ht="14.45" customHeight="1" x14ac:dyDescent="0.25">
      <c r="B225" s="273" t="s">
        <v>558</v>
      </c>
      <c r="C225" s="1329" t="s">
        <v>330</v>
      </c>
      <c r="D225" s="1330"/>
      <c r="E225" s="1330"/>
      <c r="F225" s="1330"/>
      <c r="G225" s="1330"/>
      <c r="H225" s="1330"/>
      <c r="I225" s="1330"/>
      <c r="J225" s="1330"/>
      <c r="K225" s="1330"/>
      <c r="L225" s="1331"/>
      <c r="M225" s="248">
        <f>L237</f>
        <v>770615550</v>
      </c>
      <c r="N225" s="253">
        <v>492066281</v>
      </c>
      <c r="O225" s="329">
        <v>492066281</v>
      </c>
      <c r="P225" s="329">
        <f>M225-O225</f>
        <v>278549269</v>
      </c>
      <c r="Q225" s="349" t="str">
        <f>IF(P225&gt;0,"BERTAMBAH",IF(P225&lt;0,"BERKURANG","TETAP"))</f>
        <v>BERTAMBAH</v>
      </c>
    </row>
    <row r="226" spans="2:17" x14ac:dyDescent="0.25">
      <c r="B226" s="1"/>
      <c r="C226" s="1328" t="s">
        <v>288</v>
      </c>
      <c r="D226" s="1328"/>
      <c r="E226" s="1328"/>
      <c r="F226" s="1328"/>
      <c r="G226" s="298">
        <v>5</v>
      </c>
      <c r="H226" s="1652" t="s">
        <v>291</v>
      </c>
      <c r="I226" s="308"/>
      <c r="J226" s="65">
        <f>GAJI!O190</f>
        <v>39154000</v>
      </c>
      <c r="K226" s="91"/>
      <c r="L226" s="272">
        <f t="shared" ref="L226:L236" si="4">J226</f>
        <v>39154000</v>
      </c>
      <c r="M226" s="89"/>
      <c r="N226" s="68"/>
      <c r="O226" s="68"/>
      <c r="P226" s="68"/>
      <c r="Q226" s="69"/>
    </row>
    <row r="227" spans="2:17" x14ac:dyDescent="0.25">
      <c r="B227" s="858"/>
      <c r="C227" s="1391" t="s">
        <v>261</v>
      </c>
      <c r="D227" s="1392"/>
      <c r="E227" s="1392"/>
      <c r="F227" s="1393"/>
      <c r="G227" s="409">
        <v>4</v>
      </c>
      <c r="H227" s="96" t="s">
        <v>291</v>
      </c>
      <c r="I227" s="859"/>
      <c r="J227" s="65">
        <f>GAJI!O198</f>
        <v>10698800</v>
      </c>
      <c r="K227" s="65"/>
      <c r="L227" s="272">
        <f t="shared" si="4"/>
        <v>10698800</v>
      </c>
      <c r="M227" s="60"/>
      <c r="Q227" s="61"/>
    </row>
    <row r="228" spans="2:17" x14ac:dyDescent="0.25">
      <c r="B228" s="7"/>
      <c r="C228" s="1390" t="s">
        <v>242</v>
      </c>
      <c r="D228" s="1390"/>
      <c r="E228" s="1390"/>
      <c r="F228" s="1390"/>
      <c r="G228" s="46">
        <v>5</v>
      </c>
      <c r="H228" s="29" t="s">
        <v>291</v>
      </c>
      <c r="I228" s="309"/>
      <c r="J228" s="35">
        <f>GAJI!Q181</f>
        <v>171583040</v>
      </c>
      <c r="K228" s="276"/>
      <c r="L228" s="272">
        <f t="shared" si="4"/>
        <v>171583040</v>
      </c>
      <c r="M228" s="60"/>
      <c r="Q228" s="61"/>
    </row>
    <row r="229" spans="2:17" x14ac:dyDescent="0.25">
      <c r="B229" s="7"/>
      <c r="C229" s="1053" t="s">
        <v>145</v>
      </c>
      <c r="D229" s="1054"/>
      <c r="E229" s="1054"/>
      <c r="F229" s="1055"/>
      <c r="G229" s="46">
        <v>1</v>
      </c>
      <c r="H229" s="29" t="s">
        <v>291</v>
      </c>
      <c r="I229" s="309"/>
      <c r="J229" s="35">
        <f>GAJI!P20</f>
        <v>7007107.7039999999</v>
      </c>
      <c r="K229" s="276"/>
      <c r="L229" s="272">
        <f>J229</f>
        <v>7007107.7039999999</v>
      </c>
      <c r="M229" s="60"/>
      <c r="Q229" s="61"/>
    </row>
    <row r="230" spans="2:17" x14ac:dyDescent="0.25">
      <c r="B230" s="7"/>
      <c r="C230" s="1322" t="s">
        <v>331</v>
      </c>
      <c r="D230" s="1322"/>
      <c r="E230" s="1322"/>
      <c r="F230" s="1322"/>
      <c r="G230" s="299">
        <v>8</v>
      </c>
      <c r="H230" s="29" t="s">
        <v>291</v>
      </c>
      <c r="I230" s="310"/>
      <c r="J230" s="36">
        <f>GAJI!P16</f>
        <v>57933439.631999984</v>
      </c>
      <c r="K230" s="32"/>
      <c r="L230" s="272">
        <f t="shared" si="4"/>
        <v>57933439.631999984</v>
      </c>
      <c r="M230" s="60"/>
      <c r="Q230" s="61"/>
    </row>
    <row r="231" spans="2:17" x14ac:dyDescent="0.25">
      <c r="B231" s="7"/>
      <c r="C231" s="1322" t="s">
        <v>332</v>
      </c>
      <c r="D231" s="1322"/>
      <c r="E231" s="1322"/>
      <c r="F231" s="1322"/>
      <c r="G231" s="299">
        <v>18</v>
      </c>
      <c r="H231" s="29" t="s">
        <v>291</v>
      </c>
      <c r="I231" s="310"/>
      <c r="J231" s="36">
        <f>GAJI!P39+GAJI!P45</f>
        <v>115816884.67199996</v>
      </c>
      <c r="K231" s="32"/>
      <c r="L231" s="272">
        <f t="shared" si="4"/>
        <v>115816884.67199996</v>
      </c>
      <c r="M231" s="60"/>
      <c r="Q231" s="61"/>
    </row>
    <row r="232" spans="2:17" x14ac:dyDescent="0.25">
      <c r="B232" s="7"/>
      <c r="C232" s="1322" t="s">
        <v>178</v>
      </c>
      <c r="D232" s="1322"/>
      <c r="E232" s="1322"/>
      <c r="F232" s="1322"/>
      <c r="G232" s="299">
        <v>13</v>
      </c>
      <c r="H232" s="29" t="s">
        <v>291</v>
      </c>
      <c r="I232" s="310"/>
      <c r="J232" s="36">
        <f>GAJI!P62</f>
        <v>64854341.15199998</v>
      </c>
      <c r="K232" s="32"/>
      <c r="L232" s="272">
        <f t="shared" si="4"/>
        <v>64854341.15199998</v>
      </c>
      <c r="M232" s="60"/>
      <c r="Q232" s="61"/>
    </row>
    <row r="233" spans="2:17" x14ac:dyDescent="0.25">
      <c r="B233" s="7"/>
      <c r="C233" s="1391" t="s">
        <v>778</v>
      </c>
      <c r="D233" s="1392"/>
      <c r="E233" s="1392"/>
      <c r="F233" s="1393"/>
      <c r="G233" s="299">
        <v>15</v>
      </c>
      <c r="H233" s="29" t="s">
        <v>291</v>
      </c>
      <c r="I233" s="310"/>
      <c r="J233" s="36">
        <v>51176365.247999981</v>
      </c>
      <c r="K233" s="32"/>
      <c r="L233" s="272">
        <f t="shared" si="4"/>
        <v>51176365.247999981</v>
      </c>
      <c r="M233" s="1164"/>
      <c r="Q233" s="61"/>
    </row>
    <row r="234" spans="2:17" x14ac:dyDescent="0.25">
      <c r="B234" s="7"/>
      <c r="C234" s="1322" t="s">
        <v>200</v>
      </c>
      <c r="D234" s="1322"/>
      <c r="E234" s="1322"/>
      <c r="F234" s="1322"/>
      <c r="G234" s="299">
        <v>85</v>
      </c>
      <c r="H234" s="29" t="s">
        <v>291</v>
      </c>
      <c r="I234" s="310"/>
      <c r="J234" s="36">
        <f>GAJI!P168</f>
        <v>238676329.83999974</v>
      </c>
      <c r="K234" s="32"/>
      <c r="L234" s="272">
        <f t="shared" si="4"/>
        <v>238676329.83999974</v>
      </c>
      <c r="M234" s="60"/>
      <c r="Q234" s="61"/>
    </row>
    <row r="235" spans="2:17" x14ac:dyDescent="0.25">
      <c r="B235" s="7"/>
      <c r="C235" s="1366" t="s">
        <v>782</v>
      </c>
      <c r="D235" s="1366"/>
      <c r="E235" s="1366"/>
      <c r="F235" s="1366"/>
      <c r="G235" s="311">
        <v>4</v>
      </c>
      <c r="H235" s="29" t="s">
        <v>291</v>
      </c>
      <c r="I235" s="312"/>
      <c r="J235" s="36">
        <v>9115241.7520004511</v>
      </c>
      <c r="K235" s="39"/>
      <c r="L235" s="272">
        <f t="shared" si="4"/>
        <v>9115241.7520004511</v>
      </c>
      <c r="M235" s="60"/>
      <c r="N235" s="341"/>
      <c r="Q235" s="61"/>
    </row>
    <row r="236" spans="2:17" x14ac:dyDescent="0.25">
      <c r="B236" s="1167"/>
      <c r="C236" s="1383" t="s">
        <v>781</v>
      </c>
      <c r="D236" s="1384"/>
      <c r="E236" s="1384"/>
      <c r="F236" s="1385"/>
      <c r="G236" s="1168">
        <v>1</v>
      </c>
      <c r="H236" s="29" t="s">
        <v>291</v>
      </c>
      <c r="I236" s="1169"/>
      <c r="J236" s="1173">
        <v>4600000</v>
      </c>
      <c r="K236" s="54"/>
      <c r="L236" s="282">
        <f t="shared" si="4"/>
        <v>4600000</v>
      </c>
      <c r="M236" s="60"/>
      <c r="Q236" s="61"/>
    </row>
    <row r="237" spans="2:17" x14ac:dyDescent="0.25">
      <c r="B237" s="5"/>
      <c r="C237" s="1326" t="s">
        <v>5</v>
      </c>
      <c r="D237" s="1326"/>
      <c r="E237" s="1326"/>
      <c r="F237" s="1326"/>
      <c r="G237" s="266">
        <f>SUM(G226:G236)</f>
        <v>159</v>
      </c>
      <c r="H237" s="313" t="s">
        <v>291</v>
      </c>
      <c r="I237" s="292"/>
      <c r="J237" s="267"/>
      <c r="K237" s="267"/>
      <c r="L237" s="268">
        <f>SUM(L226:L236)</f>
        <v>770615550</v>
      </c>
      <c r="M237" s="62"/>
      <c r="N237" s="63"/>
      <c r="O237" s="63"/>
      <c r="P237" s="63"/>
      <c r="Q237" s="64"/>
    </row>
    <row r="238" spans="2:17" x14ac:dyDescent="0.25">
      <c r="B238" s="394"/>
      <c r="C238" s="286"/>
      <c r="D238" s="286"/>
      <c r="E238" s="286"/>
      <c r="F238" s="286"/>
      <c r="G238" s="285"/>
      <c r="H238" s="1097"/>
      <c r="I238" s="1131"/>
      <c r="J238" s="284"/>
      <c r="K238" s="284"/>
      <c r="L238" s="284"/>
    </row>
    <row r="239" spans="2:17" ht="14.45" customHeight="1" x14ac:dyDescent="0.25">
      <c r="B239" s="273" t="s">
        <v>557</v>
      </c>
      <c r="C239" s="1329" t="s">
        <v>758</v>
      </c>
      <c r="D239" s="1330"/>
      <c r="E239" s="1330"/>
      <c r="F239" s="1330"/>
      <c r="G239" s="1330"/>
      <c r="H239" s="1330"/>
      <c r="I239" s="1330"/>
      <c r="J239" s="1330"/>
      <c r="K239" s="1330"/>
      <c r="L239" s="1331"/>
      <c r="M239" s="319"/>
      <c r="N239" s="321">
        <v>0</v>
      </c>
      <c r="O239" s="505">
        <f>N239+L242</f>
        <v>50673848.831999943</v>
      </c>
      <c r="P239" s="329">
        <f>O239-M239</f>
        <v>50673848.831999943</v>
      </c>
      <c r="Q239" s="349" t="str">
        <f>IF(P239&gt;0,"BERTAMBAH",IF(P239&lt;0,"BERKURANG","TETAP"))</f>
        <v>BERTAMBAH</v>
      </c>
    </row>
    <row r="240" spans="2:17" x14ac:dyDescent="0.25">
      <c r="B240" s="28"/>
      <c r="C240" s="1325"/>
      <c r="D240" s="1325"/>
      <c r="E240" s="1325"/>
      <c r="F240" s="1325"/>
      <c r="G240" s="91">
        <v>180</v>
      </c>
      <c r="H240" s="93" t="s">
        <v>291</v>
      </c>
      <c r="I240" s="107"/>
      <c r="J240" s="38">
        <v>23460.115199999971</v>
      </c>
      <c r="K240" s="38">
        <f>G240*J240</f>
        <v>4222820.7359999949</v>
      </c>
      <c r="L240" s="307">
        <f>K240*12</f>
        <v>50673848.831999943</v>
      </c>
      <c r="M240" s="89"/>
      <c r="N240" s="68"/>
      <c r="O240" s="68"/>
      <c r="P240" s="68"/>
      <c r="Q240" s="69"/>
    </row>
    <row r="241" spans="2:17" x14ac:dyDescent="0.25">
      <c r="B241" s="387"/>
      <c r="C241" s="1132"/>
      <c r="D241" s="1132"/>
      <c r="E241" s="1132"/>
      <c r="F241" s="1132"/>
      <c r="G241" s="388"/>
      <c r="H241" s="1085"/>
      <c r="I241" s="1133"/>
      <c r="J241" s="1134"/>
      <c r="K241" s="1134"/>
      <c r="L241" s="1135"/>
      <c r="M241" s="60"/>
      <c r="Q241" s="61"/>
    </row>
    <row r="242" spans="2:17" x14ac:dyDescent="0.25">
      <c r="B242" s="5"/>
      <c r="C242" s="1326" t="s">
        <v>5</v>
      </c>
      <c r="D242" s="1326"/>
      <c r="E242" s="1326"/>
      <c r="F242" s="1326"/>
      <c r="G242" s="303"/>
      <c r="H242" s="303"/>
      <c r="I242" s="303"/>
      <c r="J242" s="279"/>
      <c r="K242" s="279"/>
      <c r="L242" s="280">
        <f>SUM(L240)</f>
        <v>50673848.831999943</v>
      </c>
      <c r="M242" s="62"/>
      <c r="N242" s="63"/>
      <c r="O242" s="63"/>
      <c r="P242" s="63"/>
      <c r="Q242" s="64"/>
    </row>
    <row r="243" spans="2:17" x14ac:dyDescent="0.25">
      <c r="B243" s="394"/>
      <c r="C243" s="286"/>
      <c r="D243" s="286"/>
      <c r="E243" s="286"/>
      <c r="F243" s="286"/>
      <c r="G243" s="285"/>
      <c r="H243" s="1097"/>
      <c r="I243" s="1131"/>
      <c r="J243" s="284"/>
      <c r="K243" s="284"/>
      <c r="L243" s="284"/>
    </row>
    <row r="244" spans="2:17" ht="6.6" customHeight="1" x14ac:dyDescent="0.25"/>
    <row r="245" spans="2:17" x14ac:dyDescent="0.25">
      <c r="B245" s="273" t="s">
        <v>559</v>
      </c>
      <c r="C245" s="358" t="s">
        <v>334</v>
      </c>
      <c r="D245" s="359"/>
      <c r="E245" s="359"/>
      <c r="F245" s="359"/>
      <c r="G245" s="359"/>
      <c r="H245" s="359"/>
      <c r="I245" s="359"/>
      <c r="J245" s="359"/>
      <c r="K245" s="359"/>
      <c r="L245" s="360"/>
      <c r="M245" s="319">
        <v>0</v>
      </c>
      <c r="N245" s="321">
        <v>0</v>
      </c>
      <c r="O245" s="510">
        <f>N245+L253</f>
        <v>0</v>
      </c>
      <c r="P245" s="509">
        <f>O245-M245</f>
        <v>0</v>
      </c>
      <c r="Q245" s="349" t="str">
        <f>IF(P245&gt;0,"BERTAMBAH",IF(P245&lt;0,"BERKURANG","TETAP"))</f>
        <v>TETAP</v>
      </c>
    </row>
    <row r="246" spans="2:17" x14ac:dyDescent="0.25">
      <c r="B246" s="28"/>
      <c r="C246" s="1328" t="s">
        <v>288</v>
      </c>
      <c r="D246" s="1328"/>
      <c r="E246" s="1328"/>
      <c r="F246" s="1328"/>
      <c r="G246" s="298">
        <v>5</v>
      </c>
      <c r="H246" s="256" t="s">
        <v>291</v>
      </c>
      <c r="I246" s="314"/>
      <c r="J246" s="315"/>
      <c r="K246" s="315">
        <v>0</v>
      </c>
      <c r="L246" s="258">
        <f>K246*0</f>
        <v>0</v>
      </c>
      <c r="M246" s="89"/>
      <c r="N246" s="68"/>
      <c r="O246" s="68"/>
      <c r="P246" s="68"/>
      <c r="Q246" s="69"/>
    </row>
    <row r="247" spans="2:17" x14ac:dyDescent="0.25">
      <c r="B247" s="2"/>
      <c r="C247" s="1323" t="s">
        <v>242</v>
      </c>
      <c r="D247" s="1323"/>
      <c r="E247" s="1323"/>
      <c r="F247" s="1323"/>
      <c r="G247" s="46">
        <v>5</v>
      </c>
      <c r="H247" s="260" t="s">
        <v>291</v>
      </c>
      <c r="I247" s="274"/>
      <c r="J247" s="316"/>
      <c r="K247" s="316">
        <v>0</v>
      </c>
      <c r="L247" s="263">
        <f t="shared" ref="L247:L252" si="5">K247*0</f>
        <v>0</v>
      </c>
      <c r="M247" s="60"/>
      <c r="Q247" s="61"/>
    </row>
    <row r="248" spans="2:17" x14ac:dyDescent="0.25">
      <c r="B248" s="2"/>
      <c r="C248" s="1322" t="s">
        <v>331</v>
      </c>
      <c r="D248" s="1322"/>
      <c r="E248" s="1322"/>
      <c r="F248" s="1322"/>
      <c r="G248" s="299">
        <v>8</v>
      </c>
      <c r="H248" s="260" t="s">
        <v>291</v>
      </c>
      <c r="I248" s="274"/>
      <c r="J248" s="316">
        <v>0</v>
      </c>
      <c r="K248" s="316">
        <v>0</v>
      </c>
      <c r="L248" s="263">
        <f t="shared" si="5"/>
        <v>0</v>
      </c>
      <c r="M248" s="60"/>
      <c r="Q248" s="61"/>
    </row>
    <row r="249" spans="2:17" x14ac:dyDescent="0.25">
      <c r="B249" s="2"/>
      <c r="C249" s="1322" t="s">
        <v>332</v>
      </c>
      <c r="D249" s="1322"/>
      <c r="E249" s="1322"/>
      <c r="F249" s="1322"/>
      <c r="G249" s="299">
        <v>18</v>
      </c>
      <c r="H249" s="260" t="s">
        <v>291</v>
      </c>
      <c r="I249" s="274"/>
      <c r="J249" s="316">
        <v>0</v>
      </c>
      <c r="K249" s="316">
        <v>0</v>
      </c>
      <c r="L249" s="263">
        <f t="shared" si="5"/>
        <v>0</v>
      </c>
      <c r="M249" s="60"/>
      <c r="Q249" s="61"/>
    </row>
    <row r="250" spans="2:17" x14ac:dyDescent="0.25">
      <c r="B250" s="2"/>
      <c r="C250" s="1322" t="s">
        <v>178</v>
      </c>
      <c r="D250" s="1322"/>
      <c r="E250" s="1322"/>
      <c r="F250" s="1322"/>
      <c r="G250" s="299">
        <v>18</v>
      </c>
      <c r="H250" s="260" t="s">
        <v>291</v>
      </c>
      <c r="I250" s="274"/>
      <c r="J250" s="316">
        <v>0</v>
      </c>
      <c r="K250" s="316">
        <v>0</v>
      </c>
      <c r="L250" s="263">
        <f t="shared" si="5"/>
        <v>0</v>
      </c>
      <c r="M250" s="60"/>
      <c r="Q250" s="61"/>
    </row>
    <row r="251" spans="2:17" x14ac:dyDescent="0.25">
      <c r="B251" s="2"/>
      <c r="C251" s="1322" t="s">
        <v>200</v>
      </c>
      <c r="D251" s="1322"/>
      <c r="E251" s="1322"/>
      <c r="F251" s="1322"/>
      <c r="G251" s="299">
        <v>83</v>
      </c>
      <c r="H251" s="260" t="s">
        <v>291</v>
      </c>
      <c r="I251" s="274"/>
      <c r="J251" s="316">
        <v>0</v>
      </c>
      <c r="K251" s="316">
        <v>0</v>
      </c>
      <c r="L251" s="263">
        <f t="shared" si="5"/>
        <v>0</v>
      </c>
      <c r="M251" s="60"/>
      <c r="Q251" s="61"/>
    </row>
    <row r="252" spans="2:17" x14ac:dyDescent="0.25">
      <c r="B252" s="2"/>
      <c r="C252" s="1366" t="s">
        <v>333</v>
      </c>
      <c r="D252" s="1366"/>
      <c r="E252" s="1366"/>
      <c r="F252" s="1366"/>
      <c r="G252" s="311">
        <v>19</v>
      </c>
      <c r="H252" s="260" t="s">
        <v>291</v>
      </c>
      <c r="I252" s="274"/>
      <c r="J252" s="316">
        <v>0</v>
      </c>
      <c r="K252" s="316">
        <v>0</v>
      </c>
      <c r="L252" s="281">
        <f t="shared" si="5"/>
        <v>0</v>
      </c>
      <c r="M252" s="60"/>
      <c r="Q252" s="61"/>
    </row>
    <row r="253" spans="2:17" x14ac:dyDescent="0.25">
      <c r="B253" s="5"/>
      <c r="C253" s="1326" t="s">
        <v>5</v>
      </c>
      <c r="D253" s="1326"/>
      <c r="E253" s="1326"/>
      <c r="F253" s="1326"/>
      <c r="G253" s="266">
        <f>SUM(G246:G252)</f>
        <v>156</v>
      </c>
      <c r="H253" s="270" t="s">
        <v>291</v>
      </c>
      <c r="I253" s="37"/>
      <c r="J253" s="37"/>
      <c r="K253" s="37"/>
      <c r="L253" s="268">
        <f>SUM(L246:L252)</f>
        <v>0</v>
      </c>
      <c r="M253" s="62"/>
      <c r="N253" s="63"/>
      <c r="O253" s="63"/>
      <c r="P253" s="63"/>
      <c r="Q253" s="64"/>
    </row>
    <row r="254" spans="2:17" ht="6.6" customHeight="1" thickBot="1" x14ac:dyDescent="0.3"/>
    <row r="255" spans="2:17" ht="17.25" thickBot="1" x14ac:dyDescent="0.35">
      <c r="B255" s="1394" t="s">
        <v>456</v>
      </c>
      <c r="C255" s="1395"/>
      <c r="D255" s="1395"/>
      <c r="E255" s="1395"/>
      <c r="F255" s="1395"/>
      <c r="G255" s="1395"/>
      <c r="H255" s="1395"/>
      <c r="I255" s="1395"/>
      <c r="J255" s="1395"/>
      <c r="K255" s="1395"/>
      <c r="L255" s="1396"/>
      <c r="M255" s="583">
        <f>SUM(M11:M253)</f>
        <v>10826432522.640001</v>
      </c>
      <c r="N255" s="584">
        <f>SUM(N11:N253)</f>
        <v>5849684837</v>
      </c>
      <c r="O255" s="585">
        <f>SUM(O11:O253)</f>
        <v>7436240874.8319998</v>
      </c>
      <c r="P255" s="586">
        <f>M255-O255</f>
        <v>3390191647.8080015</v>
      </c>
      <c r="Q255" s="792" t="str">
        <f>IF(P255&gt;0,"BERTAMBAH",IF(P255&lt;0,"BERKURANG","TETAP"))</f>
        <v>BERTAMBAH</v>
      </c>
    </row>
    <row r="257" spans="6:14" ht="16.5" x14ac:dyDescent="0.3">
      <c r="N257" s="806" t="s">
        <v>733</v>
      </c>
    </row>
    <row r="258" spans="6:14" ht="16.5" x14ac:dyDescent="0.3">
      <c r="F258" s="810" t="s">
        <v>517</v>
      </c>
      <c r="N258" s="813" t="s">
        <v>515</v>
      </c>
    </row>
    <row r="259" spans="6:14" ht="16.5" x14ac:dyDescent="0.3">
      <c r="F259" s="456" t="s">
        <v>94</v>
      </c>
      <c r="N259" s="806" t="s">
        <v>94</v>
      </c>
    </row>
    <row r="260" spans="6:14" x14ac:dyDescent="0.25">
      <c r="F260"/>
      <c r="L260" s="456"/>
      <c r="M260" s="456"/>
    </row>
    <row r="261" spans="6:14" x14ac:dyDescent="0.25">
      <c r="F261"/>
      <c r="L261" s="456"/>
      <c r="M261" s="456"/>
    </row>
    <row r="262" spans="6:14" x14ac:dyDescent="0.25">
      <c r="F262"/>
      <c r="L262" s="456"/>
      <c r="M262" s="456"/>
    </row>
    <row r="263" spans="6:14" ht="16.5" x14ac:dyDescent="0.3">
      <c r="F263" s="811" t="s">
        <v>518</v>
      </c>
      <c r="N263" s="812" t="s">
        <v>516</v>
      </c>
    </row>
    <row r="264" spans="6:14" ht="16.5" x14ac:dyDescent="0.3">
      <c r="F264" s="456" t="s">
        <v>519</v>
      </c>
      <c r="N264" s="806" t="s">
        <v>248</v>
      </c>
    </row>
  </sheetData>
  <mergeCells count="225">
    <mergeCell ref="C214:F214"/>
    <mergeCell ref="C213:F213"/>
    <mergeCell ref="C188:F188"/>
    <mergeCell ref="C186:F186"/>
    <mergeCell ref="C162:F162"/>
    <mergeCell ref="C156:F156"/>
    <mergeCell ref="C167:F167"/>
    <mergeCell ref="C163:F163"/>
    <mergeCell ref="C173:F173"/>
    <mergeCell ref="C174:F174"/>
    <mergeCell ref="C172:F172"/>
    <mergeCell ref="C157:F157"/>
    <mergeCell ref="G149:I149"/>
    <mergeCell ref="G148:I148"/>
    <mergeCell ref="G147:I147"/>
    <mergeCell ref="B255:L255"/>
    <mergeCell ref="C60:F60"/>
    <mergeCell ref="C201:L201"/>
    <mergeCell ref="C211:L211"/>
    <mergeCell ref="C159:F159"/>
    <mergeCell ref="G159:I159"/>
    <mergeCell ref="C169:F169"/>
    <mergeCell ref="C199:F199"/>
    <mergeCell ref="C209:F209"/>
    <mergeCell ref="C225:L225"/>
    <mergeCell ref="C247:F247"/>
    <mergeCell ref="C246:F246"/>
    <mergeCell ref="C184:F184"/>
    <mergeCell ref="C182:F182"/>
    <mergeCell ref="C180:F180"/>
    <mergeCell ref="G131:H131"/>
    <mergeCell ref="C158:F158"/>
    <mergeCell ref="C74:F74"/>
    <mergeCell ref="C75:F75"/>
    <mergeCell ref="C64:F64"/>
    <mergeCell ref="C63:F63"/>
    <mergeCell ref="C155:F155"/>
    <mergeCell ref="C168:F168"/>
    <mergeCell ref="C166:F166"/>
    <mergeCell ref="C164:F164"/>
    <mergeCell ref="C253:F253"/>
    <mergeCell ref="C252:F252"/>
    <mergeCell ref="C251:F251"/>
    <mergeCell ref="C250:F250"/>
    <mergeCell ref="C249:F249"/>
    <mergeCell ref="C248:F248"/>
    <mergeCell ref="C223:F223"/>
    <mergeCell ref="C237:F237"/>
    <mergeCell ref="C235:F235"/>
    <mergeCell ref="C234:F234"/>
    <mergeCell ref="C232:F232"/>
    <mergeCell ref="C231:F231"/>
    <mergeCell ref="C230:F230"/>
    <mergeCell ref="C228:F228"/>
    <mergeCell ref="C226:F226"/>
    <mergeCell ref="C227:F227"/>
    <mergeCell ref="C233:F233"/>
    <mergeCell ref="C239:L239"/>
    <mergeCell ref="C240:F240"/>
    <mergeCell ref="C242:F242"/>
    <mergeCell ref="C236:F236"/>
    <mergeCell ref="C12:F12"/>
    <mergeCell ref="C112:F112"/>
    <mergeCell ref="C51:F51"/>
    <mergeCell ref="C83:J83"/>
    <mergeCell ref="C135:F135"/>
    <mergeCell ref="C134:F134"/>
    <mergeCell ref="C133:F133"/>
    <mergeCell ref="C132:F132"/>
    <mergeCell ref="C131:F131"/>
    <mergeCell ref="C109:F109"/>
    <mergeCell ref="C108:F108"/>
    <mergeCell ref="C104:F104"/>
    <mergeCell ref="G104:H104"/>
    <mergeCell ref="G112:J112"/>
    <mergeCell ref="G111:J111"/>
    <mergeCell ref="G110:J110"/>
    <mergeCell ref="G109:J109"/>
    <mergeCell ref="G108:J108"/>
    <mergeCell ref="G107:J107"/>
    <mergeCell ref="C110:F110"/>
    <mergeCell ref="C107:F107"/>
    <mergeCell ref="C16:F16"/>
    <mergeCell ref="C15:F15"/>
    <mergeCell ref="C14:F14"/>
    <mergeCell ref="C17:F17"/>
    <mergeCell ref="C71:F71"/>
    <mergeCell ref="C70:F70"/>
    <mergeCell ref="C69:F69"/>
    <mergeCell ref="C68:F68"/>
    <mergeCell ref="C67:F67"/>
    <mergeCell ref="C88:F88"/>
    <mergeCell ref="C91:F91"/>
    <mergeCell ref="C41:F41"/>
    <mergeCell ref="C40:F40"/>
    <mergeCell ref="C39:F39"/>
    <mergeCell ref="C87:J87"/>
    <mergeCell ref="C45:F45"/>
    <mergeCell ref="C46:F46"/>
    <mergeCell ref="C47:F47"/>
    <mergeCell ref="C48:F48"/>
    <mergeCell ref="C49:F49"/>
    <mergeCell ref="C57:F57"/>
    <mergeCell ref="C53:F53"/>
    <mergeCell ref="C62:F62"/>
    <mergeCell ref="C103:F103"/>
    <mergeCell ref="C86:J86"/>
    <mergeCell ref="C85:J85"/>
    <mergeCell ref="C84:J84"/>
    <mergeCell ref="C90:L90"/>
    <mergeCell ref="C76:F76"/>
    <mergeCell ref="C77:F77"/>
    <mergeCell ref="C78:F78"/>
    <mergeCell ref="C28:F28"/>
    <mergeCell ref="C29:F29"/>
    <mergeCell ref="C30:F30"/>
    <mergeCell ref="C31:F31"/>
    <mergeCell ref="C32:F32"/>
    <mergeCell ref="C33:F33"/>
    <mergeCell ref="C61:F61"/>
    <mergeCell ref="C44:F44"/>
    <mergeCell ref="C38:F38"/>
    <mergeCell ref="C37:F37"/>
    <mergeCell ref="C36:F36"/>
    <mergeCell ref="G103:H103"/>
    <mergeCell ref="G102:H102"/>
    <mergeCell ref="G101:H101"/>
    <mergeCell ref="G100:H100"/>
    <mergeCell ref="G99:H99"/>
    <mergeCell ref="C222:F222"/>
    <mergeCell ref="C221:F221"/>
    <mergeCell ref="C220:F220"/>
    <mergeCell ref="C219:F219"/>
    <mergeCell ref="C218:F218"/>
    <mergeCell ref="C56:F56"/>
    <mergeCell ref="C55:F55"/>
    <mergeCell ref="C54:F54"/>
    <mergeCell ref="C111:F111"/>
    <mergeCell ref="C119:F119"/>
    <mergeCell ref="C118:F118"/>
    <mergeCell ref="C117:F117"/>
    <mergeCell ref="C116:F116"/>
    <mergeCell ref="C115:F115"/>
    <mergeCell ref="C151:F151"/>
    <mergeCell ref="C150:F150"/>
    <mergeCell ref="C149:F149"/>
    <mergeCell ref="C124:F124"/>
    <mergeCell ref="C123:F123"/>
    <mergeCell ref="C148:F148"/>
    <mergeCell ref="C147:F147"/>
    <mergeCell ref="C100:F100"/>
    <mergeCell ref="C96:F96"/>
    <mergeCell ref="C95:F95"/>
    <mergeCell ref="G135:H135"/>
    <mergeCell ref="G134:H134"/>
    <mergeCell ref="G133:H133"/>
    <mergeCell ref="G132:H132"/>
    <mergeCell ref="C128:F128"/>
    <mergeCell ref="C127:F127"/>
    <mergeCell ref="C126:F126"/>
    <mergeCell ref="C125:F125"/>
    <mergeCell ref="C152:F152"/>
    <mergeCell ref="C144:F144"/>
    <mergeCell ref="C139:F139"/>
    <mergeCell ref="G139:I139"/>
    <mergeCell ref="C140:F140"/>
    <mergeCell ref="G140:I140"/>
    <mergeCell ref="C136:F136"/>
    <mergeCell ref="C141:F141"/>
    <mergeCell ref="G141:I141"/>
    <mergeCell ref="C142:F142"/>
    <mergeCell ref="G142:I142"/>
    <mergeCell ref="C143:F143"/>
    <mergeCell ref="G143:I143"/>
    <mergeCell ref="G152:I152"/>
    <mergeCell ref="G151:I151"/>
    <mergeCell ref="G150:I150"/>
    <mergeCell ref="C94:F94"/>
    <mergeCell ref="C102:F102"/>
    <mergeCell ref="C101:F101"/>
    <mergeCell ref="C10:F10"/>
    <mergeCell ref="D2:Q2"/>
    <mergeCell ref="D3:Q3"/>
    <mergeCell ref="D4:Q4"/>
    <mergeCell ref="D5:Q5"/>
    <mergeCell ref="B7:Q7"/>
    <mergeCell ref="G8:J8"/>
    <mergeCell ref="B2:C5"/>
    <mergeCell ref="G95:H95"/>
    <mergeCell ref="G94:H94"/>
    <mergeCell ref="G93:H93"/>
    <mergeCell ref="G92:H92"/>
    <mergeCell ref="G91:H91"/>
    <mergeCell ref="C8:F8"/>
    <mergeCell ref="C25:F25"/>
    <mergeCell ref="C24:F24"/>
    <mergeCell ref="C23:F23"/>
    <mergeCell ref="C22:F22"/>
    <mergeCell ref="C21:F21"/>
    <mergeCell ref="C20:F20"/>
    <mergeCell ref="C13:F13"/>
    <mergeCell ref="C217:F217"/>
    <mergeCell ref="C216:F216"/>
    <mergeCell ref="C215:F215"/>
    <mergeCell ref="C93:F93"/>
    <mergeCell ref="C92:F92"/>
    <mergeCell ref="C99:F99"/>
    <mergeCell ref="C177:F177"/>
    <mergeCell ref="C195:F195"/>
    <mergeCell ref="C193:F193"/>
    <mergeCell ref="C212:F212"/>
    <mergeCell ref="C205:F205"/>
    <mergeCell ref="C204:F204"/>
    <mergeCell ref="C203:F203"/>
    <mergeCell ref="C202:F202"/>
    <mergeCell ref="C208:F208"/>
    <mergeCell ref="C191:F191"/>
    <mergeCell ref="C120:F120"/>
    <mergeCell ref="C207:L207"/>
    <mergeCell ref="C198:F198"/>
    <mergeCell ref="C197:F197"/>
    <mergeCell ref="C185:F185"/>
    <mergeCell ref="C181:F181"/>
    <mergeCell ref="C187:F187"/>
    <mergeCell ref="C196:F196"/>
  </mergeCells>
  <pageMargins left="0" right="0" top="0" bottom="0" header="0.31496062992125984" footer="0.31496062992125984"/>
  <pageSetup paperSize="9" scale="70" orientation="landscape" horizontalDpi="4294967293" verticalDpi="14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1:K139"/>
  <sheetViews>
    <sheetView showGridLines="0" topLeftCell="A19" workbookViewId="0">
      <selection activeCell="D33" sqref="D33"/>
    </sheetView>
  </sheetViews>
  <sheetFormatPr defaultRowHeight="15" x14ac:dyDescent="0.25"/>
  <cols>
    <col min="1" max="1" width="2.42578125" customWidth="1"/>
    <col min="2" max="2" width="16.5703125" customWidth="1"/>
    <col min="3" max="3" width="62.5703125" customWidth="1"/>
    <col min="4" max="8" width="15.42578125" customWidth="1"/>
    <col min="9" max="9" width="11.5703125" bestFit="1" customWidth="1"/>
    <col min="10" max="10" width="14.42578125" customWidth="1"/>
    <col min="11" max="11" width="11.5703125" bestFit="1" customWidth="1"/>
  </cols>
  <sheetData>
    <row r="1" spans="2:8" ht="12" customHeight="1" thickBot="1" x14ac:dyDescent="0.3"/>
    <row r="2" spans="2:8" ht="4.9000000000000004" customHeight="1" thickTop="1" x14ac:dyDescent="0.25">
      <c r="B2" s="1211"/>
      <c r="C2" s="1408"/>
      <c r="D2" s="1409"/>
      <c r="E2" s="1409"/>
      <c r="F2" s="1409"/>
      <c r="G2" s="1409"/>
      <c r="H2" s="1410"/>
    </row>
    <row r="3" spans="2:8" ht="18" x14ac:dyDescent="0.25">
      <c r="B3" s="1212"/>
      <c r="C3" s="1221" t="s">
        <v>94</v>
      </c>
      <c r="D3" s="1222"/>
      <c r="E3" s="1222"/>
      <c r="F3" s="1222"/>
      <c r="G3" s="1222"/>
      <c r="H3" s="1223"/>
    </row>
    <row r="4" spans="2:8" ht="16.5" x14ac:dyDescent="0.25">
      <c r="B4" s="1212"/>
      <c r="C4" s="1218" t="s">
        <v>118</v>
      </c>
      <c r="D4" s="1219"/>
      <c r="E4" s="1219"/>
      <c r="F4" s="1219"/>
      <c r="G4" s="1219"/>
      <c r="H4" s="1220"/>
    </row>
    <row r="5" spans="2:8" ht="16.5" x14ac:dyDescent="0.25">
      <c r="B5" s="1212"/>
      <c r="C5" s="1218" t="s">
        <v>569</v>
      </c>
      <c r="D5" s="1219"/>
      <c r="E5" s="1219"/>
      <c r="F5" s="1219"/>
      <c r="G5" s="1219"/>
      <c r="H5" s="1220"/>
    </row>
    <row r="6" spans="2:8" ht="16.5" x14ac:dyDescent="0.25">
      <c r="B6" s="1212"/>
      <c r="C6" s="1218" t="s">
        <v>454</v>
      </c>
      <c r="D6" s="1219"/>
      <c r="E6" s="1219"/>
      <c r="F6" s="1219"/>
      <c r="G6" s="1219"/>
      <c r="H6" s="1220"/>
    </row>
    <row r="7" spans="2:8" ht="5.45" customHeight="1" thickBot="1" x14ac:dyDescent="0.3">
      <c r="B7" s="1412"/>
      <c r="C7" s="1415"/>
      <c r="D7" s="1416"/>
      <c r="E7" s="1416"/>
      <c r="F7" s="1416"/>
      <c r="G7" s="1416"/>
      <c r="H7" s="1417"/>
    </row>
    <row r="8" spans="2:8" ht="9.6" customHeight="1" thickTop="1" thickBot="1" x14ac:dyDescent="0.3">
      <c r="B8" s="343"/>
      <c r="C8" s="453"/>
      <c r="D8" s="343"/>
      <c r="E8" s="343"/>
      <c r="F8" s="343"/>
      <c r="G8" s="343"/>
    </row>
    <row r="9" spans="2:8" ht="16.149999999999999" customHeight="1" thickTop="1" thickBot="1" x14ac:dyDescent="0.3">
      <c r="B9" s="1411" t="s">
        <v>568</v>
      </c>
      <c r="C9" s="1411"/>
      <c r="D9" s="1411"/>
      <c r="E9" s="1411"/>
      <c r="F9" s="1411"/>
      <c r="G9" s="1411"/>
      <c r="H9" s="1411"/>
    </row>
    <row r="10" spans="2:8" x14ac:dyDescent="0.25">
      <c r="B10" s="1418" t="s">
        <v>98</v>
      </c>
      <c r="C10" s="1214" t="s">
        <v>99</v>
      </c>
      <c r="D10" s="1422" t="s">
        <v>570</v>
      </c>
      <c r="E10" s="1420" t="s">
        <v>719</v>
      </c>
      <c r="F10" s="1214" t="s">
        <v>121</v>
      </c>
      <c r="G10" s="1214" t="s">
        <v>6</v>
      </c>
      <c r="H10" s="1413" t="s">
        <v>7</v>
      </c>
    </row>
    <row r="11" spans="2:8" ht="28.9" customHeight="1" x14ac:dyDescent="0.25">
      <c r="B11" s="1419"/>
      <c r="C11" s="1215"/>
      <c r="D11" s="1423"/>
      <c r="E11" s="1421"/>
      <c r="F11" s="1215"/>
      <c r="G11" s="1215"/>
      <c r="H11" s="1414"/>
    </row>
    <row r="12" spans="2:8" ht="14.45" customHeight="1" thickBot="1" x14ac:dyDescent="0.3">
      <c r="B12" s="523" t="s">
        <v>464</v>
      </c>
      <c r="C12" s="524"/>
      <c r="D12" s="524" t="s">
        <v>285</v>
      </c>
      <c r="E12" s="524" t="s">
        <v>286</v>
      </c>
      <c r="F12" s="524" t="s">
        <v>287</v>
      </c>
      <c r="G12" s="524" t="s">
        <v>740</v>
      </c>
      <c r="H12" s="525"/>
    </row>
    <row r="13" spans="2:8" ht="7.15" customHeight="1" thickBot="1" x14ac:dyDescent="0.3">
      <c r="B13" s="526"/>
      <c r="C13" s="526"/>
      <c r="D13" s="526"/>
      <c r="E13" s="526"/>
      <c r="F13" s="526"/>
      <c r="G13" s="526"/>
      <c r="H13" s="527"/>
    </row>
    <row r="14" spans="2:8" x14ac:dyDescent="0.25">
      <c r="B14" s="828">
        <v>1</v>
      </c>
      <c r="C14" s="830" t="s">
        <v>748</v>
      </c>
      <c r="D14" s="833">
        <f>'UMUM rinci'!L11</f>
        <v>298800000</v>
      </c>
      <c r="E14" s="833">
        <f>'UMUM rinci'!M11</f>
        <v>219000000</v>
      </c>
      <c r="F14" s="833">
        <f>'UMUM rinci'!N11</f>
        <v>272800000</v>
      </c>
      <c r="G14" s="837">
        <f t="shared" ref="G14:G37" si="0">D14-F14</f>
        <v>26000000</v>
      </c>
      <c r="H14" s="839" t="str">
        <f t="shared" ref="H14:H38" si="1">IF(G14&gt;0,"BERTAMBAH",IF(G14&lt;0,"BERKURANG","TETAP"))</f>
        <v>BERTAMBAH</v>
      </c>
    </row>
    <row r="15" spans="2:8" x14ac:dyDescent="0.25">
      <c r="B15" s="829">
        <v>2</v>
      </c>
      <c r="C15" s="831" t="str">
        <f>'UMUM rinci'!C21:K21</f>
        <v xml:space="preserve">BIAYA PENINGKATAN SDM  </v>
      </c>
      <c r="D15" s="834">
        <f>'UMUM rinci'!L21</f>
        <v>150000000</v>
      </c>
      <c r="E15" s="834">
        <f>'UMUM rinci'!M21</f>
        <v>0</v>
      </c>
      <c r="F15" s="834">
        <f>'UMUM rinci'!N21</f>
        <v>50000000</v>
      </c>
      <c r="G15" s="838">
        <f t="shared" si="0"/>
        <v>100000000</v>
      </c>
      <c r="H15" s="840" t="str">
        <f t="shared" si="1"/>
        <v>BERTAMBAH</v>
      </c>
    </row>
    <row r="16" spans="2:8" x14ac:dyDescent="0.25">
      <c r="B16" s="829">
        <v>3</v>
      </c>
      <c r="C16" s="831" t="str">
        <f>'UMUM rinci'!C26:K26</f>
        <v>BIAYA ADMINISTRASI BANK</v>
      </c>
      <c r="D16" s="834">
        <f>'UMUM rinci'!L26</f>
        <v>12000000</v>
      </c>
      <c r="E16" s="834">
        <f>'UMUM rinci'!M26</f>
        <v>1627000</v>
      </c>
      <c r="F16" s="834">
        <f>'UMUM rinci'!N26</f>
        <v>2897000</v>
      </c>
      <c r="G16" s="838">
        <f t="shared" si="0"/>
        <v>9103000</v>
      </c>
      <c r="H16" s="840" t="str">
        <f t="shared" si="1"/>
        <v>BERTAMBAH</v>
      </c>
    </row>
    <row r="17" spans="2:11" x14ac:dyDescent="0.25">
      <c r="B17" s="829">
        <v>4</v>
      </c>
      <c r="C17" s="831" t="str">
        <f>'UMUM rinci'!C30:K30</f>
        <v>BIAYA SOSIALISASI</v>
      </c>
      <c r="D17" s="834">
        <f>'UMUM rinci'!L30</f>
        <v>119256000</v>
      </c>
      <c r="E17" s="834">
        <f>'UMUM rinci'!M30</f>
        <v>17008200</v>
      </c>
      <c r="F17" s="834">
        <f>'UMUM rinci'!N30</f>
        <v>58500000</v>
      </c>
      <c r="G17" s="838">
        <f t="shared" si="0"/>
        <v>60756000</v>
      </c>
      <c r="H17" s="573" t="str">
        <f t="shared" si="1"/>
        <v>BERTAMBAH</v>
      </c>
    </row>
    <row r="18" spans="2:11" x14ac:dyDescent="0.25">
      <c r="B18" s="829">
        <v>5</v>
      </c>
      <c r="C18" s="831" t="s">
        <v>750</v>
      </c>
      <c r="D18" s="834">
        <f>'UMUM rinci'!L36</f>
        <v>25143680</v>
      </c>
      <c r="E18" s="834">
        <f>'UMUM rinci'!M36</f>
        <v>24856320</v>
      </c>
      <c r="F18" s="834">
        <f>'UMUM rinci'!N36</f>
        <v>50000000</v>
      </c>
      <c r="G18" s="838">
        <f t="shared" si="0"/>
        <v>-24856320</v>
      </c>
      <c r="H18" s="573" t="str">
        <f t="shared" si="1"/>
        <v>BERKURANG</v>
      </c>
    </row>
    <row r="19" spans="2:11" x14ac:dyDescent="0.25">
      <c r="B19" s="829">
        <v>6</v>
      </c>
      <c r="C19" s="831" t="str">
        <f>'UMUM rinci'!C40:K40</f>
        <v>BIAYA MEDIA CETAK DAN ELEKTRONIK</v>
      </c>
      <c r="D19" s="834">
        <f>'UMUM rinci'!L40</f>
        <v>512000000</v>
      </c>
      <c r="E19" s="834">
        <f>'UMUM rinci'!M40</f>
        <v>147305000</v>
      </c>
      <c r="F19" s="834">
        <f>'UMUM rinci'!N40</f>
        <v>330370000</v>
      </c>
      <c r="G19" s="838">
        <f t="shared" si="0"/>
        <v>181630000</v>
      </c>
      <c r="H19" s="840" t="str">
        <f t="shared" si="1"/>
        <v>BERTAMBAH</v>
      </c>
    </row>
    <row r="20" spans="2:11" x14ac:dyDescent="0.25">
      <c r="B20" s="829">
        <v>7</v>
      </c>
      <c r="C20" s="831" t="s">
        <v>367</v>
      </c>
      <c r="D20" s="834">
        <f>'UMUM rinci'!L50</f>
        <v>24000000</v>
      </c>
      <c r="E20" s="834">
        <f>'UMUM rinci'!M50</f>
        <v>0</v>
      </c>
      <c r="F20" s="834">
        <f>'UMUM rinci'!N50</f>
        <v>3250000</v>
      </c>
      <c r="G20" s="838">
        <f t="shared" si="0"/>
        <v>20750000</v>
      </c>
      <c r="H20" s="840" t="str">
        <f t="shared" si="1"/>
        <v>BERTAMBAH</v>
      </c>
    </row>
    <row r="21" spans="2:11" x14ac:dyDescent="0.25">
      <c r="B21" s="829">
        <v>8</v>
      </c>
      <c r="C21" s="831" t="s">
        <v>751</v>
      </c>
      <c r="D21" s="834">
        <f>'UMUM rinci'!L56</f>
        <v>60000000</v>
      </c>
      <c r="E21" s="834">
        <f>'UMUM rinci'!M56</f>
        <v>8500000</v>
      </c>
      <c r="F21" s="834">
        <f>'UMUM rinci'!N56</f>
        <v>41000000</v>
      </c>
      <c r="G21" s="838">
        <f t="shared" si="0"/>
        <v>19000000</v>
      </c>
      <c r="H21" s="840" t="str">
        <f t="shared" si="1"/>
        <v>BERTAMBAH</v>
      </c>
    </row>
    <row r="22" spans="2:11" x14ac:dyDescent="0.25">
      <c r="B22" s="829">
        <v>9</v>
      </c>
      <c r="C22" s="831" t="s">
        <v>375</v>
      </c>
      <c r="D22" s="834">
        <v>83000000</v>
      </c>
      <c r="E22" s="834">
        <v>49990820</v>
      </c>
      <c r="F22" s="834">
        <v>71019820</v>
      </c>
      <c r="G22" s="838">
        <f t="shared" si="0"/>
        <v>11980180</v>
      </c>
      <c r="H22" s="840" t="str">
        <f t="shared" si="1"/>
        <v>BERTAMBAH</v>
      </c>
      <c r="I22" s="782"/>
      <c r="J22" s="782"/>
      <c r="K22" s="782"/>
    </row>
    <row r="23" spans="2:11" x14ac:dyDescent="0.25">
      <c r="B23" s="829">
        <v>11</v>
      </c>
      <c r="C23" s="831" t="str">
        <f>'UMUM rinci'!C71:K71</f>
        <v>BIAYA PEMELIHARAAN KANTOR</v>
      </c>
      <c r="D23" s="834">
        <f>'UMUM rinci'!L71</f>
        <v>160000000</v>
      </c>
      <c r="E23" s="834">
        <f>'UMUM rinci'!M71</f>
        <v>46204814</v>
      </c>
      <c r="F23" s="834">
        <f>'UMUM rinci'!N71</f>
        <v>125000000</v>
      </c>
      <c r="G23" s="838">
        <f t="shared" si="0"/>
        <v>35000000</v>
      </c>
      <c r="H23" s="840" t="str">
        <f t="shared" si="1"/>
        <v>BERTAMBAH</v>
      </c>
    </row>
    <row r="24" spans="2:11" x14ac:dyDescent="0.25">
      <c r="B24" s="829">
        <v>12</v>
      </c>
      <c r="C24" s="831" t="str">
        <f>'UMUM rinci'!C76:K76</f>
        <v>BIAYA PEMELIHARAAN INVENTARIS KANTOR</v>
      </c>
      <c r="D24" s="834">
        <f>'UMUM rinci'!L76</f>
        <v>18720000</v>
      </c>
      <c r="E24" s="834">
        <f>'UMUM rinci'!M76</f>
        <v>14420000</v>
      </c>
      <c r="F24" s="834">
        <f>'UMUM rinci'!N76</f>
        <v>17875000</v>
      </c>
      <c r="G24" s="838">
        <f t="shared" si="0"/>
        <v>845000</v>
      </c>
      <c r="H24" s="574" t="str">
        <f t="shared" si="1"/>
        <v>BERTAMBAH</v>
      </c>
    </row>
    <row r="25" spans="2:11" x14ac:dyDescent="0.25">
      <c r="B25" s="829">
        <v>13</v>
      </c>
      <c r="C25" s="831" t="s">
        <v>749</v>
      </c>
      <c r="D25" s="834">
        <v>93600000</v>
      </c>
      <c r="E25" s="834">
        <v>75400663</v>
      </c>
      <c r="F25" s="834">
        <v>86943709</v>
      </c>
      <c r="G25" s="838">
        <f t="shared" si="0"/>
        <v>6656291</v>
      </c>
      <c r="H25" s="840" t="str">
        <f t="shared" si="1"/>
        <v>BERTAMBAH</v>
      </c>
    </row>
    <row r="26" spans="2:11" x14ac:dyDescent="0.25">
      <c r="B26" s="829">
        <v>14</v>
      </c>
      <c r="C26" s="831" t="str">
        <f>'UMUM rinci'!C89:K89</f>
        <v xml:space="preserve">BIAYA TAMU </v>
      </c>
      <c r="D26" s="834">
        <f>'UMUM rinci'!L89</f>
        <v>227400000</v>
      </c>
      <c r="E26" s="834">
        <f>'UMUM rinci'!M89</f>
        <v>89898173</v>
      </c>
      <c r="F26" s="834">
        <f>'UMUM rinci'!N89</f>
        <v>149802426</v>
      </c>
      <c r="G26" s="838">
        <f t="shared" si="0"/>
        <v>77597574</v>
      </c>
      <c r="H26" s="574" t="str">
        <f t="shared" si="1"/>
        <v>BERTAMBAH</v>
      </c>
    </row>
    <row r="27" spans="2:11" x14ac:dyDescent="0.25">
      <c r="B27" s="829">
        <v>15</v>
      </c>
      <c r="C27" s="831" t="str">
        <f>'UMUM rinci'!C100:K100</f>
        <v>GATHERING FAMILI</v>
      </c>
      <c r="D27" s="834">
        <f>'UMUM rinci'!L100</f>
        <v>0</v>
      </c>
      <c r="E27" s="834">
        <f>'UMUM rinci'!M100</f>
        <v>0</v>
      </c>
      <c r="F27" s="834">
        <f>'UMUM rinci'!N100</f>
        <v>80000000</v>
      </c>
      <c r="G27" s="838">
        <f t="shared" si="0"/>
        <v>-80000000</v>
      </c>
      <c r="H27" s="573" t="str">
        <f t="shared" si="1"/>
        <v>BERKURANG</v>
      </c>
    </row>
    <row r="28" spans="2:11" x14ac:dyDescent="0.25">
      <c r="B28" s="829">
        <v>16</v>
      </c>
      <c r="C28" s="831" t="str">
        <f>'UMUM rinci'!C105:K105</f>
        <v xml:space="preserve">BIAYA PERALATAN DAN PERLENGKAPAN KANTOR </v>
      </c>
      <c r="D28" s="834">
        <f>'UMUM rinci'!L105</f>
        <v>96000000</v>
      </c>
      <c r="E28" s="834">
        <f>'UMUM rinci'!M105</f>
        <v>43378269</v>
      </c>
      <c r="F28" s="834">
        <f>'UMUM rinci'!N105</f>
        <v>63943022</v>
      </c>
      <c r="G28" s="838">
        <f t="shared" si="0"/>
        <v>32056978</v>
      </c>
      <c r="H28" s="840" t="str">
        <f t="shared" si="1"/>
        <v>BERTAMBAH</v>
      </c>
    </row>
    <row r="29" spans="2:11" x14ac:dyDescent="0.25">
      <c r="B29" s="829">
        <v>17</v>
      </c>
      <c r="C29" s="831" t="str">
        <f>'UMUM rinci'!C109:K109</f>
        <v>BIAYA PERJALANAN DINAS LUAR KOTA</v>
      </c>
      <c r="D29" s="834">
        <f>'UMUM rinci'!L109</f>
        <v>595000000</v>
      </c>
      <c r="E29" s="834">
        <f>'UMUM rinci'!M109</f>
        <v>69601700</v>
      </c>
      <c r="F29" s="834">
        <f>'UMUM rinci'!N109</f>
        <v>154071700</v>
      </c>
      <c r="G29" s="838">
        <f t="shared" si="0"/>
        <v>440928300</v>
      </c>
      <c r="H29" s="574" t="str">
        <f t="shared" si="1"/>
        <v>BERTAMBAH</v>
      </c>
    </row>
    <row r="30" spans="2:11" x14ac:dyDescent="0.25">
      <c r="B30" s="829">
        <v>18</v>
      </c>
      <c r="C30" s="831" t="str">
        <f>'UMUM rinci'!C114:K114</f>
        <v>BIAYA PAKAIAN DINAS</v>
      </c>
      <c r="D30" s="834">
        <f>'UMUM rinci'!L114</f>
        <v>139480000</v>
      </c>
      <c r="E30" s="834">
        <f>'UMUM rinci'!M114</f>
        <v>128804400</v>
      </c>
      <c r="F30" s="834">
        <f>'UMUM rinci'!N114</f>
        <v>129000000</v>
      </c>
      <c r="G30" s="838">
        <f t="shared" si="0"/>
        <v>10480000</v>
      </c>
      <c r="H30" s="573" t="str">
        <f t="shared" si="1"/>
        <v>BERTAMBAH</v>
      </c>
    </row>
    <row r="31" spans="2:11" x14ac:dyDescent="0.25">
      <c r="B31" s="829">
        <v>19</v>
      </c>
      <c r="C31" s="831" t="str">
        <f>'UMUM rinci'!C129:K129</f>
        <v>BIAYA ASSESMENT PEGAWAI</v>
      </c>
      <c r="D31" s="834">
        <f>'UMUM rinci'!L129</f>
        <v>0</v>
      </c>
      <c r="E31" s="834">
        <f>'UMUM rinci'!M129</f>
        <v>132000000</v>
      </c>
      <c r="F31" s="834">
        <f>'UMUM rinci'!N129</f>
        <v>132000000</v>
      </c>
      <c r="G31" s="838">
        <f t="shared" si="0"/>
        <v>-132000000</v>
      </c>
      <c r="H31" s="573" t="str">
        <f t="shared" si="1"/>
        <v>BERKURANG</v>
      </c>
    </row>
    <row r="32" spans="2:11" x14ac:dyDescent="0.25">
      <c r="B32" s="829">
        <v>20</v>
      </c>
      <c r="C32" s="831" t="str">
        <f>'UMUM rinci'!C133:K133</f>
        <v>BIAYA PEMBINAAN KEAGAMAAN DAN OLAHRAGA</v>
      </c>
      <c r="D32" s="834">
        <f>'UMUM rinci'!L133</f>
        <v>36000000</v>
      </c>
      <c r="E32" s="834">
        <f>'UMUM rinci'!M133</f>
        <v>7223000</v>
      </c>
      <c r="F32" s="834">
        <f>'UMUM rinci'!N133</f>
        <v>18345000</v>
      </c>
      <c r="G32" s="838">
        <f t="shared" si="0"/>
        <v>17655000</v>
      </c>
      <c r="H32" s="840" t="str">
        <f t="shared" si="1"/>
        <v>BERTAMBAH</v>
      </c>
    </row>
    <row r="33" spans="2:10" x14ac:dyDescent="0.25">
      <c r="B33" s="829">
        <v>21</v>
      </c>
      <c r="C33" s="831" t="s">
        <v>752</v>
      </c>
      <c r="D33" s="834">
        <v>150000000</v>
      </c>
      <c r="E33" s="834">
        <f>'UMUM rinci'!M138</f>
        <v>41235500</v>
      </c>
      <c r="F33" s="834">
        <f>'UMUM rinci'!N138</f>
        <v>92389500</v>
      </c>
      <c r="G33" s="838">
        <f t="shared" si="0"/>
        <v>57610500</v>
      </c>
      <c r="H33" s="574" t="str">
        <f t="shared" si="1"/>
        <v>BERTAMBAH</v>
      </c>
    </row>
    <row r="34" spans="2:10" x14ac:dyDescent="0.25">
      <c r="B34" s="829">
        <v>22</v>
      </c>
      <c r="C34" s="831" t="str">
        <f>'UMUM rinci'!C145:K145</f>
        <v>BIAYA INSENTIF PENYUSUNAN RKAP POKOK DAN PERUBAHAN 2023</v>
      </c>
      <c r="D34" s="834">
        <f>'UMUM rinci'!L145</f>
        <v>4800000</v>
      </c>
      <c r="E34" s="834">
        <f>'UMUM rinci'!M145</f>
        <v>0</v>
      </c>
      <c r="F34" s="834">
        <f>'UMUM rinci'!N145</f>
        <v>5100000</v>
      </c>
      <c r="G34" s="838">
        <f t="shared" si="0"/>
        <v>-300000</v>
      </c>
      <c r="H34" s="573" t="str">
        <f t="shared" si="1"/>
        <v>BERKURANG</v>
      </c>
    </row>
    <row r="35" spans="2:10" x14ac:dyDescent="0.25">
      <c r="B35" s="829">
        <v>23</v>
      </c>
      <c r="C35" s="831" t="str">
        <f>'UMUM rinci'!C160:K160</f>
        <v>BIAYA JASA AUDIT</v>
      </c>
      <c r="D35" s="834">
        <f>'UMUM rinci'!L160</f>
        <v>65500000</v>
      </c>
      <c r="E35" s="834">
        <f>'UMUM rinci'!M160</f>
        <v>60500000</v>
      </c>
      <c r="F35" s="834">
        <f>'UMUM rinci'!N160</f>
        <v>60500000</v>
      </c>
      <c r="G35" s="838">
        <f t="shared" si="0"/>
        <v>5000000</v>
      </c>
      <c r="H35" s="840" t="str">
        <f t="shared" si="1"/>
        <v>BERTAMBAH</v>
      </c>
    </row>
    <row r="36" spans="2:10" x14ac:dyDescent="0.25">
      <c r="B36" s="829">
        <v>24</v>
      </c>
      <c r="C36" s="831" t="str">
        <f>'UMUM rinci'!C164:K164</f>
        <v>PENSIUN, REWARD DAN PENGHARGAAN</v>
      </c>
      <c r="D36" s="834">
        <f>'UMUM rinci'!L164</f>
        <v>485000000</v>
      </c>
      <c r="E36" s="834">
        <f>'UMUM rinci'!M164</f>
        <v>6550288</v>
      </c>
      <c r="F36" s="836">
        <f>'UMUM rinci'!N164</f>
        <v>16550288</v>
      </c>
      <c r="G36" s="838">
        <f t="shared" si="0"/>
        <v>468449712</v>
      </c>
      <c r="H36" s="573" t="str">
        <f t="shared" si="1"/>
        <v>BERTAMBAH</v>
      </c>
    </row>
    <row r="37" spans="2:10" x14ac:dyDescent="0.25">
      <c r="B37" s="829">
        <v>25</v>
      </c>
      <c r="C37" s="832" t="str">
        <f>'UMUM rinci'!C169:K169</f>
        <v>BIAYA PENYUSUNAN PERATURAN, KEBIJAKAN AKUNTANSI DAN SOP</v>
      </c>
      <c r="D37" s="835">
        <f>'UMUM rinci'!L169</f>
        <v>150000000</v>
      </c>
      <c r="E37" s="835">
        <f>'UMUM rinci'!M169</f>
        <v>0</v>
      </c>
      <c r="F37" s="459">
        <f>'UMUM rinci'!N169</f>
        <v>286400000</v>
      </c>
      <c r="G37" s="838">
        <f t="shared" si="0"/>
        <v>-136400000</v>
      </c>
      <c r="H37" s="1126" t="str">
        <f t="shared" si="1"/>
        <v>BERKURANG</v>
      </c>
    </row>
    <row r="38" spans="2:10" ht="15.75" thickBot="1" x14ac:dyDescent="0.3">
      <c r="B38" s="1287" t="s">
        <v>455</v>
      </c>
      <c r="C38" s="1288"/>
      <c r="D38" s="907">
        <f>SUM(D14:D37)</f>
        <v>3505699680</v>
      </c>
      <c r="E38" s="908">
        <f>SUM(E14:E37)</f>
        <v>1183504147</v>
      </c>
      <c r="F38" s="908">
        <f>SUM(F14:F37)</f>
        <v>2297757465</v>
      </c>
      <c r="G38" s="528">
        <f>F38-D38</f>
        <v>-1207942215</v>
      </c>
      <c r="H38" s="1127" t="str">
        <f t="shared" si="1"/>
        <v>BERKURANG</v>
      </c>
    </row>
    <row r="39" spans="2:10" x14ac:dyDescent="0.25">
      <c r="B39" s="454"/>
      <c r="C39" s="455"/>
      <c r="D39" s="457"/>
      <c r="E39" s="457"/>
      <c r="F39" s="457"/>
      <c r="G39" s="458"/>
      <c r="H39" s="351"/>
    </row>
    <row r="40" spans="2:10" ht="16.5" x14ac:dyDescent="0.3">
      <c r="B40" s="454"/>
      <c r="F40" s="1405" t="s">
        <v>733</v>
      </c>
      <c r="G40" s="1405"/>
      <c r="I40" s="806"/>
      <c r="J40" s="806"/>
    </row>
    <row r="41" spans="2:10" ht="16.5" x14ac:dyDescent="0.3">
      <c r="B41" s="454"/>
      <c r="C41" s="810" t="s">
        <v>517</v>
      </c>
      <c r="F41" s="1407" t="s">
        <v>515</v>
      </c>
      <c r="G41" s="1407"/>
      <c r="I41" s="813"/>
      <c r="J41" s="813"/>
    </row>
    <row r="42" spans="2:10" ht="16.5" x14ac:dyDescent="0.3">
      <c r="B42" s="454"/>
      <c r="C42" s="456" t="s">
        <v>94</v>
      </c>
      <c r="F42" s="1405" t="s">
        <v>94</v>
      </c>
      <c r="G42" s="1405"/>
      <c r="I42" s="806"/>
      <c r="J42" s="806"/>
    </row>
    <row r="43" spans="2:10" x14ac:dyDescent="0.25">
      <c r="B43" s="454"/>
      <c r="E43" s="456"/>
      <c r="F43" s="456"/>
      <c r="G43" s="456"/>
      <c r="J43" s="82"/>
    </row>
    <row r="44" spans="2:10" x14ac:dyDescent="0.25">
      <c r="B44" s="454"/>
      <c r="E44" s="456"/>
      <c r="F44" s="456"/>
      <c r="G44" s="456"/>
      <c r="J44" s="82"/>
    </row>
    <row r="45" spans="2:10" x14ac:dyDescent="0.25">
      <c r="B45" s="454"/>
      <c r="E45" s="456"/>
      <c r="F45" s="456"/>
      <c r="G45" s="456"/>
      <c r="J45" s="82"/>
    </row>
    <row r="46" spans="2:10" ht="16.5" x14ac:dyDescent="0.3">
      <c r="B46" s="454"/>
      <c r="C46" s="811" t="s">
        <v>518</v>
      </c>
      <c r="F46" s="1406" t="s">
        <v>516</v>
      </c>
      <c r="G46" s="1406"/>
      <c r="I46" s="812"/>
      <c r="J46" s="812"/>
    </row>
    <row r="47" spans="2:10" ht="16.5" x14ac:dyDescent="0.3">
      <c r="B47" s="454"/>
      <c r="C47" s="456" t="s">
        <v>519</v>
      </c>
      <c r="F47" s="1405" t="s">
        <v>248</v>
      </c>
      <c r="G47" s="1405"/>
      <c r="I47" s="806"/>
      <c r="J47" s="806"/>
    </row>
    <row r="48" spans="2:10" x14ac:dyDescent="0.25">
      <c r="B48" s="454"/>
      <c r="C48" s="455"/>
      <c r="D48" s="457"/>
      <c r="E48" s="457"/>
      <c r="F48" s="457"/>
      <c r="G48" s="458"/>
      <c r="H48" s="351"/>
    </row>
    <row r="49" spans="2:8" x14ac:dyDescent="0.25">
      <c r="B49" s="454"/>
      <c r="C49" s="455"/>
      <c r="D49" s="457"/>
      <c r="E49" s="457"/>
      <c r="F49" s="457"/>
      <c r="G49" s="458"/>
      <c r="H49" s="351"/>
    </row>
    <row r="50" spans="2:8" x14ac:dyDescent="0.25">
      <c r="B50" s="454"/>
      <c r="C50" s="455"/>
      <c r="D50" s="457"/>
      <c r="E50" s="457"/>
      <c r="F50" s="457"/>
      <c r="G50" s="458"/>
      <c r="H50" s="351"/>
    </row>
    <row r="51" spans="2:8" x14ac:dyDescent="0.25">
      <c r="B51" s="454"/>
      <c r="C51" s="455"/>
      <c r="D51" s="457"/>
      <c r="E51" s="457"/>
      <c r="F51" s="457"/>
      <c r="G51" s="458"/>
      <c r="H51" s="351"/>
    </row>
    <row r="52" spans="2:8" x14ac:dyDescent="0.25">
      <c r="B52" s="454"/>
      <c r="C52" s="455"/>
      <c r="D52" s="457"/>
      <c r="E52" s="457"/>
      <c r="F52" s="457"/>
      <c r="G52" s="458"/>
      <c r="H52" s="351"/>
    </row>
    <row r="53" spans="2:8" x14ac:dyDescent="0.25">
      <c r="B53" s="454"/>
      <c r="C53" s="455"/>
      <c r="D53" s="457"/>
      <c r="E53" s="457"/>
      <c r="F53" s="457"/>
      <c r="G53" s="458"/>
      <c r="H53" s="351"/>
    </row>
    <row r="54" spans="2:8" x14ac:dyDescent="0.25">
      <c r="B54" s="454"/>
      <c r="C54" s="455"/>
      <c r="D54" s="457"/>
      <c r="E54" s="457"/>
      <c r="F54" s="457"/>
      <c r="G54" s="458"/>
      <c r="H54" s="351"/>
    </row>
    <row r="55" spans="2:8" x14ac:dyDescent="0.25">
      <c r="B55" s="454"/>
      <c r="C55" s="455"/>
      <c r="D55" s="457"/>
      <c r="E55" s="457"/>
      <c r="F55" s="457"/>
      <c r="G55" s="458"/>
      <c r="H55" s="351"/>
    </row>
    <row r="56" spans="2:8" x14ac:dyDescent="0.25">
      <c r="B56" s="454"/>
      <c r="C56" s="455"/>
      <c r="D56" s="457"/>
      <c r="E56" s="457"/>
      <c r="F56" s="457"/>
      <c r="G56" s="458"/>
      <c r="H56" s="351"/>
    </row>
    <row r="57" spans="2:8" x14ac:dyDescent="0.25">
      <c r="B57" s="454"/>
      <c r="C57" s="455"/>
      <c r="D57" s="457"/>
      <c r="E57" s="457"/>
      <c r="F57" s="457"/>
      <c r="G57" s="458"/>
      <c r="H57" s="351"/>
    </row>
    <row r="58" spans="2:8" x14ac:dyDescent="0.25">
      <c r="B58" s="454"/>
      <c r="C58" s="455"/>
      <c r="D58" s="457"/>
      <c r="E58" s="457"/>
      <c r="F58" s="457"/>
      <c r="G58" s="458"/>
      <c r="H58" s="351"/>
    </row>
    <row r="59" spans="2:8" x14ac:dyDescent="0.25">
      <c r="B59" s="454"/>
      <c r="C59" s="455"/>
      <c r="D59" s="457"/>
      <c r="E59" s="457"/>
      <c r="F59" s="457"/>
      <c r="G59" s="458"/>
      <c r="H59" s="351"/>
    </row>
    <row r="60" spans="2:8" x14ac:dyDescent="0.25">
      <c r="B60" s="454"/>
      <c r="C60" s="455"/>
      <c r="D60" s="457"/>
      <c r="E60" s="457"/>
      <c r="F60" s="457"/>
      <c r="G60" s="458"/>
      <c r="H60" s="351"/>
    </row>
    <row r="61" spans="2:8" x14ac:dyDescent="0.25">
      <c r="B61" s="454"/>
      <c r="C61" s="455"/>
      <c r="D61" s="457"/>
      <c r="E61" s="457"/>
      <c r="F61" s="457"/>
      <c r="G61" s="458"/>
      <c r="H61" s="351"/>
    </row>
    <row r="62" spans="2:8" x14ac:dyDescent="0.25">
      <c r="B62" s="454"/>
      <c r="C62" s="455"/>
      <c r="D62" s="457"/>
      <c r="E62" s="457"/>
      <c r="F62" s="457"/>
      <c r="G62" s="458"/>
      <c r="H62" s="351"/>
    </row>
    <row r="63" spans="2:8" x14ac:dyDescent="0.25">
      <c r="B63" s="454"/>
      <c r="C63" s="455"/>
      <c r="D63" s="457"/>
      <c r="E63" s="457"/>
      <c r="F63" s="457"/>
      <c r="G63" s="458"/>
      <c r="H63" s="351"/>
    </row>
    <row r="64" spans="2:8" x14ac:dyDescent="0.25">
      <c r="B64" s="454"/>
      <c r="C64" s="455"/>
      <c r="D64" s="457"/>
      <c r="E64" s="457"/>
      <c r="F64" s="457"/>
      <c r="G64" s="458"/>
      <c r="H64" s="351"/>
    </row>
    <row r="65" spans="2:8" x14ac:dyDescent="0.25">
      <c r="B65" s="454"/>
      <c r="C65" s="455"/>
      <c r="D65" s="457"/>
      <c r="E65" s="457"/>
      <c r="F65" s="457"/>
      <c r="G65" s="458"/>
      <c r="H65" s="351"/>
    </row>
    <row r="66" spans="2:8" x14ac:dyDescent="0.25">
      <c r="B66" s="454"/>
      <c r="C66" s="455"/>
      <c r="D66" s="457"/>
      <c r="E66" s="457"/>
      <c r="F66" s="457"/>
      <c r="G66" s="458"/>
      <c r="H66" s="351"/>
    </row>
    <row r="67" spans="2:8" x14ac:dyDescent="0.25">
      <c r="B67" s="454"/>
      <c r="C67" s="455"/>
      <c r="D67" s="457"/>
      <c r="E67" s="457"/>
      <c r="F67" s="457"/>
      <c r="G67" s="458"/>
      <c r="H67" s="351"/>
    </row>
    <row r="68" spans="2:8" x14ac:dyDescent="0.25">
      <c r="B68" s="454"/>
      <c r="C68" s="455"/>
      <c r="D68" s="457"/>
      <c r="E68" s="457"/>
      <c r="F68" s="457"/>
      <c r="G68" s="458"/>
      <c r="H68" s="351"/>
    </row>
    <row r="69" spans="2:8" x14ac:dyDescent="0.25">
      <c r="B69" s="454"/>
      <c r="C69" s="455"/>
      <c r="D69" s="457"/>
      <c r="E69" s="457"/>
      <c r="F69" s="457"/>
      <c r="G69" s="458"/>
      <c r="H69" s="351"/>
    </row>
    <row r="70" spans="2:8" x14ac:dyDescent="0.25">
      <c r="B70" s="454"/>
      <c r="C70" s="455"/>
      <c r="D70" s="457"/>
      <c r="E70" s="457"/>
      <c r="F70" s="457"/>
      <c r="G70" s="458"/>
      <c r="H70" s="351"/>
    </row>
    <row r="71" spans="2:8" x14ac:dyDescent="0.25">
      <c r="B71" s="454"/>
      <c r="C71" s="455"/>
      <c r="D71" s="457"/>
      <c r="E71" s="457"/>
      <c r="F71" s="457"/>
      <c r="G71" s="458"/>
      <c r="H71" s="351"/>
    </row>
    <row r="72" spans="2:8" x14ac:dyDescent="0.25">
      <c r="B72" s="454"/>
      <c r="C72" s="455"/>
      <c r="D72" s="457"/>
      <c r="E72" s="457"/>
      <c r="F72" s="457"/>
      <c r="G72" s="458"/>
      <c r="H72" s="351"/>
    </row>
    <row r="73" spans="2:8" x14ac:dyDescent="0.25">
      <c r="B73" s="454"/>
      <c r="C73" s="455"/>
      <c r="D73" s="457"/>
      <c r="E73" s="457"/>
      <c r="F73" s="457"/>
      <c r="G73" s="458"/>
      <c r="H73" s="351"/>
    </row>
    <row r="74" spans="2:8" x14ac:dyDescent="0.25">
      <c r="B74" s="454"/>
      <c r="C74" s="455"/>
      <c r="D74" s="457"/>
      <c r="E74" s="457"/>
      <c r="F74" s="457"/>
      <c r="G74" s="458"/>
      <c r="H74" s="351"/>
    </row>
    <row r="75" spans="2:8" x14ac:dyDescent="0.25">
      <c r="B75" s="454"/>
      <c r="C75" s="455"/>
      <c r="D75" s="457"/>
      <c r="E75" s="457"/>
      <c r="F75" s="457"/>
      <c r="G75" s="458"/>
      <c r="H75" s="351"/>
    </row>
    <row r="76" spans="2:8" x14ac:dyDescent="0.25">
      <c r="B76" s="454"/>
      <c r="C76" s="455"/>
      <c r="D76" s="457"/>
      <c r="E76" s="457"/>
      <c r="F76" s="457"/>
      <c r="G76" s="458"/>
      <c r="H76" s="351"/>
    </row>
    <row r="77" spans="2:8" x14ac:dyDescent="0.25">
      <c r="B77" s="454"/>
      <c r="C77" s="455"/>
      <c r="D77" s="457"/>
      <c r="E77" s="457"/>
      <c r="F77" s="457"/>
      <c r="G77" s="458"/>
      <c r="H77" s="351"/>
    </row>
    <row r="78" spans="2:8" x14ac:dyDescent="0.25">
      <c r="B78" s="454"/>
      <c r="C78" s="455"/>
      <c r="D78" s="457"/>
      <c r="E78" s="457"/>
      <c r="F78" s="457"/>
      <c r="G78" s="458"/>
      <c r="H78" s="351"/>
    </row>
    <row r="79" spans="2:8" x14ac:dyDescent="0.25">
      <c r="B79" s="454"/>
      <c r="C79" s="455"/>
      <c r="D79" s="457"/>
      <c r="E79" s="457"/>
      <c r="F79" s="457"/>
      <c r="G79" s="458"/>
      <c r="H79" s="351"/>
    </row>
    <row r="80" spans="2:8" x14ac:dyDescent="0.25">
      <c r="B80" s="454"/>
      <c r="C80" s="455"/>
      <c r="D80" s="457"/>
      <c r="E80" s="457"/>
      <c r="F80" s="457"/>
      <c r="G80" s="458"/>
      <c r="H80" s="351"/>
    </row>
    <row r="81" spans="2:8" x14ac:dyDescent="0.25">
      <c r="B81" s="454"/>
      <c r="C81" s="455"/>
      <c r="D81" s="457"/>
      <c r="E81" s="457"/>
      <c r="F81" s="457"/>
      <c r="G81" s="458"/>
      <c r="H81" s="351"/>
    </row>
    <row r="82" spans="2:8" x14ac:dyDescent="0.25">
      <c r="B82" s="454"/>
      <c r="C82" s="455"/>
      <c r="D82" s="457"/>
      <c r="E82" s="457"/>
      <c r="F82" s="457"/>
      <c r="G82" s="458"/>
      <c r="H82" s="351"/>
    </row>
    <row r="83" spans="2:8" x14ac:dyDescent="0.25">
      <c r="B83" s="454"/>
      <c r="C83" s="455"/>
      <c r="D83" s="457"/>
      <c r="E83" s="457"/>
      <c r="F83" s="457"/>
      <c r="G83" s="458"/>
      <c r="H83" s="351"/>
    </row>
    <row r="84" spans="2:8" x14ac:dyDescent="0.25">
      <c r="B84" s="454"/>
      <c r="C84" s="455"/>
      <c r="D84" s="457"/>
      <c r="E84" s="457"/>
      <c r="F84" s="457"/>
      <c r="G84" s="458"/>
      <c r="H84" s="351"/>
    </row>
    <row r="85" spans="2:8" x14ac:dyDescent="0.25">
      <c r="B85" s="454"/>
      <c r="C85" s="455"/>
      <c r="D85" s="457"/>
      <c r="E85" s="457"/>
      <c r="F85" s="457"/>
      <c r="G85" s="458"/>
      <c r="H85" s="351"/>
    </row>
    <row r="86" spans="2:8" x14ac:dyDescent="0.25">
      <c r="B86" s="454"/>
      <c r="C86" s="455"/>
      <c r="D86" s="457"/>
      <c r="E86" s="457"/>
      <c r="F86" s="457"/>
      <c r="G86" s="458"/>
      <c r="H86" s="351"/>
    </row>
    <row r="87" spans="2:8" x14ac:dyDescent="0.25">
      <c r="B87" s="454"/>
      <c r="C87" s="455"/>
      <c r="D87" s="457"/>
      <c r="E87" s="457"/>
      <c r="F87" s="457"/>
      <c r="G87" s="458"/>
      <c r="H87" s="351"/>
    </row>
    <row r="88" spans="2:8" x14ac:dyDescent="0.25">
      <c r="B88" s="454"/>
      <c r="C88" s="455"/>
      <c r="D88" s="457"/>
      <c r="E88" s="457"/>
      <c r="F88" s="457"/>
      <c r="G88" s="457"/>
      <c r="H88" s="351"/>
    </row>
    <row r="89" spans="2:8" x14ac:dyDescent="0.25">
      <c r="B89" s="454"/>
      <c r="C89" s="455"/>
      <c r="D89" s="457"/>
      <c r="E89" s="457"/>
      <c r="F89" s="457"/>
      <c r="G89" s="457"/>
      <c r="H89" s="351"/>
    </row>
    <row r="90" spans="2:8" x14ac:dyDescent="0.25">
      <c r="B90" s="454"/>
      <c r="C90" s="455"/>
      <c r="D90" s="457"/>
      <c r="E90" s="457"/>
      <c r="F90" s="457"/>
      <c r="G90" s="457"/>
      <c r="H90" s="351"/>
    </row>
    <row r="91" spans="2:8" x14ac:dyDescent="0.25">
      <c r="B91" s="454"/>
      <c r="C91" s="455"/>
      <c r="D91" s="457"/>
      <c r="E91" s="457"/>
      <c r="F91" s="457"/>
      <c r="G91" s="457"/>
      <c r="H91" s="351"/>
    </row>
    <row r="92" spans="2:8" x14ac:dyDescent="0.25">
      <c r="B92" s="454"/>
      <c r="C92" s="455"/>
      <c r="D92" s="457"/>
      <c r="E92" s="457"/>
      <c r="F92" s="457"/>
      <c r="G92" s="457"/>
      <c r="H92" s="351"/>
    </row>
    <row r="93" spans="2:8" x14ac:dyDescent="0.25">
      <c r="B93" s="454"/>
      <c r="C93" s="455"/>
      <c r="D93" s="457"/>
      <c r="E93" s="457"/>
      <c r="F93" s="457"/>
      <c r="G93" s="457"/>
      <c r="H93" s="351"/>
    </row>
    <row r="94" spans="2:8" x14ac:dyDescent="0.25">
      <c r="B94" s="454"/>
      <c r="C94" s="455"/>
      <c r="D94" s="457"/>
      <c r="E94" s="457"/>
      <c r="F94" s="457"/>
      <c r="G94" s="457"/>
      <c r="H94" s="351"/>
    </row>
    <row r="95" spans="2:8" x14ac:dyDescent="0.25">
      <c r="B95" s="454"/>
      <c r="C95" s="455"/>
      <c r="D95" s="345"/>
      <c r="E95" s="345"/>
      <c r="F95" s="345"/>
      <c r="G95" s="345"/>
    </row>
    <row r="96" spans="2:8" x14ac:dyDescent="0.25">
      <c r="B96" s="454"/>
      <c r="C96" s="455"/>
      <c r="D96" s="345"/>
      <c r="E96" s="345"/>
      <c r="F96" s="345"/>
      <c r="G96" s="345"/>
    </row>
    <row r="97" spans="2:7" x14ac:dyDescent="0.25">
      <c r="B97" s="454"/>
      <c r="C97" s="455"/>
      <c r="D97" s="345"/>
      <c r="E97" s="345"/>
      <c r="F97" s="345"/>
      <c r="G97" s="345"/>
    </row>
    <row r="98" spans="2:7" x14ac:dyDescent="0.25">
      <c r="B98" s="454"/>
      <c r="C98" s="455"/>
      <c r="D98" s="345"/>
      <c r="E98" s="345"/>
      <c r="F98" s="345"/>
      <c r="G98" s="345"/>
    </row>
    <row r="99" spans="2:7" x14ac:dyDescent="0.25">
      <c r="B99" s="454"/>
      <c r="C99" s="455"/>
      <c r="D99" s="345"/>
      <c r="E99" s="345"/>
      <c r="F99" s="345"/>
      <c r="G99" s="345"/>
    </row>
    <row r="100" spans="2:7" x14ac:dyDescent="0.25">
      <c r="B100" s="454"/>
      <c r="C100" s="455"/>
      <c r="D100" s="345"/>
      <c r="E100" s="345"/>
      <c r="F100" s="345"/>
      <c r="G100" s="345"/>
    </row>
    <row r="101" spans="2:7" x14ac:dyDescent="0.25">
      <c r="B101" s="454"/>
      <c r="C101" s="455"/>
      <c r="D101" s="345"/>
      <c r="E101" s="345"/>
      <c r="F101" s="345"/>
      <c r="G101" s="345"/>
    </row>
    <row r="102" spans="2:7" x14ac:dyDescent="0.25">
      <c r="B102" s="454"/>
      <c r="C102" s="455"/>
      <c r="D102" s="345"/>
      <c r="E102" s="345"/>
      <c r="F102" s="345"/>
      <c r="G102" s="345"/>
    </row>
    <row r="103" spans="2:7" x14ac:dyDescent="0.25">
      <c r="B103" s="454"/>
      <c r="C103" s="455"/>
      <c r="D103" s="345"/>
      <c r="E103" s="345"/>
      <c r="F103" s="345"/>
      <c r="G103" s="345"/>
    </row>
    <row r="104" spans="2:7" x14ac:dyDescent="0.25">
      <c r="B104" s="454"/>
      <c r="C104" s="455"/>
      <c r="D104" s="345"/>
      <c r="E104" s="345"/>
      <c r="F104" s="345"/>
      <c r="G104" s="345"/>
    </row>
    <row r="105" spans="2:7" x14ac:dyDescent="0.25">
      <c r="B105" s="454"/>
      <c r="C105" s="455"/>
      <c r="D105" s="345"/>
      <c r="E105" s="345"/>
      <c r="F105" s="345"/>
      <c r="G105" s="345"/>
    </row>
    <row r="106" spans="2:7" x14ac:dyDescent="0.25">
      <c r="B106" s="454"/>
      <c r="C106" s="455"/>
      <c r="D106" s="345"/>
      <c r="E106" s="345"/>
      <c r="F106" s="345"/>
      <c r="G106" s="345"/>
    </row>
    <row r="107" spans="2:7" x14ac:dyDescent="0.25">
      <c r="B107" s="454"/>
      <c r="C107" s="455"/>
      <c r="D107" s="345"/>
      <c r="E107" s="345"/>
      <c r="F107" s="345"/>
      <c r="G107" s="345"/>
    </row>
    <row r="108" spans="2:7" x14ac:dyDescent="0.25">
      <c r="B108" s="454"/>
      <c r="C108" s="455"/>
      <c r="D108" s="345"/>
      <c r="E108" s="345"/>
      <c r="F108" s="345"/>
      <c r="G108" s="345"/>
    </row>
    <row r="109" spans="2:7" x14ac:dyDescent="0.25">
      <c r="B109" s="454"/>
      <c r="C109" s="455"/>
      <c r="D109" s="345"/>
      <c r="E109" s="345"/>
      <c r="F109" s="345"/>
      <c r="G109" s="345"/>
    </row>
    <row r="110" spans="2:7" x14ac:dyDescent="0.25">
      <c r="B110" s="454"/>
      <c r="C110" s="455"/>
      <c r="D110" s="345"/>
      <c r="E110" s="345"/>
      <c r="F110" s="345"/>
      <c r="G110" s="345"/>
    </row>
    <row r="111" spans="2:7" x14ac:dyDescent="0.25">
      <c r="B111" s="454"/>
      <c r="C111" s="455"/>
      <c r="D111" s="345"/>
      <c r="E111" s="345"/>
      <c r="F111" s="345"/>
      <c r="G111" s="345"/>
    </row>
    <row r="112" spans="2:7" x14ac:dyDescent="0.25">
      <c r="B112" s="454"/>
      <c r="C112" s="455"/>
      <c r="D112" s="345"/>
      <c r="E112" s="345"/>
      <c r="F112" s="345"/>
      <c r="G112" s="345"/>
    </row>
    <row r="113" spans="2:7" x14ac:dyDescent="0.25">
      <c r="B113" s="454"/>
      <c r="C113" s="455"/>
      <c r="D113" s="345"/>
      <c r="E113" s="345"/>
      <c r="F113" s="345"/>
      <c r="G113" s="345"/>
    </row>
    <row r="114" spans="2:7" x14ac:dyDescent="0.25">
      <c r="B114" s="454"/>
      <c r="C114" s="455"/>
      <c r="D114" s="345"/>
      <c r="E114" s="345"/>
      <c r="F114" s="345"/>
      <c r="G114" s="345"/>
    </row>
    <row r="115" spans="2:7" x14ac:dyDescent="0.25">
      <c r="B115" s="454"/>
      <c r="C115" s="455"/>
      <c r="D115" s="345"/>
      <c r="E115" s="345"/>
      <c r="F115" s="345"/>
      <c r="G115" s="345"/>
    </row>
    <row r="116" spans="2:7" x14ac:dyDescent="0.25">
      <c r="B116" s="454"/>
      <c r="C116" s="455"/>
      <c r="D116" s="345"/>
      <c r="E116" s="345"/>
      <c r="F116" s="345"/>
      <c r="G116" s="345"/>
    </row>
    <row r="117" spans="2:7" x14ac:dyDescent="0.25">
      <c r="B117" s="454"/>
      <c r="C117" s="455"/>
      <c r="D117" s="345"/>
      <c r="E117" s="345"/>
      <c r="F117" s="345"/>
      <c r="G117" s="345"/>
    </row>
    <row r="118" spans="2:7" x14ac:dyDescent="0.25">
      <c r="B118" s="454"/>
      <c r="C118" s="455"/>
      <c r="D118" s="345"/>
      <c r="E118" s="345"/>
      <c r="F118" s="345"/>
      <c r="G118" s="345"/>
    </row>
    <row r="119" spans="2:7" x14ac:dyDescent="0.25">
      <c r="B119" s="454"/>
      <c r="C119" s="455"/>
      <c r="D119" s="345"/>
      <c r="E119" s="345"/>
      <c r="F119" s="345"/>
      <c r="G119" s="345"/>
    </row>
    <row r="120" spans="2:7" x14ac:dyDescent="0.25">
      <c r="B120" s="454"/>
      <c r="C120" s="455"/>
      <c r="D120" s="345"/>
      <c r="E120" s="345"/>
      <c r="F120" s="345"/>
      <c r="G120" s="345"/>
    </row>
    <row r="121" spans="2:7" x14ac:dyDescent="0.25">
      <c r="B121" s="454"/>
      <c r="C121" s="455"/>
      <c r="D121" s="345"/>
      <c r="E121" s="345"/>
      <c r="F121" s="345"/>
      <c r="G121" s="345"/>
    </row>
    <row r="122" spans="2:7" x14ac:dyDescent="0.25">
      <c r="B122" s="454"/>
      <c r="C122" s="455"/>
      <c r="D122" s="345"/>
      <c r="E122" s="345"/>
      <c r="F122" s="345"/>
      <c r="G122" s="345"/>
    </row>
    <row r="123" spans="2:7" x14ac:dyDescent="0.25">
      <c r="B123" s="454"/>
      <c r="C123" s="455"/>
      <c r="D123" s="345"/>
      <c r="E123" s="345"/>
      <c r="F123" s="345"/>
      <c r="G123" s="345"/>
    </row>
    <row r="124" spans="2:7" x14ac:dyDescent="0.25">
      <c r="B124" s="454"/>
      <c r="C124" s="455"/>
      <c r="D124" s="345"/>
      <c r="E124" s="345"/>
      <c r="F124" s="345"/>
      <c r="G124" s="345"/>
    </row>
    <row r="125" spans="2:7" x14ac:dyDescent="0.25">
      <c r="B125" s="454"/>
      <c r="C125" s="455"/>
      <c r="D125" s="345"/>
      <c r="E125" s="345"/>
      <c r="F125" s="345"/>
      <c r="G125" s="345"/>
    </row>
    <row r="126" spans="2:7" x14ac:dyDescent="0.25">
      <c r="B126" s="454"/>
      <c r="C126" s="455"/>
      <c r="D126" s="345"/>
      <c r="E126" s="345"/>
      <c r="F126" s="345"/>
      <c r="G126" s="345"/>
    </row>
    <row r="127" spans="2:7" x14ac:dyDescent="0.25">
      <c r="B127" s="454"/>
      <c r="C127" s="455"/>
      <c r="D127" s="345"/>
      <c r="E127" s="345"/>
      <c r="F127" s="345"/>
      <c r="G127" s="345"/>
    </row>
    <row r="128" spans="2:7" x14ac:dyDescent="0.25">
      <c r="B128" s="454"/>
      <c r="C128" s="455"/>
      <c r="D128" s="345"/>
      <c r="E128" s="345"/>
      <c r="F128" s="345"/>
      <c r="G128" s="345"/>
    </row>
    <row r="129" spans="2:7" x14ac:dyDescent="0.25">
      <c r="B129" s="454"/>
      <c r="C129" s="455"/>
      <c r="D129" s="345"/>
      <c r="E129" s="345"/>
      <c r="F129" s="345"/>
      <c r="G129" s="345"/>
    </row>
    <row r="130" spans="2:7" x14ac:dyDescent="0.25">
      <c r="B130" s="454"/>
      <c r="C130" s="455"/>
      <c r="D130" s="345"/>
      <c r="E130" s="345"/>
      <c r="F130" s="345"/>
      <c r="G130" s="345"/>
    </row>
    <row r="131" spans="2:7" x14ac:dyDescent="0.25">
      <c r="B131" s="454"/>
      <c r="C131" s="455"/>
      <c r="D131" s="345"/>
      <c r="E131" s="345"/>
      <c r="F131" s="345"/>
      <c r="G131" s="345"/>
    </row>
    <row r="132" spans="2:7" x14ac:dyDescent="0.25">
      <c r="B132" s="454"/>
      <c r="C132" s="455"/>
      <c r="D132" s="345"/>
      <c r="E132" s="345"/>
      <c r="F132" s="345"/>
      <c r="G132" s="345"/>
    </row>
    <row r="133" spans="2:7" x14ac:dyDescent="0.25">
      <c r="B133" s="454"/>
      <c r="C133" s="455"/>
      <c r="D133" s="345"/>
      <c r="E133" s="345"/>
      <c r="F133" s="345"/>
      <c r="G133" s="345"/>
    </row>
    <row r="134" spans="2:7" x14ac:dyDescent="0.25">
      <c r="B134" s="454"/>
      <c r="C134" s="456"/>
      <c r="D134" s="345"/>
      <c r="E134" s="345"/>
      <c r="F134" s="345"/>
      <c r="G134" s="345"/>
    </row>
    <row r="135" spans="2:7" x14ac:dyDescent="0.25">
      <c r="B135" s="454"/>
      <c r="C135" s="456"/>
      <c r="D135" s="345"/>
      <c r="E135" s="345"/>
      <c r="F135" s="345"/>
      <c r="G135" s="345"/>
    </row>
    <row r="136" spans="2:7" x14ac:dyDescent="0.25">
      <c r="B136" s="454"/>
      <c r="C136" s="456"/>
      <c r="D136" s="345"/>
      <c r="E136" s="345"/>
      <c r="F136" s="345"/>
      <c r="G136" s="345"/>
    </row>
    <row r="137" spans="2:7" x14ac:dyDescent="0.25">
      <c r="B137" s="454"/>
      <c r="C137" s="456"/>
      <c r="D137" s="345"/>
      <c r="E137" s="345"/>
      <c r="F137" s="345"/>
      <c r="G137" s="345"/>
    </row>
    <row r="138" spans="2:7" x14ac:dyDescent="0.25">
      <c r="B138" s="59"/>
      <c r="D138" s="345"/>
      <c r="E138" s="345"/>
      <c r="F138" s="345"/>
      <c r="G138" s="345"/>
    </row>
    <row r="139" spans="2:7" x14ac:dyDescent="0.25">
      <c r="B139" s="59"/>
      <c r="D139" s="345"/>
      <c r="E139" s="345"/>
      <c r="F139" s="345"/>
      <c r="G139" s="345"/>
    </row>
  </sheetData>
  <mergeCells count="21">
    <mergeCell ref="C3:H3"/>
    <mergeCell ref="C2:H2"/>
    <mergeCell ref="B9:H9"/>
    <mergeCell ref="B38:C38"/>
    <mergeCell ref="B2:B7"/>
    <mergeCell ref="H10:H11"/>
    <mergeCell ref="C7:H7"/>
    <mergeCell ref="C6:H6"/>
    <mergeCell ref="C5:H5"/>
    <mergeCell ref="C4:H4"/>
    <mergeCell ref="B10:B11"/>
    <mergeCell ref="C10:C11"/>
    <mergeCell ref="F10:F11"/>
    <mergeCell ref="E10:E11"/>
    <mergeCell ref="D10:D11"/>
    <mergeCell ref="G10:G11"/>
    <mergeCell ref="F47:G47"/>
    <mergeCell ref="F46:G46"/>
    <mergeCell ref="F42:G42"/>
    <mergeCell ref="F41:G41"/>
    <mergeCell ref="F40:G40"/>
  </mergeCells>
  <pageMargins left="0.39370078740157483" right="0" top="0" bottom="0" header="0.31496062992125984" footer="0.31496062992125984"/>
  <pageSetup paperSize="9" scale="78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1:Q184"/>
  <sheetViews>
    <sheetView showGridLines="0" topLeftCell="A136" zoomScale="96" zoomScaleNormal="96" workbookViewId="0">
      <selection activeCell="M151" sqref="M151"/>
    </sheetView>
  </sheetViews>
  <sheetFormatPr defaultRowHeight="16.5" x14ac:dyDescent="0.25"/>
  <cols>
    <col min="1" max="1" width="2" customWidth="1"/>
    <col min="2" max="2" width="11" customWidth="1"/>
    <col min="3" max="3" width="29.140625" customWidth="1"/>
    <col min="4" max="4" width="12.7109375" customWidth="1"/>
    <col min="5" max="5" width="5.140625" customWidth="1"/>
    <col min="6" max="6" width="5.28515625" customWidth="1"/>
    <col min="7" max="7" width="7.7109375" customWidth="1"/>
    <col min="8" max="8" width="6" customWidth="1"/>
    <col min="9" max="9" width="10.42578125" customWidth="1"/>
    <col min="10" max="11" width="14.7109375" customWidth="1"/>
    <col min="12" max="12" width="14.7109375" style="59" customWidth="1"/>
    <col min="13" max="16" width="14.7109375" style="350" customWidth="1"/>
  </cols>
  <sheetData>
    <row r="1" spans="2:16" ht="10.9" customHeight="1" thickBot="1" x14ac:dyDescent="0.3"/>
    <row r="2" spans="2:16" ht="18.75" thickTop="1" x14ac:dyDescent="0.25">
      <c r="B2" s="1338"/>
      <c r="C2" s="1339"/>
      <c r="D2" s="1266" t="s">
        <v>94</v>
      </c>
      <c r="E2" s="1267"/>
      <c r="F2" s="1267"/>
      <c r="G2" s="1267"/>
      <c r="H2" s="1267"/>
      <c r="I2" s="1267"/>
      <c r="J2" s="1267"/>
      <c r="K2" s="1267"/>
      <c r="L2" s="1267"/>
      <c r="M2" s="1267"/>
      <c r="N2" s="1267"/>
      <c r="O2" s="1267"/>
      <c r="P2" s="1268"/>
    </row>
    <row r="3" spans="2:16" ht="18" x14ac:dyDescent="0.25">
      <c r="B3" s="1340"/>
      <c r="C3" s="1341"/>
      <c r="D3" s="1269" t="s">
        <v>0</v>
      </c>
      <c r="E3" s="1270"/>
      <c r="F3" s="1270"/>
      <c r="G3" s="1270"/>
      <c r="H3" s="1270"/>
      <c r="I3" s="1270"/>
      <c r="J3" s="1270"/>
      <c r="K3" s="1270"/>
      <c r="L3" s="1270"/>
      <c r="M3" s="1270"/>
      <c r="N3" s="1270"/>
      <c r="O3" s="1270"/>
      <c r="P3" s="1271"/>
    </row>
    <row r="4" spans="2:16" ht="18" x14ac:dyDescent="0.25">
      <c r="B4" s="1340"/>
      <c r="C4" s="1341"/>
      <c r="D4" s="1269" t="s">
        <v>569</v>
      </c>
      <c r="E4" s="1270"/>
      <c r="F4" s="1270"/>
      <c r="G4" s="1270"/>
      <c r="H4" s="1270"/>
      <c r="I4" s="1270"/>
      <c r="J4" s="1270"/>
      <c r="K4" s="1270"/>
      <c r="L4" s="1270"/>
      <c r="M4" s="1270"/>
      <c r="N4" s="1270"/>
      <c r="O4" s="1270"/>
      <c r="P4" s="1271"/>
    </row>
    <row r="5" spans="2:16" ht="18.75" thickBot="1" x14ac:dyDescent="0.3">
      <c r="B5" s="1342"/>
      <c r="C5" s="1343"/>
      <c r="D5" s="1272" t="s">
        <v>524</v>
      </c>
      <c r="E5" s="1273"/>
      <c r="F5" s="1273"/>
      <c r="G5" s="1273"/>
      <c r="H5" s="1273"/>
      <c r="I5" s="1273"/>
      <c r="J5" s="1273"/>
      <c r="K5" s="1273"/>
      <c r="L5" s="1273"/>
      <c r="M5" s="1273"/>
      <c r="N5" s="1273"/>
      <c r="O5" s="1273"/>
      <c r="P5" s="1274"/>
    </row>
    <row r="6" spans="2:16" ht="6" customHeight="1" thickTop="1" thickBot="1" x14ac:dyDescent="0.3">
      <c r="B6" s="245"/>
      <c r="C6" s="246"/>
      <c r="D6" s="247"/>
      <c r="E6" s="247"/>
      <c r="F6" s="247"/>
      <c r="G6" s="247"/>
      <c r="H6" s="247"/>
      <c r="I6" s="247"/>
      <c r="J6" s="247"/>
      <c r="K6" s="247"/>
      <c r="L6" s="254"/>
      <c r="M6" s="254"/>
      <c r="N6" s="254"/>
      <c r="O6" s="254"/>
      <c r="P6" s="254"/>
    </row>
    <row r="7" spans="2:16" ht="17.25" thickTop="1" thickBot="1" x14ac:dyDescent="0.3">
      <c r="B7" s="1336" t="s">
        <v>568</v>
      </c>
      <c r="C7" s="1336"/>
      <c r="D7" s="1336"/>
      <c r="E7" s="1336"/>
      <c r="F7" s="1336"/>
      <c r="G7" s="1336"/>
      <c r="H7" s="1336"/>
      <c r="I7" s="1336"/>
      <c r="J7" s="1336"/>
      <c r="K7" s="1336"/>
      <c r="L7" s="1336"/>
      <c r="M7" s="1336"/>
      <c r="N7" s="1336"/>
      <c r="O7" s="1336"/>
      <c r="P7" s="1336"/>
    </row>
    <row r="8" spans="2:16" ht="38.25" x14ac:dyDescent="0.25">
      <c r="B8" s="530" t="s">
        <v>282</v>
      </c>
      <c r="C8" s="1497" t="s">
        <v>2</v>
      </c>
      <c r="D8" s="1498"/>
      <c r="E8" s="1498"/>
      <c r="F8" s="1499"/>
      <c r="G8" s="1337" t="s">
        <v>3</v>
      </c>
      <c r="H8" s="1337"/>
      <c r="I8" s="1337"/>
      <c r="J8" s="531" t="s">
        <v>4</v>
      </c>
      <c r="K8" s="531" t="s">
        <v>283</v>
      </c>
      <c r="L8" s="532" t="s">
        <v>525</v>
      </c>
      <c r="M8" s="531" t="s">
        <v>719</v>
      </c>
      <c r="N8" s="531" t="s">
        <v>95</v>
      </c>
      <c r="O8" s="531" t="s">
        <v>6</v>
      </c>
      <c r="P8" s="533" t="s">
        <v>7</v>
      </c>
    </row>
    <row r="9" spans="2:16" ht="15.75" thickBot="1" x14ac:dyDescent="0.3">
      <c r="B9" s="536"/>
      <c r="C9" s="537"/>
      <c r="D9" s="537"/>
      <c r="E9" s="537"/>
      <c r="F9" s="537"/>
      <c r="G9" s="537"/>
      <c r="H9" s="537"/>
      <c r="I9" s="537"/>
      <c r="J9" s="537"/>
      <c r="K9" s="537"/>
      <c r="L9" s="534" t="s">
        <v>285</v>
      </c>
      <c r="M9" s="534" t="s">
        <v>286</v>
      </c>
      <c r="N9" s="534" t="s">
        <v>287</v>
      </c>
      <c r="O9" s="534" t="s">
        <v>338</v>
      </c>
      <c r="P9" s="538"/>
    </row>
    <row r="10" spans="2:16" ht="6" customHeight="1" x14ac:dyDescent="0.25">
      <c r="B10" s="529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</row>
    <row r="11" spans="2:16" ht="15" x14ac:dyDescent="0.25">
      <c r="B11" s="250" t="s">
        <v>340</v>
      </c>
      <c r="C11" s="1442" t="s">
        <v>341</v>
      </c>
      <c r="D11" s="1237"/>
      <c r="E11" s="1237"/>
      <c r="F11" s="1237"/>
      <c r="G11" s="1237"/>
      <c r="H11" s="1237"/>
      <c r="I11" s="1237"/>
      <c r="J11" s="1237"/>
      <c r="K11" s="1238"/>
      <c r="L11" s="430">
        <f>K19</f>
        <v>298800000</v>
      </c>
      <c r="M11" s="481">
        <v>219000000</v>
      </c>
      <c r="N11" s="325">
        <v>272800000</v>
      </c>
      <c r="O11" s="325">
        <f>L11-N11</f>
        <v>26000000</v>
      </c>
      <c r="P11" s="480" t="str">
        <f>IF(O11&gt;0,"BERTAMBAH",IF(O11&lt;0,"BERKURANG","TETAP"))</f>
        <v>BERTAMBAH</v>
      </c>
    </row>
    <row r="12" spans="2:16" ht="15" x14ac:dyDescent="0.25">
      <c r="B12" s="353"/>
      <c r="C12" s="1244" t="s">
        <v>342</v>
      </c>
      <c r="D12" s="1245"/>
      <c r="E12" s="1245"/>
      <c r="F12" s="1245"/>
      <c r="G12" s="1245"/>
      <c r="H12" s="1245"/>
      <c r="I12" s="1245"/>
      <c r="J12" s="1245"/>
      <c r="K12" s="1245"/>
      <c r="L12" s="28"/>
      <c r="M12" s="256"/>
      <c r="N12" s="256"/>
      <c r="O12" s="256"/>
      <c r="P12" s="917"/>
    </row>
    <row r="13" spans="2:16" x14ac:dyDescent="0.25">
      <c r="B13" s="2"/>
      <c r="C13" s="1492" t="s">
        <v>343</v>
      </c>
      <c r="D13" s="1493"/>
      <c r="E13" s="1493"/>
      <c r="F13" s="1494"/>
      <c r="G13" s="1500">
        <v>1</v>
      </c>
      <c r="H13" s="1501"/>
      <c r="I13" s="42" t="s">
        <v>291</v>
      </c>
      <c r="J13" s="42">
        <v>9200000</v>
      </c>
      <c r="K13" s="375">
        <f t="shared" ref="K13:K18" si="0">+G13*J13*12</f>
        <v>110400000</v>
      </c>
      <c r="L13" s="918"/>
      <c r="M13" s="919"/>
      <c r="N13" s="919"/>
      <c r="O13" s="919"/>
      <c r="P13" s="920"/>
    </row>
    <row r="14" spans="2:16" x14ac:dyDescent="0.25">
      <c r="B14" s="2"/>
      <c r="C14" s="1492" t="s">
        <v>344</v>
      </c>
      <c r="D14" s="1493"/>
      <c r="E14" s="1493"/>
      <c r="F14" s="1494"/>
      <c r="G14" s="1500">
        <v>1</v>
      </c>
      <c r="H14" s="1501"/>
      <c r="I14" s="42" t="s">
        <v>291</v>
      </c>
      <c r="J14" s="42">
        <v>5750000</v>
      </c>
      <c r="K14" s="375">
        <f t="shared" si="0"/>
        <v>69000000</v>
      </c>
      <c r="L14" s="918"/>
      <c r="M14" s="919"/>
      <c r="N14" s="919"/>
      <c r="O14" s="919"/>
      <c r="P14" s="920"/>
    </row>
    <row r="15" spans="2:16" x14ac:dyDescent="0.25">
      <c r="B15" s="2"/>
      <c r="C15" s="1492" t="s">
        <v>345</v>
      </c>
      <c r="D15" s="1493"/>
      <c r="E15" s="1493"/>
      <c r="F15" s="1494"/>
      <c r="G15" s="1500">
        <v>1</v>
      </c>
      <c r="H15" s="1501"/>
      <c r="I15" s="42" t="s">
        <v>291</v>
      </c>
      <c r="J15" s="42">
        <v>3450000</v>
      </c>
      <c r="K15" s="375">
        <f t="shared" si="0"/>
        <v>41400000</v>
      </c>
      <c r="L15" s="918"/>
      <c r="M15" s="919"/>
      <c r="N15" s="919"/>
      <c r="O15" s="919"/>
      <c r="P15" s="920"/>
    </row>
    <row r="16" spans="2:16" x14ac:dyDescent="0.25">
      <c r="B16" s="2"/>
      <c r="C16" s="1492" t="s">
        <v>346</v>
      </c>
      <c r="D16" s="1493"/>
      <c r="E16" s="1493"/>
      <c r="F16" s="1494"/>
      <c r="G16" s="1495">
        <v>1</v>
      </c>
      <c r="H16" s="1496"/>
      <c r="I16" s="42" t="s">
        <v>291</v>
      </c>
      <c r="J16" s="42">
        <v>1500000</v>
      </c>
      <c r="K16" s="375">
        <f t="shared" si="0"/>
        <v>18000000</v>
      </c>
      <c r="L16" s="918"/>
      <c r="M16" s="919"/>
      <c r="N16" s="919"/>
      <c r="O16" s="919"/>
      <c r="P16" s="920"/>
    </row>
    <row r="17" spans="2:16" x14ac:dyDescent="0.25">
      <c r="B17" s="2"/>
      <c r="C17" s="1492" t="s">
        <v>759</v>
      </c>
      <c r="D17" s="1493"/>
      <c r="E17" s="1493"/>
      <c r="F17" s="1494"/>
      <c r="G17" s="1495">
        <v>1</v>
      </c>
      <c r="H17" s="1496"/>
      <c r="I17" s="42" t="s">
        <v>291</v>
      </c>
      <c r="J17" s="42">
        <v>1000000</v>
      </c>
      <c r="K17" s="375">
        <f t="shared" si="0"/>
        <v>12000000</v>
      </c>
      <c r="L17" s="918"/>
      <c r="M17" s="919"/>
      <c r="N17" s="919"/>
      <c r="O17" s="919"/>
      <c r="P17" s="920"/>
    </row>
    <row r="18" spans="2:16" x14ac:dyDescent="0.25">
      <c r="B18" s="2"/>
      <c r="C18" s="1492" t="s">
        <v>347</v>
      </c>
      <c r="D18" s="1493"/>
      <c r="E18" s="1493"/>
      <c r="F18" s="1494"/>
      <c r="G18" s="1495">
        <v>2</v>
      </c>
      <c r="H18" s="1496"/>
      <c r="I18" s="42" t="s">
        <v>291</v>
      </c>
      <c r="J18" s="355">
        <v>2000000</v>
      </c>
      <c r="K18" s="376">
        <f t="shared" si="0"/>
        <v>48000000</v>
      </c>
      <c r="L18" s="918"/>
      <c r="M18" s="919"/>
      <c r="N18" s="919"/>
      <c r="O18" s="919"/>
      <c r="P18" s="920"/>
    </row>
    <row r="19" spans="2:16" x14ac:dyDescent="0.25">
      <c r="B19" s="1436" t="s">
        <v>5</v>
      </c>
      <c r="C19" s="1354"/>
      <c r="D19" s="1354"/>
      <c r="E19" s="1354"/>
      <c r="F19" s="1354"/>
      <c r="G19" s="1450"/>
      <c r="H19" s="1450"/>
      <c r="I19" s="372"/>
      <c r="J19" s="43">
        <f>SUM(J13:J18)</f>
        <v>22900000</v>
      </c>
      <c r="K19" s="377">
        <f>SUM(K13:K18)</f>
        <v>298800000</v>
      </c>
      <c r="L19" s="921"/>
      <c r="M19" s="922"/>
      <c r="N19" s="922"/>
      <c r="O19" s="922"/>
      <c r="P19" s="923"/>
    </row>
    <row r="20" spans="2:16" ht="6" customHeight="1" x14ac:dyDescent="0.25"/>
    <row r="21" spans="2:16" ht="15.6" customHeight="1" x14ac:dyDescent="0.25">
      <c r="B21" s="482">
        <v>3.8361111111111108</v>
      </c>
      <c r="C21" s="1442" t="s">
        <v>348</v>
      </c>
      <c r="D21" s="1237"/>
      <c r="E21" s="1237"/>
      <c r="F21" s="1237"/>
      <c r="G21" s="1237"/>
      <c r="H21" s="1237"/>
      <c r="I21" s="1237"/>
      <c r="J21" s="1237"/>
      <c r="K21" s="1238"/>
      <c r="L21" s="431">
        <f>K24</f>
        <v>150000000</v>
      </c>
      <c r="M21" s="483">
        <f>'[1]STIMASI BIAYA SD JUNI 2022'!$O$42</f>
        <v>0</v>
      </c>
      <c r="N21" s="325">
        <v>50000000</v>
      </c>
      <c r="O21" s="325">
        <f>L21-N21</f>
        <v>100000000</v>
      </c>
      <c r="P21" s="480" t="str">
        <f>IF(O21&gt;0,"BERTAMBAH",IF(O21&lt;0,"BERKURANG","TETAP"))</f>
        <v>BERTAMBAH</v>
      </c>
    </row>
    <row r="22" spans="2:16" x14ac:dyDescent="0.25">
      <c r="B22" s="353"/>
      <c r="C22" s="1480" t="s">
        <v>349</v>
      </c>
      <c r="D22" s="1481"/>
      <c r="E22" s="1481"/>
      <c r="F22" s="1481"/>
      <c r="G22" s="1481"/>
      <c r="H22" s="1481"/>
      <c r="I22" s="1481"/>
      <c r="J22" s="1482"/>
      <c r="K22" s="378">
        <v>100000000</v>
      </c>
      <c r="L22" s="437"/>
      <c r="M22" s="438"/>
      <c r="N22" s="438"/>
      <c r="O22" s="438"/>
      <c r="P22" s="439"/>
    </row>
    <row r="23" spans="2:16" x14ac:dyDescent="0.25">
      <c r="B23" s="2"/>
      <c r="C23" s="1483" t="s">
        <v>350</v>
      </c>
      <c r="D23" s="1484"/>
      <c r="E23" s="1484"/>
      <c r="F23" s="1484"/>
      <c r="G23" s="1484"/>
      <c r="H23" s="1484"/>
      <c r="I23" s="1484"/>
      <c r="J23" s="1485"/>
      <c r="K23" s="379">
        <v>50000000</v>
      </c>
      <c r="L23" s="432"/>
      <c r="P23" s="433"/>
    </row>
    <row r="24" spans="2:16" x14ac:dyDescent="0.25">
      <c r="B24" s="1436" t="s">
        <v>5</v>
      </c>
      <c r="C24" s="1354"/>
      <c r="D24" s="1354"/>
      <c r="E24" s="1354"/>
      <c r="F24" s="1355"/>
      <c r="G24" s="1449"/>
      <c r="H24" s="1450"/>
      <c r="I24" s="1450"/>
      <c r="J24" s="1451"/>
      <c r="K24" s="380">
        <f>SUM(K22:K23)</f>
        <v>150000000</v>
      </c>
      <c r="L24" s="434"/>
      <c r="M24" s="435"/>
      <c r="N24" s="435"/>
      <c r="O24" s="435"/>
      <c r="P24" s="436"/>
    </row>
    <row r="25" spans="2:16" ht="6" customHeight="1" x14ac:dyDescent="0.25"/>
    <row r="26" spans="2:16" x14ac:dyDescent="0.25">
      <c r="B26" s="250" t="s">
        <v>351</v>
      </c>
      <c r="C26" s="1329" t="s">
        <v>352</v>
      </c>
      <c r="D26" s="1330"/>
      <c r="E26" s="1330"/>
      <c r="F26" s="1330"/>
      <c r="G26" s="1330"/>
      <c r="H26" s="1330"/>
      <c r="I26" s="1330"/>
      <c r="J26" s="1330"/>
      <c r="K26" s="1331"/>
      <c r="L26" s="428">
        <f>K28</f>
        <v>12000000</v>
      </c>
      <c r="M26" s="483">
        <v>1627000</v>
      </c>
      <c r="N26" s="325">
        <v>2897000</v>
      </c>
      <c r="O26" s="325">
        <f>L26-N26</f>
        <v>9103000</v>
      </c>
      <c r="P26" s="349" t="str">
        <f>IF(O26&gt;0,"BERTAMBAH",IF(O26&lt;0,"BERKURANG","TETAP"))</f>
        <v>BERTAMBAH</v>
      </c>
    </row>
    <row r="27" spans="2:16" x14ac:dyDescent="0.25">
      <c r="B27" s="353"/>
      <c r="C27" s="1502" t="s">
        <v>353</v>
      </c>
      <c r="D27" s="1503"/>
      <c r="E27" s="1503"/>
      <c r="F27" s="1503"/>
      <c r="G27" s="1503"/>
      <c r="H27" s="1503"/>
      <c r="I27" s="1504"/>
      <c r="J27" s="65">
        <v>1000000</v>
      </c>
      <c r="K27" s="381">
        <f>J27*12</f>
        <v>12000000</v>
      </c>
      <c r="L27" s="437"/>
      <c r="M27" s="438"/>
      <c r="N27" s="438"/>
      <c r="O27" s="438"/>
      <c r="P27" s="439"/>
    </row>
    <row r="28" spans="2:16" x14ac:dyDescent="0.25">
      <c r="B28" s="1436" t="s">
        <v>5</v>
      </c>
      <c r="C28" s="1354"/>
      <c r="D28" s="1354"/>
      <c r="E28" s="1354"/>
      <c r="F28" s="1355"/>
      <c r="G28" s="1449"/>
      <c r="H28" s="1450"/>
      <c r="I28" s="1451"/>
      <c r="J28" s="37"/>
      <c r="K28" s="380">
        <f>K27</f>
        <v>12000000</v>
      </c>
      <c r="L28" s="434"/>
      <c r="M28" s="435"/>
      <c r="N28" s="435"/>
      <c r="O28" s="435"/>
      <c r="P28" s="436"/>
    </row>
    <row r="29" spans="2:16" ht="6" customHeight="1" x14ac:dyDescent="0.25"/>
    <row r="30" spans="2:16" ht="15" x14ac:dyDescent="0.25">
      <c r="B30" s="250" t="s">
        <v>354</v>
      </c>
      <c r="C30" s="1329" t="s">
        <v>355</v>
      </c>
      <c r="D30" s="1330"/>
      <c r="E30" s="1330"/>
      <c r="F30" s="1330"/>
      <c r="G30" s="1330"/>
      <c r="H30" s="1330"/>
      <c r="I30" s="1330"/>
      <c r="J30" s="1330"/>
      <c r="K30" s="1331"/>
      <c r="L30" s="431">
        <f>K34</f>
        <v>119256000</v>
      </c>
      <c r="M30" s="481">
        <v>17008200</v>
      </c>
      <c r="N30" s="325">
        <v>58500000</v>
      </c>
      <c r="O30" s="325">
        <f>L30-N30</f>
        <v>60756000</v>
      </c>
      <c r="P30" s="487" t="str">
        <f>IF(O30&gt;0,"BERTAMBAH",IF(O30&lt;0,"BERKURANG","TETAP"))</f>
        <v>BERTAMBAH</v>
      </c>
    </row>
    <row r="31" spans="2:16" x14ac:dyDescent="0.25">
      <c r="B31" s="353"/>
      <c r="C31" s="1486" t="s">
        <v>356</v>
      </c>
      <c r="D31" s="1487"/>
      <c r="E31" s="1487"/>
      <c r="F31" s="1487"/>
      <c r="G31" s="1487"/>
      <c r="H31" s="1487"/>
      <c r="I31" s="1488"/>
      <c r="J31" s="65">
        <v>30000000</v>
      </c>
      <c r="K31" s="378">
        <f>J31</f>
        <v>30000000</v>
      </c>
      <c r="L31" s="437"/>
      <c r="M31" s="438"/>
      <c r="N31" s="438"/>
      <c r="O31" s="438"/>
      <c r="P31" s="439"/>
    </row>
    <row r="32" spans="2:16" x14ac:dyDescent="0.25">
      <c r="B32" s="2"/>
      <c r="C32" s="1489" t="s">
        <v>357</v>
      </c>
      <c r="D32" s="1490"/>
      <c r="E32" s="1490"/>
      <c r="F32" s="1490"/>
      <c r="G32" s="1490"/>
      <c r="H32" s="1490"/>
      <c r="I32" s="1491"/>
      <c r="J32" s="32">
        <v>44256000</v>
      </c>
      <c r="K32" s="121">
        <f>J32</f>
        <v>44256000</v>
      </c>
      <c r="L32" s="432"/>
      <c r="P32" s="433"/>
    </row>
    <row r="33" spans="2:16" x14ac:dyDescent="0.25">
      <c r="B33" s="420"/>
      <c r="C33" s="1489" t="s">
        <v>597</v>
      </c>
      <c r="D33" s="1490"/>
      <c r="E33" s="1490"/>
      <c r="F33" s="1490"/>
      <c r="G33" s="1490"/>
      <c r="H33" s="1490"/>
      <c r="I33" s="1491"/>
      <c r="J33" s="392"/>
      <c r="K33" s="936">
        <v>45000000</v>
      </c>
      <c r="L33" s="432"/>
      <c r="P33" s="433"/>
    </row>
    <row r="34" spans="2:16" x14ac:dyDescent="0.25">
      <c r="B34" s="1436" t="s">
        <v>5</v>
      </c>
      <c r="C34" s="1354"/>
      <c r="D34" s="1354"/>
      <c r="E34" s="1354"/>
      <c r="F34" s="1355"/>
      <c r="G34" s="1449"/>
      <c r="H34" s="1450"/>
      <c r="I34" s="1451"/>
      <c r="J34" s="37"/>
      <c r="K34" s="380">
        <f>SUM(K31:K33)</f>
        <v>119256000</v>
      </c>
      <c r="L34" s="434"/>
      <c r="M34" s="435"/>
      <c r="N34" s="435"/>
      <c r="O34" s="435"/>
      <c r="P34" s="436"/>
    </row>
    <row r="35" spans="2:16" ht="6" customHeight="1" x14ac:dyDescent="0.25">
      <c r="B35" s="382"/>
      <c r="C35" s="383"/>
      <c r="D35" s="384"/>
      <c r="E35" s="384"/>
      <c r="F35" s="384"/>
      <c r="G35" s="384"/>
      <c r="H35" s="384"/>
      <c r="I35" s="384"/>
      <c r="J35" s="384"/>
      <c r="K35" s="385"/>
    </row>
    <row r="36" spans="2:16" ht="15" x14ac:dyDescent="0.25">
      <c r="B36" s="482">
        <v>3.8361689814814817</v>
      </c>
      <c r="C36" s="1442" t="s">
        <v>756</v>
      </c>
      <c r="D36" s="1237"/>
      <c r="E36" s="1237"/>
      <c r="F36" s="1237"/>
      <c r="G36" s="1237"/>
      <c r="H36" s="1237"/>
      <c r="I36" s="1237"/>
      <c r="J36" s="1237"/>
      <c r="K36" s="1238"/>
      <c r="L36" s="431">
        <f>K38</f>
        <v>25143680</v>
      </c>
      <c r="M36" s="481">
        <f>'[1]STIMASI BIAYA SD JUNI 2022'!$O$45</f>
        <v>24856320</v>
      </c>
      <c r="N36" s="325">
        <f>M36+K38</f>
        <v>50000000</v>
      </c>
      <c r="O36" s="325">
        <f>L36-N36</f>
        <v>-24856320</v>
      </c>
      <c r="P36" s="487" t="str">
        <f>IF(O36&gt;0,"BERTAMBAH",IF(O36&lt;0,"BERKURANG","TETAP"))</f>
        <v>BERKURANG</v>
      </c>
    </row>
    <row r="37" spans="2:16" x14ac:dyDescent="0.25">
      <c r="B37" s="353"/>
      <c r="C37" s="1486" t="s">
        <v>358</v>
      </c>
      <c r="D37" s="1487"/>
      <c r="E37" s="1487"/>
      <c r="F37" s="1487"/>
      <c r="G37" s="1487"/>
      <c r="H37" s="1487"/>
      <c r="I37" s="1488"/>
      <c r="J37" s="65">
        <f>50000000-24856320</f>
        <v>25143680</v>
      </c>
      <c r="K37" s="381">
        <f>J37</f>
        <v>25143680</v>
      </c>
      <c r="L37" s="437"/>
      <c r="M37" s="438"/>
      <c r="N37" s="438"/>
      <c r="O37" s="438"/>
      <c r="P37" s="896"/>
    </row>
    <row r="38" spans="2:16" x14ac:dyDescent="0.25">
      <c r="B38" s="1436" t="s">
        <v>5</v>
      </c>
      <c r="C38" s="1354"/>
      <c r="D38" s="1354"/>
      <c r="E38" s="1354"/>
      <c r="F38" s="1355"/>
      <c r="G38" s="1449"/>
      <c r="H38" s="1450"/>
      <c r="I38" s="1451"/>
      <c r="J38" s="37"/>
      <c r="K38" s="380">
        <f>K37</f>
        <v>25143680</v>
      </c>
      <c r="L38" s="434"/>
      <c r="M38" s="435"/>
      <c r="N38" s="435"/>
      <c r="O38" s="435"/>
      <c r="P38" s="436"/>
    </row>
    <row r="39" spans="2:16" ht="6" customHeight="1" x14ac:dyDescent="0.25">
      <c r="B39" s="382"/>
      <c r="C39" s="383"/>
      <c r="D39" s="384"/>
      <c r="E39" s="384"/>
      <c r="F39" s="384"/>
      <c r="G39" s="384"/>
      <c r="H39" s="384"/>
      <c r="I39" s="384"/>
      <c r="J39" s="384"/>
      <c r="K39" s="385"/>
    </row>
    <row r="40" spans="2:16" ht="15" x14ac:dyDescent="0.25">
      <c r="B40" s="250" t="s">
        <v>359</v>
      </c>
      <c r="C40" s="1442" t="s">
        <v>360</v>
      </c>
      <c r="D40" s="1237"/>
      <c r="E40" s="1237"/>
      <c r="F40" s="1237"/>
      <c r="G40" s="1237"/>
      <c r="H40" s="1237"/>
      <c r="I40" s="1237"/>
      <c r="J40" s="1237"/>
      <c r="K40" s="1238"/>
      <c r="L40" s="428">
        <f>K48</f>
        <v>512000000</v>
      </c>
      <c r="M40" s="484">
        <v>147305000</v>
      </c>
      <c r="N40" s="325">
        <v>330370000</v>
      </c>
      <c r="O40" s="325">
        <f>L40-N40</f>
        <v>181630000</v>
      </c>
      <c r="P40" s="349" t="str">
        <f>IF(O40&gt;0,"BERTAMBAH",IF(O40&lt;0,"BERKURANG","TETAP"))</f>
        <v>BERTAMBAH</v>
      </c>
    </row>
    <row r="41" spans="2:16" x14ac:dyDescent="0.25">
      <c r="B41" s="353"/>
      <c r="C41" s="1397" t="s">
        <v>361</v>
      </c>
      <c r="D41" s="1398"/>
      <c r="E41" s="1398"/>
      <c r="F41" s="1398"/>
      <c r="G41" s="1398"/>
      <c r="H41" s="1398"/>
      <c r="I41" s="1399"/>
      <c r="J41" s="76">
        <v>1000000</v>
      </c>
      <c r="K41" s="410">
        <f t="shared" ref="K41:K46" si="1">J41*12</f>
        <v>12000000</v>
      </c>
      <c r="L41" s="437"/>
      <c r="M41" s="438"/>
      <c r="N41" s="438"/>
      <c r="O41" s="438"/>
      <c r="P41" s="439"/>
    </row>
    <row r="42" spans="2:16" x14ac:dyDescent="0.25">
      <c r="B42" s="2"/>
      <c r="C42" s="1428" t="s">
        <v>362</v>
      </c>
      <c r="D42" s="1432"/>
      <c r="E42" s="1432"/>
      <c r="F42" s="1432"/>
      <c r="G42" s="1432"/>
      <c r="H42" s="1432"/>
      <c r="I42" s="1429"/>
      <c r="J42" s="76">
        <v>1000000</v>
      </c>
      <c r="K42" s="410">
        <f t="shared" si="1"/>
        <v>12000000</v>
      </c>
      <c r="L42" s="432"/>
      <c r="P42" s="433"/>
    </row>
    <row r="43" spans="2:16" x14ac:dyDescent="0.25">
      <c r="B43" s="2"/>
      <c r="C43" s="1428" t="s">
        <v>363</v>
      </c>
      <c r="D43" s="1432"/>
      <c r="E43" s="1432"/>
      <c r="F43" s="1432"/>
      <c r="G43" s="1432"/>
      <c r="H43" s="1432"/>
      <c r="I43" s="1429"/>
      <c r="J43" s="42">
        <v>25000000</v>
      </c>
      <c r="K43" s="410">
        <f t="shared" si="1"/>
        <v>300000000</v>
      </c>
      <c r="L43" s="432"/>
      <c r="P43" s="433"/>
    </row>
    <row r="44" spans="2:16" x14ac:dyDescent="0.25">
      <c r="B44" s="2"/>
      <c r="C44" s="1428" t="s">
        <v>364</v>
      </c>
      <c r="D44" s="1432"/>
      <c r="E44" s="1432"/>
      <c r="F44" s="1432"/>
      <c r="G44" s="1432"/>
      <c r="H44" s="1432"/>
      <c r="I44" s="1429"/>
      <c r="J44" s="42">
        <v>10000000</v>
      </c>
      <c r="K44" s="410">
        <f t="shared" si="1"/>
        <v>120000000</v>
      </c>
      <c r="L44" s="432"/>
      <c r="P44" s="433"/>
    </row>
    <row r="45" spans="2:16" x14ac:dyDescent="0.25">
      <c r="B45" s="2"/>
      <c r="C45" s="1428" t="s">
        <v>365</v>
      </c>
      <c r="D45" s="1432"/>
      <c r="E45" s="1432"/>
      <c r="F45" s="1432"/>
      <c r="G45" s="1432"/>
      <c r="H45" s="1432"/>
      <c r="I45" s="1429"/>
      <c r="J45" s="42">
        <v>500000</v>
      </c>
      <c r="K45" s="410">
        <f t="shared" si="1"/>
        <v>6000000</v>
      </c>
      <c r="L45" s="432"/>
      <c r="P45" s="433"/>
    </row>
    <row r="46" spans="2:16" x14ac:dyDescent="0.25">
      <c r="B46" s="2"/>
      <c r="C46" s="1428" t="s">
        <v>366</v>
      </c>
      <c r="D46" s="1432"/>
      <c r="E46" s="1432"/>
      <c r="F46" s="1432"/>
      <c r="G46" s="1432"/>
      <c r="H46" s="1432"/>
      <c r="I46" s="1429"/>
      <c r="J46" s="42">
        <v>1000000</v>
      </c>
      <c r="K46" s="410">
        <f t="shared" si="1"/>
        <v>12000000</v>
      </c>
      <c r="L46" s="432"/>
      <c r="P46" s="433"/>
    </row>
    <row r="47" spans="2:16" x14ac:dyDescent="0.25">
      <c r="B47" s="420"/>
      <c r="C47" s="1428" t="s">
        <v>596</v>
      </c>
      <c r="D47" s="1432"/>
      <c r="E47" s="1432"/>
      <c r="F47" s="1432"/>
      <c r="G47" s="1432"/>
      <c r="H47" s="1432"/>
      <c r="I47" s="1429"/>
      <c r="J47" s="422"/>
      <c r="K47" s="935">
        <v>50000000</v>
      </c>
      <c r="L47" s="432"/>
      <c r="P47" s="433"/>
    </row>
    <row r="48" spans="2:16" x14ac:dyDescent="0.25">
      <c r="B48" s="1436" t="s">
        <v>5</v>
      </c>
      <c r="C48" s="1354"/>
      <c r="D48" s="1354"/>
      <c r="E48" s="1354"/>
      <c r="F48" s="1355"/>
      <c r="G48" s="1449"/>
      <c r="H48" s="1450"/>
      <c r="I48" s="1451"/>
      <c r="J48" s="43"/>
      <c r="K48" s="377">
        <f>SUM(K41:K47)</f>
        <v>512000000</v>
      </c>
      <c r="L48" s="434"/>
      <c r="M48" s="435"/>
      <c r="N48" s="435"/>
      <c r="O48" s="435"/>
      <c r="P48" s="436"/>
    </row>
    <row r="49" spans="2:16" ht="6" customHeight="1" x14ac:dyDescent="0.25">
      <c r="B49" s="382"/>
      <c r="C49" s="383"/>
      <c r="D49" s="384"/>
      <c r="E49" s="384"/>
      <c r="F49" s="384"/>
      <c r="G49" s="384"/>
      <c r="H49" s="384"/>
      <c r="I49" s="384"/>
      <c r="J49" s="384"/>
      <c r="K49" s="385"/>
    </row>
    <row r="50" spans="2:16" ht="13.9" customHeight="1" x14ac:dyDescent="0.25">
      <c r="B50" s="250" t="s">
        <v>323</v>
      </c>
      <c r="C50" s="1442" t="s">
        <v>367</v>
      </c>
      <c r="D50" s="1237"/>
      <c r="E50" s="1237"/>
      <c r="F50" s="1237"/>
      <c r="G50" s="1237"/>
      <c r="H50" s="1237"/>
      <c r="I50" s="1237"/>
      <c r="J50" s="1237"/>
      <c r="K50" s="1238"/>
      <c r="L50" s="428">
        <f>K54</f>
        <v>24000000</v>
      </c>
      <c r="M50" s="485">
        <v>0</v>
      </c>
      <c r="N50" s="325">
        <v>3250000</v>
      </c>
      <c r="O50" s="325">
        <f>L50-N50</f>
        <v>20750000</v>
      </c>
      <c r="P50" s="349" t="str">
        <f>IF(O50&gt;0,"BERTAMBAH",IF(O50&lt;0,"BERKURANG","TETAP"))</f>
        <v>BERTAMBAH</v>
      </c>
    </row>
    <row r="51" spans="2:16" x14ac:dyDescent="0.25">
      <c r="B51" s="353"/>
      <c r="C51" s="1397" t="s">
        <v>368</v>
      </c>
      <c r="D51" s="1398"/>
      <c r="E51" s="1398"/>
      <c r="F51" s="1399"/>
      <c r="G51" s="65">
        <v>6</v>
      </c>
      <c r="H51" s="1456" t="s">
        <v>291</v>
      </c>
      <c r="I51" s="1458"/>
      <c r="J51" s="65"/>
      <c r="K51" s="378">
        <v>6000000</v>
      </c>
      <c r="L51" s="437"/>
      <c r="M51" s="438"/>
      <c r="N51" s="438"/>
      <c r="O51" s="438"/>
      <c r="P51" s="439"/>
    </row>
    <row r="52" spans="2:16" x14ac:dyDescent="0.25">
      <c r="B52" s="387"/>
      <c r="C52" s="866" t="s">
        <v>540</v>
      </c>
      <c r="D52" s="870"/>
      <c r="E52" s="870"/>
      <c r="F52" s="870"/>
      <c r="G52" s="65">
        <v>7</v>
      </c>
      <c r="H52" s="851" t="s">
        <v>291</v>
      </c>
      <c r="I52" s="868"/>
      <c r="J52" s="871"/>
      <c r="K52" s="872">
        <v>15000000</v>
      </c>
      <c r="L52" s="432"/>
      <c r="P52" s="433"/>
    </row>
    <row r="53" spans="2:16" x14ac:dyDescent="0.25">
      <c r="B53" s="387"/>
      <c r="C53" s="1428" t="s">
        <v>369</v>
      </c>
      <c r="D53" s="1432"/>
      <c r="E53" s="1432"/>
      <c r="F53" s="1432"/>
      <c r="G53" s="1432"/>
      <c r="H53" s="1432"/>
      <c r="I53" s="1432"/>
      <c r="J53" s="1429"/>
      <c r="K53" s="415">
        <v>3000000</v>
      </c>
      <c r="L53" s="432"/>
      <c r="P53" s="433"/>
    </row>
    <row r="54" spans="2:16" x14ac:dyDescent="0.25">
      <c r="B54" s="1436" t="s">
        <v>5</v>
      </c>
      <c r="C54" s="1354"/>
      <c r="D54" s="1354"/>
      <c r="E54" s="1354"/>
      <c r="F54" s="1355"/>
      <c r="G54" s="1449"/>
      <c r="H54" s="1450"/>
      <c r="I54" s="1450"/>
      <c r="J54" s="1451"/>
      <c r="K54" s="408">
        <f>SUM(K51:K53)</f>
        <v>24000000</v>
      </c>
      <c r="L54" s="434"/>
      <c r="M54" s="435"/>
      <c r="N54" s="435"/>
      <c r="O54" s="435"/>
      <c r="P54" s="436"/>
    </row>
    <row r="55" spans="2:16" ht="6" customHeight="1" x14ac:dyDescent="0.25">
      <c r="B55" s="374"/>
      <c r="C55" s="389"/>
      <c r="D55" s="390"/>
      <c r="E55" s="390"/>
      <c r="F55" s="390"/>
      <c r="G55" s="390"/>
      <c r="H55" s="390"/>
      <c r="I55" s="390"/>
      <c r="J55" s="390"/>
      <c r="K55" s="391"/>
    </row>
    <row r="56" spans="2:16" ht="15" x14ac:dyDescent="0.25">
      <c r="B56" s="250" t="s">
        <v>370</v>
      </c>
      <c r="C56" s="1442" t="s">
        <v>371</v>
      </c>
      <c r="D56" s="1237"/>
      <c r="E56" s="1237"/>
      <c r="F56" s="1237"/>
      <c r="G56" s="1237"/>
      <c r="H56" s="1237"/>
      <c r="I56" s="1237"/>
      <c r="J56" s="1237"/>
      <c r="K56" s="1238"/>
      <c r="L56" s="428">
        <f>K59</f>
        <v>60000000</v>
      </c>
      <c r="M56" s="485">
        <v>8500000</v>
      </c>
      <c r="N56" s="486">
        <v>41000000</v>
      </c>
      <c r="O56" s="325">
        <f>L56-N56</f>
        <v>19000000</v>
      </c>
      <c r="P56" s="349" t="str">
        <f>IF(O56&gt;0,"BERTAMBAH",IF(O56&lt;0,"BERKURANG","TETAP"))</f>
        <v>BERTAMBAH</v>
      </c>
    </row>
    <row r="57" spans="2:16" x14ac:dyDescent="0.25">
      <c r="B57" s="353"/>
      <c r="C57" s="1486" t="s">
        <v>372</v>
      </c>
      <c r="D57" s="1487"/>
      <c r="E57" s="1487"/>
      <c r="F57" s="1488"/>
      <c r="G57" s="65">
        <v>1</v>
      </c>
      <c r="H57" s="413" t="s">
        <v>291</v>
      </c>
      <c r="I57" s="414"/>
      <c r="J57" s="392">
        <v>2500000</v>
      </c>
      <c r="K57" s="378">
        <f>J57*G57*12</f>
        <v>30000000</v>
      </c>
      <c r="L57" s="437"/>
      <c r="M57" s="438"/>
      <c r="N57" s="438"/>
      <c r="O57" s="438"/>
      <c r="P57" s="439"/>
    </row>
    <row r="58" spans="2:16" x14ac:dyDescent="0.25">
      <c r="B58" s="16"/>
      <c r="C58" s="1489" t="s">
        <v>373</v>
      </c>
      <c r="D58" s="1490"/>
      <c r="E58" s="1490"/>
      <c r="F58" s="1491"/>
      <c r="G58" s="392">
        <v>1</v>
      </c>
      <c r="H58" s="411" t="s">
        <v>291</v>
      </c>
      <c r="I58" s="412"/>
      <c r="J58" s="392">
        <v>2500000</v>
      </c>
      <c r="K58" s="381">
        <f>J58*12</f>
        <v>30000000</v>
      </c>
      <c r="L58" s="432"/>
      <c r="P58" s="433"/>
    </row>
    <row r="59" spans="2:16" x14ac:dyDescent="0.25">
      <c r="B59" s="1436" t="s">
        <v>5</v>
      </c>
      <c r="C59" s="1354"/>
      <c r="D59" s="1354"/>
      <c r="E59" s="1354"/>
      <c r="F59" s="1355"/>
      <c r="G59" s="265"/>
      <c r="H59" s="1449"/>
      <c r="I59" s="1451"/>
      <c r="J59" s="267"/>
      <c r="K59" s="408">
        <f>SUM(K57:K58)</f>
        <v>60000000</v>
      </c>
      <c r="L59" s="434"/>
      <c r="M59" s="435"/>
      <c r="N59" s="435"/>
      <c r="O59" s="435"/>
      <c r="P59" s="436"/>
    </row>
    <row r="60" spans="2:16" ht="6" customHeight="1" x14ac:dyDescent="0.25">
      <c r="B60" s="382"/>
      <c r="C60" s="383"/>
      <c r="D60" s="384"/>
      <c r="E60" s="384"/>
      <c r="F60" s="384"/>
      <c r="G60" s="384"/>
      <c r="H60" s="384"/>
      <c r="I60" s="384"/>
      <c r="J60" s="384"/>
      <c r="K60" s="385"/>
    </row>
    <row r="61" spans="2:16" ht="15.6" customHeight="1" x14ac:dyDescent="0.25">
      <c r="B61" s="250" t="s">
        <v>374</v>
      </c>
      <c r="C61" s="1442" t="s">
        <v>375</v>
      </c>
      <c r="D61" s="1237"/>
      <c r="E61" s="1237"/>
      <c r="F61" s="1237"/>
      <c r="G61" s="1237"/>
      <c r="H61" s="1237"/>
      <c r="I61" s="1237"/>
      <c r="J61" s="1237"/>
      <c r="K61" s="1238"/>
      <c r="L61" s="430">
        <f>K65</f>
        <v>83000000</v>
      </c>
      <c r="M61" s="481">
        <v>49990820</v>
      </c>
      <c r="N61" s="325">
        <v>71019820</v>
      </c>
      <c r="O61" s="325">
        <f>L61-N61</f>
        <v>11980180</v>
      </c>
      <c r="P61" s="480" t="str">
        <f>IF(O61&gt;0,"BERTAMBAH",IF(O61&lt;0,"BERKURANG","TETAP"))</f>
        <v>BERTAMBAH</v>
      </c>
    </row>
    <row r="62" spans="2:16" x14ac:dyDescent="0.25">
      <c r="B62" s="353"/>
      <c r="C62" s="1397" t="s">
        <v>774</v>
      </c>
      <c r="D62" s="1398"/>
      <c r="E62" s="1398"/>
      <c r="F62" s="1398"/>
      <c r="G62" s="1398"/>
      <c r="H62" s="1398"/>
      <c r="I62" s="1399"/>
      <c r="J62" s="65">
        <v>5500000</v>
      </c>
      <c r="K62" s="378">
        <f>+J62*12</f>
        <v>66000000</v>
      </c>
      <c r="L62" s="437"/>
      <c r="M62" s="438"/>
      <c r="N62" s="438"/>
      <c r="O62" s="438"/>
      <c r="P62" s="439"/>
    </row>
    <row r="63" spans="2:16" x14ac:dyDescent="0.25">
      <c r="B63" s="387"/>
      <c r="C63" s="866" t="s">
        <v>378</v>
      </c>
      <c r="D63" s="870"/>
      <c r="E63" s="870"/>
      <c r="F63" s="870"/>
      <c r="G63" s="1145">
        <v>100</v>
      </c>
      <c r="H63" s="870" t="s">
        <v>10</v>
      </c>
      <c r="I63" s="1146"/>
      <c r="J63" s="388">
        <v>1000000</v>
      </c>
      <c r="K63" s="378">
        <v>12000000</v>
      </c>
      <c r="L63" s="432"/>
      <c r="P63" s="433"/>
    </row>
    <row r="64" spans="2:16" x14ac:dyDescent="0.25">
      <c r="B64" s="16"/>
      <c r="C64" s="1489" t="s">
        <v>773</v>
      </c>
      <c r="D64" s="1490"/>
      <c r="E64" s="1490"/>
      <c r="F64" s="1491"/>
      <c r="G64" s="392"/>
      <c r="H64" s="411"/>
      <c r="I64" s="412"/>
      <c r="J64" s="392">
        <v>0</v>
      </c>
      <c r="K64" s="381">
        <v>5000000</v>
      </c>
      <c r="L64" s="432"/>
      <c r="P64" s="433"/>
    </row>
    <row r="65" spans="2:16" x14ac:dyDescent="0.25">
      <c r="B65" s="1436" t="s">
        <v>5</v>
      </c>
      <c r="C65" s="1354"/>
      <c r="D65" s="1354"/>
      <c r="E65" s="1354"/>
      <c r="F65" s="1355"/>
      <c r="G65" s="1449"/>
      <c r="H65" s="1450"/>
      <c r="I65" s="1451"/>
      <c r="J65" s="43"/>
      <c r="K65" s="408">
        <f>SUM(K62:K64)</f>
        <v>83000000</v>
      </c>
      <c r="L65" s="434"/>
      <c r="M65" s="435"/>
      <c r="N65" s="435"/>
      <c r="O65" s="435"/>
      <c r="P65" s="436"/>
    </row>
    <row r="66" spans="2:16" ht="6" customHeight="1" x14ac:dyDescent="0.25">
      <c r="B66" s="382"/>
      <c r="C66" s="383"/>
      <c r="D66" s="384"/>
      <c r="E66" s="384"/>
      <c r="F66" s="384"/>
      <c r="G66" s="384"/>
      <c r="H66" s="384"/>
      <c r="I66" s="384"/>
      <c r="J66" s="384"/>
      <c r="K66" s="385"/>
    </row>
    <row r="67" spans="2:16" ht="15.6" customHeight="1" x14ac:dyDescent="0.25">
      <c r="B67" s="250" t="s">
        <v>376</v>
      </c>
      <c r="C67" s="1442" t="s">
        <v>377</v>
      </c>
      <c r="D67" s="1237"/>
      <c r="E67" s="1237"/>
      <c r="F67" s="1237"/>
      <c r="G67" s="1237"/>
      <c r="H67" s="1237"/>
      <c r="I67" s="1237"/>
      <c r="J67" s="1237"/>
      <c r="K67" s="1238"/>
      <c r="L67" s="431">
        <f>K69</f>
        <v>0</v>
      </c>
      <c r="M67" s="481"/>
      <c r="N67" s="325"/>
      <c r="O67" s="325"/>
      <c r="P67" s="480"/>
    </row>
    <row r="68" spans="2:16" x14ac:dyDescent="0.25">
      <c r="B68" s="387"/>
      <c r="C68" s="1397" t="s">
        <v>378</v>
      </c>
      <c r="D68" s="1398"/>
      <c r="E68" s="1398"/>
      <c r="F68" s="1399"/>
      <c r="G68" s="388"/>
      <c r="H68" s="1456"/>
      <c r="I68" s="1458"/>
      <c r="J68" s="388"/>
      <c r="K68" s="415">
        <f>J68*12</f>
        <v>0</v>
      </c>
      <c r="L68" s="437"/>
      <c r="M68" s="438"/>
      <c r="N68" s="438"/>
      <c r="O68" s="438"/>
      <c r="P68" s="439"/>
    </row>
    <row r="69" spans="2:16" x14ac:dyDescent="0.25">
      <c r="B69" s="1436" t="s">
        <v>5</v>
      </c>
      <c r="C69" s="1354"/>
      <c r="D69" s="1354"/>
      <c r="E69" s="1354"/>
      <c r="F69" s="1355"/>
      <c r="G69" s="265"/>
      <c r="H69" s="265"/>
      <c r="I69" s="265"/>
      <c r="J69" s="267"/>
      <c r="K69" s="408">
        <f>SUM(K68:K68)</f>
        <v>0</v>
      </c>
      <c r="L69" s="434"/>
      <c r="M69" s="435"/>
      <c r="N69" s="435"/>
      <c r="O69" s="435"/>
      <c r="P69" s="436"/>
    </row>
    <row r="70" spans="2:16" ht="6" customHeight="1" x14ac:dyDescent="0.25">
      <c r="B70" s="382"/>
      <c r="C70" s="383"/>
      <c r="D70" s="384"/>
      <c r="E70" s="384"/>
      <c r="F70" s="384"/>
      <c r="G70" s="384"/>
      <c r="H70" s="384"/>
      <c r="I70" s="384"/>
      <c r="J70" s="384"/>
      <c r="K70" s="385"/>
    </row>
    <row r="71" spans="2:16" ht="15" x14ac:dyDescent="0.25">
      <c r="B71" s="250" t="s">
        <v>379</v>
      </c>
      <c r="C71" s="1442" t="s">
        <v>380</v>
      </c>
      <c r="D71" s="1237"/>
      <c r="E71" s="1237"/>
      <c r="F71" s="1237"/>
      <c r="G71" s="1237"/>
      <c r="H71" s="1237"/>
      <c r="I71" s="1237"/>
      <c r="J71" s="1237"/>
      <c r="K71" s="1238"/>
      <c r="L71" s="430">
        <f>K74</f>
        <v>160000000</v>
      </c>
      <c r="M71" s="481">
        <v>46204814</v>
      </c>
      <c r="N71" s="325">
        <v>125000000</v>
      </c>
      <c r="O71" s="325">
        <f>L71-N71</f>
        <v>35000000</v>
      </c>
      <c r="P71" s="480" t="str">
        <f>IF(O71&gt;0,"BERTAMBAH",IF(O71&lt;0,"BERKURANG","TETAP"))</f>
        <v>BERTAMBAH</v>
      </c>
    </row>
    <row r="72" spans="2:16" x14ac:dyDescent="0.25">
      <c r="B72" s="353"/>
      <c r="C72" s="1480" t="s">
        <v>381</v>
      </c>
      <c r="D72" s="1481"/>
      <c r="E72" s="1481"/>
      <c r="F72" s="1481"/>
      <c r="G72" s="1481"/>
      <c r="H72" s="1481"/>
      <c r="I72" s="1482"/>
      <c r="J72" s="393">
        <v>120000000</v>
      </c>
      <c r="K72" s="418">
        <f>+J72</f>
        <v>120000000</v>
      </c>
      <c r="L72" s="437"/>
      <c r="M72" s="438"/>
      <c r="N72" s="438"/>
      <c r="O72" s="438"/>
      <c r="P72" s="439"/>
    </row>
    <row r="73" spans="2:16" x14ac:dyDescent="0.25">
      <c r="B73" s="2"/>
      <c r="C73" s="1483" t="s">
        <v>382</v>
      </c>
      <c r="D73" s="1484"/>
      <c r="E73" s="1484"/>
      <c r="F73" s="1484"/>
      <c r="G73" s="1484"/>
      <c r="H73" s="1484"/>
      <c r="I73" s="1485"/>
      <c r="J73" s="393">
        <v>40000000</v>
      </c>
      <c r="K73" s="427">
        <f>J73</f>
        <v>40000000</v>
      </c>
      <c r="L73" s="432"/>
      <c r="O73" s="873"/>
      <c r="P73" s="433"/>
    </row>
    <row r="74" spans="2:16" x14ac:dyDescent="0.25">
      <c r="B74" s="1436" t="s">
        <v>5</v>
      </c>
      <c r="C74" s="1354"/>
      <c r="D74" s="1354"/>
      <c r="E74" s="1354"/>
      <c r="F74" s="1355"/>
      <c r="G74" s="1449"/>
      <c r="H74" s="1450"/>
      <c r="I74" s="1450"/>
      <c r="J74" s="1451"/>
      <c r="K74" s="408">
        <f>SUM(K72:K73)</f>
        <v>160000000</v>
      </c>
      <c r="L74" s="434"/>
      <c r="M74" s="435"/>
      <c r="N74" s="435"/>
      <c r="O74" s="435"/>
      <c r="P74" s="436"/>
    </row>
    <row r="75" spans="2:16" ht="6" customHeight="1" x14ac:dyDescent="0.25">
      <c r="B75" s="382"/>
      <c r="C75" s="383"/>
      <c r="D75" s="384"/>
      <c r="E75" s="384"/>
      <c r="F75" s="384"/>
      <c r="G75" s="384"/>
      <c r="H75" s="384"/>
      <c r="I75" s="384"/>
      <c r="J75" s="384"/>
      <c r="K75" s="385"/>
    </row>
    <row r="76" spans="2:16" ht="15" x14ac:dyDescent="0.25">
      <c r="B76" s="250" t="s">
        <v>383</v>
      </c>
      <c r="C76" s="1442" t="s">
        <v>384</v>
      </c>
      <c r="D76" s="1237"/>
      <c r="E76" s="1237"/>
      <c r="F76" s="1237"/>
      <c r="G76" s="1237"/>
      <c r="H76" s="1237"/>
      <c r="I76" s="1237"/>
      <c r="J76" s="1237"/>
      <c r="K76" s="1238"/>
      <c r="L76" s="430">
        <f>K81</f>
        <v>18720000</v>
      </c>
      <c r="M76" s="481">
        <v>14420000</v>
      </c>
      <c r="N76" s="325">
        <v>17875000</v>
      </c>
      <c r="O76" s="325">
        <f>L76-N76</f>
        <v>845000</v>
      </c>
      <c r="P76" s="480" t="str">
        <f>IF(O76&gt;0,"BERTAMBAH",IF(O76&lt;0,"BERKURANG","TETAP"))</f>
        <v>BERTAMBAH</v>
      </c>
    </row>
    <row r="77" spans="2:16" x14ac:dyDescent="0.25">
      <c r="B77" s="443"/>
      <c r="C77" s="1478" t="s">
        <v>385</v>
      </c>
      <c r="D77" s="1453"/>
      <c r="E77" s="1453"/>
      <c r="F77" s="1479"/>
      <c r="G77" s="419">
        <v>13</v>
      </c>
      <c r="H77" s="393" t="s">
        <v>386</v>
      </c>
      <c r="I77" s="409">
        <v>2</v>
      </c>
      <c r="J77" s="331">
        <v>90000</v>
      </c>
      <c r="K77" s="424">
        <f>G77*I77*J77*3</f>
        <v>7020000</v>
      </c>
      <c r="L77" s="437"/>
      <c r="M77" s="438"/>
      <c r="N77" s="438"/>
      <c r="O77" s="438"/>
      <c r="P77" s="439"/>
    </row>
    <row r="78" spans="2:16" x14ac:dyDescent="0.25">
      <c r="B78" s="444"/>
      <c r="C78" s="1476" t="s">
        <v>387</v>
      </c>
      <c r="D78" s="1452"/>
      <c r="E78" s="1452"/>
      <c r="F78" s="1477"/>
      <c r="G78" s="402">
        <v>12</v>
      </c>
      <c r="H78" s="36" t="s">
        <v>386</v>
      </c>
      <c r="I78" s="299">
        <v>1</v>
      </c>
      <c r="J78" s="262">
        <v>150000</v>
      </c>
      <c r="K78" s="425">
        <f>G78*I78*J78*3</f>
        <v>5400000</v>
      </c>
      <c r="L78" s="432"/>
      <c r="P78" s="433"/>
    </row>
    <row r="79" spans="2:16" x14ac:dyDescent="0.25">
      <c r="B79" s="444"/>
      <c r="C79" s="1476" t="s">
        <v>388</v>
      </c>
      <c r="D79" s="1452"/>
      <c r="E79" s="1452"/>
      <c r="F79" s="1477"/>
      <c r="G79" s="445">
        <v>7</v>
      </c>
      <c r="H79" s="36" t="s">
        <v>386</v>
      </c>
      <c r="I79" s="299">
        <v>1</v>
      </c>
      <c r="J79" s="262">
        <v>150000</v>
      </c>
      <c r="K79" s="425">
        <f>G79*I79*J79*3</f>
        <v>3150000</v>
      </c>
      <c r="L79" s="432"/>
      <c r="P79" s="433"/>
    </row>
    <row r="80" spans="2:16" x14ac:dyDescent="0.25">
      <c r="B80" s="444"/>
      <c r="C80" s="1473" t="s">
        <v>389</v>
      </c>
      <c r="D80" s="1474"/>
      <c r="E80" s="1474"/>
      <c r="F80" s="1475"/>
      <c r="G80" s="402">
        <v>7</v>
      </c>
      <c r="H80" s="36" t="s">
        <v>386</v>
      </c>
      <c r="I80" s="299">
        <v>1</v>
      </c>
      <c r="J80" s="262">
        <v>150000</v>
      </c>
      <c r="K80" s="426">
        <f>G80*I80*J80*3</f>
        <v>3150000</v>
      </c>
      <c r="L80" s="432"/>
      <c r="P80" s="433"/>
    </row>
    <row r="81" spans="2:16" x14ac:dyDescent="0.25">
      <c r="B81" s="1436" t="s">
        <v>5</v>
      </c>
      <c r="C81" s="1371"/>
      <c r="D81" s="1371"/>
      <c r="E81" s="1371"/>
      <c r="F81" s="1372"/>
      <c r="G81" s="1449"/>
      <c r="H81" s="1450"/>
      <c r="I81" s="1450"/>
      <c r="J81" s="1451"/>
      <c r="K81" s="408">
        <f>SUM(K77:K80)</f>
        <v>18720000</v>
      </c>
      <c r="L81" s="434"/>
      <c r="M81" s="435"/>
      <c r="N81" s="435"/>
      <c r="O81" s="435"/>
      <c r="P81" s="436"/>
    </row>
    <row r="82" spans="2:16" ht="6" customHeight="1" x14ac:dyDescent="0.25">
      <c r="B82" s="382"/>
      <c r="C82" s="383"/>
      <c r="D82" s="384"/>
      <c r="E82" s="384"/>
      <c r="F82" s="384"/>
      <c r="G82" s="384"/>
      <c r="H82" s="384"/>
      <c r="I82" s="384"/>
      <c r="J82" s="384"/>
      <c r="K82" s="385"/>
    </row>
    <row r="83" spans="2:16" ht="15" x14ac:dyDescent="0.25">
      <c r="B83" s="250" t="s">
        <v>392</v>
      </c>
      <c r="C83" s="1442" t="s">
        <v>767</v>
      </c>
      <c r="D83" s="1237"/>
      <c r="E83" s="1237"/>
      <c r="F83" s="1237"/>
      <c r="G83" s="1237"/>
      <c r="H83" s="1237"/>
      <c r="I83" s="1237"/>
      <c r="J83" s="1237"/>
      <c r="K83" s="1238"/>
      <c r="L83" s="430">
        <f>K87</f>
        <v>93600000</v>
      </c>
      <c r="M83" s="481">
        <v>75400663</v>
      </c>
      <c r="N83" s="325">
        <v>86943709</v>
      </c>
      <c r="O83" s="325">
        <f>L83-N83</f>
        <v>6656291</v>
      </c>
      <c r="P83" s="480" t="str">
        <f>IF(O83&gt;0,"BERTAMBAH",IF(O83&lt;0,"BERKURANG","TETAP"))</f>
        <v>BERTAMBAH</v>
      </c>
    </row>
    <row r="84" spans="2:16" x14ac:dyDescent="0.25">
      <c r="B84" s="28"/>
      <c r="C84" s="1427" t="s">
        <v>390</v>
      </c>
      <c r="D84" s="1427"/>
      <c r="E84" s="1427"/>
      <c r="F84" s="1427"/>
      <c r="G84" s="1249">
        <v>2</v>
      </c>
      <c r="H84" s="1249"/>
      <c r="I84" s="91" t="s">
        <v>386</v>
      </c>
      <c r="J84" s="91">
        <v>300000</v>
      </c>
      <c r="K84" s="271">
        <f>J84*12</f>
        <v>3600000</v>
      </c>
      <c r="L84" s="446"/>
      <c r="M84" s="438"/>
      <c r="N84" s="438"/>
      <c r="O84" s="438"/>
      <c r="P84" s="439"/>
    </row>
    <row r="85" spans="2:16" x14ac:dyDescent="0.25">
      <c r="B85" s="2"/>
      <c r="C85" s="1425" t="s">
        <v>391</v>
      </c>
      <c r="D85" s="1425"/>
      <c r="E85" s="1425"/>
      <c r="F85" s="1425"/>
      <c r="G85" s="1426">
        <v>1</v>
      </c>
      <c r="H85" s="1426"/>
      <c r="I85" s="32" t="s">
        <v>386</v>
      </c>
      <c r="J85" s="32">
        <v>2000000</v>
      </c>
      <c r="K85" s="272">
        <f>J85*12</f>
        <v>24000000</v>
      </c>
      <c r="O85" s="1142"/>
      <c r="P85" s="433"/>
    </row>
    <row r="86" spans="2:16" x14ac:dyDescent="0.25">
      <c r="B86" s="2"/>
      <c r="C86" s="1425" t="s">
        <v>768</v>
      </c>
      <c r="D86" s="1425"/>
      <c r="E86" s="1425"/>
      <c r="F86" s="1425"/>
      <c r="G86" s="1426"/>
      <c r="H86" s="1426"/>
      <c r="I86" s="32"/>
      <c r="J86" s="32">
        <v>5500000</v>
      </c>
      <c r="K86" s="282">
        <f>J86*12</f>
        <v>66000000</v>
      </c>
      <c r="N86" s="1142"/>
      <c r="P86" s="433"/>
    </row>
    <row r="87" spans="2:16" x14ac:dyDescent="0.25">
      <c r="B87" s="1430" t="s">
        <v>5</v>
      </c>
      <c r="C87" s="1326"/>
      <c r="D87" s="1326"/>
      <c r="E87" s="1326"/>
      <c r="F87" s="1326"/>
      <c r="G87" s="265"/>
      <c r="H87" s="265"/>
      <c r="I87" s="265"/>
      <c r="J87" s="267"/>
      <c r="K87" s="268">
        <f>SUM(K84:K86)</f>
        <v>93600000</v>
      </c>
      <c r="L87" s="103"/>
      <c r="M87" s="435"/>
      <c r="N87" s="435"/>
      <c r="O87" s="435"/>
      <c r="P87" s="436"/>
    </row>
    <row r="88" spans="2:16" ht="6" customHeight="1" x14ac:dyDescent="0.25">
      <c r="B88" s="406"/>
      <c r="C88" s="447"/>
      <c r="D88" s="429"/>
      <c r="E88" s="429"/>
      <c r="F88" s="429"/>
      <c r="G88" s="429"/>
      <c r="H88" s="429"/>
      <c r="I88" s="429"/>
      <c r="J88" s="429"/>
      <c r="K88" s="407"/>
    </row>
    <row r="89" spans="2:16" ht="15" x14ac:dyDescent="0.25">
      <c r="B89" s="250" t="s">
        <v>393</v>
      </c>
      <c r="C89" s="1329" t="s">
        <v>394</v>
      </c>
      <c r="D89" s="1330"/>
      <c r="E89" s="1330"/>
      <c r="F89" s="1330"/>
      <c r="G89" s="1330"/>
      <c r="H89" s="1330"/>
      <c r="I89" s="1330"/>
      <c r="J89" s="1330"/>
      <c r="K89" s="1331"/>
      <c r="L89" s="430">
        <f>K98</f>
        <v>227400000</v>
      </c>
      <c r="M89" s="488">
        <v>89898173</v>
      </c>
      <c r="N89" s="325">
        <v>149802426</v>
      </c>
      <c r="O89" s="325">
        <f>L89-N89</f>
        <v>77597574</v>
      </c>
      <c r="P89" s="480" t="str">
        <f>IF(O89&gt;0,"BERTAMBAH",IF(O89&lt;0,"BERKURANG","TETAP"))</f>
        <v>BERTAMBAH</v>
      </c>
    </row>
    <row r="90" spans="2:16" x14ac:dyDescent="0.25">
      <c r="B90" s="28"/>
      <c r="C90" s="1470" t="s">
        <v>395</v>
      </c>
      <c r="D90" s="1470"/>
      <c r="E90" s="1470"/>
      <c r="F90" s="1470"/>
      <c r="G90" s="1470"/>
      <c r="H90" s="1470"/>
      <c r="I90" s="1470"/>
      <c r="J90" s="1470"/>
      <c r="K90" s="1471"/>
      <c r="L90" s="446"/>
      <c r="M90" s="438"/>
      <c r="N90" s="438"/>
      <c r="O90" s="438"/>
      <c r="P90" s="439"/>
    </row>
    <row r="91" spans="2:16" x14ac:dyDescent="0.25">
      <c r="B91" s="2"/>
      <c r="C91" s="1472" t="s">
        <v>396</v>
      </c>
      <c r="D91" s="1472"/>
      <c r="E91" s="1472"/>
      <c r="F91" s="1472"/>
      <c r="G91" s="1472"/>
      <c r="H91" s="1472"/>
      <c r="I91" s="1472"/>
      <c r="J91" s="354">
        <v>2550000</v>
      </c>
      <c r="K91" s="272">
        <f>J91*12</f>
        <v>30600000</v>
      </c>
      <c r="P91" s="433"/>
    </row>
    <row r="92" spans="2:16" x14ac:dyDescent="0.25">
      <c r="B92" s="2"/>
      <c r="C92" s="1472" t="s">
        <v>397</v>
      </c>
      <c r="D92" s="1472"/>
      <c r="E92" s="1472"/>
      <c r="F92" s="1472"/>
      <c r="G92" s="1472"/>
      <c r="H92" s="1472"/>
      <c r="I92" s="1472"/>
      <c r="J92" s="354">
        <v>2550000</v>
      </c>
      <c r="K92" s="272">
        <f t="shared" ref="K92:K97" si="2">J92*12</f>
        <v>30600000</v>
      </c>
      <c r="P92" s="433"/>
    </row>
    <row r="93" spans="2:16" x14ac:dyDescent="0.25">
      <c r="B93" s="2"/>
      <c r="C93" s="1472" t="s">
        <v>398</v>
      </c>
      <c r="D93" s="1472"/>
      <c r="E93" s="1472"/>
      <c r="F93" s="1472"/>
      <c r="G93" s="1472"/>
      <c r="H93" s="1472"/>
      <c r="I93" s="1472"/>
      <c r="J93" s="354">
        <v>2550000</v>
      </c>
      <c r="K93" s="272">
        <f t="shared" si="2"/>
        <v>30600000</v>
      </c>
      <c r="P93" s="433"/>
    </row>
    <row r="94" spans="2:16" ht="14.45" customHeight="1" x14ac:dyDescent="0.25">
      <c r="B94" s="2"/>
      <c r="C94" s="1472" t="s">
        <v>399</v>
      </c>
      <c r="D94" s="1472"/>
      <c r="E94" s="1472"/>
      <c r="F94" s="1472"/>
      <c r="G94" s="1472"/>
      <c r="H94" s="1472"/>
      <c r="I94" s="1472"/>
      <c r="J94" s="354">
        <v>2550000</v>
      </c>
      <c r="K94" s="272">
        <f t="shared" si="2"/>
        <v>30600000</v>
      </c>
      <c r="P94" s="433"/>
    </row>
    <row r="95" spans="2:16" ht="14.45" customHeight="1" x14ac:dyDescent="0.25">
      <c r="B95" s="2"/>
      <c r="C95" s="1472" t="s">
        <v>400</v>
      </c>
      <c r="D95" s="1472"/>
      <c r="E95" s="1472"/>
      <c r="F95" s="1472"/>
      <c r="G95" s="1472"/>
      <c r="H95" s="1472"/>
      <c r="I95" s="1472"/>
      <c r="J95" s="354">
        <v>2550000</v>
      </c>
      <c r="K95" s="272">
        <f t="shared" si="2"/>
        <v>30600000</v>
      </c>
      <c r="P95" s="433"/>
    </row>
    <row r="96" spans="2:16" x14ac:dyDescent="0.25">
      <c r="B96" s="2"/>
      <c r="C96" s="1472" t="s">
        <v>401</v>
      </c>
      <c r="D96" s="1472"/>
      <c r="E96" s="1472"/>
      <c r="F96" s="1472"/>
      <c r="G96" s="1472"/>
      <c r="H96" s="1472"/>
      <c r="I96" s="1472"/>
      <c r="J96" s="354">
        <v>3000000</v>
      </c>
      <c r="K96" s="272">
        <f t="shared" si="2"/>
        <v>36000000</v>
      </c>
      <c r="P96" s="433"/>
    </row>
    <row r="97" spans="2:16" x14ac:dyDescent="0.25">
      <c r="B97" s="2"/>
      <c r="C97" s="1455" t="s">
        <v>402</v>
      </c>
      <c r="D97" s="1455"/>
      <c r="E97" s="1455"/>
      <c r="F97" s="1455"/>
      <c r="G97" s="1455"/>
      <c r="H97" s="1455"/>
      <c r="I97" s="1455"/>
      <c r="J97" s="49">
        <v>3200000</v>
      </c>
      <c r="K97" s="282">
        <f t="shared" si="2"/>
        <v>38400000</v>
      </c>
      <c r="P97" s="433"/>
    </row>
    <row r="98" spans="2:16" x14ac:dyDescent="0.25">
      <c r="B98" s="1430" t="s">
        <v>5</v>
      </c>
      <c r="C98" s="1326"/>
      <c r="D98" s="1326"/>
      <c r="E98" s="1326"/>
      <c r="F98" s="1326"/>
      <c r="G98" s="1364"/>
      <c r="H98" s="1364"/>
      <c r="I98" s="1364"/>
      <c r="J98" s="267">
        <f>SUM(J91:J97)</f>
        <v>18950000</v>
      </c>
      <c r="K98" s="268">
        <f>SUM(K91:K97)</f>
        <v>227400000</v>
      </c>
      <c r="L98" s="103"/>
      <c r="M98" s="435"/>
      <c r="N98" s="435"/>
      <c r="O98" s="435"/>
      <c r="P98" s="436"/>
    </row>
    <row r="99" spans="2:16" ht="6" customHeight="1" x14ac:dyDescent="0.25">
      <c r="B99" s="394"/>
      <c r="C99" s="395"/>
      <c r="D99" s="396"/>
      <c r="E99" s="396"/>
      <c r="F99" s="396"/>
      <c r="G99" s="396"/>
      <c r="H99" s="396"/>
      <c r="I99" s="396"/>
      <c r="J99" s="417"/>
      <c r="K99" s="416"/>
    </row>
    <row r="100" spans="2:16" ht="15" x14ac:dyDescent="0.25">
      <c r="B100" s="250" t="s">
        <v>403</v>
      </c>
      <c r="C100" s="1329" t="s">
        <v>404</v>
      </c>
      <c r="D100" s="1330"/>
      <c r="E100" s="1330"/>
      <c r="F100" s="1330"/>
      <c r="G100" s="1330"/>
      <c r="H100" s="1330"/>
      <c r="I100" s="1330"/>
      <c r="J100" s="1330"/>
      <c r="K100" s="1330"/>
      <c r="L100" s="440">
        <v>0</v>
      </c>
      <c r="M100" s="485">
        <v>0</v>
      </c>
      <c r="N100" s="325">
        <v>80000000</v>
      </c>
      <c r="O100" s="325">
        <f>N100-L100</f>
        <v>80000000</v>
      </c>
      <c r="P100" s="349" t="str">
        <f>IF(O100&gt;0,"BERTAMBAH",IF(O100&lt;0,"BERKURANG","TETAP"))</f>
        <v>BERTAMBAH</v>
      </c>
    </row>
    <row r="101" spans="2:16" x14ac:dyDescent="0.25">
      <c r="B101" s="28"/>
      <c r="C101" s="1437" t="s">
        <v>405</v>
      </c>
      <c r="D101" s="1437"/>
      <c r="E101" s="1437"/>
      <c r="F101" s="1437"/>
      <c r="G101" s="1437"/>
      <c r="H101" s="1437"/>
      <c r="I101" s="1437"/>
      <c r="J101" s="97">
        <v>0</v>
      </c>
      <c r="K101" s="449">
        <f>J101*1</f>
        <v>0</v>
      </c>
      <c r="L101" s="446"/>
      <c r="M101" s="438"/>
      <c r="N101" s="438"/>
      <c r="O101" s="438"/>
      <c r="P101" s="439"/>
    </row>
    <row r="102" spans="2:16" x14ac:dyDescent="0.25">
      <c r="B102" s="2"/>
      <c r="C102" s="1455" t="s">
        <v>406</v>
      </c>
      <c r="D102" s="1455"/>
      <c r="E102" s="1455"/>
      <c r="F102" s="1455"/>
      <c r="G102" s="1455"/>
      <c r="H102" s="1455"/>
      <c r="I102" s="1455"/>
      <c r="J102" s="48"/>
      <c r="K102" s="450">
        <f>J102*1</f>
        <v>0</v>
      </c>
      <c r="P102" s="433"/>
    </row>
    <row r="103" spans="2:16" x14ac:dyDescent="0.25">
      <c r="B103" s="1430" t="s">
        <v>5</v>
      </c>
      <c r="C103" s="1326"/>
      <c r="D103" s="1326"/>
      <c r="E103" s="1326"/>
      <c r="F103" s="1326"/>
      <c r="G103" s="1364"/>
      <c r="H103" s="1364"/>
      <c r="I103" s="1364"/>
      <c r="J103" s="267"/>
      <c r="K103" s="268">
        <f>SUM(K101:K102)</f>
        <v>0</v>
      </c>
      <c r="L103" s="103"/>
      <c r="M103" s="435"/>
      <c r="N103" s="435"/>
      <c r="O103" s="435"/>
      <c r="P103" s="436"/>
    </row>
    <row r="104" spans="2:16" ht="6" customHeight="1" x14ac:dyDescent="0.25">
      <c r="B104" s="406"/>
      <c r="C104" s="447"/>
      <c r="D104" s="429"/>
      <c r="E104" s="429"/>
      <c r="F104" s="429"/>
      <c r="G104" s="429"/>
      <c r="H104" s="429"/>
      <c r="I104" s="429"/>
      <c r="J104" s="429"/>
      <c r="K104" s="407"/>
    </row>
    <row r="105" spans="2:16" ht="15.6" customHeight="1" x14ac:dyDescent="0.25">
      <c r="B105" s="250" t="s">
        <v>407</v>
      </c>
      <c r="C105" s="1442" t="s">
        <v>408</v>
      </c>
      <c r="D105" s="1237"/>
      <c r="E105" s="1237"/>
      <c r="F105" s="1237"/>
      <c r="G105" s="1237"/>
      <c r="H105" s="1237"/>
      <c r="I105" s="1237"/>
      <c r="J105" s="1237"/>
      <c r="K105" s="1238"/>
      <c r="L105" s="430">
        <f>K107</f>
        <v>96000000</v>
      </c>
      <c r="M105" s="489">
        <v>43378269</v>
      </c>
      <c r="N105" s="325">
        <v>63943022</v>
      </c>
      <c r="O105" s="325">
        <f>L105-N105</f>
        <v>32056978</v>
      </c>
      <c r="P105" s="349" t="str">
        <f>IF(O105&gt;0,"BERTAMBAH",IF(O105&lt;0,"BERKURANG","TETAP"))</f>
        <v>BERTAMBAH</v>
      </c>
    </row>
    <row r="106" spans="2:16" x14ac:dyDescent="0.25">
      <c r="B106" s="353"/>
      <c r="C106" s="1456" t="s">
        <v>409</v>
      </c>
      <c r="D106" s="1457"/>
      <c r="E106" s="1457"/>
      <c r="F106" s="1457"/>
      <c r="G106" s="1457"/>
      <c r="H106" s="1457"/>
      <c r="I106" s="1458"/>
      <c r="J106" s="65">
        <v>8000000</v>
      </c>
      <c r="K106" s="381">
        <f>J106*12</f>
        <v>96000000</v>
      </c>
      <c r="L106" s="437"/>
      <c r="M106" s="438"/>
      <c r="N106" s="438"/>
      <c r="O106" s="438"/>
      <c r="P106" s="439"/>
    </row>
    <row r="107" spans="2:16" x14ac:dyDescent="0.25">
      <c r="B107" s="1436" t="s">
        <v>5</v>
      </c>
      <c r="C107" s="1354"/>
      <c r="D107" s="1354"/>
      <c r="E107" s="1354"/>
      <c r="F107" s="1355"/>
      <c r="G107" s="1449"/>
      <c r="H107" s="1450"/>
      <c r="I107" s="1451"/>
      <c r="J107" s="267"/>
      <c r="K107" s="408">
        <f>SUM(K106:K106)</f>
        <v>96000000</v>
      </c>
      <c r="L107" s="434"/>
      <c r="M107" s="435"/>
      <c r="N107" s="435"/>
      <c r="O107" s="435"/>
      <c r="P107" s="436"/>
    </row>
    <row r="108" spans="2:16" ht="6" customHeight="1" x14ac:dyDescent="0.25">
      <c r="B108" s="382"/>
      <c r="C108" s="383"/>
      <c r="D108" s="384"/>
      <c r="E108" s="384"/>
      <c r="F108" s="384"/>
      <c r="G108" s="384"/>
      <c r="H108" s="384"/>
      <c r="I108" s="384"/>
      <c r="J108" s="384"/>
      <c r="K108" s="385"/>
    </row>
    <row r="109" spans="2:16" ht="15" x14ac:dyDescent="0.25">
      <c r="B109" s="250" t="s">
        <v>410</v>
      </c>
      <c r="C109" s="1329" t="s">
        <v>411</v>
      </c>
      <c r="D109" s="1330"/>
      <c r="E109" s="1330"/>
      <c r="F109" s="1330"/>
      <c r="G109" s="1330"/>
      <c r="H109" s="1330"/>
      <c r="I109" s="1330"/>
      <c r="J109" s="1330"/>
      <c r="K109" s="1331"/>
      <c r="L109" s="430">
        <f>K112</f>
        <v>595000000</v>
      </c>
      <c r="M109" s="489">
        <v>69601700</v>
      </c>
      <c r="N109" s="325">
        <v>154071700</v>
      </c>
      <c r="O109" s="325">
        <f>L109-N109</f>
        <v>440928300</v>
      </c>
      <c r="P109" s="349" t="str">
        <f>IF(O109&gt;0,"BERTAMBAH",IF(O109&lt;0,"BERKURANG","TETAP"))</f>
        <v>BERTAMBAH</v>
      </c>
    </row>
    <row r="110" spans="2:16" x14ac:dyDescent="0.25">
      <c r="B110" s="28"/>
      <c r="C110" s="1427" t="s">
        <v>412</v>
      </c>
      <c r="D110" s="1427"/>
      <c r="E110" s="1427"/>
      <c r="F110" s="1427"/>
      <c r="G110" s="1427"/>
      <c r="H110" s="1427"/>
      <c r="I110" s="1427"/>
      <c r="J110" s="93"/>
      <c r="K110" s="451">
        <v>520000000</v>
      </c>
      <c r="L110" s="446"/>
      <c r="M110" s="438"/>
      <c r="N110" s="438"/>
      <c r="O110" s="438"/>
      <c r="P110" s="439"/>
    </row>
    <row r="111" spans="2:16" x14ac:dyDescent="0.25">
      <c r="B111" s="2"/>
      <c r="C111" s="1425" t="s">
        <v>253</v>
      </c>
      <c r="D111" s="1425"/>
      <c r="E111" s="1425"/>
      <c r="F111" s="1425"/>
      <c r="G111" s="1425"/>
      <c r="H111" s="1425"/>
      <c r="I111" s="1425"/>
      <c r="J111" s="22"/>
      <c r="K111" s="452">
        <v>75000000</v>
      </c>
      <c r="P111" s="433"/>
    </row>
    <row r="112" spans="2:16" x14ac:dyDescent="0.25">
      <c r="B112" s="1430" t="s">
        <v>5</v>
      </c>
      <c r="C112" s="1326"/>
      <c r="D112" s="1326"/>
      <c r="E112" s="1326"/>
      <c r="F112" s="1326"/>
      <c r="G112" s="1364"/>
      <c r="H112" s="1364"/>
      <c r="I112" s="1364"/>
      <c r="J112" s="267"/>
      <c r="K112" s="268">
        <f>SUM(K110:K111)</f>
        <v>595000000</v>
      </c>
      <c r="L112" s="103"/>
      <c r="M112" s="435"/>
      <c r="N112" s="435"/>
      <c r="O112" s="435"/>
      <c r="P112" s="436"/>
    </row>
    <row r="113" spans="2:16" ht="6" customHeight="1" x14ac:dyDescent="0.25">
      <c r="B113" s="406"/>
      <c r="C113" s="447"/>
      <c r="D113" s="429"/>
      <c r="E113" s="429"/>
      <c r="F113" s="429"/>
      <c r="G113" s="429"/>
      <c r="H113" s="429"/>
      <c r="I113" s="429"/>
      <c r="J113" s="429"/>
      <c r="K113" s="407"/>
    </row>
    <row r="114" spans="2:16" x14ac:dyDescent="0.25">
      <c r="B114" s="250" t="s">
        <v>413</v>
      </c>
      <c r="C114" s="1329" t="s">
        <v>414</v>
      </c>
      <c r="D114" s="1330"/>
      <c r="E114" s="1330"/>
      <c r="F114" s="1330"/>
      <c r="G114" s="1330"/>
      <c r="H114" s="1330"/>
      <c r="I114" s="1330"/>
      <c r="J114" s="1330"/>
      <c r="K114" s="1331"/>
      <c r="L114" s="431">
        <f>K127</f>
        <v>139480000</v>
      </c>
      <c r="M114" s="483">
        <v>128804400</v>
      </c>
      <c r="N114" s="490">
        <v>129000000</v>
      </c>
      <c r="O114" s="325">
        <f>L114-N114</f>
        <v>10480000</v>
      </c>
      <c r="P114" s="328" t="str">
        <f>IF(O114&gt;0,"BERTAMBAH",IF(O114&lt;0,"BERKURANG","TETAP"))</f>
        <v>BERTAMBAH</v>
      </c>
    </row>
    <row r="115" spans="2:16" x14ac:dyDescent="0.25">
      <c r="B115" s="353"/>
      <c r="C115" s="85" t="s">
        <v>248</v>
      </c>
      <c r="D115" s="397" t="s">
        <v>415</v>
      </c>
      <c r="E115" s="398"/>
      <c r="F115" s="398"/>
      <c r="G115" s="399">
        <v>1</v>
      </c>
      <c r="H115" s="1468" t="s">
        <v>291</v>
      </c>
      <c r="I115" s="1469"/>
      <c r="J115" s="65">
        <v>3560000</v>
      </c>
      <c r="K115" s="378">
        <f>G115*J115</f>
        <v>3560000</v>
      </c>
      <c r="L115" s="437"/>
      <c r="M115" s="438"/>
      <c r="N115" s="438"/>
      <c r="O115" s="438"/>
      <c r="P115" s="439"/>
    </row>
    <row r="116" spans="2:16" x14ac:dyDescent="0.25">
      <c r="B116" s="2"/>
      <c r="C116" s="12" t="s">
        <v>249</v>
      </c>
      <c r="D116" s="400" t="s">
        <v>415</v>
      </c>
      <c r="E116" s="354"/>
      <c r="F116" s="354"/>
      <c r="G116" s="373">
        <v>1</v>
      </c>
      <c r="H116" s="1391" t="s">
        <v>291</v>
      </c>
      <c r="I116" s="1393"/>
      <c r="J116" s="65">
        <v>3560000</v>
      </c>
      <c r="K116" s="121">
        <f>G116*J116</f>
        <v>3560000</v>
      </c>
      <c r="L116" s="432"/>
      <c r="P116" s="433"/>
    </row>
    <row r="117" spans="2:16" x14ac:dyDescent="0.25">
      <c r="B117" s="2"/>
      <c r="C117" s="12" t="s">
        <v>416</v>
      </c>
      <c r="D117" s="400" t="s">
        <v>415</v>
      </c>
      <c r="E117" s="354"/>
      <c r="F117" s="354"/>
      <c r="G117" s="373">
        <v>1</v>
      </c>
      <c r="H117" s="1391" t="s">
        <v>291</v>
      </c>
      <c r="I117" s="1393"/>
      <c r="J117" s="65">
        <v>3560000</v>
      </c>
      <c r="K117" s="121">
        <f>G117*J117</f>
        <v>3560000</v>
      </c>
      <c r="L117" s="432"/>
      <c r="P117" s="433"/>
    </row>
    <row r="118" spans="2:16" x14ac:dyDescent="0.25">
      <c r="B118" s="2"/>
      <c r="C118" s="12" t="s">
        <v>251</v>
      </c>
      <c r="D118" s="400" t="s">
        <v>415</v>
      </c>
      <c r="E118" s="354"/>
      <c r="F118" s="354"/>
      <c r="G118" s="373">
        <v>1</v>
      </c>
      <c r="H118" s="1391" t="s">
        <v>291</v>
      </c>
      <c r="I118" s="1393"/>
      <c r="J118" s="65">
        <v>3560000</v>
      </c>
      <c r="K118" s="121">
        <f>G118*J118</f>
        <v>3560000</v>
      </c>
      <c r="L118" s="432"/>
      <c r="P118" s="433"/>
    </row>
    <row r="119" spans="2:16" ht="24" customHeight="1" x14ac:dyDescent="0.25">
      <c r="B119" s="2"/>
      <c r="C119" s="12" t="s">
        <v>417</v>
      </c>
      <c r="D119" s="400" t="s">
        <v>415</v>
      </c>
      <c r="E119" s="354"/>
      <c r="F119" s="354"/>
      <c r="G119" s="373">
        <v>1</v>
      </c>
      <c r="H119" s="1391" t="s">
        <v>291</v>
      </c>
      <c r="I119" s="1393"/>
      <c r="J119" s="65">
        <v>3560000</v>
      </c>
      <c r="K119" s="121">
        <f>G119*J119</f>
        <v>3560000</v>
      </c>
      <c r="L119" s="432"/>
      <c r="P119" s="433"/>
    </row>
    <row r="120" spans="2:16" x14ac:dyDescent="0.25">
      <c r="B120" s="1459"/>
      <c r="C120" s="1460"/>
      <c r="D120" s="1460"/>
      <c r="E120" s="1460"/>
      <c r="F120" s="1460"/>
      <c r="G120" s="1460"/>
      <c r="H120" s="1460"/>
      <c r="I120" s="1460"/>
      <c r="J120" s="1460"/>
      <c r="K120" s="1461"/>
      <c r="L120" s="432"/>
      <c r="P120" s="433"/>
    </row>
    <row r="121" spans="2:16" x14ac:dyDescent="0.25">
      <c r="B121" s="2"/>
      <c r="C121" s="1462" t="s">
        <v>418</v>
      </c>
      <c r="D121" s="1463"/>
      <c r="E121" s="1463"/>
      <c r="F121" s="1463"/>
      <c r="G121" s="1463"/>
      <c r="H121" s="1463"/>
      <c r="I121" s="1463"/>
      <c r="J121" s="1463"/>
      <c r="K121" s="1464"/>
      <c r="L121" s="432"/>
      <c r="P121" s="433"/>
    </row>
    <row r="122" spans="2:16" x14ac:dyDescent="0.25">
      <c r="B122" s="2"/>
      <c r="C122" s="12" t="s">
        <v>419</v>
      </c>
      <c r="D122" s="1465" t="s">
        <v>420</v>
      </c>
      <c r="E122" s="1466"/>
      <c r="F122" s="1467"/>
      <c r="G122" s="35">
        <v>140</v>
      </c>
      <c r="H122" s="1391" t="s">
        <v>291</v>
      </c>
      <c r="I122" s="1393"/>
      <c r="J122" s="32">
        <v>680000</v>
      </c>
      <c r="K122" s="121">
        <f>SUM(G122*J122)</f>
        <v>95200000</v>
      </c>
      <c r="L122" s="432"/>
      <c r="P122" s="433"/>
    </row>
    <row r="123" spans="2:16" x14ac:dyDescent="0.25">
      <c r="B123" s="16"/>
      <c r="C123" s="17" t="s">
        <v>775</v>
      </c>
      <c r="D123" s="1123" t="s">
        <v>420</v>
      </c>
      <c r="E123" s="1124"/>
      <c r="F123" s="1125"/>
      <c r="G123" s="403">
        <v>5</v>
      </c>
      <c r="H123" s="401" t="s">
        <v>291</v>
      </c>
      <c r="I123" s="402"/>
      <c r="J123" s="32">
        <v>680000</v>
      </c>
      <c r="K123" s="121">
        <f>G123*J123</f>
        <v>3400000</v>
      </c>
      <c r="L123" s="432"/>
      <c r="P123" s="433"/>
    </row>
    <row r="124" spans="2:16" x14ac:dyDescent="0.25">
      <c r="B124" s="16"/>
      <c r="C124" s="17" t="s">
        <v>421</v>
      </c>
      <c r="D124" s="1465" t="s">
        <v>415</v>
      </c>
      <c r="E124" s="1466"/>
      <c r="F124" s="1467"/>
      <c r="G124" s="403">
        <v>1</v>
      </c>
      <c r="H124" s="401" t="s">
        <v>291</v>
      </c>
      <c r="I124" s="402"/>
      <c r="J124" s="32">
        <v>680000</v>
      </c>
      <c r="K124" s="121">
        <f>J124</f>
        <v>680000</v>
      </c>
      <c r="L124" s="432"/>
      <c r="P124" s="433"/>
    </row>
    <row r="125" spans="2:16" x14ac:dyDescent="0.25">
      <c r="B125" s="16"/>
      <c r="C125" s="17" t="s">
        <v>793</v>
      </c>
      <c r="D125" s="1123" t="s">
        <v>794</v>
      </c>
      <c r="E125" s="1124"/>
      <c r="F125" s="1125"/>
      <c r="G125" s="403">
        <v>60</v>
      </c>
      <c r="H125" s="401" t="s">
        <v>291</v>
      </c>
      <c r="I125" s="402"/>
      <c r="J125" s="32">
        <v>260000</v>
      </c>
      <c r="K125" s="121">
        <f>G125*J125</f>
        <v>15600000</v>
      </c>
      <c r="L125" s="432"/>
      <c r="P125" s="433"/>
    </row>
    <row r="126" spans="2:16" x14ac:dyDescent="0.25">
      <c r="B126" s="16"/>
      <c r="C126" s="17" t="s">
        <v>422</v>
      </c>
      <c r="D126" s="1465" t="s">
        <v>423</v>
      </c>
      <c r="E126" s="1466"/>
      <c r="F126" s="1467"/>
      <c r="G126" s="392">
        <v>10</v>
      </c>
      <c r="H126" s="1391" t="s">
        <v>291</v>
      </c>
      <c r="I126" s="1393"/>
      <c r="J126" s="32">
        <v>680000</v>
      </c>
      <c r="K126" s="379">
        <f>SUM(G126*J126)</f>
        <v>6800000</v>
      </c>
      <c r="L126" s="432"/>
      <c r="P126" s="433"/>
    </row>
    <row r="127" spans="2:16" x14ac:dyDescent="0.25">
      <c r="B127" s="1436" t="s">
        <v>5</v>
      </c>
      <c r="C127" s="1354"/>
      <c r="D127" s="1354"/>
      <c r="E127" s="1354"/>
      <c r="F127" s="1355"/>
      <c r="G127" s="317">
        <f>SUM(G122:G126,G115:G119)</f>
        <v>221</v>
      </c>
      <c r="H127" s="1440" t="s">
        <v>291</v>
      </c>
      <c r="I127" s="1441"/>
      <c r="J127" s="267"/>
      <c r="K127" s="408">
        <f>SUM(K115:K126)</f>
        <v>139480000</v>
      </c>
      <c r="L127" s="434"/>
      <c r="M127" s="435"/>
      <c r="N127" s="435"/>
      <c r="O127" s="435"/>
      <c r="P127" s="436"/>
    </row>
    <row r="128" spans="2:16" ht="6" customHeight="1" x14ac:dyDescent="0.25">
      <c r="B128" s="382"/>
      <c r="C128" s="383"/>
      <c r="D128" s="384"/>
      <c r="E128" s="384"/>
      <c r="F128" s="384"/>
      <c r="G128" s="384"/>
      <c r="H128" s="384"/>
      <c r="I128" s="384"/>
      <c r="J128" s="384"/>
      <c r="K128" s="385"/>
    </row>
    <row r="129" spans="2:16" ht="15" x14ac:dyDescent="0.25">
      <c r="B129" s="250" t="s">
        <v>424</v>
      </c>
      <c r="C129" s="1329" t="s">
        <v>425</v>
      </c>
      <c r="D129" s="1330"/>
      <c r="E129" s="1330"/>
      <c r="F129" s="1330"/>
      <c r="G129" s="1330"/>
      <c r="H129" s="1330"/>
      <c r="I129" s="1330"/>
      <c r="J129" s="1330"/>
      <c r="K129" s="1331"/>
      <c r="L129" s="428">
        <f>K131</f>
        <v>0</v>
      </c>
      <c r="M129" s="489">
        <f>'[1]STIMASI BIAYA SD JUNI 2022'!$O$61</f>
        <v>132000000</v>
      </c>
      <c r="N129" s="491">
        <f>M129+K131</f>
        <v>132000000</v>
      </c>
      <c r="O129" s="325">
        <f>L129-N129</f>
        <v>-132000000</v>
      </c>
      <c r="P129" s="328" t="str">
        <f>IF(O129&gt;0,"BERTAMBAH",IF(O129&lt;0,"BERKURANG","TETAP"))</f>
        <v>BERKURANG</v>
      </c>
    </row>
    <row r="130" spans="2:16" x14ac:dyDescent="0.25">
      <c r="B130" s="353"/>
      <c r="C130" s="1446" t="s">
        <v>426</v>
      </c>
      <c r="D130" s="1447"/>
      <c r="E130" s="1447"/>
      <c r="F130" s="1447"/>
      <c r="G130" s="1447"/>
      <c r="H130" s="1447"/>
      <c r="I130" s="1448"/>
      <c r="J130" s="65">
        <v>0</v>
      </c>
      <c r="K130" s="381">
        <v>0</v>
      </c>
      <c r="L130" s="437"/>
      <c r="M130" s="438"/>
      <c r="N130" s="438"/>
      <c r="O130" s="438"/>
      <c r="P130" s="439"/>
    </row>
    <row r="131" spans="2:16" x14ac:dyDescent="0.25">
      <c r="B131" s="1436" t="s">
        <v>5</v>
      </c>
      <c r="C131" s="1354"/>
      <c r="D131" s="1354"/>
      <c r="E131" s="1354"/>
      <c r="F131" s="1355"/>
      <c r="G131" s="1449"/>
      <c r="H131" s="1450"/>
      <c r="I131" s="1451"/>
      <c r="J131" s="267"/>
      <c r="K131" s="408">
        <f>SUM(K130:K130)</f>
        <v>0</v>
      </c>
      <c r="L131" s="434"/>
      <c r="M131" s="435"/>
      <c r="N131" s="435"/>
      <c r="O131" s="435"/>
      <c r="P131" s="436"/>
    </row>
    <row r="132" spans="2:16" ht="6" customHeight="1" x14ac:dyDescent="0.25">
      <c r="B132" s="382"/>
      <c r="C132" s="383"/>
      <c r="D132" s="384"/>
      <c r="E132" s="384"/>
      <c r="F132" s="384"/>
      <c r="G132" s="384"/>
      <c r="H132" s="384"/>
      <c r="I132" s="384"/>
      <c r="J132" s="384"/>
      <c r="K132" s="385"/>
    </row>
    <row r="133" spans="2:16" ht="15" x14ac:dyDescent="0.25">
      <c r="B133" s="250" t="s">
        <v>427</v>
      </c>
      <c r="C133" s="1442" t="s">
        <v>428</v>
      </c>
      <c r="D133" s="1237"/>
      <c r="E133" s="1237"/>
      <c r="F133" s="1237"/>
      <c r="G133" s="1237"/>
      <c r="H133" s="1237"/>
      <c r="I133" s="1237"/>
      <c r="J133" s="1237"/>
      <c r="K133" s="1238"/>
      <c r="L133" s="430">
        <f>K136</f>
        <v>36000000</v>
      </c>
      <c r="M133" s="485">
        <v>7223000</v>
      </c>
      <c r="N133" s="486">
        <v>18345000</v>
      </c>
      <c r="O133" s="325">
        <f>L133-N133</f>
        <v>17655000</v>
      </c>
      <c r="P133" s="349" t="str">
        <f>IF(O133&gt;0,"BERTAMBAH",IF(O133&lt;0,"BERKURANG","TETAP"))</f>
        <v>BERTAMBAH</v>
      </c>
    </row>
    <row r="134" spans="2:16" x14ac:dyDescent="0.25">
      <c r="B134" s="28"/>
      <c r="C134" s="1453" t="s">
        <v>429</v>
      </c>
      <c r="D134" s="1453"/>
      <c r="E134" s="1453"/>
      <c r="F134" s="1453"/>
      <c r="G134" s="1453"/>
      <c r="H134" s="1453"/>
      <c r="I134" s="1453"/>
      <c r="J134" s="93">
        <v>1000000</v>
      </c>
      <c r="K134" s="451">
        <f>+J134*12</f>
        <v>12000000</v>
      </c>
      <c r="L134" s="446"/>
      <c r="M134" s="438"/>
      <c r="N134" s="438"/>
      <c r="O134" s="438"/>
      <c r="P134" s="439"/>
    </row>
    <row r="135" spans="2:16" x14ac:dyDescent="0.25">
      <c r="B135" s="2"/>
      <c r="C135" s="1452" t="s">
        <v>430</v>
      </c>
      <c r="D135" s="1452"/>
      <c r="E135" s="1452"/>
      <c r="F135" s="1452"/>
      <c r="G135" s="1452"/>
      <c r="H135" s="1452"/>
      <c r="I135" s="1452"/>
      <c r="J135" s="22">
        <v>2000000</v>
      </c>
      <c r="K135" s="452">
        <f>+J135*12</f>
        <v>24000000</v>
      </c>
      <c r="P135" s="433"/>
    </row>
    <row r="136" spans="2:16" x14ac:dyDescent="0.25">
      <c r="B136" s="1430" t="s">
        <v>5</v>
      </c>
      <c r="C136" s="1326"/>
      <c r="D136" s="1326"/>
      <c r="E136" s="1326"/>
      <c r="F136" s="1326"/>
      <c r="G136" s="1364"/>
      <c r="H136" s="1364"/>
      <c r="I136" s="1364"/>
      <c r="J136" s="267"/>
      <c r="K136" s="268">
        <f>SUM(K134:K135)</f>
        <v>36000000</v>
      </c>
      <c r="L136" s="103"/>
      <c r="M136" s="435"/>
      <c r="N136" s="435"/>
      <c r="O136" s="435"/>
      <c r="P136" s="436"/>
    </row>
    <row r="137" spans="2:16" ht="6" customHeight="1" x14ac:dyDescent="0.25">
      <c r="B137" s="406"/>
      <c r="C137" s="447"/>
      <c r="D137" s="429"/>
      <c r="E137" s="429"/>
      <c r="F137" s="429"/>
      <c r="G137" s="429"/>
      <c r="H137" s="429"/>
      <c r="I137" s="429"/>
      <c r="J137" s="429"/>
      <c r="K137" s="407"/>
    </row>
    <row r="138" spans="2:16" ht="15" x14ac:dyDescent="0.25">
      <c r="B138" s="250" t="s">
        <v>431</v>
      </c>
      <c r="C138" s="1442" t="s">
        <v>752</v>
      </c>
      <c r="D138" s="1237"/>
      <c r="E138" s="1237"/>
      <c r="F138" s="1237"/>
      <c r="G138" s="1237"/>
      <c r="H138" s="1237"/>
      <c r="I138" s="1237"/>
      <c r="J138" s="1237"/>
      <c r="K138" s="1238"/>
      <c r="L138" s="430">
        <f>K143</f>
        <v>150000000</v>
      </c>
      <c r="M138" s="481">
        <v>41235500</v>
      </c>
      <c r="N138" s="325">
        <v>92389500</v>
      </c>
      <c r="O138" s="325">
        <f>L138-N138</f>
        <v>57610500</v>
      </c>
      <c r="P138" s="487" t="str">
        <f>IF(O138&gt;0,"BERTAMBAH",IF(O138&lt;0,"BERKURANG","TETAP"))</f>
        <v>BERTAMBAH</v>
      </c>
    </row>
    <row r="139" spans="2:16" x14ac:dyDescent="0.25">
      <c r="B139" s="28"/>
      <c r="C139" s="1454" t="s">
        <v>432</v>
      </c>
      <c r="D139" s="1454"/>
      <c r="E139" s="1454"/>
      <c r="F139" s="1454"/>
      <c r="G139" s="1454"/>
      <c r="H139" s="1454"/>
      <c r="I139" s="1454"/>
      <c r="J139" s="93"/>
      <c r="K139" s="451">
        <v>30000000</v>
      </c>
      <c r="L139" s="446"/>
      <c r="M139" s="438"/>
      <c r="N139" s="438"/>
      <c r="O139" s="438"/>
      <c r="P139" s="439"/>
    </row>
    <row r="140" spans="2:16" x14ac:dyDescent="0.25">
      <c r="B140" s="2"/>
      <c r="C140" s="1425" t="s">
        <v>449</v>
      </c>
      <c r="D140" s="1425"/>
      <c r="E140" s="1425"/>
      <c r="F140" s="1425"/>
      <c r="G140" s="1425"/>
      <c r="H140" s="1425"/>
      <c r="I140" s="1425"/>
      <c r="J140" s="275">
        <f>SUM(J139:J139)</f>
        <v>0</v>
      </c>
      <c r="K140" s="263">
        <v>50000000</v>
      </c>
      <c r="P140" s="433"/>
    </row>
    <row r="141" spans="2:16" x14ac:dyDescent="0.25">
      <c r="B141" s="2"/>
      <c r="C141" s="1425" t="s">
        <v>765</v>
      </c>
      <c r="D141" s="1425"/>
      <c r="E141" s="1425"/>
      <c r="F141" s="1425"/>
      <c r="G141" s="1425"/>
      <c r="H141" s="1425"/>
      <c r="I141" s="1425"/>
      <c r="J141" s="275">
        <f>SUM(J140:J140)</f>
        <v>0</v>
      </c>
      <c r="K141" s="263">
        <v>50000000</v>
      </c>
      <c r="P141" s="433"/>
    </row>
    <row r="142" spans="2:16" x14ac:dyDescent="0.25">
      <c r="B142" s="2"/>
      <c r="C142" s="1425" t="s">
        <v>433</v>
      </c>
      <c r="D142" s="1425"/>
      <c r="E142" s="1425"/>
      <c r="F142" s="1425"/>
      <c r="G142" s="1425"/>
      <c r="H142" s="1425"/>
      <c r="I142" s="1425"/>
      <c r="J142" s="275"/>
      <c r="K142" s="281">
        <v>20000000</v>
      </c>
      <c r="P142" s="433"/>
    </row>
    <row r="143" spans="2:16" x14ac:dyDescent="0.25">
      <c r="B143" s="1430" t="s">
        <v>5</v>
      </c>
      <c r="C143" s="1326"/>
      <c r="D143" s="1326"/>
      <c r="E143" s="1326"/>
      <c r="F143" s="1326"/>
      <c r="G143" s="1364"/>
      <c r="H143" s="1364"/>
      <c r="I143" s="1364"/>
      <c r="J143" s="267"/>
      <c r="K143" s="268">
        <f>SUM(K139:K142)</f>
        <v>150000000</v>
      </c>
      <c r="L143" s="103"/>
      <c r="M143" s="435"/>
      <c r="N143" s="435"/>
      <c r="O143" s="435"/>
      <c r="P143" s="436"/>
    </row>
    <row r="144" spans="2:16" ht="6" customHeight="1" x14ac:dyDescent="0.25">
      <c r="B144" s="406"/>
      <c r="C144" s="447"/>
      <c r="D144" s="429"/>
      <c r="E144" s="429"/>
      <c r="F144" s="429"/>
      <c r="G144" s="429"/>
      <c r="H144" s="429"/>
      <c r="I144" s="429"/>
      <c r="J144" s="429"/>
      <c r="K144" s="407"/>
    </row>
    <row r="145" spans="2:16" x14ac:dyDescent="0.25">
      <c r="B145" s="273" t="s">
        <v>434</v>
      </c>
      <c r="C145" s="1443" t="s">
        <v>753</v>
      </c>
      <c r="D145" s="1444"/>
      <c r="E145" s="1444"/>
      <c r="F145" s="1444"/>
      <c r="G145" s="1444"/>
      <c r="H145" s="1444"/>
      <c r="I145" s="1444"/>
      <c r="J145" s="1444"/>
      <c r="K145" s="1445"/>
      <c r="L145" s="441">
        <f>K158</f>
        <v>4800000</v>
      </c>
      <c r="M145" s="483">
        <v>0</v>
      </c>
      <c r="N145" s="492">
        <v>5100000</v>
      </c>
      <c r="O145" s="325">
        <f>L145-N145</f>
        <v>-300000</v>
      </c>
      <c r="P145" s="349" t="str">
        <f>IF(O145&gt;0,"BERTAMBAH",IF(O145&lt;0,"BERKURANG","TETAP"))</f>
        <v>BERKURANG</v>
      </c>
    </row>
    <row r="146" spans="2:16" x14ac:dyDescent="0.25">
      <c r="B146" s="2"/>
      <c r="C146" s="386" t="s">
        <v>248</v>
      </c>
      <c r="D146" s="1428" t="s">
        <v>436</v>
      </c>
      <c r="E146" s="1429"/>
      <c r="F146" s="386"/>
      <c r="G146" s="794">
        <v>1</v>
      </c>
      <c r="H146" s="1391" t="s">
        <v>435</v>
      </c>
      <c r="I146" s="1393"/>
      <c r="J146" s="42"/>
      <c r="K146" s="375">
        <v>500000</v>
      </c>
      <c r="L146" s="432"/>
      <c r="P146" s="433"/>
    </row>
    <row r="147" spans="2:16" ht="17.25" x14ac:dyDescent="0.25">
      <c r="B147" s="2"/>
      <c r="C147" s="386" t="s">
        <v>249</v>
      </c>
      <c r="D147" s="1428" t="s">
        <v>437</v>
      </c>
      <c r="E147" s="1429"/>
      <c r="F147" s="386"/>
      <c r="G147" s="794">
        <v>1</v>
      </c>
      <c r="H147" s="1391" t="s">
        <v>435</v>
      </c>
      <c r="I147" s="1393"/>
      <c r="J147" s="42"/>
      <c r="K147" s="375">
        <v>500000</v>
      </c>
      <c r="L147" s="442"/>
      <c r="P147" s="433"/>
    </row>
    <row r="148" spans="2:16" x14ac:dyDescent="0.25">
      <c r="B148" s="2"/>
      <c r="C148" s="386" t="s">
        <v>251</v>
      </c>
      <c r="D148" s="1438" t="s">
        <v>450</v>
      </c>
      <c r="E148" s="1439"/>
      <c r="F148" s="386"/>
      <c r="G148" s="794">
        <v>1</v>
      </c>
      <c r="H148" s="1391" t="s">
        <v>435</v>
      </c>
      <c r="I148" s="1393"/>
      <c r="J148" s="42"/>
      <c r="K148" s="375">
        <v>500000</v>
      </c>
      <c r="L148" s="432"/>
      <c r="P148" s="433"/>
    </row>
    <row r="149" spans="2:16" x14ac:dyDescent="0.25">
      <c r="B149" s="2"/>
      <c r="C149" s="386" t="s">
        <v>337</v>
      </c>
      <c r="D149" s="1428" t="s">
        <v>452</v>
      </c>
      <c r="E149" s="1429"/>
      <c r="F149" s="386"/>
      <c r="G149" s="794">
        <v>1</v>
      </c>
      <c r="H149" s="1391" t="s">
        <v>435</v>
      </c>
      <c r="I149" s="1393"/>
      <c r="J149" s="42"/>
      <c r="K149" s="375">
        <v>500000</v>
      </c>
      <c r="L149" s="432"/>
      <c r="P149" s="433"/>
    </row>
    <row r="150" spans="2:16" ht="21" customHeight="1" x14ac:dyDescent="0.25">
      <c r="B150" s="2"/>
      <c r="C150" s="423" t="s">
        <v>451</v>
      </c>
      <c r="D150" s="1428" t="s">
        <v>453</v>
      </c>
      <c r="E150" s="1429"/>
      <c r="F150" s="386"/>
      <c r="G150" s="794">
        <v>1</v>
      </c>
      <c r="H150" s="1391" t="s">
        <v>435</v>
      </c>
      <c r="I150" s="1393"/>
      <c r="J150" s="42"/>
      <c r="K150" s="375">
        <v>500000</v>
      </c>
      <c r="L150" s="432"/>
      <c r="P150" s="433"/>
    </row>
    <row r="151" spans="2:16" x14ac:dyDescent="0.25">
      <c r="B151" s="2"/>
      <c r="C151" s="386" t="s">
        <v>438</v>
      </c>
      <c r="D151" s="1428" t="s">
        <v>440</v>
      </c>
      <c r="E151" s="1429"/>
      <c r="F151" s="386"/>
      <c r="G151" s="794">
        <v>1</v>
      </c>
      <c r="H151" s="1391" t="s">
        <v>435</v>
      </c>
      <c r="I151" s="1393"/>
      <c r="J151" s="42"/>
      <c r="K151" s="375">
        <v>400000</v>
      </c>
      <c r="L151" s="432"/>
      <c r="P151" s="433"/>
    </row>
    <row r="152" spans="2:16" x14ac:dyDescent="0.25">
      <c r="B152" s="2"/>
      <c r="C152" s="386" t="s">
        <v>439</v>
      </c>
      <c r="D152" s="1428" t="s">
        <v>440</v>
      </c>
      <c r="E152" s="1429"/>
      <c r="F152" s="386"/>
      <c r="G152" s="794">
        <v>1</v>
      </c>
      <c r="H152" s="1391" t="s">
        <v>435</v>
      </c>
      <c r="I152" s="1393"/>
      <c r="J152" s="42"/>
      <c r="K152" s="375">
        <v>400000</v>
      </c>
      <c r="L152" s="432"/>
      <c r="P152" s="433"/>
    </row>
    <row r="153" spans="2:16" x14ac:dyDescent="0.25">
      <c r="B153" s="2"/>
      <c r="C153" s="386" t="s">
        <v>441</v>
      </c>
      <c r="D153" s="1428" t="s">
        <v>440</v>
      </c>
      <c r="E153" s="1429"/>
      <c r="F153" s="386"/>
      <c r="G153" s="794">
        <v>1</v>
      </c>
      <c r="H153" s="1391" t="s">
        <v>435</v>
      </c>
      <c r="I153" s="1393"/>
      <c r="J153" s="42"/>
      <c r="K153" s="375">
        <v>400000</v>
      </c>
      <c r="L153" s="432"/>
      <c r="P153" s="433"/>
    </row>
    <row r="154" spans="2:16" x14ac:dyDescent="0.25">
      <c r="B154" s="2"/>
      <c r="C154" s="386" t="s">
        <v>442</v>
      </c>
      <c r="D154" s="1428" t="s">
        <v>440</v>
      </c>
      <c r="E154" s="1429"/>
      <c r="F154" s="386"/>
      <c r="G154" s="794">
        <v>1</v>
      </c>
      <c r="H154" s="1391" t="s">
        <v>435</v>
      </c>
      <c r="I154" s="1393"/>
      <c r="J154" s="42"/>
      <c r="K154" s="375">
        <v>400000</v>
      </c>
      <c r="L154" s="432"/>
      <c r="P154" s="433"/>
    </row>
    <row r="155" spans="2:16" x14ac:dyDescent="0.25">
      <c r="B155" s="420"/>
      <c r="C155" s="386" t="s">
        <v>443</v>
      </c>
      <c r="D155" s="1428" t="s">
        <v>440</v>
      </c>
      <c r="E155" s="1429"/>
      <c r="F155" s="421"/>
      <c r="G155" s="794">
        <v>1</v>
      </c>
      <c r="H155" s="1391" t="s">
        <v>435</v>
      </c>
      <c r="I155" s="1393"/>
      <c r="J155" s="42"/>
      <c r="K155" s="375">
        <v>350000</v>
      </c>
      <c r="L155" s="432"/>
      <c r="P155" s="433"/>
    </row>
    <row r="156" spans="2:16" x14ac:dyDescent="0.25">
      <c r="B156" s="2"/>
      <c r="C156" s="386" t="s">
        <v>514</v>
      </c>
      <c r="D156" s="1428" t="s">
        <v>440</v>
      </c>
      <c r="E156" s="1432"/>
      <c r="F156" s="796"/>
      <c r="G156" s="794">
        <v>1</v>
      </c>
      <c r="H156" s="1392" t="s">
        <v>435</v>
      </c>
      <c r="I156" s="1393"/>
      <c r="J156" s="42"/>
      <c r="K156" s="375">
        <v>350000</v>
      </c>
      <c r="L156" s="432"/>
      <c r="P156" s="433"/>
    </row>
    <row r="157" spans="2:16" x14ac:dyDescent="0.25">
      <c r="B157" s="420"/>
      <c r="C157" s="386" t="s">
        <v>41</v>
      </c>
      <c r="D157" s="1425" t="s">
        <v>440</v>
      </c>
      <c r="E157" s="1425"/>
      <c r="F157" s="796"/>
      <c r="G157" s="794">
        <v>1</v>
      </c>
      <c r="H157" s="1392" t="s">
        <v>435</v>
      </c>
      <c r="I157" s="1393"/>
      <c r="J157" s="422"/>
      <c r="K157" s="795">
        <v>300000</v>
      </c>
      <c r="L157" s="432"/>
      <c r="P157" s="433"/>
    </row>
    <row r="158" spans="2:16" x14ac:dyDescent="0.25">
      <c r="B158" s="1436" t="s">
        <v>5</v>
      </c>
      <c r="C158" s="1354"/>
      <c r="D158" s="1354"/>
      <c r="E158" s="1354"/>
      <c r="F158" s="1355"/>
      <c r="G158" s="1449"/>
      <c r="H158" s="1450"/>
      <c r="I158" s="1451"/>
      <c r="J158" s="267"/>
      <c r="K158" s="408">
        <f>SUM(K146:K156)</f>
        <v>4800000</v>
      </c>
      <c r="L158" s="434"/>
      <c r="M158" s="435"/>
      <c r="N158" s="435"/>
      <c r="O158" s="435"/>
      <c r="P158" s="436"/>
    </row>
    <row r="159" spans="2:16" ht="6" customHeight="1" x14ac:dyDescent="0.25">
      <c r="B159" s="382"/>
      <c r="C159" s="383"/>
      <c r="D159" s="384"/>
      <c r="E159" s="384"/>
      <c r="F159" s="384"/>
      <c r="G159" s="384"/>
      <c r="H159" s="384"/>
      <c r="I159" s="384"/>
      <c r="J159" s="384"/>
      <c r="K159" s="385"/>
    </row>
    <row r="160" spans="2:16" ht="15.6" customHeight="1" x14ac:dyDescent="0.25">
      <c r="B160" s="250" t="s">
        <v>444</v>
      </c>
      <c r="C160" s="1442" t="s">
        <v>445</v>
      </c>
      <c r="D160" s="1237"/>
      <c r="E160" s="1237"/>
      <c r="F160" s="1237"/>
      <c r="G160" s="1237"/>
      <c r="H160" s="1237"/>
      <c r="I160" s="1237"/>
      <c r="J160" s="1237"/>
      <c r="K160" s="1238"/>
      <c r="L160" s="430">
        <f>K162</f>
        <v>65500000</v>
      </c>
      <c r="M160" s="481">
        <f>'[1]STIMASI BIAYA SD JUNI 2022'!$O$66</f>
        <v>60500000</v>
      </c>
      <c r="N160" s="325">
        <v>60500000</v>
      </c>
      <c r="O160" s="325">
        <f>L160-N160</f>
        <v>5000000</v>
      </c>
      <c r="P160" s="480" t="str">
        <f>IF(O160&gt;0,"BERTAMBAH",IF(O160&lt;0,"BERKURANG","TETAP"))</f>
        <v>BERTAMBAH</v>
      </c>
    </row>
    <row r="161" spans="2:16" x14ac:dyDescent="0.25">
      <c r="B161" s="1"/>
      <c r="C161" s="1437" t="s">
        <v>446</v>
      </c>
      <c r="D161" s="1437"/>
      <c r="E161" s="1437"/>
      <c r="F161" s="1437"/>
      <c r="G161" s="1437"/>
      <c r="H161" s="1437"/>
      <c r="I161" s="1437"/>
      <c r="J161" s="1437"/>
      <c r="K161" s="307">
        <v>65500000</v>
      </c>
      <c r="P161" s="433"/>
    </row>
    <row r="162" spans="2:16" x14ac:dyDescent="0.25">
      <c r="B162" s="1430" t="s">
        <v>5</v>
      </c>
      <c r="C162" s="1326"/>
      <c r="D162" s="1326"/>
      <c r="E162" s="1326"/>
      <c r="F162" s="1326"/>
      <c r="G162" s="1364"/>
      <c r="H162" s="1364"/>
      <c r="I162" s="1364"/>
      <c r="J162" s="1364"/>
      <c r="K162" s="268">
        <f>SUM(K161:K161)</f>
        <v>65500000</v>
      </c>
      <c r="L162" s="103"/>
      <c r="M162" s="435"/>
      <c r="N162" s="435"/>
      <c r="O162" s="435"/>
      <c r="P162" s="436"/>
    </row>
    <row r="163" spans="2:16" ht="6" customHeight="1" x14ac:dyDescent="0.25">
      <c r="B163" s="394"/>
      <c r="C163" s="448"/>
      <c r="D163" s="405"/>
      <c r="E163" s="405"/>
      <c r="F163" s="405"/>
      <c r="G163" s="405"/>
      <c r="H163" s="405"/>
      <c r="I163" s="405"/>
      <c r="J163" s="405"/>
      <c r="K163" s="284"/>
    </row>
    <row r="164" spans="2:16" ht="15" x14ac:dyDescent="0.25">
      <c r="B164" s="252"/>
      <c r="C164" s="1442" t="s">
        <v>763</v>
      </c>
      <c r="D164" s="1237"/>
      <c r="E164" s="1237"/>
      <c r="F164" s="1237"/>
      <c r="G164" s="1237"/>
      <c r="H164" s="1237"/>
      <c r="I164" s="1237"/>
      <c r="J164" s="1237"/>
      <c r="K164" s="1238"/>
      <c r="L164" s="430">
        <f>K167</f>
        <v>485000000</v>
      </c>
      <c r="M164" s="481">
        <f>'[1]STIMASI BIAYA SD JUNI 2022'!$O$67</f>
        <v>6550288</v>
      </c>
      <c r="N164" s="325">
        <f>10000000+M164</f>
        <v>16550288</v>
      </c>
      <c r="O164" s="325">
        <f>L164-N164</f>
        <v>468449712</v>
      </c>
      <c r="P164" s="487" t="str">
        <f>IF(O164&gt;0,"BERTAMBAH",IF(O164&lt;0,"BERKURANG","TETAP"))</f>
        <v>BERTAMBAH</v>
      </c>
    </row>
    <row r="165" spans="2:16" x14ac:dyDescent="0.25">
      <c r="B165" s="28"/>
      <c r="C165" s="1431" t="s">
        <v>764</v>
      </c>
      <c r="D165" s="1431"/>
      <c r="E165" s="1431"/>
      <c r="F165" s="1431"/>
      <c r="G165" s="91">
        <v>4</v>
      </c>
      <c r="H165" s="91"/>
      <c r="I165" s="91" t="s">
        <v>291</v>
      </c>
      <c r="J165" s="91">
        <v>121250000</v>
      </c>
      <c r="K165" s="271">
        <v>400000000</v>
      </c>
      <c r="L165" s="446"/>
      <c r="M165" s="438"/>
      <c r="N165" s="438"/>
      <c r="O165" s="438"/>
      <c r="P165" s="896"/>
    </row>
    <row r="166" spans="2:16" x14ac:dyDescent="0.25">
      <c r="B166" s="2"/>
      <c r="C166" s="1425" t="s">
        <v>199</v>
      </c>
      <c r="D166" s="1425"/>
      <c r="E166" s="1425"/>
      <c r="F166" s="1425"/>
      <c r="G166" s="32"/>
      <c r="H166" s="32"/>
      <c r="I166" s="32"/>
      <c r="J166" s="32"/>
      <c r="K166" s="282">
        <v>85000000</v>
      </c>
      <c r="P166" s="897"/>
    </row>
    <row r="167" spans="2:16" x14ac:dyDescent="0.25">
      <c r="B167" s="1430" t="s">
        <v>5</v>
      </c>
      <c r="C167" s="1326"/>
      <c r="D167" s="1326"/>
      <c r="E167" s="1326"/>
      <c r="F167" s="1326"/>
      <c r="G167" s="1364"/>
      <c r="H167" s="1364"/>
      <c r="I167" s="1364"/>
      <c r="J167" s="37">
        <f>SUM(J164)</f>
        <v>0</v>
      </c>
      <c r="K167" s="268">
        <f>SUM(K164:K166)</f>
        <v>485000000</v>
      </c>
      <c r="L167" s="103"/>
      <c r="M167" s="435"/>
      <c r="N167" s="435"/>
      <c r="O167" s="435"/>
      <c r="P167" s="898"/>
    </row>
    <row r="168" spans="2:16" ht="6" customHeight="1" x14ac:dyDescent="0.25">
      <c r="B168" s="394"/>
      <c r="C168" s="448"/>
      <c r="D168" s="405"/>
      <c r="E168" s="405"/>
      <c r="F168" s="405"/>
      <c r="G168" s="405"/>
      <c r="H168" s="405"/>
      <c r="I168" s="405"/>
      <c r="J168" s="405"/>
      <c r="K168" s="284"/>
      <c r="P168" s="899"/>
    </row>
    <row r="169" spans="2:16" ht="14.45" customHeight="1" x14ac:dyDescent="0.25">
      <c r="B169" s="252"/>
      <c r="C169" s="1329" t="s">
        <v>760</v>
      </c>
      <c r="D169" s="1330"/>
      <c r="E169" s="1330"/>
      <c r="F169" s="1330"/>
      <c r="G169" s="1330"/>
      <c r="H169" s="1330"/>
      <c r="I169" s="1330"/>
      <c r="J169" s="1330"/>
      <c r="K169" s="1331"/>
      <c r="L169" s="428">
        <f>K173</f>
        <v>150000000</v>
      </c>
      <c r="M169" s="493">
        <v>0</v>
      </c>
      <c r="N169" s="486">
        <v>286400000</v>
      </c>
      <c r="O169" s="325">
        <f>L169-N169</f>
        <v>-136400000</v>
      </c>
      <c r="P169" s="328" t="str">
        <f>IF(O169&gt;0,"BERTAMBAH",IF(O169&lt;0,"BERKURANG","TETAP"))</f>
        <v>BERKURANG</v>
      </c>
    </row>
    <row r="170" spans="2:16" x14ac:dyDescent="0.25">
      <c r="B170" s="28"/>
      <c r="C170" s="1431" t="s">
        <v>447</v>
      </c>
      <c r="D170" s="1431"/>
      <c r="E170" s="1431"/>
      <c r="F170" s="1431"/>
      <c r="G170" s="1431"/>
      <c r="H170" s="1431"/>
      <c r="I170" s="1431"/>
      <c r="J170" s="91">
        <v>0</v>
      </c>
      <c r="K170" s="271">
        <v>50000000</v>
      </c>
      <c r="L170" s="446"/>
      <c r="M170" s="438"/>
      <c r="N170" s="438"/>
      <c r="O170" s="438"/>
      <c r="P170" s="439"/>
    </row>
    <row r="171" spans="2:16" x14ac:dyDescent="0.25">
      <c r="B171" s="2"/>
      <c r="C171" s="1424" t="s">
        <v>761</v>
      </c>
      <c r="D171" s="1424"/>
      <c r="E171" s="1424"/>
      <c r="F171" s="1424"/>
      <c r="G171" s="1424"/>
      <c r="H171" s="1424"/>
      <c r="I171" s="1424"/>
      <c r="J171" s="32">
        <v>0</v>
      </c>
      <c r="K171" s="272">
        <v>40000000</v>
      </c>
      <c r="P171" s="433"/>
    </row>
    <row r="172" spans="2:16" x14ac:dyDescent="0.25">
      <c r="B172" s="2"/>
      <c r="C172" s="1424" t="s">
        <v>762</v>
      </c>
      <c r="D172" s="1424"/>
      <c r="E172" s="1424"/>
      <c r="F172" s="1424"/>
      <c r="G172" s="1424"/>
      <c r="H172" s="1424"/>
      <c r="I172" s="1424"/>
      <c r="J172" s="32">
        <v>0</v>
      </c>
      <c r="K172" s="282">
        <v>60000000</v>
      </c>
      <c r="P172" s="433"/>
    </row>
    <row r="173" spans="2:16" x14ac:dyDescent="0.25">
      <c r="B173" s="1430" t="s">
        <v>5</v>
      </c>
      <c r="C173" s="1326"/>
      <c r="D173" s="1326"/>
      <c r="E173" s="1326"/>
      <c r="F173" s="1326"/>
      <c r="G173" s="1364"/>
      <c r="H173" s="1364"/>
      <c r="I173" s="1364"/>
      <c r="J173" s="37"/>
      <c r="K173" s="268">
        <f>SUM(K170:K172)</f>
        <v>150000000</v>
      </c>
      <c r="L173" s="103"/>
      <c r="M173" s="435"/>
      <c r="N173" s="435"/>
      <c r="O173" s="435"/>
      <c r="P173" s="436"/>
    </row>
    <row r="174" spans="2:16" ht="6" customHeight="1" thickBot="1" x14ac:dyDescent="0.3">
      <c r="B174" s="394"/>
      <c r="C174" s="404"/>
      <c r="D174" s="286"/>
      <c r="E174" s="286"/>
      <c r="F174" s="286"/>
      <c r="G174" s="286"/>
      <c r="H174" s="286"/>
      <c r="I174" s="286"/>
      <c r="J174" s="405"/>
      <c r="K174" s="284"/>
    </row>
    <row r="175" spans="2:16" ht="15.75" thickBot="1" x14ac:dyDescent="0.3">
      <c r="B175" s="1433" t="s">
        <v>448</v>
      </c>
      <c r="C175" s="1434"/>
      <c r="D175" s="1434"/>
      <c r="E175" s="1434"/>
      <c r="F175" s="1434"/>
      <c r="G175" s="1434"/>
      <c r="H175" s="1434"/>
      <c r="I175" s="1434"/>
      <c r="J175" s="1434"/>
      <c r="K175" s="1435"/>
      <c r="L175" s="539">
        <f>SUM(L11:L173)</f>
        <v>3505699680</v>
      </c>
      <c r="M175" s="540">
        <f>SUM(M11:M173)</f>
        <v>1183504147</v>
      </c>
      <c r="N175" s="541">
        <f>SUM(N11:N173)</f>
        <v>2297757465</v>
      </c>
      <c r="O175" s="541">
        <f>L175-N175</f>
        <v>1207942215</v>
      </c>
      <c r="P175" s="542" t="str">
        <f>IF(O175&gt;0,"BERTAMBAH",IF(O175&lt;0,"BERKURANG","TETAP"))</f>
        <v>BERTAMBAH</v>
      </c>
    </row>
    <row r="177" spans="2:17" x14ac:dyDescent="0.3">
      <c r="L177"/>
      <c r="M177"/>
      <c r="N177" s="1405" t="s">
        <v>733</v>
      </c>
      <c r="O177" s="1405"/>
      <c r="P177" s="1405"/>
      <c r="Q177" s="806"/>
    </row>
    <row r="178" spans="2:17" x14ac:dyDescent="0.3">
      <c r="B178">
        <v>485000000</v>
      </c>
      <c r="D178" s="810" t="s">
        <v>517</v>
      </c>
      <c r="L178" s="810"/>
      <c r="M178" s="810"/>
      <c r="N178" s="1407" t="s">
        <v>515</v>
      </c>
      <c r="O178" s="1407"/>
      <c r="P178" s="1407"/>
      <c r="Q178" s="813"/>
    </row>
    <row r="179" spans="2:17" x14ac:dyDescent="0.3">
      <c r="B179">
        <f>B178/4</f>
        <v>121250000</v>
      </c>
      <c r="D179" s="456" t="s">
        <v>94</v>
      </c>
      <c r="L179" s="456"/>
      <c r="M179" s="456"/>
      <c r="N179" s="1405" t="s">
        <v>94</v>
      </c>
      <c r="O179" s="1405"/>
      <c r="P179" s="1405"/>
      <c r="Q179" s="806"/>
    </row>
    <row r="180" spans="2:17" ht="15" x14ac:dyDescent="0.25">
      <c r="K180" s="456"/>
      <c r="L180" s="456"/>
      <c r="M180" s="456"/>
      <c r="N180"/>
      <c r="O180"/>
      <c r="P180" s="82"/>
      <c r="Q180" s="82"/>
    </row>
    <row r="181" spans="2:17" ht="15" x14ac:dyDescent="0.25">
      <c r="K181" s="456"/>
      <c r="L181" s="456"/>
      <c r="M181" s="456"/>
      <c r="N181"/>
      <c r="O181"/>
      <c r="P181" s="82"/>
      <c r="Q181" s="82"/>
    </row>
    <row r="182" spans="2:17" ht="15" x14ac:dyDescent="0.25">
      <c r="K182" s="456"/>
      <c r="L182" s="456"/>
      <c r="M182" s="456"/>
      <c r="N182"/>
      <c r="O182"/>
      <c r="P182" s="82"/>
      <c r="Q182" s="82"/>
    </row>
    <row r="183" spans="2:17" x14ac:dyDescent="0.3">
      <c r="D183" s="811" t="s">
        <v>518</v>
      </c>
      <c r="L183" s="811"/>
      <c r="M183" s="811"/>
      <c r="N183" s="1406" t="s">
        <v>516</v>
      </c>
      <c r="O183" s="1406"/>
      <c r="P183" s="1406"/>
      <c r="Q183" s="812"/>
    </row>
    <row r="184" spans="2:17" x14ac:dyDescent="0.3">
      <c r="D184" s="456" t="s">
        <v>519</v>
      </c>
      <c r="L184" s="456"/>
      <c r="M184" s="456"/>
      <c r="N184" s="1405" t="s">
        <v>248</v>
      </c>
      <c r="O184" s="1405"/>
      <c r="P184" s="1405"/>
      <c r="Q184" s="806"/>
    </row>
  </sheetData>
  <mergeCells count="197">
    <mergeCell ref="C33:I33"/>
    <mergeCell ref="C8:F8"/>
    <mergeCell ref="B19:F19"/>
    <mergeCell ref="G18:H18"/>
    <mergeCell ref="G16:H16"/>
    <mergeCell ref="D5:P5"/>
    <mergeCell ref="B7:P7"/>
    <mergeCell ref="G8:I8"/>
    <mergeCell ref="B2:C5"/>
    <mergeCell ref="C11:K11"/>
    <mergeCell ref="G15:H15"/>
    <mergeCell ref="G14:H14"/>
    <mergeCell ref="G13:H13"/>
    <mergeCell ref="D2:P2"/>
    <mergeCell ref="D3:P3"/>
    <mergeCell ref="D4:P4"/>
    <mergeCell ref="C26:K26"/>
    <mergeCell ref="B28:F28"/>
    <mergeCell ref="C30:K30"/>
    <mergeCell ref="C27:I27"/>
    <mergeCell ref="C23:J23"/>
    <mergeCell ref="C22:J22"/>
    <mergeCell ref="B24:F24"/>
    <mergeCell ref="G24:J24"/>
    <mergeCell ref="C12:K12"/>
    <mergeCell ref="G19:H19"/>
    <mergeCell ref="C18:F18"/>
    <mergeCell ref="C16:F16"/>
    <mergeCell ref="C15:F15"/>
    <mergeCell ref="C14:F14"/>
    <mergeCell ref="C13:F13"/>
    <mergeCell ref="C21:K21"/>
    <mergeCell ref="C31:I31"/>
    <mergeCell ref="C17:F17"/>
    <mergeCell ref="G17:H17"/>
    <mergeCell ref="C32:I32"/>
    <mergeCell ref="G34:I34"/>
    <mergeCell ref="G28:I28"/>
    <mergeCell ref="C37:I37"/>
    <mergeCell ref="B34:F34"/>
    <mergeCell ref="C36:K36"/>
    <mergeCell ref="H118:I118"/>
    <mergeCell ref="H119:I119"/>
    <mergeCell ref="B98:F98"/>
    <mergeCell ref="G98:I98"/>
    <mergeCell ref="C100:K100"/>
    <mergeCell ref="C101:I101"/>
    <mergeCell ref="C91:I91"/>
    <mergeCell ref="B48:F48"/>
    <mergeCell ref="G48:I48"/>
    <mergeCell ref="G38:I38"/>
    <mergeCell ref="C51:F51"/>
    <mergeCell ref="H51:I51"/>
    <mergeCell ref="C53:J53"/>
    <mergeCell ref="B38:F38"/>
    <mergeCell ref="C41:I41"/>
    <mergeCell ref="C46:I46"/>
    <mergeCell ref="C45:I45"/>
    <mergeCell ref="C44:I44"/>
    <mergeCell ref="C43:I43"/>
    <mergeCell ref="C42:I42"/>
    <mergeCell ref="C40:K40"/>
    <mergeCell ref="B59:F59"/>
    <mergeCell ref="B54:F54"/>
    <mergeCell ref="C61:K61"/>
    <mergeCell ref="B65:F65"/>
    <mergeCell ref="C62:I62"/>
    <mergeCell ref="G65:I65"/>
    <mergeCell ref="H59:I59"/>
    <mergeCell ref="G54:J54"/>
    <mergeCell ref="C50:K50"/>
    <mergeCell ref="C56:K56"/>
    <mergeCell ref="C57:F57"/>
    <mergeCell ref="C58:F58"/>
    <mergeCell ref="C47:I47"/>
    <mergeCell ref="C64:F64"/>
    <mergeCell ref="C76:K76"/>
    <mergeCell ref="B81:F81"/>
    <mergeCell ref="C80:F80"/>
    <mergeCell ref="C79:F79"/>
    <mergeCell ref="C78:F78"/>
    <mergeCell ref="C77:F77"/>
    <mergeCell ref="G81:J81"/>
    <mergeCell ref="C67:K67"/>
    <mergeCell ref="C68:F68"/>
    <mergeCell ref="H68:I68"/>
    <mergeCell ref="C71:K71"/>
    <mergeCell ref="B69:F69"/>
    <mergeCell ref="B74:F74"/>
    <mergeCell ref="C72:I72"/>
    <mergeCell ref="C73:I73"/>
    <mergeCell ref="G74:J74"/>
    <mergeCell ref="C89:K89"/>
    <mergeCell ref="C90:K90"/>
    <mergeCell ref="C97:I97"/>
    <mergeCell ref="C96:I96"/>
    <mergeCell ref="C95:I95"/>
    <mergeCell ref="C94:I94"/>
    <mergeCell ref="C93:I93"/>
    <mergeCell ref="C92:I92"/>
    <mergeCell ref="C83:K83"/>
    <mergeCell ref="B87:F87"/>
    <mergeCell ref="C102:I102"/>
    <mergeCell ref="B103:F103"/>
    <mergeCell ref="G103:I103"/>
    <mergeCell ref="C105:K105"/>
    <mergeCell ref="C106:I106"/>
    <mergeCell ref="B107:F107"/>
    <mergeCell ref="G107:I107"/>
    <mergeCell ref="H122:I122"/>
    <mergeCell ref="H126:I126"/>
    <mergeCell ref="B120:K120"/>
    <mergeCell ref="C121:K121"/>
    <mergeCell ref="D122:F122"/>
    <mergeCell ref="D126:F126"/>
    <mergeCell ref="H115:I115"/>
    <mergeCell ref="H116:I116"/>
    <mergeCell ref="H117:I117"/>
    <mergeCell ref="D124:F124"/>
    <mergeCell ref="C109:K109"/>
    <mergeCell ref="C110:I110"/>
    <mergeCell ref="C111:I111"/>
    <mergeCell ref="B112:F112"/>
    <mergeCell ref="G112:I112"/>
    <mergeCell ref="C114:K114"/>
    <mergeCell ref="D153:E153"/>
    <mergeCell ref="D148:E148"/>
    <mergeCell ref="D155:E155"/>
    <mergeCell ref="D152:E152"/>
    <mergeCell ref="B127:F127"/>
    <mergeCell ref="H127:I127"/>
    <mergeCell ref="C169:K169"/>
    <mergeCell ref="C164:K164"/>
    <mergeCell ref="C160:K160"/>
    <mergeCell ref="C145:K145"/>
    <mergeCell ref="C138:K138"/>
    <mergeCell ref="C133:K133"/>
    <mergeCell ref="C129:K129"/>
    <mergeCell ref="C130:I130"/>
    <mergeCell ref="G131:I131"/>
    <mergeCell ref="B131:F131"/>
    <mergeCell ref="C135:I135"/>
    <mergeCell ref="C134:I134"/>
    <mergeCell ref="G158:I158"/>
    <mergeCell ref="G143:I143"/>
    <mergeCell ref="G136:I136"/>
    <mergeCell ref="B136:F136"/>
    <mergeCell ref="D146:E146"/>
    <mergeCell ref="C139:I139"/>
    <mergeCell ref="N184:P184"/>
    <mergeCell ref="N183:P183"/>
    <mergeCell ref="N179:P179"/>
    <mergeCell ref="N178:P178"/>
    <mergeCell ref="N177:P177"/>
    <mergeCell ref="B175:K175"/>
    <mergeCell ref="H149:I149"/>
    <mergeCell ref="H148:I148"/>
    <mergeCell ref="H147:I147"/>
    <mergeCell ref="B173:F173"/>
    <mergeCell ref="B167:F167"/>
    <mergeCell ref="G173:I173"/>
    <mergeCell ref="G167:I167"/>
    <mergeCell ref="C172:I172"/>
    <mergeCell ref="C170:I170"/>
    <mergeCell ref="H152:I152"/>
    <mergeCell ref="H151:I151"/>
    <mergeCell ref="H150:I150"/>
    <mergeCell ref="B158:F158"/>
    <mergeCell ref="C161:J161"/>
    <mergeCell ref="G162:J162"/>
    <mergeCell ref="H157:I157"/>
    <mergeCell ref="D157:E157"/>
    <mergeCell ref="D147:E147"/>
    <mergeCell ref="C171:I171"/>
    <mergeCell ref="C141:I141"/>
    <mergeCell ref="C85:F85"/>
    <mergeCell ref="G85:H85"/>
    <mergeCell ref="C86:F86"/>
    <mergeCell ref="G86:H86"/>
    <mergeCell ref="C84:F84"/>
    <mergeCell ref="G84:H84"/>
    <mergeCell ref="C142:I142"/>
    <mergeCell ref="C140:I140"/>
    <mergeCell ref="D154:E154"/>
    <mergeCell ref="B143:F143"/>
    <mergeCell ref="C165:F165"/>
    <mergeCell ref="C166:F166"/>
    <mergeCell ref="B162:F162"/>
    <mergeCell ref="D156:E156"/>
    <mergeCell ref="H156:I156"/>
    <mergeCell ref="H146:I146"/>
    <mergeCell ref="H155:I155"/>
    <mergeCell ref="H154:I154"/>
    <mergeCell ref="H153:I153"/>
    <mergeCell ref="D151:E151"/>
    <mergeCell ref="D150:E150"/>
    <mergeCell ref="D149:E149"/>
  </mergeCells>
  <pageMargins left="0" right="0" top="0" bottom="0" header="0.31496062992125984" footer="0.31496062992125984"/>
  <pageSetup paperSize="9" scale="70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1:N54"/>
  <sheetViews>
    <sheetView showGridLines="0" topLeftCell="A25" zoomScale="110" zoomScaleNormal="110" workbookViewId="0">
      <selection activeCell="N20" sqref="N20"/>
    </sheetView>
  </sheetViews>
  <sheetFormatPr defaultRowHeight="15" x14ac:dyDescent="0.25"/>
  <cols>
    <col min="1" max="1" width="1.85546875" customWidth="1"/>
    <col min="2" max="2" width="12.140625" customWidth="1"/>
    <col min="3" max="3" width="35.28515625" customWidth="1"/>
    <col min="4" max="4" width="0.7109375" customWidth="1"/>
    <col min="5" max="5" width="17" customWidth="1"/>
    <col min="6" max="6" width="0.7109375" customWidth="1"/>
    <col min="7" max="7" width="17" customWidth="1"/>
    <col min="8" max="8" width="0.7109375" customWidth="1"/>
    <col min="9" max="11" width="17" customWidth="1"/>
    <col min="13" max="13" width="18.5703125" customWidth="1"/>
    <col min="14" max="14" width="16.7109375" customWidth="1"/>
  </cols>
  <sheetData>
    <row r="1" spans="2:13" ht="10.9" customHeight="1" thickBot="1" x14ac:dyDescent="0.3"/>
    <row r="2" spans="2:13" ht="18.75" thickTop="1" x14ac:dyDescent="0.25">
      <c r="B2" s="1505"/>
      <c r="C2" s="1516" t="s">
        <v>94</v>
      </c>
      <c r="D2" s="1517"/>
      <c r="E2" s="1517"/>
      <c r="F2" s="1517"/>
      <c r="G2" s="1517"/>
      <c r="H2" s="1517"/>
      <c r="I2" s="1517"/>
      <c r="J2" s="1517"/>
      <c r="K2" s="1518"/>
    </row>
    <row r="3" spans="2:13" ht="15.75" x14ac:dyDescent="0.25">
      <c r="B3" s="1506"/>
      <c r="C3" s="1513" t="s">
        <v>459</v>
      </c>
      <c r="D3" s="1514"/>
      <c r="E3" s="1514"/>
      <c r="F3" s="1514"/>
      <c r="G3" s="1514"/>
      <c r="H3" s="1514"/>
      <c r="I3" s="1514"/>
      <c r="J3" s="1514"/>
      <c r="K3" s="1515"/>
    </row>
    <row r="4" spans="2:13" ht="15.75" x14ac:dyDescent="0.25">
      <c r="B4" s="1506"/>
      <c r="C4" s="1513" t="s">
        <v>572</v>
      </c>
      <c r="D4" s="1514"/>
      <c r="E4" s="1514"/>
      <c r="F4" s="1514"/>
      <c r="G4" s="1514"/>
      <c r="H4" s="1514"/>
      <c r="I4" s="1514"/>
      <c r="J4" s="1514"/>
      <c r="K4" s="1515"/>
    </row>
    <row r="5" spans="2:13" ht="16.5" thickBot="1" x14ac:dyDescent="0.3">
      <c r="B5" s="1507"/>
      <c r="C5" s="1510" t="s">
        <v>524</v>
      </c>
      <c r="D5" s="1511"/>
      <c r="E5" s="1511"/>
      <c r="F5" s="1511"/>
      <c r="G5" s="1511"/>
      <c r="H5" s="1511"/>
      <c r="I5" s="1511"/>
      <c r="J5" s="1511"/>
      <c r="K5" s="1512"/>
    </row>
    <row r="6" spans="2:13" ht="16.5" thickTop="1" thickBot="1" x14ac:dyDescent="0.3">
      <c r="B6" s="589"/>
      <c r="C6" s="590"/>
      <c r="D6" s="591"/>
      <c r="E6" s="591"/>
      <c r="F6" s="591"/>
      <c r="G6" s="592"/>
      <c r="H6" s="591"/>
      <c r="I6" s="591"/>
      <c r="J6" s="591"/>
    </row>
    <row r="7" spans="2:13" ht="16.149999999999999" customHeight="1" x14ac:dyDescent="0.25">
      <c r="B7" s="1519" t="s">
        <v>98</v>
      </c>
      <c r="C7" s="1519" t="s">
        <v>99</v>
      </c>
      <c r="D7" s="594"/>
      <c r="E7" s="1521" t="s">
        <v>541</v>
      </c>
      <c r="F7" s="595"/>
      <c r="G7" s="1523" t="s">
        <v>722</v>
      </c>
      <c r="H7" s="595"/>
      <c r="I7" s="1525" t="s">
        <v>95</v>
      </c>
      <c r="J7" s="1527" t="s">
        <v>6</v>
      </c>
      <c r="K7" s="1508" t="s">
        <v>7</v>
      </c>
    </row>
    <row r="8" spans="2:13" ht="24.6" customHeight="1" thickBot="1" x14ac:dyDescent="0.3">
      <c r="B8" s="1520"/>
      <c r="C8" s="1520"/>
      <c r="D8" s="594"/>
      <c r="E8" s="1522"/>
      <c r="F8" s="595"/>
      <c r="G8" s="1524"/>
      <c r="H8" s="595"/>
      <c r="I8" s="1526"/>
      <c r="J8" s="1528"/>
      <c r="K8" s="1509"/>
    </row>
    <row r="9" spans="2:13" ht="14.45" customHeight="1" thickBot="1" x14ac:dyDescent="0.3">
      <c r="B9" s="594"/>
      <c r="C9" s="594"/>
      <c r="D9" s="594"/>
      <c r="E9" s="599" t="s">
        <v>285</v>
      </c>
      <c r="F9" s="594"/>
      <c r="G9" s="600" t="s">
        <v>286</v>
      </c>
      <c r="H9" s="594"/>
      <c r="I9" s="599" t="s">
        <v>287</v>
      </c>
      <c r="J9" s="601" t="s">
        <v>740</v>
      </c>
      <c r="K9" s="602"/>
    </row>
    <row r="10" spans="2:13" ht="13.15" customHeight="1" thickBot="1" x14ac:dyDescent="0.3">
      <c r="B10" s="1531" t="s">
        <v>462</v>
      </c>
      <c r="C10" s="1531"/>
      <c r="D10" s="594"/>
      <c r="E10" s="594"/>
      <c r="F10" s="594"/>
      <c r="G10" s="596"/>
      <c r="H10" s="594"/>
      <c r="I10" s="594"/>
      <c r="J10" s="597"/>
      <c r="K10" s="598"/>
    </row>
    <row r="11" spans="2:13" x14ac:dyDescent="0.25">
      <c r="B11" s="1100">
        <v>1</v>
      </c>
      <c r="C11" s="1102" t="str">
        <f>Pendapatan!B9</f>
        <v>TEPI JALAN UMUM (TJU)</v>
      </c>
      <c r="E11" s="821">
        <f>Pendapatan!P9</f>
        <v>13200000000</v>
      </c>
      <c r="F11" s="457"/>
      <c r="G11" s="1112">
        <f>Pendapatan!R9</f>
        <v>4885618200</v>
      </c>
      <c r="H11" s="457"/>
      <c r="I11" s="1106">
        <f>Pendapatan!T9</f>
        <v>6415020200</v>
      </c>
      <c r="J11" s="1115">
        <f t="shared" ref="J11:J17" si="0">E11-I11</f>
        <v>6784979800</v>
      </c>
      <c r="K11" s="1108" t="str">
        <f>IF(J11&gt;0,"BERTAMBAH",IF(J11&lt;0,"BERKURANG","TETAP"))</f>
        <v>BERTAMBAH</v>
      </c>
    </row>
    <row r="12" spans="2:13" x14ac:dyDescent="0.25">
      <c r="B12" s="1101">
        <v>2</v>
      </c>
      <c r="C12" s="1103" t="str">
        <f>Pendapatan!B10</f>
        <v>INSIDENTIL</v>
      </c>
      <c r="E12" s="822">
        <f>Pendapatan!P10</f>
        <v>360000000</v>
      </c>
      <c r="F12" s="457"/>
      <c r="G12" s="1113">
        <f>Pendapatan!R10</f>
        <v>78778000</v>
      </c>
      <c r="H12" s="457"/>
      <c r="I12" s="1107">
        <f>Pendapatan!T10</f>
        <v>97525000</v>
      </c>
      <c r="J12" s="1116">
        <f t="shared" si="0"/>
        <v>262475000</v>
      </c>
      <c r="K12" s="1109" t="str">
        <f t="shared" ref="K12:K26" si="1">IF(J12&gt;0,"BERTAMBAH",IF(J12&lt;0,"BERKURANG","TETAP"))</f>
        <v>BERTAMBAH</v>
      </c>
    </row>
    <row r="13" spans="2:13" x14ac:dyDescent="0.25">
      <c r="B13" s="1101">
        <v>3</v>
      </c>
      <c r="C13" s="1103" t="str">
        <f>Pendapatan!B11</f>
        <v>KOMERSIAL</v>
      </c>
      <c r="E13" s="822">
        <f>Pendapatan!P11</f>
        <v>3292560000</v>
      </c>
      <c r="F13" s="457"/>
      <c r="G13" s="1113">
        <f>Pendapatan!R11</f>
        <v>2187145000</v>
      </c>
      <c r="H13" s="457"/>
      <c r="I13" s="1107">
        <f>Pendapatan!T11</f>
        <v>2744825000</v>
      </c>
      <c r="J13" s="1116">
        <f t="shared" si="0"/>
        <v>547735000</v>
      </c>
      <c r="K13" s="1109" t="str">
        <f t="shared" si="1"/>
        <v>BERTAMBAH</v>
      </c>
    </row>
    <row r="14" spans="2:13" x14ac:dyDescent="0.25">
      <c r="B14" s="1101">
        <v>4</v>
      </c>
      <c r="C14" s="1103" t="str">
        <f>Pendapatan!B12</f>
        <v>PARKIR LANGGANAN BULANAN (PLB)</v>
      </c>
      <c r="E14" s="822">
        <f>Pendapatan!P12</f>
        <v>8040000000</v>
      </c>
      <c r="F14" s="457"/>
      <c r="G14" s="1113">
        <f>Pendapatan!R12</f>
        <v>3941547100</v>
      </c>
      <c r="H14" s="457"/>
      <c r="I14" s="1107">
        <f>Pendapatan!T12</f>
        <v>5061267600</v>
      </c>
      <c r="J14" s="1116">
        <f t="shared" si="0"/>
        <v>2978732400</v>
      </c>
      <c r="K14" s="1109" t="str">
        <f t="shared" si="1"/>
        <v>BERTAMBAH</v>
      </c>
    </row>
    <row r="15" spans="2:13" x14ac:dyDescent="0.25">
      <c r="B15" s="1101">
        <v>5</v>
      </c>
      <c r="C15" s="1103" t="str">
        <f>Pendapatan!B13</f>
        <v>PARKIR ELEKTRONIK</v>
      </c>
      <c r="E15" s="822">
        <f>Pendapatan!P13</f>
        <v>617400000</v>
      </c>
      <c r="F15" s="457"/>
      <c r="G15" s="1113">
        <f>Pendapatan!R13</f>
        <v>970349000</v>
      </c>
      <c r="H15" s="457"/>
      <c r="I15" s="1107">
        <f>Pendapatan!T13</f>
        <v>1115025000</v>
      </c>
      <c r="J15" s="1116">
        <f t="shared" si="0"/>
        <v>-497625000</v>
      </c>
      <c r="K15" s="1109" t="str">
        <f>IF(J15&gt;0,"BERTAMBAH",IF(J15&lt;0,"BERKURANG","TETAP"))</f>
        <v>BERKURANG</v>
      </c>
    </row>
    <row r="16" spans="2:13" x14ac:dyDescent="0.25">
      <c r="B16" s="1101">
        <v>6</v>
      </c>
      <c r="C16" s="1104" t="str">
        <f>Pendapatan!B14</f>
        <v>MEMBER PARKING KENDARAAN</v>
      </c>
      <c r="E16" s="822"/>
      <c r="F16" s="457"/>
      <c r="G16" s="1113"/>
      <c r="H16" s="457"/>
      <c r="I16" s="1107"/>
      <c r="J16" s="1116">
        <f t="shared" ref="J16" si="2">E16-I16</f>
        <v>0</v>
      </c>
      <c r="K16" s="1110" t="str">
        <f t="shared" ref="K16" si="3">IF(J16&gt;0,"BERTAMBAH",IF(J16&lt;0,"BERKURANG","TETAP"))</f>
        <v>TETAP</v>
      </c>
      <c r="M16" s="345"/>
    </row>
    <row r="17" spans="2:14" ht="15.75" thickBot="1" x14ac:dyDescent="0.3">
      <c r="B17" s="1101">
        <v>7</v>
      </c>
      <c r="C17" s="1104" t="str">
        <f>Pendapatan!B15</f>
        <v>PENDAPATAN LAIN-LAIN</v>
      </c>
      <c r="E17" s="822">
        <f>Pendapatan!P14</f>
        <v>0</v>
      </c>
      <c r="F17" s="457"/>
      <c r="G17" s="1114">
        <f>Pendapatan!R14</f>
        <v>0</v>
      </c>
      <c r="H17" s="457"/>
      <c r="I17" s="1107">
        <f>Pendapatan!T14</f>
        <v>0</v>
      </c>
      <c r="J17" s="1117">
        <f t="shared" si="0"/>
        <v>0</v>
      </c>
      <c r="K17" s="1110" t="str">
        <f t="shared" si="1"/>
        <v>TETAP</v>
      </c>
      <c r="M17" s="345"/>
    </row>
    <row r="18" spans="2:14" ht="15.75" thickBot="1" x14ac:dyDescent="0.3">
      <c r="B18" s="1529" t="s">
        <v>800</v>
      </c>
      <c r="C18" s="1530"/>
      <c r="E18" s="617">
        <f>SUM(E11:E17)</f>
        <v>25509960000</v>
      </c>
      <c r="F18" s="82"/>
      <c r="G18" s="1105">
        <f>SUM(G11:G17)</f>
        <v>12063437300</v>
      </c>
      <c r="H18" s="82"/>
      <c r="I18" s="611">
        <f>SUM(I11:I17)</f>
        <v>15433662800</v>
      </c>
      <c r="J18" s="1111">
        <f>E18-I18</f>
        <v>10076297200</v>
      </c>
      <c r="K18" s="613" t="str">
        <f>IF(J18&gt;0,"BERTAMBAH",IF(J18&lt;0,"BERKURANG","TETAP"))</f>
        <v>BERTAMBAH</v>
      </c>
      <c r="M18" s="782"/>
    </row>
    <row r="19" spans="2:14" x14ac:dyDescent="0.25">
      <c r="B19" s="1100">
        <v>1</v>
      </c>
      <c r="C19" s="1102" t="str">
        <f>Pendapatan!B20</f>
        <v>Retur dan potongan - PARKIR TJU</v>
      </c>
      <c r="E19" s="821">
        <f>Pendapatan!P20</f>
        <v>2160000000</v>
      </c>
      <c r="F19" s="457"/>
      <c r="G19" s="1112">
        <f>Pendapatan!R20</f>
        <v>1841208600</v>
      </c>
      <c r="H19" s="457"/>
      <c r="I19" s="1106">
        <f>Pendapatan!T20</f>
        <v>0</v>
      </c>
      <c r="J19" s="1115">
        <f t="shared" ref="J19:J20" si="4">E19-I19</f>
        <v>2160000000</v>
      </c>
      <c r="K19" s="1108" t="str">
        <f>IF(J19&gt;0,"BERTAMBAH",IF(J19&lt;0,"BERKURANG","TETAP"))</f>
        <v>BERTAMBAH</v>
      </c>
    </row>
    <row r="20" spans="2:14" ht="15.75" thickBot="1" x14ac:dyDescent="0.3">
      <c r="B20" s="1101">
        <v>2</v>
      </c>
      <c r="C20" s="1103" t="str">
        <f>Pendapatan!B21</f>
        <v>Kwitansi Batal - Parkir PLB</v>
      </c>
      <c r="E20" s="822">
        <f>Pendapatan!P21</f>
        <v>240000000</v>
      </c>
      <c r="F20" s="457"/>
      <c r="G20" s="1113">
        <f>Pendapatan!R21</f>
        <v>162100200</v>
      </c>
      <c r="H20" s="457"/>
      <c r="I20" s="1107">
        <f>Pendapatan!T21</f>
        <v>0</v>
      </c>
      <c r="J20" s="1116">
        <f t="shared" si="4"/>
        <v>240000000</v>
      </c>
      <c r="K20" s="1109" t="str">
        <f t="shared" ref="K20" si="5">IF(J20&gt;0,"BERTAMBAH",IF(J20&lt;0,"BERKURANG","TETAP"))</f>
        <v>BERTAMBAH</v>
      </c>
    </row>
    <row r="21" spans="2:14" ht="15.75" thickBot="1" x14ac:dyDescent="0.3">
      <c r="B21" s="1538" t="s">
        <v>804</v>
      </c>
      <c r="C21" s="1539"/>
      <c r="E21" s="617">
        <f>SUM(E19:E20)</f>
        <v>2400000000</v>
      </c>
      <c r="F21" s="82"/>
      <c r="G21" s="611">
        <f>SUM(G19:G20)</f>
        <v>2003308800</v>
      </c>
      <c r="H21" s="82"/>
      <c r="I21" s="611">
        <f>SUM(I19:I20)</f>
        <v>0</v>
      </c>
      <c r="J21" s="612">
        <f>E21-I21</f>
        <v>2400000000</v>
      </c>
      <c r="K21" s="613" t="str">
        <f>IF(J21&gt;0,"BERTAMBAH",IF(J21&lt;0,"BERKURANG","TETAP"))</f>
        <v>BERTAMBAH</v>
      </c>
      <c r="M21" s="782"/>
    </row>
    <row r="22" spans="2:14" ht="20.25" customHeight="1" thickBot="1" x14ac:dyDescent="0.3">
      <c r="B22" s="1540" t="s">
        <v>801</v>
      </c>
      <c r="C22" s="1541"/>
      <c r="E22" s="1178">
        <f>E18-E21</f>
        <v>23109960000</v>
      </c>
      <c r="F22" s="1177">
        <f t="shared" ref="F22:J22" si="6">F18-F21</f>
        <v>0</v>
      </c>
      <c r="G22" s="1201">
        <f t="shared" si="6"/>
        <v>10060128500</v>
      </c>
      <c r="H22" s="1179">
        <f t="shared" si="6"/>
        <v>0</v>
      </c>
      <c r="I22" s="1202">
        <f t="shared" si="6"/>
        <v>15433662800</v>
      </c>
      <c r="J22" s="1201">
        <f t="shared" si="6"/>
        <v>7676297200</v>
      </c>
      <c r="K22" s="613" t="str">
        <f>IF(J22&gt;0,"BERTAMBAH",IF(J22&lt;0,"BERKURANG","TETAP"))</f>
        <v>BERTAMBAH</v>
      </c>
      <c r="M22" s="782"/>
    </row>
    <row r="23" spans="2:14" ht="21" customHeight="1" thickBot="1" x14ac:dyDescent="0.3">
      <c r="B23" s="1537" t="s">
        <v>466</v>
      </c>
      <c r="C23" s="1537"/>
      <c r="E23" s="82"/>
      <c r="F23" s="82"/>
      <c r="G23" s="82"/>
      <c r="H23" s="82"/>
      <c r="I23" s="82"/>
      <c r="J23" s="82"/>
      <c r="K23" s="82"/>
      <c r="M23" s="782"/>
    </row>
    <row r="24" spans="2:14" x14ac:dyDescent="0.25">
      <c r="B24" s="608" t="str">
        <f>'Ops Rek'!B11</f>
        <v>91.00.00</v>
      </c>
      <c r="C24" s="818" t="str">
        <f>'Ops Rek'!C6:H6</f>
        <v>BIAYA OPERASIONAL</v>
      </c>
      <c r="E24" s="780">
        <f>'Ops Rek'!D32</f>
        <v>4888332620</v>
      </c>
      <c r="F24" s="82"/>
      <c r="G24" s="780">
        <f>'Ops Rek'!E32</f>
        <v>1268941650</v>
      </c>
      <c r="H24" s="82"/>
      <c r="I24" s="780">
        <f>'Ops Rek'!F32</f>
        <v>3103831349</v>
      </c>
      <c r="J24" s="823">
        <f>E24-I24</f>
        <v>1784501271</v>
      </c>
      <c r="K24" s="608" t="str">
        <f t="shared" si="1"/>
        <v>BERTAMBAH</v>
      </c>
      <c r="M24" s="782"/>
    </row>
    <row r="25" spans="2:14" x14ac:dyDescent="0.25">
      <c r="B25" s="615" t="str">
        <f>'GAJI REK'!A12</f>
        <v>92.00.00</v>
      </c>
      <c r="C25" s="819" t="str">
        <f>'GAJI REK'!C6:H6</f>
        <v>BIAYA GAJI</v>
      </c>
      <c r="E25" s="781">
        <f>'GAJI REK'!D42</f>
        <v>10826432522.640001</v>
      </c>
      <c r="F25" s="82"/>
      <c r="G25" s="781">
        <f>'GAJI REK'!E42</f>
        <v>5849684837</v>
      </c>
      <c r="H25" s="82"/>
      <c r="I25" s="781">
        <f>'GAJI REK'!F42</f>
        <v>7385567026</v>
      </c>
      <c r="J25" s="824">
        <f>E25-I25</f>
        <v>3440865496.6400013</v>
      </c>
      <c r="K25" s="825" t="str">
        <f>IF(J25&gt;0,"BERTAMBAH",IF(J25&lt;0,"BERKURANG","TETAP"))</f>
        <v>BERTAMBAH</v>
      </c>
      <c r="M25" s="782"/>
    </row>
    <row r="26" spans="2:14" x14ac:dyDescent="0.25">
      <c r="B26" s="615" t="str">
        <f>'UMUM Rek'!B12</f>
        <v>93.00.00</v>
      </c>
      <c r="C26" s="819" t="str">
        <f>'UMUM Rek'!C6:H6</f>
        <v>BIAYA UMUM DAN ADMINISTRASI</v>
      </c>
      <c r="E26" s="610">
        <f>'UMUM Rek'!D38</f>
        <v>3505699680</v>
      </c>
      <c r="F26" s="82"/>
      <c r="G26" s="781">
        <f>'UMUM Rek'!E38</f>
        <v>1183504147</v>
      </c>
      <c r="H26" s="82"/>
      <c r="I26" s="781">
        <f>'UMUM Rek'!F38</f>
        <v>2297757465</v>
      </c>
      <c r="J26" s="824">
        <f>E26-I26</f>
        <v>1207942215</v>
      </c>
      <c r="K26" s="825" t="str">
        <f t="shared" si="1"/>
        <v>BERTAMBAH</v>
      </c>
      <c r="M26" s="782"/>
    </row>
    <row r="27" spans="2:14" x14ac:dyDescent="0.25">
      <c r="B27" s="1089"/>
      <c r="C27" s="1090" t="s">
        <v>745</v>
      </c>
      <c r="E27" s="610"/>
      <c r="F27" s="82"/>
      <c r="G27" s="1091">
        <v>1740921194</v>
      </c>
      <c r="H27" s="82"/>
      <c r="I27" s="1091"/>
      <c r="J27" s="824"/>
      <c r="K27" s="1092"/>
      <c r="M27" s="782"/>
    </row>
    <row r="28" spans="2:14" ht="15.75" thickBot="1" x14ac:dyDescent="0.3">
      <c r="B28" s="820"/>
      <c r="C28" s="827" t="s">
        <v>468</v>
      </c>
      <c r="E28" s="783">
        <v>943594816</v>
      </c>
      <c r="F28" s="82"/>
      <c r="G28" s="784">
        <v>601247970</v>
      </c>
      <c r="H28" s="82"/>
      <c r="I28" s="783">
        <v>334650775</v>
      </c>
      <c r="J28" s="824">
        <f>E28-I28</f>
        <v>608944041</v>
      </c>
      <c r="K28" s="826" t="str">
        <f>IF(J28&gt;0,"BERTAMBAH",IF(J28&lt;0,"BERKURANG","TETAP"))</f>
        <v>BERTAMBAH</v>
      </c>
      <c r="M28" s="782"/>
    </row>
    <row r="29" spans="2:14" ht="15.75" thickBot="1" x14ac:dyDescent="0.3">
      <c r="B29" s="1529"/>
      <c r="C29" s="1530"/>
      <c r="E29" s="617">
        <f>SUM(E24:E28)</f>
        <v>20164059638.639999</v>
      </c>
      <c r="F29" s="82"/>
      <c r="G29" s="611">
        <f>SUM(G24:G28)</f>
        <v>10644299798</v>
      </c>
      <c r="H29" s="82"/>
      <c r="I29" s="611">
        <f>I24+I25+I26+I28</f>
        <v>13121806615</v>
      </c>
      <c r="J29" s="612">
        <f>E29-I29</f>
        <v>7042253023.6399994</v>
      </c>
      <c r="K29" s="614" t="str">
        <f>IF(J29&gt;0,"BERTAMBAH",IF(J29&lt;0,"BERKURANG","TETAP"))</f>
        <v>BERTAMBAH</v>
      </c>
      <c r="M29" s="782"/>
      <c r="N29" s="782"/>
    </row>
    <row r="30" spans="2:14" ht="21" customHeight="1" thickBot="1" x14ac:dyDescent="0.3">
      <c r="B30" s="1532" t="s">
        <v>467</v>
      </c>
      <c r="C30" s="1532"/>
      <c r="E30" s="82"/>
      <c r="F30" s="82"/>
      <c r="G30" s="82"/>
      <c r="H30" s="82"/>
      <c r="I30" s="82"/>
      <c r="J30" s="82"/>
      <c r="K30" s="82"/>
      <c r="M30" s="782"/>
      <c r="N30" s="782"/>
    </row>
    <row r="31" spans="2:14" x14ac:dyDescent="0.25">
      <c r="B31" s="1535" t="s">
        <v>469</v>
      </c>
      <c r="C31" s="1536"/>
      <c r="E31" s="902">
        <f>E18-E29</f>
        <v>5345900361.3600006</v>
      </c>
      <c r="F31" s="82"/>
      <c r="G31" s="902">
        <f>G18-G29</f>
        <v>1419137502</v>
      </c>
      <c r="H31" s="82"/>
      <c r="I31" s="902">
        <f>I18-I29</f>
        <v>2311856185</v>
      </c>
      <c r="J31" s="902">
        <f>E31-I31</f>
        <v>3034044176.3600006</v>
      </c>
      <c r="K31" s="1180" t="str">
        <f>IF(J31&gt;0,"BERTAMBAH",IF(J31&lt;0,"BERKURANG","TETAP"))</f>
        <v>BERTAMBAH</v>
      </c>
    </row>
    <row r="32" spans="2:14" x14ac:dyDescent="0.25">
      <c r="B32" s="1533" t="s">
        <v>470</v>
      </c>
      <c r="C32" s="1534"/>
      <c r="E32" s="903">
        <f>E31*22%</f>
        <v>1176098079.4992001</v>
      </c>
      <c r="F32" s="82"/>
      <c r="G32" s="903">
        <f>G31*22%</f>
        <v>312210250.44</v>
      </c>
      <c r="H32" s="82"/>
      <c r="I32" s="903">
        <f>I31*22%</f>
        <v>508608360.69999999</v>
      </c>
      <c r="J32" s="610">
        <f>E32-I32</f>
        <v>667489718.79920006</v>
      </c>
      <c r="K32" s="609" t="str">
        <f>IF(J32&gt;0,"BERTAMBAH",IF(J32&lt;0,"BERKURANG","TETAP"))</f>
        <v>BERTAMBAH</v>
      </c>
    </row>
    <row r="33" spans="2:11" x14ac:dyDescent="0.25">
      <c r="B33" s="1533" t="s">
        <v>471</v>
      </c>
      <c r="C33" s="1534"/>
      <c r="E33" s="904">
        <f>E31-E32</f>
        <v>4169802281.8608007</v>
      </c>
      <c r="F33" s="82"/>
      <c r="G33" s="904">
        <f>G31-G32</f>
        <v>1106927251.5599999</v>
      </c>
      <c r="H33" s="82"/>
      <c r="I33" s="904">
        <f>I31-I32</f>
        <v>1803247824.3</v>
      </c>
      <c r="J33" s="904">
        <f>E33-I33</f>
        <v>2366554457.5608006</v>
      </c>
      <c r="K33" s="1181" t="str">
        <f>IF(J33&gt;0,"BERTAMBAH",IF(J33&lt;0,"BERKURANG","TETAP"))</f>
        <v>BERTAMBAH</v>
      </c>
    </row>
    <row r="34" spans="2:11" ht="16.5" thickBot="1" x14ac:dyDescent="0.3">
      <c r="B34" s="900" t="s">
        <v>567</v>
      </c>
      <c r="C34" s="901"/>
      <c r="E34" s="1182">
        <f>E33*75%</f>
        <v>3127351711.3956003</v>
      </c>
      <c r="F34" s="1183"/>
      <c r="G34" s="1182">
        <f>G33*75%</f>
        <v>830195438.66999996</v>
      </c>
      <c r="H34" s="1183"/>
      <c r="I34" s="1182">
        <f>I33*75%</f>
        <v>1352435868.2249999</v>
      </c>
      <c r="J34" s="906"/>
      <c r="K34" s="905"/>
    </row>
    <row r="35" spans="2:11" ht="12" customHeight="1" x14ac:dyDescent="0.25">
      <c r="B35" s="456"/>
      <c r="C35" s="456"/>
      <c r="E35" s="82"/>
      <c r="F35" s="82"/>
      <c r="G35" s="82"/>
      <c r="H35" s="82"/>
      <c r="I35" s="82"/>
      <c r="J35" s="82"/>
      <c r="K35" s="82"/>
    </row>
    <row r="36" spans="2:11" ht="16.5" x14ac:dyDescent="0.3">
      <c r="B36" s="456"/>
      <c r="C36" s="456"/>
      <c r="H36" s="806"/>
      <c r="I36" s="806"/>
      <c r="J36" s="1405" t="s">
        <v>803</v>
      </c>
      <c r="K36" s="1405"/>
    </row>
    <row r="37" spans="2:11" ht="16.5" x14ac:dyDescent="0.3">
      <c r="B37" s="456"/>
      <c r="C37" s="810"/>
      <c r="F37" s="810"/>
      <c r="G37" s="810"/>
      <c r="I37" s="853"/>
      <c r="J37" s="1407" t="s">
        <v>515</v>
      </c>
      <c r="K37" s="1407"/>
    </row>
    <row r="38" spans="2:11" ht="16.5" x14ac:dyDescent="0.3">
      <c r="B38" s="456"/>
      <c r="C38" s="456"/>
      <c r="F38" s="456"/>
      <c r="G38" s="1118"/>
      <c r="H38" s="806"/>
      <c r="I38" s="806"/>
      <c r="J38" s="1405" t="s">
        <v>94</v>
      </c>
      <c r="K38" s="1405"/>
    </row>
    <row r="39" spans="2:11" x14ac:dyDescent="0.25">
      <c r="B39" s="456"/>
      <c r="C39" s="456"/>
      <c r="E39" s="456"/>
      <c r="F39" s="456"/>
      <c r="G39" s="1118"/>
      <c r="I39" s="1119"/>
      <c r="J39" s="814"/>
      <c r="K39" s="814"/>
    </row>
    <row r="40" spans="2:11" x14ac:dyDescent="0.25">
      <c r="B40" s="456"/>
      <c r="C40" s="456"/>
      <c r="E40" s="456"/>
      <c r="F40" s="456"/>
      <c r="G40" s="1118"/>
      <c r="I40" s="1119"/>
      <c r="J40" s="814"/>
      <c r="K40" s="814"/>
    </row>
    <row r="41" spans="2:11" x14ac:dyDescent="0.25">
      <c r="B41" s="456"/>
      <c r="C41" s="456"/>
      <c r="E41" s="456"/>
      <c r="F41" s="456"/>
      <c r="G41" s="1118"/>
      <c r="I41" s="1119"/>
      <c r="J41" s="1120"/>
      <c r="K41" s="814"/>
    </row>
    <row r="42" spans="2:11" ht="16.5" x14ac:dyDescent="0.3">
      <c r="B42" s="456"/>
      <c r="C42" s="811"/>
      <c r="F42" s="811"/>
      <c r="G42" s="811"/>
      <c r="H42" s="811"/>
      <c r="I42" s="811"/>
      <c r="J42" s="1406" t="s">
        <v>516</v>
      </c>
      <c r="K42" s="1406"/>
    </row>
    <row r="43" spans="2:11" ht="16.5" x14ac:dyDescent="0.3">
      <c r="B43" s="456"/>
      <c r="C43" s="456"/>
      <c r="F43" s="456"/>
      <c r="G43" s="456"/>
      <c r="J43" s="1405" t="s">
        <v>248</v>
      </c>
      <c r="K43" s="1405"/>
    </row>
    <row r="44" spans="2:11" x14ac:dyDescent="0.25">
      <c r="B44" s="456"/>
      <c r="C44" s="456"/>
      <c r="E44" s="82"/>
      <c r="F44" s="82"/>
      <c r="G44" s="82"/>
      <c r="H44" s="82"/>
      <c r="I44" s="82"/>
      <c r="J44" s="82"/>
      <c r="K44" s="82"/>
    </row>
    <row r="45" spans="2:11" x14ac:dyDescent="0.25">
      <c r="B45" s="456"/>
      <c r="C45" s="456"/>
      <c r="E45" s="82"/>
      <c r="F45" s="82"/>
      <c r="G45" s="82"/>
      <c r="H45" s="82"/>
      <c r="I45" s="82"/>
      <c r="J45" s="82"/>
      <c r="K45" s="82"/>
    </row>
    <row r="46" spans="2:11" x14ac:dyDescent="0.25">
      <c r="B46" s="456"/>
      <c r="C46" s="456"/>
      <c r="E46" s="82"/>
      <c r="F46" s="82"/>
      <c r="G46" s="82"/>
      <c r="H46" s="82"/>
      <c r="I46" s="82"/>
      <c r="J46" s="82"/>
      <c r="K46" s="82"/>
    </row>
    <row r="47" spans="2:11" x14ac:dyDescent="0.25">
      <c r="B47" s="456"/>
      <c r="C47" s="456"/>
      <c r="E47" s="82"/>
      <c r="F47" s="82"/>
      <c r="G47" s="82"/>
      <c r="H47" s="82"/>
      <c r="I47" s="82"/>
      <c r="J47" s="82"/>
      <c r="K47" s="82"/>
    </row>
    <row r="48" spans="2:11" x14ac:dyDescent="0.25">
      <c r="B48" s="456"/>
      <c r="C48" s="456"/>
      <c r="E48" s="82"/>
      <c r="F48" s="82"/>
      <c r="G48" s="82"/>
      <c r="H48" s="82"/>
      <c r="I48" s="82"/>
      <c r="J48" s="82"/>
      <c r="K48" s="82"/>
    </row>
    <row r="49" spans="2:11" x14ac:dyDescent="0.25">
      <c r="B49" s="456"/>
      <c r="C49" s="456"/>
      <c r="E49" s="82"/>
      <c r="F49" s="82"/>
      <c r="G49" s="82"/>
      <c r="H49" s="82"/>
      <c r="I49" s="82"/>
      <c r="J49" s="82"/>
      <c r="K49" s="82"/>
    </row>
    <row r="50" spans="2:11" x14ac:dyDescent="0.25">
      <c r="B50" s="456"/>
      <c r="C50" s="456"/>
      <c r="E50" s="82"/>
      <c r="F50" s="82"/>
      <c r="G50" s="82"/>
      <c r="H50" s="82"/>
      <c r="I50" s="82"/>
      <c r="J50" s="82"/>
      <c r="K50" s="82"/>
    </row>
    <row r="51" spans="2:11" x14ac:dyDescent="0.25">
      <c r="B51" s="593"/>
      <c r="C51" s="593"/>
    </row>
    <row r="52" spans="2:11" x14ac:dyDescent="0.25">
      <c r="B52" s="593"/>
      <c r="C52" s="593"/>
    </row>
    <row r="53" spans="2:11" x14ac:dyDescent="0.25">
      <c r="B53" s="593"/>
      <c r="C53" s="593"/>
    </row>
    <row r="54" spans="2:11" x14ac:dyDescent="0.25">
      <c r="B54" s="593"/>
      <c r="C54" s="593"/>
    </row>
  </sheetData>
  <mergeCells count="27">
    <mergeCell ref="B29:C29"/>
    <mergeCell ref="B10:C10"/>
    <mergeCell ref="B30:C30"/>
    <mergeCell ref="B33:C33"/>
    <mergeCell ref="B32:C32"/>
    <mergeCell ref="B31:C31"/>
    <mergeCell ref="B18:C18"/>
    <mergeCell ref="B23:C23"/>
    <mergeCell ref="B21:C21"/>
    <mergeCell ref="B22:C22"/>
    <mergeCell ref="B2:B5"/>
    <mergeCell ref="K7:K8"/>
    <mergeCell ref="C5:K5"/>
    <mergeCell ref="C4:K4"/>
    <mergeCell ref="C3:K3"/>
    <mergeCell ref="C2:K2"/>
    <mergeCell ref="B7:B8"/>
    <mergeCell ref="C7:C8"/>
    <mergeCell ref="E7:E8"/>
    <mergeCell ref="G7:G8"/>
    <mergeCell ref="I7:I8"/>
    <mergeCell ref="J7:J8"/>
    <mergeCell ref="J36:K36"/>
    <mergeCell ref="J43:K43"/>
    <mergeCell ref="J42:K42"/>
    <mergeCell ref="J38:K38"/>
    <mergeCell ref="J37:K37"/>
  </mergeCells>
  <pageMargins left="0" right="0.70866141732283472" top="0" bottom="0" header="0.31496062992125984" footer="0.31496062992125984"/>
  <pageSetup paperSize="9" orientation="landscape" horizontalDpi="4294967293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1:M119"/>
  <sheetViews>
    <sheetView showGridLines="0" topLeftCell="B73" workbookViewId="0">
      <selection activeCell="G52" sqref="G52"/>
    </sheetView>
  </sheetViews>
  <sheetFormatPr defaultRowHeight="15" x14ac:dyDescent="0.25"/>
  <cols>
    <col min="1" max="1" width="1.7109375" customWidth="1"/>
    <col min="2" max="2" width="7.7109375" customWidth="1"/>
    <col min="3" max="3" width="32.140625" customWidth="1"/>
    <col min="4" max="4" width="29.42578125" customWidth="1"/>
    <col min="5" max="6" width="5" bestFit="1" customWidth="1"/>
    <col min="7" max="7" width="14.42578125" customWidth="1"/>
    <col min="8" max="8" width="13.85546875" customWidth="1"/>
    <col min="9" max="13" width="18.28515625" customWidth="1"/>
  </cols>
  <sheetData>
    <row r="1" spans="2:13" ht="9.6" customHeight="1" thickBot="1" x14ac:dyDescent="0.3"/>
    <row r="2" spans="2:13" ht="18.75" thickTop="1" x14ac:dyDescent="0.25">
      <c r="B2" s="619"/>
      <c r="C2" s="622"/>
      <c r="D2" s="1266" t="s">
        <v>94</v>
      </c>
      <c r="E2" s="1267"/>
      <c r="F2" s="1267"/>
      <c r="G2" s="1267"/>
      <c r="H2" s="1267"/>
      <c r="I2" s="1267"/>
      <c r="J2" s="1267"/>
      <c r="K2" s="1267"/>
      <c r="L2" s="1267"/>
      <c r="M2" s="1268"/>
    </row>
    <row r="3" spans="2:13" ht="18" x14ac:dyDescent="0.25">
      <c r="B3" s="620"/>
      <c r="C3" s="623"/>
      <c r="D3" s="1269" t="s">
        <v>0</v>
      </c>
      <c r="E3" s="1270"/>
      <c r="F3" s="1270"/>
      <c r="G3" s="1270"/>
      <c r="H3" s="1270"/>
      <c r="I3" s="1270"/>
      <c r="J3" s="1270"/>
      <c r="K3" s="1270"/>
      <c r="L3" s="1270"/>
      <c r="M3" s="1271"/>
    </row>
    <row r="4" spans="2:13" ht="18" x14ac:dyDescent="0.25">
      <c r="B4" s="620"/>
      <c r="C4" s="623"/>
      <c r="D4" s="1269" t="s">
        <v>569</v>
      </c>
      <c r="E4" s="1270"/>
      <c r="F4" s="1270"/>
      <c r="G4" s="1270"/>
      <c r="H4" s="1270"/>
      <c r="I4" s="1270"/>
      <c r="J4" s="1270"/>
      <c r="K4" s="1270"/>
      <c r="L4" s="1270"/>
      <c r="M4" s="1271"/>
    </row>
    <row r="5" spans="2:13" ht="18.75" thickBot="1" x14ac:dyDescent="0.3">
      <c r="B5" s="621"/>
      <c r="C5" s="624"/>
      <c r="D5" s="1272" t="s">
        <v>524</v>
      </c>
      <c r="E5" s="1273"/>
      <c r="F5" s="1273"/>
      <c r="G5" s="1273"/>
      <c r="H5" s="1273"/>
      <c r="I5" s="1273"/>
      <c r="J5" s="1273"/>
      <c r="K5" s="1273"/>
      <c r="L5" s="1273"/>
      <c r="M5" s="1274"/>
    </row>
    <row r="6" spans="2:13" ht="8.4499999999999993" customHeight="1" thickTop="1" x14ac:dyDescent="0.25"/>
    <row r="7" spans="2:13" ht="18" x14ac:dyDescent="0.25">
      <c r="B7" s="1567" t="s">
        <v>472</v>
      </c>
      <c r="C7" s="1567"/>
      <c r="D7" s="1567"/>
      <c r="E7" s="1567"/>
      <c r="F7" s="1567"/>
      <c r="G7" s="1567"/>
      <c r="H7" s="1567"/>
      <c r="I7" s="1567"/>
      <c r="J7" s="1567"/>
      <c r="K7" s="1567"/>
      <c r="L7" s="1567"/>
      <c r="M7" s="1567"/>
    </row>
    <row r="8" spans="2:13" ht="15.75" x14ac:dyDescent="0.25">
      <c r="B8" s="1558" t="s">
        <v>473</v>
      </c>
      <c r="C8" s="1558"/>
      <c r="D8" s="1558"/>
      <c r="E8" s="1558"/>
      <c r="F8" s="1558"/>
      <c r="G8" s="1558"/>
      <c r="H8" s="1558"/>
      <c r="I8" s="1558"/>
      <c r="J8" s="1558"/>
      <c r="K8" s="1558"/>
      <c r="L8" s="1558"/>
      <c r="M8" s="1558"/>
    </row>
    <row r="9" spans="2:13" ht="38.25" x14ac:dyDescent="0.25">
      <c r="B9" s="743" t="s">
        <v>98</v>
      </c>
      <c r="C9" s="744" t="s">
        <v>472</v>
      </c>
      <c r="D9" s="745" t="s">
        <v>2</v>
      </c>
      <c r="E9" s="1562" t="s">
        <v>3</v>
      </c>
      <c r="F9" s="1562"/>
      <c r="G9" s="745" t="s">
        <v>4</v>
      </c>
      <c r="H9" s="745" t="s">
        <v>20</v>
      </c>
      <c r="I9" s="631" t="s">
        <v>576</v>
      </c>
      <c r="J9" s="630" t="s">
        <v>721</v>
      </c>
      <c r="K9" s="630" t="s">
        <v>95</v>
      </c>
      <c r="L9" s="630" t="s">
        <v>477</v>
      </c>
      <c r="M9" s="739" t="s">
        <v>7</v>
      </c>
    </row>
    <row r="10" spans="2:13" ht="16.5" x14ac:dyDescent="0.25">
      <c r="B10" s="1547"/>
      <c r="C10" s="1548"/>
      <c r="D10" s="1548"/>
      <c r="E10" s="1548"/>
      <c r="F10" s="1548"/>
      <c r="G10" s="1548"/>
      <c r="H10" s="1549"/>
      <c r="I10" s="746" t="s">
        <v>285</v>
      </c>
      <c r="J10" s="747" t="s">
        <v>286</v>
      </c>
      <c r="K10" s="747" t="s">
        <v>287</v>
      </c>
      <c r="L10" s="747" t="s">
        <v>338</v>
      </c>
      <c r="M10" s="652"/>
    </row>
    <row r="11" spans="2:13" ht="6" customHeight="1" x14ac:dyDescent="0.25">
      <c r="B11" s="740"/>
      <c r="C11" s="741"/>
      <c r="D11" s="742"/>
      <c r="E11" s="740"/>
      <c r="F11" s="742"/>
      <c r="G11" s="741"/>
      <c r="H11" s="741"/>
    </row>
    <row r="12" spans="2:13" x14ac:dyDescent="0.25">
      <c r="B12" s="648"/>
      <c r="C12" s="1241" t="s">
        <v>474</v>
      </c>
      <c r="D12" s="1242"/>
      <c r="E12" s="1242"/>
      <c r="F12" s="1242"/>
      <c r="G12" s="1242"/>
      <c r="H12" s="1243"/>
      <c r="I12" s="764">
        <f>H15</f>
        <v>100000000</v>
      </c>
      <c r="J12" s="469">
        <v>9524100</v>
      </c>
      <c r="K12" s="768">
        <v>10000000</v>
      </c>
      <c r="L12" s="770">
        <f>I12-K12</f>
        <v>90000000</v>
      </c>
      <c r="M12" s="769" t="str">
        <f>IF(L12&gt;0,"BERTAMBAH",IF(L12&lt;0,"BERKURANG","TETAP"))</f>
        <v>BERTAMBAH</v>
      </c>
    </row>
    <row r="13" spans="2:13" x14ac:dyDescent="0.25">
      <c r="B13" s="634"/>
      <c r="C13" s="635"/>
      <c r="D13" s="636" t="s">
        <v>475</v>
      </c>
      <c r="E13" s="1565"/>
      <c r="F13" s="1566"/>
      <c r="G13" s="637">
        <v>50000000</v>
      </c>
      <c r="H13" s="638">
        <f>+G13</f>
        <v>50000000</v>
      </c>
      <c r="I13" s="616"/>
      <c r="J13" s="644"/>
      <c r="K13" s="644"/>
      <c r="L13" s="82"/>
      <c r="M13" s="61"/>
    </row>
    <row r="14" spans="2:13" x14ac:dyDescent="0.25">
      <c r="B14" s="625"/>
      <c r="C14" s="628"/>
      <c r="D14" s="626" t="s">
        <v>476</v>
      </c>
      <c r="E14" s="1563"/>
      <c r="F14" s="1564"/>
      <c r="G14" s="629">
        <v>50000000</v>
      </c>
      <c r="H14" s="639">
        <f>G14</f>
        <v>50000000</v>
      </c>
      <c r="I14" s="643"/>
      <c r="J14" s="644"/>
      <c r="K14" s="644"/>
      <c r="L14" s="82"/>
      <c r="M14" s="61"/>
    </row>
    <row r="15" spans="2:13" x14ac:dyDescent="0.25">
      <c r="B15" s="640"/>
      <c r="C15" s="1551" t="s">
        <v>20</v>
      </c>
      <c r="D15" s="1551"/>
      <c r="E15" s="1551"/>
      <c r="F15" s="1551"/>
      <c r="G15" s="641"/>
      <c r="H15" s="642">
        <f>SUM(H13:H14)</f>
        <v>100000000</v>
      </c>
      <c r="I15" s="645"/>
      <c r="J15" s="646"/>
      <c r="K15" s="646"/>
      <c r="L15" s="647"/>
      <c r="M15" s="64"/>
    </row>
    <row r="16" spans="2:13" ht="6" customHeight="1" x14ac:dyDescent="0.25">
      <c r="I16" s="632"/>
      <c r="J16" s="632"/>
      <c r="K16" s="632"/>
      <c r="L16" s="82"/>
    </row>
    <row r="17" spans="2:13" x14ac:dyDescent="0.25">
      <c r="B17" s="648"/>
      <c r="C17" s="1241" t="s">
        <v>478</v>
      </c>
      <c r="D17" s="1242"/>
      <c r="E17" s="1242"/>
      <c r="F17" s="1242"/>
      <c r="G17" s="1242"/>
      <c r="H17" s="1243"/>
      <c r="I17" s="763">
        <v>0</v>
      </c>
      <c r="J17" s="469">
        <v>0</v>
      </c>
      <c r="K17" s="768">
        <v>0</v>
      </c>
      <c r="L17" s="768">
        <v>0</v>
      </c>
      <c r="M17" s="769" t="str">
        <f>IF(L17&gt;0,"BERTAMBAH",IF(L17&lt;0,"BERKURANG","TETAP"))</f>
        <v>TETAP</v>
      </c>
    </row>
    <row r="18" spans="2:13" x14ac:dyDescent="0.25">
      <c r="B18" s="634"/>
      <c r="C18" s="635"/>
      <c r="D18" s="636" t="s">
        <v>479</v>
      </c>
      <c r="E18" s="1565"/>
      <c r="F18" s="1566"/>
      <c r="G18" s="637">
        <v>0</v>
      </c>
      <c r="H18" s="638">
        <f>+G18</f>
        <v>0</v>
      </c>
      <c r="I18" s="616"/>
      <c r="J18" s="644"/>
      <c r="K18" s="644"/>
      <c r="L18" s="82"/>
      <c r="M18" s="61"/>
    </row>
    <row r="19" spans="2:13" x14ac:dyDescent="0.25">
      <c r="B19" s="625"/>
      <c r="C19" s="628"/>
      <c r="D19" s="626" t="s">
        <v>480</v>
      </c>
      <c r="E19" s="1563"/>
      <c r="F19" s="1564"/>
      <c r="G19" s="629">
        <v>0</v>
      </c>
      <c r="H19" s="639">
        <f>+G19</f>
        <v>0</v>
      </c>
      <c r="I19" s="643"/>
      <c r="J19" s="644"/>
      <c r="K19" s="644"/>
      <c r="L19" s="82"/>
      <c r="M19" s="61"/>
    </row>
    <row r="20" spans="2:13" x14ac:dyDescent="0.25">
      <c r="B20" s="62"/>
      <c r="C20" s="1551" t="s">
        <v>20</v>
      </c>
      <c r="D20" s="1551"/>
      <c r="E20" s="1551"/>
      <c r="F20" s="1551"/>
      <c r="G20" s="63"/>
      <c r="H20" s="64"/>
      <c r="I20" s="645"/>
      <c r="J20" s="646"/>
      <c r="K20" s="646"/>
      <c r="L20" s="647"/>
      <c r="M20" s="64"/>
    </row>
    <row r="21" spans="2:13" ht="6" customHeight="1" x14ac:dyDescent="0.25">
      <c r="I21" s="632"/>
      <c r="J21" s="632"/>
      <c r="K21" s="632"/>
      <c r="L21" s="82"/>
    </row>
    <row r="22" spans="2:13" x14ac:dyDescent="0.25">
      <c r="B22" s="648"/>
      <c r="C22" s="1241" t="s">
        <v>481</v>
      </c>
      <c r="D22" s="1242"/>
      <c r="E22" s="1242"/>
      <c r="F22" s="1242"/>
      <c r="G22" s="1242"/>
      <c r="H22" s="1243"/>
      <c r="I22" s="763">
        <v>14000000</v>
      </c>
      <c r="J22" s="469">
        <v>52678000</v>
      </c>
      <c r="K22" s="768">
        <v>69000000</v>
      </c>
      <c r="L22" s="772">
        <f>I22-K22</f>
        <v>-55000000</v>
      </c>
      <c r="M22" s="769" t="str">
        <f>IF(L22&gt;0,"BERTAMBAH",IF(L22&lt;0,"BERKURANG","TETAP"))</f>
        <v>BERKURANG</v>
      </c>
    </row>
    <row r="23" spans="2:13" x14ac:dyDescent="0.25">
      <c r="B23" s="634"/>
      <c r="C23" s="636"/>
      <c r="D23" s="653"/>
      <c r="E23" s="654">
        <v>2</v>
      </c>
      <c r="F23" s="636" t="s">
        <v>386</v>
      </c>
      <c r="G23" s="637">
        <v>7000000</v>
      </c>
      <c r="H23" s="655">
        <f>E23*G23</f>
        <v>14000000</v>
      </c>
      <c r="I23" s="616"/>
      <c r="J23" s="644"/>
      <c r="K23" s="644"/>
      <c r="L23" s="82"/>
      <c r="M23" s="61"/>
    </row>
    <row r="24" spans="2:13" ht="16.5" x14ac:dyDescent="0.3">
      <c r="B24" s="62"/>
      <c r="C24" s="1551" t="s">
        <v>20</v>
      </c>
      <c r="D24" s="1551"/>
      <c r="E24" s="1551"/>
      <c r="F24" s="1551"/>
      <c r="G24" s="63"/>
      <c r="H24" s="656">
        <f>SUM(H23)</f>
        <v>14000000</v>
      </c>
      <c r="I24" s="645"/>
      <c r="J24" s="646"/>
      <c r="K24" s="646"/>
      <c r="L24" s="647"/>
      <c r="M24" s="64"/>
    </row>
    <row r="25" spans="2:13" ht="6" customHeight="1" x14ac:dyDescent="0.25">
      <c r="I25" s="632"/>
      <c r="J25" s="632"/>
      <c r="K25" s="632"/>
      <c r="L25" s="82"/>
    </row>
    <row r="26" spans="2:13" x14ac:dyDescent="0.25">
      <c r="B26" s="661"/>
      <c r="C26" s="1550" t="s">
        <v>482</v>
      </c>
      <c r="D26" s="1242"/>
      <c r="E26" s="1242"/>
      <c r="F26" s="1242"/>
      <c r="G26" s="1242"/>
      <c r="H26" s="1243"/>
      <c r="I26" s="765">
        <v>15000000</v>
      </c>
      <c r="J26" s="469">
        <v>7798000</v>
      </c>
      <c r="K26" s="768">
        <f>J26+H29</f>
        <v>22798000</v>
      </c>
      <c r="L26" s="772">
        <f>I26-K26</f>
        <v>-7798000</v>
      </c>
      <c r="M26" s="769" t="str">
        <f>IF(L26&gt;0,"BERTAMBAH",IF(L26&lt;0,"BERKURANG","TETAP"))</f>
        <v>BERKURANG</v>
      </c>
    </row>
    <row r="27" spans="2:13" x14ac:dyDescent="0.25">
      <c r="B27" s="634"/>
      <c r="C27" s="635"/>
      <c r="D27" s="657"/>
      <c r="E27" s="654">
        <v>1</v>
      </c>
      <c r="F27" s="636" t="s">
        <v>386</v>
      </c>
      <c r="G27" s="637">
        <v>1000000</v>
      </c>
      <c r="H27" s="658">
        <f>G27</f>
        <v>1000000</v>
      </c>
      <c r="I27" s="616"/>
      <c r="J27" s="644"/>
      <c r="K27" s="644"/>
      <c r="L27" s="82"/>
      <c r="M27" s="61"/>
    </row>
    <row r="28" spans="2:13" x14ac:dyDescent="0.25">
      <c r="B28" s="625"/>
      <c r="C28" s="626"/>
      <c r="D28" s="650"/>
      <c r="E28" s="627">
        <v>2</v>
      </c>
      <c r="F28" s="626" t="s">
        <v>386</v>
      </c>
      <c r="G28" s="629">
        <v>7000000</v>
      </c>
      <c r="H28" s="659">
        <f>E28*G28</f>
        <v>14000000</v>
      </c>
      <c r="I28" s="643"/>
      <c r="J28" s="644"/>
      <c r="K28" s="644"/>
      <c r="L28" s="82"/>
      <c r="M28" s="61"/>
    </row>
    <row r="29" spans="2:13" x14ac:dyDescent="0.25">
      <c r="B29" s="62"/>
      <c r="C29" s="1551" t="s">
        <v>20</v>
      </c>
      <c r="D29" s="1551"/>
      <c r="E29" s="1551"/>
      <c r="F29" s="1551"/>
      <c r="G29" s="63"/>
      <c r="H29" s="660">
        <f>SUM(H27:H28)</f>
        <v>15000000</v>
      </c>
      <c r="I29" s="645"/>
      <c r="J29" s="646"/>
      <c r="K29" s="646"/>
      <c r="L29" s="647"/>
      <c r="M29" s="64"/>
    </row>
    <row r="30" spans="2:13" ht="6" customHeight="1" x14ac:dyDescent="0.25">
      <c r="I30" s="632"/>
      <c r="J30" s="632"/>
      <c r="K30" s="632"/>
      <c r="L30" s="82"/>
    </row>
    <row r="31" spans="2:13" x14ac:dyDescent="0.25">
      <c r="B31" s="661"/>
      <c r="C31" s="1550" t="s">
        <v>769</v>
      </c>
      <c r="D31" s="1242"/>
      <c r="E31" s="1242"/>
      <c r="F31" s="1242"/>
      <c r="G31" s="1242"/>
      <c r="H31" s="1243"/>
      <c r="I31" s="765">
        <f>H35</f>
        <v>40000000</v>
      </c>
      <c r="J31" s="474">
        <v>6364050</v>
      </c>
      <c r="K31" s="768">
        <f>J31+H35</f>
        <v>46364050</v>
      </c>
      <c r="L31" s="770">
        <f>I31-K31</f>
        <v>-6364050</v>
      </c>
      <c r="M31" s="769" t="str">
        <f>IF(L31&gt;0,"BERTAMBAH",IF(L31&lt;0,"BERKURANG","TETAP"))</f>
        <v>BERKURANG</v>
      </c>
    </row>
    <row r="32" spans="2:13" x14ac:dyDescent="0.25">
      <c r="B32" s="634"/>
      <c r="C32" s="663" t="s">
        <v>483</v>
      </c>
      <c r="D32" s="657"/>
      <c r="E32" s="654">
        <v>3</v>
      </c>
      <c r="F32" s="636" t="s">
        <v>386</v>
      </c>
      <c r="G32" s="637">
        <v>4000000</v>
      </c>
      <c r="H32" s="664">
        <f>E32*G32</f>
        <v>12000000</v>
      </c>
      <c r="I32" s="616"/>
      <c r="J32" s="644"/>
      <c r="K32" s="644"/>
      <c r="L32" s="82"/>
      <c r="M32" s="61"/>
    </row>
    <row r="33" spans="2:13" x14ac:dyDescent="0.25">
      <c r="B33" s="625"/>
      <c r="C33" s="662" t="s">
        <v>776</v>
      </c>
      <c r="D33" s="651"/>
      <c r="E33" s="627">
        <v>1</v>
      </c>
      <c r="F33" s="626" t="s">
        <v>386</v>
      </c>
      <c r="G33" s="629">
        <v>23000000</v>
      </c>
      <c r="H33" s="665">
        <f>E33*G33</f>
        <v>23000000</v>
      </c>
      <c r="I33" s="643"/>
      <c r="J33" s="644"/>
      <c r="K33" s="644"/>
      <c r="L33" s="82"/>
      <c r="M33" s="61"/>
    </row>
    <row r="34" spans="2:13" x14ac:dyDescent="0.25">
      <c r="B34" s="625"/>
      <c r="C34" s="662" t="s">
        <v>484</v>
      </c>
      <c r="D34" s="651"/>
      <c r="E34" s="627">
        <v>1</v>
      </c>
      <c r="F34" s="626" t="s">
        <v>386</v>
      </c>
      <c r="G34" s="629">
        <v>5000000</v>
      </c>
      <c r="H34" s="666">
        <f>G34</f>
        <v>5000000</v>
      </c>
      <c r="I34" s="643"/>
      <c r="J34" s="644"/>
      <c r="K34" s="644"/>
      <c r="L34" s="82"/>
      <c r="M34" s="61"/>
    </row>
    <row r="35" spans="2:13" x14ac:dyDescent="0.25">
      <c r="B35" s="62"/>
      <c r="C35" s="1551" t="s">
        <v>20</v>
      </c>
      <c r="D35" s="1551"/>
      <c r="E35" s="1551"/>
      <c r="F35" s="1551"/>
      <c r="G35" s="63"/>
      <c r="H35" s="667">
        <f>SUM(H32:H34)</f>
        <v>40000000</v>
      </c>
      <c r="I35" s="645"/>
      <c r="J35" s="646"/>
      <c r="K35" s="646"/>
      <c r="L35" s="647"/>
      <c r="M35" s="64"/>
    </row>
    <row r="36" spans="2:13" ht="6" customHeight="1" x14ac:dyDescent="0.25">
      <c r="I36" s="632"/>
      <c r="J36" s="632"/>
      <c r="K36" s="632"/>
      <c r="L36" s="82"/>
    </row>
    <row r="37" spans="2:13" x14ac:dyDescent="0.25">
      <c r="B37" s="661"/>
      <c r="C37" s="1550" t="s">
        <v>485</v>
      </c>
      <c r="D37" s="1242"/>
      <c r="E37" s="1242"/>
      <c r="F37" s="1242"/>
      <c r="G37" s="1242"/>
      <c r="H37" s="1243"/>
      <c r="I37" s="766">
        <v>87500000</v>
      </c>
      <c r="J37" s="771">
        <v>0</v>
      </c>
      <c r="K37" s="768">
        <v>42500000</v>
      </c>
      <c r="L37" s="770">
        <f>I37-K37</f>
        <v>45000000</v>
      </c>
      <c r="M37" s="769" t="str">
        <f>IF(L37&gt;0,"BERTAMBAH",IF(L37&lt;0,"BERKURANG","TETAP"))</f>
        <v>BERTAMBAH</v>
      </c>
    </row>
    <row r="38" spans="2:13" x14ac:dyDescent="0.25">
      <c r="B38" s="634"/>
      <c r="C38" s="636"/>
      <c r="D38" s="673" t="s">
        <v>486</v>
      </c>
      <c r="E38" s="654">
        <v>10</v>
      </c>
      <c r="F38" s="636" t="s">
        <v>487</v>
      </c>
      <c r="G38" s="637">
        <v>1500000</v>
      </c>
      <c r="H38" s="674">
        <f>E38*G38</f>
        <v>15000000</v>
      </c>
      <c r="I38" s="616"/>
      <c r="J38" s="644"/>
      <c r="K38" s="644"/>
      <c r="L38" s="82"/>
      <c r="M38" s="61"/>
    </row>
    <row r="39" spans="2:13" x14ac:dyDescent="0.25">
      <c r="B39" s="625"/>
      <c r="C39" s="626"/>
      <c r="D39" s="668" t="s">
        <v>488</v>
      </c>
      <c r="E39" s="627">
        <v>10</v>
      </c>
      <c r="F39" s="626" t="s">
        <v>487</v>
      </c>
      <c r="G39" s="629">
        <v>3000000</v>
      </c>
      <c r="H39" s="675">
        <f>E39*G39</f>
        <v>30000000</v>
      </c>
      <c r="I39" s="643"/>
      <c r="J39" s="644"/>
      <c r="K39" s="644"/>
      <c r="L39" s="82"/>
      <c r="M39" s="61"/>
    </row>
    <row r="40" spans="2:13" x14ac:dyDescent="0.25">
      <c r="B40" s="625"/>
      <c r="C40" s="626"/>
      <c r="D40" s="668" t="s">
        <v>489</v>
      </c>
      <c r="E40" s="627">
        <v>5</v>
      </c>
      <c r="F40" s="626" t="s">
        <v>490</v>
      </c>
      <c r="G40" s="629">
        <v>2500000</v>
      </c>
      <c r="H40" s="675">
        <f>E40*G40</f>
        <v>12500000</v>
      </c>
      <c r="I40" s="643"/>
      <c r="J40" s="644"/>
      <c r="K40" s="644"/>
      <c r="L40" s="82"/>
      <c r="M40" s="61"/>
    </row>
    <row r="41" spans="2:13" x14ac:dyDescent="0.25">
      <c r="B41" s="625"/>
      <c r="C41" s="626"/>
      <c r="D41" s="668" t="s">
        <v>491</v>
      </c>
      <c r="E41" s="627">
        <v>10</v>
      </c>
      <c r="F41" s="626"/>
      <c r="G41" s="629">
        <v>1500000</v>
      </c>
      <c r="H41" s="675">
        <f>E41*G41</f>
        <v>15000000</v>
      </c>
      <c r="I41" s="643"/>
      <c r="J41" s="644"/>
      <c r="K41" s="644"/>
      <c r="L41" s="82"/>
      <c r="M41" s="61"/>
    </row>
    <row r="42" spans="2:13" x14ac:dyDescent="0.25">
      <c r="B42" s="625"/>
      <c r="C42" s="626"/>
      <c r="D42" s="668" t="s">
        <v>492</v>
      </c>
      <c r="E42" s="627">
        <v>10</v>
      </c>
      <c r="F42" s="626"/>
      <c r="G42" s="629">
        <v>1500000</v>
      </c>
      <c r="H42" s="666">
        <f>E42*G42</f>
        <v>15000000</v>
      </c>
      <c r="I42" s="669"/>
      <c r="J42" s="670"/>
      <c r="K42" s="670"/>
      <c r="M42" s="61"/>
    </row>
    <row r="43" spans="2:13" x14ac:dyDescent="0.25">
      <c r="B43" s="62"/>
      <c r="C43" s="1551" t="s">
        <v>20</v>
      </c>
      <c r="D43" s="1551"/>
      <c r="E43" s="1551"/>
      <c r="F43" s="1551"/>
      <c r="G43" s="63"/>
      <c r="H43" s="676">
        <f>SUM(H38:H42)</f>
        <v>87500000</v>
      </c>
      <c r="I43" s="671"/>
      <c r="J43" s="672"/>
      <c r="K43" s="672"/>
      <c r="L43" s="63"/>
      <c r="M43" s="64"/>
    </row>
    <row r="44" spans="2:13" ht="6" customHeight="1" x14ac:dyDescent="0.25">
      <c r="I44" s="345"/>
      <c r="J44" s="345"/>
      <c r="K44" s="345"/>
    </row>
    <row r="45" spans="2:13" ht="16.5" x14ac:dyDescent="0.3">
      <c r="B45" s="678"/>
      <c r="C45" s="1559" t="s">
        <v>771</v>
      </c>
      <c r="D45" s="1560"/>
      <c r="E45" s="1560"/>
      <c r="F45" s="1560"/>
      <c r="G45" s="1560"/>
      <c r="H45" s="1561"/>
      <c r="I45" s="765">
        <f>H48</f>
        <v>20000000</v>
      </c>
      <c r="J45" s="465">
        <v>0</v>
      </c>
      <c r="K45" s="768">
        <v>0</v>
      </c>
      <c r="L45" s="773">
        <f>I45-K45</f>
        <v>20000000</v>
      </c>
      <c r="M45" s="769" t="str">
        <f>IF(L45&gt;0,"BERTAMBAH",IF(L45&lt;0,"BERKURANG","TETAP"))</f>
        <v>BERTAMBAH</v>
      </c>
    </row>
    <row r="46" spans="2:13" x14ac:dyDescent="0.25">
      <c r="B46" s="680"/>
      <c r="C46" s="1077" t="s">
        <v>772</v>
      </c>
      <c r="D46" s="1078"/>
      <c r="E46" s="1079">
        <v>1</v>
      </c>
      <c r="F46" s="1080" t="s">
        <v>386</v>
      </c>
      <c r="G46" s="1073">
        <v>20000000</v>
      </c>
      <c r="H46" s="1081">
        <f>E46*G46</f>
        <v>20000000</v>
      </c>
      <c r="I46" s="1074"/>
      <c r="J46" s="670"/>
      <c r="K46" s="670"/>
      <c r="M46" s="61"/>
    </row>
    <row r="47" spans="2:13" x14ac:dyDescent="0.25">
      <c r="B47" s="1069"/>
      <c r="C47" s="1070"/>
      <c r="D47" s="1071"/>
      <c r="E47" s="1072"/>
      <c r="F47" s="1070"/>
      <c r="G47" s="1075"/>
      <c r="H47" s="1076"/>
      <c r="I47" s="669"/>
      <c r="J47" s="670"/>
      <c r="K47" s="670"/>
      <c r="M47" s="61"/>
    </row>
    <row r="48" spans="2:13" ht="16.5" x14ac:dyDescent="0.3">
      <c r="B48" s="62"/>
      <c r="C48" s="1551" t="s">
        <v>20</v>
      </c>
      <c r="D48" s="1551"/>
      <c r="E48" s="1551"/>
      <c r="F48" s="1551"/>
      <c r="G48" s="63"/>
      <c r="H48" s="682">
        <f>SUM(H46+H47)</f>
        <v>20000000</v>
      </c>
      <c r="I48" s="671"/>
      <c r="J48" s="672"/>
      <c r="K48" s="672"/>
      <c r="L48" s="63"/>
      <c r="M48" s="64"/>
    </row>
    <row r="49" spans="2:13" ht="6" customHeight="1" x14ac:dyDescent="0.25">
      <c r="I49" s="345"/>
      <c r="J49" s="345"/>
      <c r="K49" s="345"/>
    </row>
    <row r="50" spans="2:13" x14ac:dyDescent="0.25">
      <c r="B50" s="661"/>
      <c r="C50" s="1550" t="s">
        <v>537</v>
      </c>
      <c r="D50" s="1242"/>
      <c r="E50" s="1242"/>
      <c r="F50" s="1242"/>
      <c r="G50" s="1242"/>
      <c r="H50" s="1243"/>
      <c r="I50" s="765">
        <f>H54</f>
        <v>1850000000</v>
      </c>
      <c r="J50" s="474">
        <v>11200000</v>
      </c>
      <c r="K50" s="768">
        <v>1011200000</v>
      </c>
      <c r="L50" s="770">
        <f>I50-K50</f>
        <v>838800000</v>
      </c>
      <c r="M50" s="779" t="str">
        <f>IF(L50&gt;0,"BERTAMBAH",IF(L50&lt;0,"BERKURANG","TETAP"))</f>
        <v>BERTAMBAH</v>
      </c>
    </row>
    <row r="51" spans="2:13" x14ac:dyDescent="0.25">
      <c r="B51" s="687"/>
      <c r="C51" s="688" t="s">
        <v>538</v>
      </c>
      <c r="D51" s="689"/>
      <c r="E51" s="112"/>
      <c r="F51" s="688"/>
      <c r="G51" s="93">
        <v>1700000000</v>
      </c>
      <c r="H51" s="690">
        <f>G51</f>
        <v>1700000000</v>
      </c>
      <c r="I51" s="736"/>
      <c r="J51" s="670"/>
      <c r="K51" s="670"/>
      <c r="M51" s="61"/>
    </row>
    <row r="52" spans="2:13" x14ac:dyDescent="0.25">
      <c r="B52" s="683"/>
      <c r="C52" s="684" t="s">
        <v>734</v>
      </c>
      <c r="D52" s="685"/>
      <c r="E52" s="686"/>
      <c r="F52" s="684"/>
      <c r="G52" s="22">
        <v>150000000</v>
      </c>
      <c r="H52" s="1068">
        <f>G52</f>
        <v>150000000</v>
      </c>
      <c r="I52" s="737"/>
      <c r="J52" s="670"/>
      <c r="K52" s="670"/>
      <c r="M52" s="61"/>
    </row>
    <row r="53" spans="2:13" x14ac:dyDescent="0.25">
      <c r="B53" s="625"/>
      <c r="C53" s="626"/>
      <c r="D53" s="650"/>
      <c r="E53" s="627"/>
      <c r="F53" s="626"/>
      <c r="G53" s="629"/>
      <c r="H53" s="659"/>
      <c r="I53" s="738"/>
      <c r="J53" s="670"/>
      <c r="K53" s="670"/>
      <c r="M53" s="61"/>
    </row>
    <row r="54" spans="2:13" ht="16.5" x14ac:dyDescent="0.3">
      <c r="B54" s="62"/>
      <c r="C54" s="1551" t="s">
        <v>20</v>
      </c>
      <c r="D54" s="1551"/>
      <c r="E54" s="1551"/>
      <c r="F54" s="1551"/>
      <c r="G54" s="63"/>
      <c r="H54" s="656">
        <f>SUM(H51:H53)</f>
        <v>1850000000</v>
      </c>
      <c r="I54" s="671"/>
      <c r="J54" s="672"/>
      <c r="K54" s="672"/>
      <c r="L54" s="63"/>
      <c r="M54" s="64"/>
    </row>
    <row r="55" spans="2:13" ht="6" customHeight="1" x14ac:dyDescent="0.25">
      <c r="I55" s="345"/>
      <c r="J55" s="345"/>
      <c r="K55" s="345"/>
    </row>
    <row r="56" spans="2:13" x14ac:dyDescent="0.25">
      <c r="B56" s="661"/>
      <c r="C56" s="1550" t="s">
        <v>493</v>
      </c>
      <c r="D56" s="1242"/>
      <c r="E56" s="1242"/>
      <c r="F56" s="1242"/>
      <c r="G56" s="1242"/>
      <c r="H56" s="1243"/>
      <c r="I56" s="765">
        <f>H61</f>
        <v>0</v>
      </c>
      <c r="J56" s="466">
        <v>0</v>
      </c>
      <c r="K56" s="768">
        <v>0</v>
      </c>
      <c r="L56" s="774">
        <f>I56-K56</f>
        <v>0</v>
      </c>
      <c r="M56" s="769" t="str">
        <f>IF(L56&gt;0,"BERTAMBAH",IF(L56&lt;0,"BERKURANG","TETAP"))</f>
        <v>TETAP</v>
      </c>
    </row>
    <row r="57" spans="2:13" x14ac:dyDescent="0.25">
      <c r="B57" s="634"/>
      <c r="C57" s="635"/>
      <c r="D57" s="653"/>
      <c r="E57" s="654"/>
      <c r="F57" s="636"/>
      <c r="G57" s="637"/>
      <c r="H57" s="658"/>
      <c r="I57" s="679"/>
      <c r="J57" s="670"/>
      <c r="K57" s="670"/>
      <c r="M57" s="61"/>
    </row>
    <row r="58" spans="2:13" x14ac:dyDescent="0.25">
      <c r="B58" s="625"/>
      <c r="C58" s="628"/>
      <c r="D58" s="650"/>
      <c r="E58" s="627"/>
      <c r="F58" s="626"/>
      <c r="G58" s="629"/>
      <c r="H58" s="691"/>
      <c r="I58" s="669"/>
      <c r="J58" s="670"/>
      <c r="K58" s="670"/>
      <c r="M58" s="61"/>
    </row>
    <row r="59" spans="2:13" x14ac:dyDescent="0.25">
      <c r="B59" s="625"/>
      <c r="C59" s="628"/>
      <c r="D59" s="650"/>
      <c r="E59" s="627"/>
      <c r="F59" s="626"/>
      <c r="G59" s="629"/>
      <c r="H59" s="691"/>
      <c r="I59" s="669"/>
      <c r="J59" s="670"/>
      <c r="K59" s="670"/>
      <c r="M59" s="61"/>
    </row>
    <row r="60" spans="2:13" x14ac:dyDescent="0.25">
      <c r="B60" s="625"/>
      <c r="C60" s="626"/>
      <c r="D60" s="650"/>
      <c r="E60" s="627"/>
      <c r="F60" s="626"/>
      <c r="G60" s="629"/>
      <c r="H60" s="659"/>
      <c r="I60" s="669"/>
      <c r="J60" s="670"/>
      <c r="K60" s="670"/>
      <c r="M60" s="61"/>
    </row>
    <row r="61" spans="2:13" x14ac:dyDescent="0.25">
      <c r="B61" s="62"/>
      <c r="C61" s="1551" t="s">
        <v>20</v>
      </c>
      <c r="D61" s="1551"/>
      <c r="E61" s="1551"/>
      <c r="F61" s="1551"/>
      <c r="G61" s="63"/>
      <c r="H61" s="692">
        <f>SUM(H57:H60)</f>
        <v>0</v>
      </c>
      <c r="I61" s="671"/>
      <c r="J61" s="672"/>
      <c r="K61" s="672"/>
      <c r="L61" s="63"/>
      <c r="M61" s="64"/>
    </row>
    <row r="62" spans="2:13" ht="6" customHeight="1" x14ac:dyDescent="0.25">
      <c r="I62" s="345"/>
      <c r="J62" s="345"/>
      <c r="K62" s="345"/>
    </row>
    <row r="63" spans="2:13" x14ac:dyDescent="0.25">
      <c r="B63" s="1544" t="s">
        <v>494</v>
      </c>
      <c r="C63" s="1545"/>
      <c r="D63" s="1545"/>
      <c r="E63" s="1545"/>
      <c r="F63" s="1545"/>
      <c r="G63" s="1545"/>
      <c r="H63" s="1546"/>
      <c r="I63" s="763">
        <f>SUM(I12:I61)</f>
        <v>2126500000</v>
      </c>
      <c r="J63" s="469">
        <f>SUM(J12:J61)</f>
        <v>87564150</v>
      </c>
      <c r="K63" s="768">
        <f>SUM(K12:K61)</f>
        <v>1201862050</v>
      </c>
      <c r="L63" s="770">
        <f>I63-K63</f>
        <v>924637950</v>
      </c>
      <c r="M63" s="779" t="str">
        <f>IF(L63&gt;0,"BERTAMBAH",IF(L63&lt;0,"BERKURANG","TETAP"))</f>
        <v>BERTAMBAH</v>
      </c>
    </row>
    <row r="64" spans="2:13" ht="6.6" customHeight="1" x14ac:dyDescent="0.25">
      <c r="I64" s="345"/>
      <c r="J64" s="345"/>
      <c r="K64" s="345"/>
    </row>
    <row r="65" spans="2:13" ht="15.75" x14ac:dyDescent="0.25">
      <c r="B65" s="1558" t="s">
        <v>495</v>
      </c>
      <c r="C65" s="1558"/>
      <c r="D65" s="1558"/>
      <c r="E65" s="1558"/>
      <c r="F65" s="1558"/>
      <c r="G65" s="1558"/>
      <c r="H65" s="1558"/>
      <c r="I65" s="1558"/>
      <c r="J65" s="1558"/>
      <c r="K65" s="1558"/>
      <c r="L65" s="1558"/>
      <c r="M65" s="1558"/>
    </row>
    <row r="66" spans="2:13" ht="16.5" x14ac:dyDescent="0.3">
      <c r="B66" s="661"/>
      <c r="C66" s="1550" t="s">
        <v>496</v>
      </c>
      <c r="D66" s="1242"/>
      <c r="E66" s="1242"/>
      <c r="F66" s="1242"/>
      <c r="G66" s="1242"/>
      <c r="H66" s="1243"/>
      <c r="I66" s="705">
        <f>H74</f>
        <v>0</v>
      </c>
      <c r="J66" s="703">
        <v>203530676</v>
      </c>
      <c r="K66" s="767">
        <v>368040750</v>
      </c>
      <c r="L66" s="775">
        <f>I66-K66</f>
        <v>-368040750</v>
      </c>
      <c r="M66" s="769" t="str">
        <f>IF(L66&gt;0,"BERTAMBAH",IF(L66&lt;0,"BERKURANG","TETAP"))</f>
        <v>BERKURANG</v>
      </c>
    </row>
    <row r="67" spans="2:13" ht="16.5" x14ac:dyDescent="0.3">
      <c r="B67" s="687"/>
      <c r="C67" s="707" t="s">
        <v>497</v>
      </c>
      <c r="D67" s="708"/>
      <c r="E67" s="709">
        <v>4</v>
      </c>
      <c r="F67" s="709">
        <v>1</v>
      </c>
      <c r="G67" s="710">
        <v>0</v>
      </c>
      <c r="H67" s="711">
        <f>E67*F67*G67</f>
        <v>0</v>
      </c>
      <c r="I67" s="706">
        <v>0</v>
      </c>
      <c r="J67" s="704">
        <v>0</v>
      </c>
      <c r="K67" s="702">
        <v>0</v>
      </c>
      <c r="M67" s="61"/>
    </row>
    <row r="68" spans="2:13" x14ac:dyDescent="0.25">
      <c r="B68" s="693"/>
      <c r="C68" s="762" t="s">
        <v>498</v>
      </c>
      <c r="D68" s="694"/>
      <c r="E68" s="695"/>
      <c r="F68" s="696"/>
      <c r="G68" s="629"/>
      <c r="H68" s="712"/>
      <c r="I68" s="89"/>
      <c r="J68" s="68"/>
      <c r="K68" s="68"/>
      <c r="M68" s="61"/>
    </row>
    <row r="69" spans="2:13" x14ac:dyDescent="0.25">
      <c r="B69" s="693"/>
      <c r="C69" s="696"/>
      <c r="D69" s="697" t="s">
        <v>499</v>
      </c>
      <c r="E69" s="696">
        <v>3</v>
      </c>
      <c r="F69" s="696"/>
      <c r="G69" s="629">
        <v>0</v>
      </c>
      <c r="H69" s="712">
        <v>0</v>
      </c>
      <c r="I69" s="669"/>
      <c r="J69" s="670"/>
      <c r="K69" s="670"/>
      <c r="M69" s="61"/>
    </row>
    <row r="70" spans="2:13" ht="16.5" x14ac:dyDescent="0.3">
      <c r="B70" s="693"/>
      <c r="C70" s="696"/>
      <c r="D70" s="697" t="s">
        <v>500</v>
      </c>
      <c r="E70" s="695">
        <v>36</v>
      </c>
      <c r="F70" s="696"/>
      <c r="G70" s="629">
        <v>0</v>
      </c>
      <c r="H70" s="713">
        <v>0</v>
      </c>
      <c r="I70" s="669"/>
      <c r="J70" s="704">
        <v>21700000</v>
      </c>
      <c r="K70" s="702">
        <v>21700000</v>
      </c>
      <c r="M70" s="61"/>
    </row>
    <row r="71" spans="2:13" x14ac:dyDescent="0.25">
      <c r="B71" s="693"/>
      <c r="C71" s="628"/>
      <c r="D71" s="698"/>
      <c r="E71" s="699"/>
      <c r="F71" s="628"/>
      <c r="G71" s="700"/>
      <c r="H71" s="714"/>
      <c r="I71" s="669"/>
      <c r="J71" s="670"/>
      <c r="K71" s="670"/>
      <c r="M71" s="61"/>
    </row>
    <row r="72" spans="2:13" x14ac:dyDescent="0.25">
      <c r="B72" s="625"/>
      <c r="C72" s="650" t="s">
        <v>501</v>
      </c>
      <c r="D72" s="650" t="s">
        <v>502</v>
      </c>
      <c r="E72" s="627">
        <v>3</v>
      </c>
      <c r="F72" s="626">
        <v>10</v>
      </c>
      <c r="G72" s="629">
        <v>0</v>
      </c>
      <c r="H72" s="665">
        <f>E72*F72*G72</f>
        <v>0</v>
      </c>
      <c r="I72" s="669"/>
      <c r="J72" s="670"/>
      <c r="K72" s="670"/>
      <c r="M72" s="61"/>
    </row>
    <row r="73" spans="2:13" x14ac:dyDescent="0.25">
      <c r="B73" s="677"/>
      <c r="C73" s="701"/>
      <c r="D73" s="650" t="s">
        <v>503</v>
      </c>
      <c r="E73" s="633">
        <v>3</v>
      </c>
      <c r="F73" s="626">
        <v>10</v>
      </c>
      <c r="G73" s="629">
        <f>G72</f>
        <v>0</v>
      </c>
      <c r="H73" s="665">
        <f>E73*F73*G73</f>
        <v>0</v>
      </c>
      <c r="I73" s="669"/>
      <c r="J73" s="670"/>
      <c r="K73" s="670"/>
      <c r="M73" s="61"/>
    </row>
    <row r="74" spans="2:13" x14ac:dyDescent="0.25">
      <c r="B74" s="715"/>
      <c r="C74" s="716"/>
      <c r="D74" s="717" t="s">
        <v>504</v>
      </c>
      <c r="E74" s="718">
        <v>3</v>
      </c>
      <c r="F74" s="719">
        <v>10</v>
      </c>
      <c r="G74" s="720">
        <f>G72</f>
        <v>0</v>
      </c>
      <c r="H74" s="721">
        <f>E74*F74*G74</f>
        <v>0</v>
      </c>
      <c r="I74" s="671"/>
      <c r="J74" s="672"/>
      <c r="K74" s="672"/>
      <c r="L74" s="63"/>
      <c r="M74" s="64"/>
    </row>
    <row r="75" spans="2:13" ht="6" customHeight="1" x14ac:dyDescent="0.25">
      <c r="I75" s="345"/>
      <c r="J75" s="345"/>
      <c r="K75" s="345"/>
    </row>
    <row r="76" spans="2:13" x14ac:dyDescent="0.25">
      <c r="B76" s="661"/>
      <c r="C76" s="1555" t="s">
        <v>505</v>
      </c>
      <c r="D76" s="1556"/>
      <c r="E76" s="1556"/>
      <c r="F76" s="1556"/>
      <c r="G76" s="1556"/>
      <c r="H76" s="1557"/>
      <c r="I76" s="765">
        <v>66000000</v>
      </c>
      <c r="J76" s="469">
        <v>50500000</v>
      </c>
      <c r="K76" s="768">
        <v>57350000</v>
      </c>
      <c r="L76" s="770">
        <f>I76-K76</f>
        <v>8650000</v>
      </c>
      <c r="M76" s="769" t="str">
        <f>IF(L76&gt;0,"BERTAMBAH",IF(L76&lt;0,"BERKURANG","TETAP"))</f>
        <v>BERTAMBAH</v>
      </c>
    </row>
    <row r="77" spans="2:13" x14ac:dyDescent="0.25">
      <c r="B77" s="634"/>
      <c r="C77" s="636"/>
      <c r="D77" s="636" t="s">
        <v>506</v>
      </c>
      <c r="E77" s="654">
        <v>12</v>
      </c>
      <c r="F77" s="636"/>
      <c r="G77" s="657">
        <v>5500000</v>
      </c>
      <c r="H77" s="655">
        <f>G77*E77</f>
        <v>66000000</v>
      </c>
      <c r="I77" s="679"/>
      <c r="J77" s="670"/>
      <c r="K77" s="670"/>
      <c r="M77" s="61"/>
    </row>
    <row r="78" spans="2:13" x14ac:dyDescent="0.25">
      <c r="B78" s="62"/>
      <c r="C78" s="1551" t="s">
        <v>20</v>
      </c>
      <c r="D78" s="1551"/>
      <c r="E78" s="1551"/>
      <c r="F78" s="1551"/>
      <c r="G78" s="63"/>
      <c r="H78" s="692">
        <f>SUM(H77)</f>
        <v>66000000</v>
      </c>
      <c r="I78" s="671"/>
      <c r="J78" s="672"/>
      <c r="K78" s="672"/>
      <c r="L78" s="63"/>
      <c r="M78" s="64"/>
    </row>
    <row r="79" spans="2:13" ht="6" customHeight="1" x14ac:dyDescent="0.25">
      <c r="I79" s="345"/>
      <c r="J79" s="345"/>
      <c r="K79" s="345"/>
    </row>
    <row r="80" spans="2:13" x14ac:dyDescent="0.25">
      <c r="B80" s="648"/>
      <c r="C80" s="1241" t="s">
        <v>507</v>
      </c>
      <c r="D80" s="1242"/>
      <c r="E80" s="1242"/>
      <c r="F80" s="1242"/>
      <c r="G80" s="1242"/>
      <c r="H80" s="1243"/>
      <c r="I80" s="763">
        <f>H82</f>
        <v>508608361</v>
      </c>
      <c r="J80" s="474">
        <v>374868824</v>
      </c>
      <c r="K80" s="768">
        <v>391589000</v>
      </c>
      <c r="L80" s="770">
        <f>I80-K80</f>
        <v>117019361</v>
      </c>
      <c r="M80" s="769" t="str">
        <f>IF(L80&gt;0,"BERTAMBAH",IF(L80&lt;0,"BERKURANG","TETAP"))</f>
        <v>BERTAMBAH</v>
      </c>
    </row>
    <row r="81" spans="2:13" x14ac:dyDescent="0.25">
      <c r="B81" s="634"/>
      <c r="C81" s="722"/>
      <c r="D81" s="653" t="s">
        <v>508</v>
      </c>
      <c r="E81" s="654"/>
      <c r="F81" s="636"/>
      <c r="G81" s="723"/>
      <c r="H81" s="681">
        <v>508608361</v>
      </c>
      <c r="I81" s="679"/>
      <c r="J81" s="670"/>
      <c r="K81" s="670"/>
      <c r="M81" s="61"/>
    </row>
    <row r="82" spans="2:13" ht="16.5" x14ac:dyDescent="0.3">
      <c r="B82" s="62"/>
      <c r="C82" s="1551" t="s">
        <v>20</v>
      </c>
      <c r="D82" s="1551"/>
      <c r="E82" s="1551"/>
      <c r="F82" s="1551"/>
      <c r="G82" s="63"/>
      <c r="H82" s="682">
        <f>SUM(H81)</f>
        <v>508608361</v>
      </c>
      <c r="I82" s="671"/>
      <c r="J82" s="672"/>
      <c r="K82" s="672"/>
      <c r="L82" s="63"/>
      <c r="M82" s="64"/>
    </row>
    <row r="83" spans="2:13" ht="6" customHeight="1" x14ac:dyDescent="0.25">
      <c r="I83" s="345"/>
      <c r="J83" s="345"/>
      <c r="K83" s="345"/>
    </row>
    <row r="84" spans="2:13" x14ac:dyDescent="0.25">
      <c r="B84" s="724"/>
      <c r="C84" s="1550" t="s">
        <v>509</v>
      </c>
      <c r="D84" s="1242"/>
      <c r="E84" s="1242"/>
      <c r="F84" s="1242"/>
      <c r="G84" s="1242"/>
      <c r="H84" s="1243"/>
      <c r="I84" s="765">
        <f>H88</f>
        <v>1442598259.4399998</v>
      </c>
      <c r="J84" s="469">
        <v>100000000</v>
      </c>
      <c r="K84" s="768">
        <v>603690318</v>
      </c>
      <c r="L84" s="770">
        <f>I84-K84</f>
        <v>838907941.43999982</v>
      </c>
      <c r="M84" s="769" t="str">
        <f>IF(L84&gt;0,"BERTAMBAH",IF(L84&lt;0,"BERKURANG","TETAP"))</f>
        <v>BERTAMBAH</v>
      </c>
    </row>
    <row r="85" spans="2:13" x14ac:dyDescent="0.25">
      <c r="B85" s="725"/>
      <c r="C85" s="653" t="s">
        <v>770</v>
      </c>
      <c r="D85" s="654"/>
      <c r="E85" s="636"/>
      <c r="F85" s="637"/>
      <c r="G85" s="850"/>
      <c r="H85" s="658">
        <v>1352435868.2249999</v>
      </c>
      <c r="I85" s="679"/>
      <c r="J85" s="670"/>
      <c r="K85" s="670"/>
      <c r="M85" s="61"/>
    </row>
    <row r="86" spans="2:13" ht="25.5" x14ac:dyDescent="0.25">
      <c r="B86" s="726"/>
      <c r="C86" s="1175" t="s">
        <v>799</v>
      </c>
      <c r="D86" s="627"/>
      <c r="E86" s="626"/>
      <c r="F86" s="629"/>
      <c r="G86" s="793"/>
      <c r="H86" s="659">
        <v>90162391.215000004</v>
      </c>
      <c r="I86" s="669"/>
      <c r="J86" s="670"/>
      <c r="K86" s="670"/>
      <c r="M86" s="61"/>
    </row>
    <row r="87" spans="2:13" x14ac:dyDescent="0.25">
      <c r="B87" s="726"/>
      <c r="C87" s="650"/>
      <c r="D87" s="627"/>
      <c r="E87" s="626"/>
      <c r="F87" s="629"/>
      <c r="G87" s="793"/>
      <c r="H87" s="659"/>
      <c r="I87" s="669"/>
      <c r="J87" s="1143"/>
      <c r="K87" s="1144"/>
      <c r="M87" s="61"/>
    </row>
    <row r="88" spans="2:13" x14ac:dyDescent="0.25">
      <c r="B88" s="62"/>
      <c r="C88" s="1551" t="s">
        <v>20</v>
      </c>
      <c r="D88" s="1551"/>
      <c r="E88" s="1551"/>
      <c r="F88" s="1551"/>
      <c r="G88" s="63"/>
      <c r="H88" s="692">
        <f>SUM(H85:H87)</f>
        <v>1442598259.4399998</v>
      </c>
      <c r="I88" s="671"/>
      <c r="J88" s="672"/>
      <c r="K88" s="672"/>
      <c r="L88" s="63"/>
      <c r="M88" s="64"/>
    </row>
    <row r="89" spans="2:13" ht="6" customHeight="1" x14ac:dyDescent="0.25">
      <c r="I89" s="345"/>
      <c r="J89" s="345"/>
      <c r="K89" s="345"/>
    </row>
    <row r="90" spans="2:13" x14ac:dyDescent="0.25">
      <c r="B90" s="727"/>
      <c r="C90" s="1550" t="s">
        <v>510</v>
      </c>
      <c r="D90" s="1242"/>
      <c r="E90" s="1242"/>
      <c r="F90" s="1242"/>
      <c r="G90" s="1242"/>
      <c r="H90" s="1243"/>
      <c r="I90" s="114">
        <v>0</v>
      </c>
      <c r="J90" s="465">
        <v>0</v>
      </c>
      <c r="K90" s="776">
        <v>0</v>
      </c>
      <c r="L90" s="776">
        <v>0</v>
      </c>
      <c r="M90" s="769" t="str">
        <f>IF(L90&gt;0,"BERTAMBAH",IF(L90&lt;0,"BERKURANG","TETAP"))</f>
        <v>TETAP</v>
      </c>
    </row>
    <row r="91" spans="2:13" x14ac:dyDescent="0.25">
      <c r="B91" s="728"/>
      <c r="C91" s="729" t="s">
        <v>510</v>
      </c>
      <c r="D91" s="730"/>
      <c r="E91" s="731"/>
      <c r="F91" s="688"/>
      <c r="G91" s="732"/>
      <c r="H91" s="258">
        <v>0</v>
      </c>
      <c r="I91" s="679"/>
      <c r="J91" s="670"/>
      <c r="K91" s="670"/>
      <c r="M91" s="61"/>
    </row>
    <row r="92" spans="2:13" x14ac:dyDescent="0.25">
      <c r="B92" s="733"/>
      <c r="C92" s="1551" t="s">
        <v>20</v>
      </c>
      <c r="D92" s="1551"/>
      <c r="E92" s="1551"/>
      <c r="F92" s="1551"/>
      <c r="G92" s="734"/>
      <c r="H92" s="735">
        <f>SUM(H91)</f>
        <v>0</v>
      </c>
      <c r="I92" s="671"/>
      <c r="J92" s="672"/>
      <c r="K92" s="672"/>
      <c r="L92" s="63"/>
      <c r="M92" s="64"/>
    </row>
    <row r="93" spans="2:13" ht="6" customHeight="1" x14ac:dyDescent="0.25">
      <c r="I93" s="345"/>
      <c r="J93" s="345"/>
      <c r="K93" s="345"/>
    </row>
    <row r="94" spans="2:13" x14ac:dyDescent="0.25">
      <c r="B94" s="1552" t="s">
        <v>511</v>
      </c>
      <c r="C94" s="1553"/>
      <c r="D94" s="1553"/>
      <c r="E94" s="1553"/>
      <c r="F94" s="1553"/>
      <c r="G94" s="1553"/>
      <c r="H94" s="1554"/>
      <c r="I94" s="763">
        <f>SUM(I66:I92)</f>
        <v>2017206620.4399998</v>
      </c>
      <c r="J94" s="469">
        <f>J66+J76+J80+J84</f>
        <v>728899500</v>
      </c>
      <c r="K94" s="469">
        <f>K66+K76+K80+K84</f>
        <v>1420670068</v>
      </c>
      <c r="L94" s="770">
        <f>I94-K94</f>
        <v>596536552.43999982</v>
      </c>
      <c r="M94" s="769" t="str">
        <f>IF(L94&gt;0,"BERTAMBAH",IF(L94&lt;0,"BERKURANG","TETAP"))</f>
        <v>BERTAMBAH</v>
      </c>
    </row>
    <row r="95" spans="2:13" ht="6" customHeight="1" x14ac:dyDescent="0.25">
      <c r="I95" s="345"/>
      <c r="J95" s="345"/>
      <c r="K95" s="345"/>
    </row>
    <row r="96" spans="2:13" ht="16.5" x14ac:dyDescent="0.3">
      <c r="B96" s="1544" t="s">
        <v>512</v>
      </c>
      <c r="C96" s="1545"/>
      <c r="D96" s="1545"/>
      <c r="E96" s="1545"/>
      <c r="F96" s="1545"/>
      <c r="G96" s="1545"/>
      <c r="H96" s="1546"/>
      <c r="I96" s="649">
        <f>I94+I63</f>
        <v>4143706620.4399996</v>
      </c>
      <c r="J96" s="512">
        <f>J94+J63</f>
        <v>816463650</v>
      </c>
      <c r="K96" s="777">
        <f>K94+K63</f>
        <v>2622532118</v>
      </c>
      <c r="L96" s="778">
        <f>I96-K96</f>
        <v>1521174502.4399996</v>
      </c>
      <c r="M96" s="769" t="str">
        <f>IF(L96&gt;0,"BERTAMBAH",IF(L96&lt;0,"BERKURANG","TETAP"))</f>
        <v>BERTAMBAH</v>
      </c>
    </row>
    <row r="97" spans="5:12" x14ac:dyDescent="0.25">
      <c r="I97" s="345"/>
      <c r="J97" s="345"/>
      <c r="K97" s="345"/>
    </row>
    <row r="98" spans="5:12" ht="16.5" x14ac:dyDescent="0.3">
      <c r="J98" s="806"/>
      <c r="K98" s="806"/>
      <c r="L98" s="82" t="s">
        <v>732</v>
      </c>
    </row>
    <row r="99" spans="5:12" x14ac:dyDescent="0.25">
      <c r="E99" s="810" t="s">
        <v>517</v>
      </c>
      <c r="I99" s="456"/>
      <c r="J99" s="456"/>
      <c r="L99" s="83" t="s">
        <v>515</v>
      </c>
    </row>
    <row r="100" spans="5:12" x14ac:dyDescent="0.25">
      <c r="E100" s="456" t="s">
        <v>94</v>
      </c>
      <c r="I100" s="456"/>
      <c r="L100" s="82" t="s">
        <v>94</v>
      </c>
    </row>
    <row r="101" spans="5:12" x14ac:dyDescent="0.25">
      <c r="H101" s="456"/>
      <c r="I101" s="456"/>
      <c r="J101" s="456"/>
      <c r="L101" s="816"/>
    </row>
    <row r="102" spans="5:12" x14ac:dyDescent="0.25">
      <c r="H102" s="456"/>
      <c r="I102" s="456"/>
      <c r="J102" s="456"/>
      <c r="L102" s="816"/>
    </row>
    <row r="103" spans="5:12" x14ac:dyDescent="0.25">
      <c r="H103" s="456"/>
      <c r="I103" s="456"/>
      <c r="J103" s="456"/>
      <c r="L103" s="816"/>
    </row>
    <row r="104" spans="5:12" x14ac:dyDescent="0.25">
      <c r="E104" s="1543" t="s">
        <v>518</v>
      </c>
      <c r="F104" s="1543"/>
      <c r="G104" s="1543"/>
      <c r="H104" s="1543"/>
      <c r="I104" s="1543"/>
      <c r="L104" s="817" t="s">
        <v>516</v>
      </c>
    </row>
    <row r="105" spans="5:12" x14ac:dyDescent="0.25">
      <c r="E105" s="1542" t="s">
        <v>519</v>
      </c>
      <c r="F105" s="1542"/>
      <c r="G105" s="1542"/>
      <c r="L105" s="82" t="s">
        <v>248</v>
      </c>
    </row>
    <row r="106" spans="5:12" x14ac:dyDescent="0.25">
      <c r="I106" s="345"/>
      <c r="J106" s="345"/>
      <c r="K106" s="345"/>
    </row>
    <row r="107" spans="5:12" x14ac:dyDescent="0.25">
      <c r="I107" s="345"/>
      <c r="J107" s="345"/>
      <c r="K107" s="345"/>
    </row>
    <row r="108" spans="5:12" x14ac:dyDescent="0.25">
      <c r="I108" s="345"/>
      <c r="J108" s="345"/>
      <c r="K108" s="345"/>
    </row>
    <row r="109" spans="5:12" x14ac:dyDescent="0.25">
      <c r="I109" s="345"/>
      <c r="J109" s="345"/>
      <c r="K109" s="345"/>
    </row>
    <row r="110" spans="5:12" x14ac:dyDescent="0.25">
      <c r="I110" s="345"/>
      <c r="J110" s="345"/>
      <c r="K110" s="345"/>
    </row>
    <row r="111" spans="5:12" x14ac:dyDescent="0.25">
      <c r="I111" s="345"/>
      <c r="J111" s="345"/>
      <c r="K111" s="345"/>
    </row>
    <row r="112" spans="5:12" x14ac:dyDescent="0.25">
      <c r="I112" s="345"/>
      <c r="J112" s="345"/>
      <c r="K112" s="345"/>
    </row>
    <row r="113" spans="9:11" x14ac:dyDescent="0.25">
      <c r="I113" s="345"/>
      <c r="J113" s="345"/>
      <c r="K113" s="345"/>
    </row>
    <row r="114" spans="9:11" x14ac:dyDescent="0.25">
      <c r="I114" s="345"/>
      <c r="J114" s="345"/>
      <c r="K114" s="345"/>
    </row>
    <row r="115" spans="9:11" x14ac:dyDescent="0.25">
      <c r="I115" s="345"/>
      <c r="J115" s="345"/>
      <c r="K115" s="345"/>
    </row>
    <row r="116" spans="9:11" x14ac:dyDescent="0.25">
      <c r="I116" s="345"/>
      <c r="J116" s="345"/>
      <c r="K116" s="345"/>
    </row>
    <row r="117" spans="9:11" x14ac:dyDescent="0.25">
      <c r="I117" s="345"/>
      <c r="J117" s="345"/>
      <c r="K117" s="345"/>
    </row>
    <row r="118" spans="9:11" x14ac:dyDescent="0.25">
      <c r="I118" s="345"/>
      <c r="J118" s="345"/>
      <c r="K118" s="345"/>
    </row>
    <row r="119" spans="9:11" x14ac:dyDescent="0.25">
      <c r="I119" s="345"/>
      <c r="J119" s="345"/>
      <c r="K119" s="345"/>
    </row>
  </sheetData>
  <mergeCells count="45">
    <mergeCell ref="D2:M2"/>
    <mergeCell ref="D3:M3"/>
    <mergeCell ref="D4:M4"/>
    <mergeCell ref="D5:M5"/>
    <mergeCell ref="B7:M7"/>
    <mergeCell ref="C50:H50"/>
    <mergeCell ref="C54:F54"/>
    <mergeCell ref="C22:H22"/>
    <mergeCell ref="C24:F24"/>
    <mergeCell ref="C29:F29"/>
    <mergeCell ref="C26:H26"/>
    <mergeCell ref="C31:H31"/>
    <mergeCell ref="C35:F35"/>
    <mergeCell ref="B63:H63"/>
    <mergeCell ref="B65:M65"/>
    <mergeCell ref="B8:M8"/>
    <mergeCell ref="C37:H37"/>
    <mergeCell ref="C43:F43"/>
    <mergeCell ref="C45:H45"/>
    <mergeCell ref="C48:F48"/>
    <mergeCell ref="E9:F9"/>
    <mergeCell ref="E14:F14"/>
    <mergeCell ref="E13:F13"/>
    <mergeCell ref="C12:H12"/>
    <mergeCell ref="C15:F15"/>
    <mergeCell ref="C20:F20"/>
    <mergeCell ref="E19:F19"/>
    <mergeCell ref="E18:F18"/>
    <mergeCell ref="C17:H17"/>
    <mergeCell ref="E105:G105"/>
    <mergeCell ref="E104:I104"/>
    <mergeCell ref="B96:H96"/>
    <mergeCell ref="B10:H10"/>
    <mergeCell ref="C84:H84"/>
    <mergeCell ref="C88:F88"/>
    <mergeCell ref="C92:F92"/>
    <mergeCell ref="C90:H90"/>
    <mergeCell ref="B94:H94"/>
    <mergeCell ref="C66:H66"/>
    <mergeCell ref="C76:H76"/>
    <mergeCell ref="C80:H80"/>
    <mergeCell ref="C78:F78"/>
    <mergeCell ref="C82:F82"/>
    <mergeCell ref="C56:H56"/>
    <mergeCell ref="C61:F61"/>
  </mergeCells>
  <pageMargins left="0" right="0" top="0" bottom="0" header="0.31496062992125984" footer="0.31496062992125984"/>
  <pageSetup paperSize="9" scale="7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Ops Rek</vt:lpstr>
      <vt:lpstr>Ops Rinci</vt:lpstr>
      <vt:lpstr>GAJI</vt:lpstr>
      <vt:lpstr>GAJI REK</vt:lpstr>
      <vt:lpstr>GAJI RINCI</vt:lpstr>
      <vt:lpstr>UMUM Rek</vt:lpstr>
      <vt:lpstr>UMUM rinci</vt:lpstr>
      <vt:lpstr>REKAPITULASI</vt:lpstr>
      <vt:lpstr>INVEST. RINCI</vt:lpstr>
      <vt:lpstr>INVEST. REK</vt:lpstr>
      <vt:lpstr>Pendapatan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2022-11-11T06:05:23Z</cp:lastPrinted>
  <dcterms:created xsi:type="dcterms:W3CDTF">2022-08-25T13:00:56Z</dcterms:created>
  <dcterms:modified xsi:type="dcterms:W3CDTF">2023-01-26T14:00:55Z</dcterms:modified>
</cp:coreProperties>
</file>