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07E9EDB-8B86-400F-B82E-3A68B0AF083E}" xr6:coauthVersionLast="47" xr6:coauthVersionMax="47" xr10:uidLastSave="{00000000-0000-0000-0000-000000000000}"/>
  <bookViews>
    <workbookView xWindow="-120" yWindow="-120" windowWidth="20730" windowHeight="11040" tabRatio="872" activeTab="4" xr2:uid="{6CAF4464-F871-5E43-A653-BC2578EB46B2}"/>
  </bookViews>
  <sheets>
    <sheet name="PROFIL" sheetId="8" r:id="rId1"/>
    <sheet name="KB" sheetId="6" r:id="rId2"/>
    <sheet name="DIVISI" sheetId="3" r:id="rId3"/>
    <sheet name="JURNAL" sheetId="4" r:id="rId4"/>
    <sheet name="AKUN" sheetId="1" r:id="rId5"/>
    <sheet name="BB" sheetId="10" r:id="rId6"/>
    <sheet name="MENU" sheetId="11" r:id="rId7"/>
    <sheet name="JENIS_ASET" sheetId="29" r:id="rId8"/>
    <sheet name="DAFTAR_ASET" sheetId="30" r:id="rId9"/>
    <sheet name="NRC_LJR" sheetId="13" r:id="rId10"/>
    <sheet name="NERACA" sheetId="14" r:id="rId11"/>
    <sheet name="LR_DIVISI" sheetId="25" r:id="rId12"/>
    <sheet name="LR_DIV" sheetId="21" r:id="rId13"/>
    <sheet name="LR" sheetId="15" r:id="rId14"/>
    <sheet name="ARUSKAS" sheetId="16" r:id="rId15"/>
    <sheet name="EKUITAS" sheetId="12" r:id="rId16"/>
    <sheet name="BUKTI1" sheetId="17" r:id="rId17"/>
    <sheet name="TYPE" sheetId="2" state="veryHidden" r:id="rId18"/>
    <sheet name="NERACA_12" sheetId="18" r:id="rId19"/>
    <sheet name="LR12_DIV" sheetId="22" r:id="rId20"/>
    <sheet name="LR12_PRJ" sheetId="24" state="hidden" r:id="rId21"/>
    <sheet name="LR12" sheetId="19" r:id="rId22"/>
    <sheet name="BP" sheetId="20" r:id="rId23"/>
  </sheets>
  <externalReferences>
    <externalReference r:id="rId24"/>
  </externalReferences>
  <definedNames>
    <definedName name="_xlnm._FilterDatabase" localSheetId="14" hidden="1">ARUSKAS!$G$6:$G$35</definedName>
    <definedName name="_xlnm._FilterDatabase" localSheetId="5" hidden="1">BB!$B$11:$B$211</definedName>
    <definedName name="_xlnm._FilterDatabase" localSheetId="22" hidden="1">BP!$B$11:$B$46</definedName>
    <definedName name="_xlnm._FilterDatabase" localSheetId="16" hidden="1">BUKTI1!$B$12:$B$25</definedName>
    <definedName name="_xlnm._FilterDatabase" localSheetId="3" hidden="1">JURNAL!$B$6:$J$2103</definedName>
    <definedName name="_xlnm._FilterDatabase" localSheetId="13" hidden="1">LR!$H$6:$H$170</definedName>
    <definedName name="_xlnm._FilterDatabase" localSheetId="12" hidden="1">LR_DIV!$G$6:$G$133</definedName>
    <definedName name="_xlnm._FilterDatabase" localSheetId="11" hidden="1">LR_DIVISI!$R$6:$R$163</definedName>
    <definedName name="_xlnm._FilterDatabase" localSheetId="21" hidden="1">'LR12'!$S$6:$S$92</definedName>
    <definedName name="_xlnm._FilterDatabase" localSheetId="19" hidden="1">LR12_DIV!$R$6:$R$149</definedName>
    <definedName name="_xlnm._FilterDatabase" localSheetId="20" hidden="1">LR12_PRJ!$R$6:$R$78</definedName>
    <definedName name="_xlnm._FilterDatabase" localSheetId="10" hidden="1">NERACA!$H$6:$H$163</definedName>
    <definedName name="_xlnm._FilterDatabase" localSheetId="18" hidden="1">NERACA_12!$S$6:$S$158</definedName>
    <definedName name="_xlnm._FilterDatabase" localSheetId="9" hidden="1">NRC_LJR!$O$9:$O$282</definedName>
    <definedName name="AGUNG">TYPE!$XDK$22</definedName>
    <definedName name="ak_aktlainnya">TYPE!$F$12</definedName>
    <definedName name="ak_aktlcrlainnya">TYPE!$F$9</definedName>
    <definedName name="ak_akttetap">TYPE!$F$10</definedName>
    <definedName name="ak_beban">TYPE!$F$19</definedName>
    <definedName name="ak_bebanlain">TYPE!$F$21</definedName>
    <definedName name="ak_dapatlainnya">TYPE!$F$20</definedName>
    <definedName name="ak_depresiasi">TYPE!$F$11</definedName>
    <definedName name="ak_ekuitas">TYPE!$F$16</definedName>
    <definedName name="ak_hpp">TYPE!$F$18</definedName>
    <definedName name="ak_hutang">TYPE!$F$13</definedName>
    <definedName name="ak_kwjbnjkp">TYPE!$F$15</definedName>
    <definedName name="ak_kwjbnlcrlainnya">TYPE!$F$14</definedName>
    <definedName name="ak_pendapatan">TYPE!$F$17</definedName>
    <definedName name="ak_persediaan">TYPE!$F$8</definedName>
    <definedName name="ak_piut">TYPE!$F$7</definedName>
    <definedName name="akhir">MENU!$O$7</definedName>
    <definedName name="aktivasi">MENU!$M$13</definedName>
    <definedName name="akun_db">AKUN!$E:$E</definedName>
    <definedName name="akun_kb">AKUN!$H:$H</definedName>
    <definedName name="akun_kb2">AKUN!$K:$K</definedName>
    <definedName name="akun_kd">AKUN!$B:$B</definedName>
    <definedName name="akun_ket">AKUN!$C:$C</definedName>
    <definedName name="akun_kr">AKUN!$F:$F</definedName>
    <definedName name="akun_no">AKUN!$I:$I</definedName>
    <definedName name="akun_type">AKUN!$D:$D</definedName>
    <definedName name="at_akum">DAFTAR_ASET!$N:$N</definedName>
    <definedName name="AT_JENIS2">[1]JENISASET!$C:$C</definedName>
    <definedName name="At_kode">JENIS_ASET!$B$11:$B$33</definedName>
    <definedName name="at_penyusutan">DAFTAR_ASET!$M:$M</definedName>
    <definedName name="at_perolehan">DAFTAR_ASET!$J:$J</definedName>
    <definedName name="at_type">DAFTAR_ASET!$C:$C</definedName>
    <definedName name="awal">MENU!$M$7</definedName>
    <definedName name="bb_akun">BB!$C$8</definedName>
    <definedName name="bb_sn" localSheetId="22">BP!$I$2</definedName>
    <definedName name="bb_sn">BB!$I$2</definedName>
    <definedName name="bln_1">[1]BULAN!$B$2:$B$13</definedName>
    <definedName name="bln_2">[1]BULAN!$C$2:$C$13</definedName>
    <definedName name="bp_kode">BP!$C$8</definedName>
    <definedName name="bulan">TYPE!$F$24:$F$46</definedName>
    <definedName name="bulan3">TYPE!$F$25:$F$36</definedName>
    <definedName name="da_depresiasi">[1]DAFTARASET!$O:$O</definedName>
    <definedName name="da_nilaibuku">[1]DAFTARASET!$P:$P</definedName>
    <definedName name="da_penyusutan">[1]DAFTARASET!$N:$N</definedName>
    <definedName name="da_perolehan">[1]DAFTARASET!$J:$J</definedName>
    <definedName name="da_type">[1]DAFTARASET!$C:$C</definedName>
    <definedName name="dashboard1">#REF!</definedName>
    <definedName name="data">TYPE!$G$5:$AC$21</definedName>
    <definedName name="databulan">#REF!</definedName>
    <definedName name="db_akhir">#REF!</definedName>
    <definedName name="db_awal">#REF!</definedName>
    <definedName name="db_filter1">#REF!</definedName>
    <definedName name="db_filter2">#REF!</definedName>
    <definedName name="db_filter3">#REF!</definedName>
    <definedName name="div_kd">DIVISI!$B:$B</definedName>
    <definedName name="div_kd2">DIVISI!$H:$H</definedName>
    <definedName name="div_ket">DIVISI!$C:$C</definedName>
    <definedName name="div_list">DIVISI!$H$8:$H$24</definedName>
    <definedName name="exact_awe">TYPE!$XDK$16</definedName>
    <definedName name="HASNI">TYPE!$XDK$6</definedName>
    <definedName name="income">#REF!</definedName>
    <definedName name="ja_tanah">JENIS_ASET!$B:$B</definedName>
    <definedName name="jenis_type">JENIS_ASET!$C:$C</definedName>
    <definedName name="jenis_ue">JENIS_ASET!$D:$D</definedName>
    <definedName name="ju_ak">JURNAL!$P:$P</definedName>
    <definedName name="ju_ak2">JURNAL!$Q:$Q</definedName>
    <definedName name="ju_bln">JURNAL!$M:$M</definedName>
    <definedName name="ju_debet">JURNAL!$H:$H</definedName>
    <definedName name="ju_div">JURNAL!$F:$F</definedName>
    <definedName name="ju_div2">JURNAL!$V:$V</definedName>
    <definedName name="ju_kb">JURNAL!$E:$E</definedName>
    <definedName name="ju_kdb">JURNAL!$U:$U</definedName>
    <definedName name="ju_ket">JURNAL!$D:$D</definedName>
    <definedName name="ju_kr">JURNAL!$I:$I</definedName>
    <definedName name="ju_prj">JURNAL!$G:$G</definedName>
    <definedName name="ju_prj2">JURNAL!$W:$W</definedName>
    <definedName name="ju_ref">JURNAL!$C:$C</definedName>
    <definedName name="ju_sld">JURNAL!$J:$J</definedName>
    <definedName name="ju_tgl">JURNAL!$B:$B</definedName>
    <definedName name="ju_typdb">JURNAL!$R:$R</definedName>
    <definedName name="ju_typkr">JURNAL!$S:$S</definedName>
    <definedName name="ju_voucher">JURNAL!$X:$X</definedName>
    <definedName name="kb_awal">KB!$F:$F</definedName>
    <definedName name="kb_jenis">KB!$D:$D</definedName>
    <definedName name="kb_kd2">KB!$K:$K</definedName>
    <definedName name="kb_kode">KB!$B:$B</definedName>
    <definedName name="kb_nama">KB!$C:$C</definedName>
    <definedName name="list_db">NERACA_12!$B$8:$B$154</definedName>
    <definedName name="lr_dashboard">'LR12'!$B$8:$B$86</definedName>
    <definedName name="lr_dashboard2">'LR12'!$B:$B</definedName>
    <definedName name="lr12_1">'LR12'!$E:$E</definedName>
    <definedName name="lr12_10">'LR12'!$N:$N</definedName>
    <definedName name="lr12_11">'LR12'!$O:$O</definedName>
    <definedName name="lr12_12">'LR12'!$P:$P</definedName>
    <definedName name="lr12_2">'LR12'!$F:$F</definedName>
    <definedName name="lr12_3">'LR12'!$G:$G</definedName>
    <definedName name="lr12_4">'LR12'!$H:$H</definedName>
    <definedName name="lr12_5">'LR12'!$I:$I</definedName>
    <definedName name="lr12_6">'LR12'!$J:$J</definedName>
    <definedName name="lr12_7">'LR12'!$K:$K</definedName>
    <definedName name="lr12_8">'LR12'!$L:$L</definedName>
    <definedName name="lr12_9">'LR12'!$M:$M</definedName>
    <definedName name="lr12_kd">'LR12'!$D:$D</definedName>
    <definedName name="nrc12_1">NERACA_12!$F:$F</definedName>
    <definedName name="nrc12_10">NERACA_12!$O:$O</definedName>
    <definedName name="nrc12_11">NERACA_12!$P:$P</definedName>
    <definedName name="nrc12_12">NERACA_12!$Q:$Q</definedName>
    <definedName name="nrc12_2">NERACA_12!$G:$G</definedName>
    <definedName name="nrc12_3">NERACA_12!$H:$H</definedName>
    <definedName name="nrc12_4">NERACA_12!$I:$I</definedName>
    <definedName name="nrc12_5">NERACA_12!$J:$J</definedName>
    <definedName name="nrc12_6">NERACA_12!$K:$K</definedName>
    <definedName name="nrc12_7">NERACA_12!$L:$L</definedName>
    <definedName name="nrc12_8">NERACA_12!$M:$M</definedName>
    <definedName name="nrc12_9">NERACA_12!$N:$N</definedName>
    <definedName name="nrc12_kode">NERACA_12!$B:$B</definedName>
    <definedName name="nrc12_sa">NERACA_12!$E:$E</definedName>
    <definedName name="nrc12_type">NERACA_12!$D:$D</definedName>
    <definedName name="nrl_akhirdb">NRC_LJR!$H:$H</definedName>
    <definedName name="nrl_akhirkr">NRC_LJR!$I:$I</definedName>
    <definedName name="nrl_grkdb">NRC_LJR!$F:$F</definedName>
    <definedName name="nrl_grkkr">NRC_LJR!$G:$G</definedName>
    <definedName name="nrl_kode">NRC_LJR!$B:$B</definedName>
    <definedName name="nrl_nama">NRC_LJR!$C:$C</definedName>
    <definedName name="nrl_sadb">NRC_LJR!$D:$D</definedName>
    <definedName name="nrl_sakr">NRC_LJR!$E:$E</definedName>
    <definedName name="_xlnm.Print_Area" localSheetId="4">AKUN!$B$4:$F$275</definedName>
    <definedName name="_xlnm.Print_Area" localSheetId="14">ARUSKAS!$B$4:$E$35</definedName>
    <definedName name="_xlnm.Print_Area" localSheetId="5">BB!$B$4:$G$46</definedName>
    <definedName name="_xlnm.Print_Area" localSheetId="22">BP!$B$4:$G$46</definedName>
    <definedName name="_xlnm.Print_Area" localSheetId="16">BUKTI1!$B$4:$G$27</definedName>
    <definedName name="_xlnm.Print_Area" localSheetId="8">DAFTAR_ASET!$B$4:$O$29</definedName>
    <definedName name="_xlnm.Print_Area" localSheetId="2">DIVISI!$B$4:$F$25</definedName>
    <definedName name="_xlnm.Print_Area" localSheetId="15">EKUITAS!$B$4:$F$26</definedName>
    <definedName name="_xlnm.Print_Area" localSheetId="3">JURNAL!$B$4:$J$2104</definedName>
    <definedName name="_xlnm.Print_Area" localSheetId="1">KB!$B$4:$I$86</definedName>
    <definedName name="_xlnm.Print_Area" localSheetId="13">LR!$B$4:$F$170</definedName>
    <definedName name="_xlnm.Print_Area" localSheetId="12">LR_DIV!$B$4:$E$133</definedName>
    <definedName name="_xlnm.Print_Area" localSheetId="11">LR_DIVISI!$B$4:$P$166</definedName>
    <definedName name="_xlnm.Print_Area" localSheetId="21">'LR12'!$B$4:$Q$86</definedName>
    <definedName name="_xlnm.Print_Area" localSheetId="19">LR12_DIV!$B$4:$P$154</definedName>
    <definedName name="_xlnm.Print_Area" localSheetId="20">LR12_PRJ!$B$4:$P$84</definedName>
    <definedName name="_xlnm.Print_Area" localSheetId="10">NERACA!$B$4:$F$163</definedName>
    <definedName name="_xlnm.Print_Area" localSheetId="18">NERACA_12!$B$4:$Q$154</definedName>
    <definedName name="_xlnm.Print_Area" localSheetId="0">PROFIL!$B$2:$D$25</definedName>
    <definedName name="_xlnm.Print_Titles" localSheetId="4">AKUN!$6:$6</definedName>
    <definedName name="_xlnm.Print_Titles" localSheetId="3">JURNAL!$6:$6</definedName>
    <definedName name="prj_kd">#REF!</definedName>
    <definedName name="prj_kd2">#REF!</definedName>
    <definedName name="prj_ket">#REF!</definedName>
    <definedName name="prj_list">#REF!</definedName>
    <definedName name="prof_alamat">PROFIL!$D$10</definedName>
    <definedName name="prof_buat">PROFIL!$D$21</definedName>
    <definedName name="prof_email">PROFIL!$D$12</definedName>
    <definedName name="prof_hp">PROFIL!$D$14</definedName>
    <definedName name="prof_ketahui">PROFIL!$D$23</definedName>
    <definedName name="prof_menyetujui">PROFIL!$D$25</definedName>
    <definedName name="prof_nama">PROFIL!$D$8</definedName>
    <definedName name="prof_thn">PROFIL!$D$16</definedName>
    <definedName name="sarjayadi_awe">MENU!$M$15</definedName>
    <definedName name="serialnumber">MENU!$M$11</definedName>
    <definedName name="typ_ket">TYPE!$B:$B</definedName>
    <definedName name="typ_list">TYPE!$B$5:$B$21</definedName>
    <definedName name="typ_pos">TYPE!$C:$C</definedName>
    <definedName name="typ_sn">TYPE!$D:$D</definedName>
    <definedName name="type_bulan5">TYPE!$E$25:$E$36</definedName>
    <definedName name="val_jurnal">AKUN!$K$8:$K$275</definedName>
    <definedName name="val_kb">KB!$N$8:$N$250</definedName>
    <definedName name="xcd">TYPE!$G$6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4" i="13" l="1"/>
  <c r="E26" i="22"/>
  <c r="F26" i="22"/>
  <c r="G26" i="22"/>
  <c r="H26" i="22"/>
  <c r="I26" i="22"/>
  <c r="J26" i="22"/>
  <c r="K26" i="22"/>
  <c r="L26" i="22"/>
  <c r="M26" i="22"/>
  <c r="N26" i="22"/>
  <c r="O26" i="22"/>
  <c r="P26" i="22"/>
  <c r="D26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D17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0" i="22"/>
  <c r="B9" i="22"/>
  <c r="E164" i="21"/>
  <c r="E163" i="21"/>
  <c r="E160" i="21"/>
  <c r="E156" i="21"/>
  <c r="E154" i="21"/>
  <c r="E153" i="21"/>
  <c r="E152" i="21"/>
  <c r="E142" i="21"/>
  <c r="E137" i="21"/>
  <c r="E93" i="21"/>
  <c r="E63" i="21"/>
  <c r="E62" i="21"/>
  <c r="E61" i="21"/>
  <c r="E54" i="21"/>
  <c r="E26" i="21"/>
  <c r="E17" i="21"/>
  <c r="E27" i="21"/>
  <c r="B164" i="21"/>
  <c r="G164" i="21" s="1"/>
  <c r="B163" i="21"/>
  <c r="G163" i="21" s="1"/>
  <c r="B162" i="21"/>
  <c r="D162" i="21" s="1"/>
  <c r="G162" i="21" s="1"/>
  <c r="B161" i="21"/>
  <c r="D161" i="21" s="1"/>
  <c r="G161" i="21" s="1"/>
  <c r="B160" i="21"/>
  <c r="G160" i="21" s="1"/>
  <c r="B159" i="21"/>
  <c r="D159" i="21" s="1"/>
  <c r="G159" i="21" s="1"/>
  <c r="B158" i="21"/>
  <c r="D158" i="21" s="1"/>
  <c r="G158" i="21" s="1"/>
  <c r="B157" i="21"/>
  <c r="D157" i="21" s="1"/>
  <c r="G157" i="21" s="1"/>
  <c r="B156" i="21"/>
  <c r="G156" i="21" s="1"/>
  <c r="B155" i="21"/>
  <c r="G155" i="21" s="1"/>
  <c r="B154" i="21"/>
  <c r="G154" i="21" s="1"/>
  <c r="B153" i="21"/>
  <c r="G153" i="21" s="1"/>
  <c r="B152" i="21"/>
  <c r="G152" i="21" s="1"/>
  <c r="B151" i="21"/>
  <c r="D151" i="21" s="1"/>
  <c r="G151" i="21" s="1"/>
  <c r="B150" i="21"/>
  <c r="D150" i="21" s="1"/>
  <c r="G150" i="21" s="1"/>
  <c r="B149" i="21"/>
  <c r="D149" i="21" s="1"/>
  <c r="G149" i="21" s="1"/>
  <c r="B148" i="21"/>
  <c r="D148" i="21" s="1"/>
  <c r="G148" i="21" s="1"/>
  <c r="B147" i="21"/>
  <c r="D147" i="21" s="1"/>
  <c r="G147" i="21" s="1"/>
  <c r="B146" i="21"/>
  <c r="D146" i="21" s="1"/>
  <c r="G146" i="21" s="1"/>
  <c r="B145" i="21"/>
  <c r="D145" i="21" s="1"/>
  <c r="G145" i="21" s="1"/>
  <c r="B144" i="21"/>
  <c r="D144" i="21" s="1"/>
  <c r="G144" i="21" s="1"/>
  <c r="B143" i="21"/>
  <c r="G143" i="21" s="1"/>
  <c r="B142" i="21"/>
  <c r="G142" i="21" s="1"/>
  <c r="B141" i="21"/>
  <c r="D141" i="21" s="1"/>
  <c r="G141" i="21" s="1"/>
  <c r="B140" i="21"/>
  <c r="D140" i="21" s="1"/>
  <c r="G140" i="21" s="1"/>
  <c r="B139" i="21"/>
  <c r="D139" i="21" s="1"/>
  <c r="G139" i="21" s="1"/>
  <c r="B138" i="21"/>
  <c r="G138" i="21" s="1"/>
  <c r="B137" i="21"/>
  <c r="G137" i="21" s="1"/>
  <c r="B136" i="21"/>
  <c r="D136" i="21" s="1"/>
  <c r="G136" i="21" s="1"/>
  <c r="B135" i="21"/>
  <c r="D135" i="21" s="1"/>
  <c r="G135" i="21" s="1"/>
  <c r="B134" i="21"/>
  <c r="D134" i="21" s="1"/>
  <c r="G134" i="21" s="1"/>
  <c r="B133" i="21"/>
  <c r="D133" i="21" s="1"/>
  <c r="G133" i="21" s="1"/>
  <c r="B132" i="21"/>
  <c r="D132" i="21" s="1"/>
  <c r="G132" i="21" s="1"/>
  <c r="B131" i="21"/>
  <c r="D131" i="21" s="1"/>
  <c r="G131" i="21" s="1"/>
  <c r="B130" i="21"/>
  <c r="D130" i="21" s="1"/>
  <c r="G130" i="21" s="1"/>
  <c r="B129" i="21"/>
  <c r="D129" i="21" s="1"/>
  <c r="G129" i="21" s="1"/>
  <c r="B128" i="21"/>
  <c r="D128" i="21" s="1"/>
  <c r="G128" i="21" s="1"/>
  <c r="B127" i="21"/>
  <c r="D127" i="21" s="1"/>
  <c r="G127" i="21" s="1"/>
  <c r="B126" i="21"/>
  <c r="D126" i="21" s="1"/>
  <c r="G126" i="21" s="1"/>
  <c r="B125" i="21"/>
  <c r="D125" i="21" s="1"/>
  <c r="G125" i="21" s="1"/>
  <c r="B124" i="21"/>
  <c r="D124" i="21" s="1"/>
  <c r="G124" i="21" s="1"/>
  <c r="B123" i="21"/>
  <c r="D123" i="21" s="1"/>
  <c r="G123" i="21" s="1"/>
  <c r="B122" i="21"/>
  <c r="D122" i="21" s="1"/>
  <c r="G122" i="21" s="1"/>
  <c r="B121" i="21"/>
  <c r="D121" i="21" s="1"/>
  <c r="G121" i="21" s="1"/>
  <c r="B120" i="21"/>
  <c r="D120" i="21" s="1"/>
  <c r="G120" i="21" s="1"/>
  <c r="B119" i="21"/>
  <c r="D119" i="21" s="1"/>
  <c r="G119" i="21" s="1"/>
  <c r="B118" i="21"/>
  <c r="D118" i="21" s="1"/>
  <c r="G118" i="21" s="1"/>
  <c r="B117" i="21"/>
  <c r="D117" i="21" s="1"/>
  <c r="G117" i="21" s="1"/>
  <c r="B116" i="21"/>
  <c r="D116" i="21" s="1"/>
  <c r="G116" i="21" s="1"/>
  <c r="B115" i="21"/>
  <c r="D115" i="21" s="1"/>
  <c r="G115" i="21" s="1"/>
  <c r="B114" i="21"/>
  <c r="D114" i="21" s="1"/>
  <c r="G114" i="21" s="1"/>
  <c r="B113" i="21"/>
  <c r="D113" i="21" s="1"/>
  <c r="G113" i="21" s="1"/>
  <c r="B112" i="21"/>
  <c r="D112" i="21" s="1"/>
  <c r="G112" i="21" s="1"/>
  <c r="B111" i="21"/>
  <c r="D111" i="21" s="1"/>
  <c r="G111" i="21" s="1"/>
  <c r="B110" i="21"/>
  <c r="D110" i="21" s="1"/>
  <c r="G110" i="21" s="1"/>
  <c r="B109" i="21"/>
  <c r="D109" i="21" s="1"/>
  <c r="G109" i="21" s="1"/>
  <c r="B108" i="21"/>
  <c r="D108" i="21" s="1"/>
  <c r="G108" i="21" s="1"/>
  <c r="B107" i="21"/>
  <c r="D107" i="21" s="1"/>
  <c r="G107" i="21" s="1"/>
  <c r="B106" i="21"/>
  <c r="D106" i="21" s="1"/>
  <c r="G106" i="21" s="1"/>
  <c r="B105" i="21"/>
  <c r="D105" i="21" s="1"/>
  <c r="G105" i="21" s="1"/>
  <c r="B104" i="21"/>
  <c r="D104" i="21" s="1"/>
  <c r="G104" i="21" s="1"/>
  <c r="B103" i="21"/>
  <c r="D103" i="21" s="1"/>
  <c r="G103" i="21" s="1"/>
  <c r="B102" i="21"/>
  <c r="D102" i="21" s="1"/>
  <c r="G102" i="21" s="1"/>
  <c r="B101" i="21"/>
  <c r="D101" i="21" s="1"/>
  <c r="G101" i="21" s="1"/>
  <c r="B100" i="21"/>
  <c r="D100" i="21" s="1"/>
  <c r="G100" i="21" s="1"/>
  <c r="B99" i="21"/>
  <c r="D99" i="21" s="1"/>
  <c r="G99" i="21" s="1"/>
  <c r="B98" i="21"/>
  <c r="D98" i="21" s="1"/>
  <c r="G98" i="21" s="1"/>
  <c r="B97" i="21"/>
  <c r="D97" i="21" s="1"/>
  <c r="G97" i="21" s="1"/>
  <c r="B96" i="21"/>
  <c r="D96" i="21" s="1"/>
  <c r="G96" i="21" s="1"/>
  <c r="B95" i="21"/>
  <c r="D95" i="21" s="1"/>
  <c r="G95" i="21" s="1"/>
  <c r="B94" i="21"/>
  <c r="G94" i="21" s="1"/>
  <c r="B93" i="21"/>
  <c r="G93" i="21" s="1"/>
  <c r="B92" i="21"/>
  <c r="D92" i="21" s="1"/>
  <c r="G92" i="21" s="1"/>
  <c r="B91" i="21"/>
  <c r="D91" i="21" s="1"/>
  <c r="G91" i="21" s="1"/>
  <c r="B90" i="21"/>
  <c r="D90" i="21" s="1"/>
  <c r="G90" i="21" s="1"/>
  <c r="B89" i="21"/>
  <c r="D89" i="21" s="1"/>
  <c r="G89" i="21" s="1"/>
  <c r="B88" i="21"/>
  <c r="D88" i="21" s="1"/>
  <c r="G88" i="21" s="1"/>
  <c r="B87" i="21"/>
  <c r="D87" i="21" s="1"/>
  <c r="G87" i="21" s="1"/>
  <c r="B86" i="21"/>
  <c r="D86" i="21" s="1"/>
  <c r="G86" i="21" s="1"/>
  <c r="B85" i="21"/>
  <c r="D85" i="21" s="1"/>
  <c r="G85" i="21" s="1"/>
  <c r="B84" i="21"/>
  <c r="D84" i="21" s="1"/>
  <c r="G84" i="21" s="1"/>
  <c r="B83" i="21"/>
  <c r="D83" i="21" s="1"/>
  <c r="G83" i="21" s="1"/>
  <c r="B82" i="21"/>
  <c r="D82" i="21" s="1"/>
  <c r="G82" i="21" s="1"/>
  <c r="B81" i="21"/>
  <c r="D81" i="21" s="1"/>
  <c r="G81" i="21" s="1"/>
  <c r="B80" i="21"/>
  <c r="D80" i="21" s="1"/>
  <c r="G80" i="21" s="1"/>
  <c r="B79" i="21"/>
  <c r="D79" i="21" s="1"/>
  <c r="G79" i="21" s="1"/>
  <c r="B78" i="21"/>
  <c r="D78" i="21" s="1"/>
  <c r="G78" i="21" s="1"/>
  <c r="B77" i="21"/>
  <c r="D77" i="21" s="1"/>
  <c r="G77" i="21" s="1"/>
  <c r="B76" i="21"/>
  <c r="D76" i="21" s="1"/>
  <c r="G76" i="21" s="1"/>
  <c r="B75" i="21"/>
  <c r="D75" i="21" s="1"/>
  <c r="G75" i="21" s="1"/>
  <c r="B74" i="21"/>
  <c r="D74" i="21" s="1"/>
  <c r="G74" i="21" s="1"/>
  <c r="B73" i="21"/>
  <c r="D73" i="21" s="1"/>
  <c r="G73" i="21" s="1"/>
  <c r="B72" i="21"/>
  <c r="D72" i="21" s="1"/>
  <c r="G72" i="21" s="1"/>
  <c r="B71" i="21"/>
  <c r="D71" i="21" s="1"/>
  <c r="G71" i="21" s="1"/>
  <c r="B70" i="21"/>
  <c r="D70" i="21" s="1"/>
  <c r="G70" i="21" s="1"/>
  <c r="B69" i="21"/>
  <c r="D69" i="21" s="1"/>
  <c r="G69" i="21" s="1"/>
  <c r="B68" i="21"/>
  <c r="D68" i="21" s="1"/>
  <c r="G68" i="21" s="1"/>
  <c r="B67" i="21"/>
  <c r="D67" i="21" s="1"/>
  <c r="G67" i="21" s="1"/>
  <c r="B66" i="21"/>
  <c r="D66" i="21" s="1"/>
  <c r="G66" i="21" s="1"/>
  <c r="B65" i="21"/>
  <c r="G65" i="21" s="1"/>
  <c r="B64" i="21"/>
  <c r="G64" i="21" s="1"/>
  <c r="B63" i="21"/>
  <c r="G63" i="21" s="1"/>
  <c r="B62" i="21"/>
  <c r="G62" i="21" s="1"/>
  <c r="B61" i="21"/>
  <c r="G61" i="21" s="1"/>
  <c r="B60" i="21"/>
  <c r="D60" i="21" s="1"/>
  <c r="G60" i="21" s="1"/>
  <c r="B59" i="21"/>
  <c r="D59" i="21" s="1"/>
  <c r="G59" i="21" s="1"/>
  <c r="B58" i="21"/>
  <c r="D58" i="21" s="1"/>
  <c r="G58" i="21" s="1"/>
  <c r="B57" i="21"/>
  <c r="D57" i="21" s="1"/>
  <c r="G57" i="21" s="1"/>
  <c r="B56" i="21"/>
  <c r="D56" i="21" s="1"/>
  <c r="G56" i="21" s="1"/>
  <c r="B55" i="21"/>
  <c r="G55" i="21" s="1"/>
  <c r="B54" i="21"/>
  <c r="G54" i="21" s="1"/>
  <c r="B53" i="21"/>
  <c r="D53" i="21" s="1"/>
  <c r="G53" i="21" s="1"/>
  <c r="B52" i="21"/>
  <c r="D52" i="21" s="1"/>
  <c r="G52" i="21" s="1"/>
  <c r="B51" i="21"/>
  <c r="D51" i="21" s="1"/>
  <c r="G51" i="21" s="1"/>
  <c r="B50" i="21"/>
  <c r="D50" i="21" s="1"/>
  <c r="G50" i="21" s="1"/>
  <c r="B49" i="21"/>
  <c r="D49" i="21" s="1"/>
  <c r="G49" i="21" s="1"/>
  <c r="B48" i="21"/>
  <c r="D48" i="21" s="1"/>
  <c r="G48" i="21" s="1"/>
  <c r="B47" i="21"/>
  <c r="D47" i="21" s="1"/>
  <c r="G47" i="21" s="1"/>
  <c r="B46" i="21"/>
  <c r="D46" i="21" s="1"/>
  <c r="G46" i="21" s="1"/>
  <c r="B32" i="21"/>
  <c r="D32" i="21" s="1"/>
  <c r="G32" i="21" s="1"/>
  <c r="B31" i="21"/>
  <c r="D31" i="21" s="1"/>
  <c r="G31" i="21" s="1"/>
  <c r="B30" i="21"/>
  <c r="D30" i="21" s="1"/>
  <c r="G30" i="21" s="1"/>
  <c r="B29" i="21"/>
  <c r="G29" i="21" s="1"/>
  <c r="O163" i="25"/>
  <c r="N163" i="25"/>
  <c r="M163" i="25"/>
  <c r="L163" i="25"/>
  <c r="K163" i="25"/>
  <c r="J163" i="25"/>
  <c r="I163" i="25"/>
  <c r="H163" i="25"/>
  <c r="G163" i="25"/>
  <c r="B163" i="25"/>
  <c r="O162" i="25"/>
  <c r="N162" i="25"/>
  <c r="M162" i="25"/>
  <c r="L162" i="25"/>
  <c r="K162" i="25"/>
  <c r="J162" i="25"/>
  <c r="I162" i="25"/>
  <c r="H162" i="25"/>
  <c r="G162" i="25"/>
  <c r="B162" i="25"/>
  <c r="O161" i="25"/>
  <c r="N161" i="25"/>
  <c r="M161" i="25"/>
  <c r="L161" i="25"/>
  <c r="K161" i="25"/>
  <c r="J161" i="25"/>
  <c r="I161" i="25"/>
  <c r="H161" i="25"/>
  <c r="G161" i="25"/>
  <c r="B161" i="25"/>
  <c r="O160" i="25"/>
  <c r="N160" i="25"/>
  <c r="M160" i="25"/>
  <c r="L160" i="25"/>
  <c r="K160" i="25"/>
  <c r="J160" i="25"/>
  <c r="I160" i="25"/>
  <c r="H160" i="25"/>
  <c r="G160" i="25"/>
  <c r="B160" i="25"/>
  <c r="O159" i="25"/>
  <c r="N159" i="25"/>
  <c r="M159" i="25"/>
  <c r="L159" i="25"/>
  <c r="K159" i="25"/>
  <c r="J159" i="25"/>
  <c r="I159" i="25"/>
  <c r="H159" i="25"/>
  <c r="G159" i="25"/>
  <c r="B159" i="25"/>
  <c r="O158" i="25"/>
  <c r="N158" i="25"/>
  <c r="M158" i="25"/>
  <c r="L158" i="25"/>
  <c r="K158" i="25"/>
  <c r="J158" i="25"/>
  <c r="I158" i="25"/>
  <c r="H158" i="25"/>
  <c r="G158" i="25"/>
  <c r="B158" i="25"/>
  <c r="O157" i="25"/>
  <c r="N157" i="25"/>
  <c r="M157" i="25"/>
  <c r="L157" i="25"/>
  <c r="K157" i="25"/>
  <c r="J157" i="25"/>
  <c r="I157" i="25"/>
  <c r="H157" i="25"/>
  <c r="G157" i="25"/>
  <c r="B157" i="25"/>
  <c r="O156" i="25"/>
  <c r="N156" i="25"/>
  <c r="M156" i="25"/>
  <c r="L156" i="25"/>
  <c r="K156" i="25"/>
  <c r="J156" i="25"/>
  <c r="I156" i="25"/>
  <c r="H156" i="25"/>
  <c r="G156" i="25"/>
  <c r="B156" i="25"/>
  <c r="O155" i="25"/>
  <c r="N155" i="25"/>
  <c r="M155" i="25"/>
  <c r="L155" i="25"/>
  <c r="K155" i="25"/>
  <c r="J155" i="25"/>
  <c r="I155" i="25"/>
  <c r="H155" i="25"/>
  <c r="G155" i="25"/>
  <c r="B155" i="25"/>
  <c r="O154" i="25"/>
  <c r="N154" i="25"/>
  <c r="M154" i="25"/>
  <c r="L154" i="25"/>
  <c r="K154" i="25"/>
  <c r="J154" i="25"/>
  <c r="I154" i="25"/>
  <c r="H154" i="25"/>
  <c r="G154" i="25"/>
  <c r="B154" i="25"/>
  <c r="O153" i="25"/>
  <c r="N153" i="25"/>
  <c r="M153" i="25"/>
  <c r="L153" i="25"/>
  <c r="K153" i="25"/>
  <c r="J153" i="25"/>
  <c r="I153" i="25"/>
  <c r="H153" i="25"/>
  <c r="G153" i="25"/>
  <c r="B153" i="25"/>
  <c r="O152" i="25"/>
  <c r="N152" i="25"/>
  <c r="M152" i="25"/>
  <c r="L152" i="25"/>
  <c r="K152" i="25"/>
  <c r="J152" i="25"/>
  <c r="I152" i="25"/>
  <c r="H152" i="25"/>
  <c r="G152" i="25"/>
  <c r="B152" i="25"/>
  <c r="O151" i="25"/>
  <c r="N151" i="25"/>
  <c r="M151" i="25"/>
  <c r="L151" i="25"/>
  <c r="K151" i="25"/>
  <c r="J151" i="25"/>
  <c r="I151" i="25"/>
  <c r="H151" i="25"/>
  <c r="G151" i="25"/>
  <c r="B151" i="25"/>
  <c r="O150" i="25"/>
  <c r="N150" i="25"/>
  <c r="M150" i="25"/>
  <c r="L150" i="25"/>
  <c r="K150" i="25"/>
  <c r="J150" i="25"/>
  <c r="I150" i="25"/>
  <c r="H150" i="25"/>
  <c r="G150" i="25"/>
  <c r="B150" i="25"/>
  <c r="O149" i="25"/>
  <c r="N149" i="25"/>
  <c r="M149" i="25"/>
  <c r="L149" i="25"/>
  <c r="K149" i="25"/>
  <c r="J149" i="25"/>
  <c r="I149" i="25"/>
  <c r="H149" i="25"/>
  <c r="G149" i="25"/>
  <c r="B149" i="25"/>
  <c r="O148" i="25"/>
  <c r="N148" i="25"/>
  <c r="M148" i="25"/>
  <c r="L148" i="25"/>
  <c r="K148" i="25"/>
  <c r="J148" i="25"/>
  <c r="I148" i="25"/>
  <c r="H148" i="25"/>
  <c r="G148" i="25"/>
  <c r="B148" i="25"/>
  <c r="O147" i="25"/>
  <c r="N147" i="25"/>
  <c r="M147" i="25"/>
  <c r="L147" i="25"/>
  <c r="K147" i="25"/>
  <c r="J147" i="25"/>
  <c r="I147" i="25"/>
  <c r="H147" i="25"/>
  <c r="G147" i="25"/>
  <c r="B147" i="25"/>
  <c r="O146" i="25"/>
  <c r="N146" i="25"/>
  <c r="M146" i="25"/>
  <c r="L146" i="25"/>
  <c r="K146" i="25"/>
  <c r="J146" i="25"/>
  <c r="I146" i="25"/>
  <c r="H146" i="25"/>
  <c r="G146" i="25"/>
  <c r="B146" i="25"/>
  <c r="O145" i="25"/>
  <c r="N145" i="25"/>
  <c r="M145" i="25"/>
  <c r="L145" i="25"/>
  <c r="K145" i="25"/>
  <c r="J145" i="25"/>
  <c r="I145" i="25"/>
  <c r="H145" i="25"/>
  <c r="G145" i="25"/>
  <c r="B145" i="25"/>
  <c r="O144" i="25"/>
  <c r="N144" i="25"/>
  <c r="M144" i="25"/>
  <c r="L144" i="25"/>
  <c r="K144" i="25"/>
  <c r="J144" i="25"/>
  <c r="I144" i="25"/>
  <c r="H144" i="25"/>
  <c r="G144" i="25"/>
  <c r="B144" i="25"/>
  <c r="O143" i="25"/>
  <c r="N143" i="25"/>
  <c r="M143" i="25"/>
  <c r="L143" i="25"/>
  <c r="K143" i="25"/>
  <c r="J143" i="25"/>
  <c r="I143" i="25"/>
  <c r="H143" i="25"/>
  <c r="G143" i="25"/>
  <c r="B143" i="25"/>
  <c r="O142" i="25"/>
  <c r="N142" i="25"/>
  <c r="M142" i="25"/>
  <c r="L142" i="25"/>
  <c r="K142" i="25"/>
  <c r="J142" i="25"/>
  <c r="I142" i="25"/>
  <c r="H142" i="25"/>
  <c r="G142" i="25"/>
  <c r="B142" i="25"/>
  <c r="O141" i="25"/>
  <c r="N141" i="25"/>
  <c r="M141" i="25"/>
  <c r="L141" i="25"/>
  <c r="K141" i="25"/>
  <c r="J141" i="25"/>
  <c r="I141" i="25"/>
  <c r="H141" i="25"/>
  <c r="G141" i="25"/>
  <c r="B141" i="25"/>
  <c r="O140" i="25"/>
  <c r="N140" i="25"/>
  <c r="M140" i="25"/>
  <c r="L140" i="25"/>
  <c r="K140" i="25"/>
  <c r="J140" i="25"/>
  <c r="I140" i="25"/>
  <c r="H140" i="25"/>
  <c r="G140" i="25"/>
  <c r="B140" i="25"/>
  <c r="O139" i="25"/>
  <c r="N139" i="25"/>
  <c r="M139" i="25"/>
  <c r="L139" i="25"/>
  <c r="K139" i="25"/>
  <c r="J139" i="25"/>
  <c r="I139" i="25"/>
  <c r="H139" i="25"/>
  <c r="G139" i="25"/>
  <c r="B139" i="25"/>
  <c r="O138" i="25"/>
  <c r="N138" i="25"/>
  <c r="M138" i="25"/>
  <c r="L138" i="25"/>
  <c r="K138" i="25"/>
  <c r="J138" i="25"/>
  <c r="I138" i="25"/>
  <c r="H138" i="25"/>
  <c r="G138" i="25"/>
  <c r="B138" i="25"/>
  <c r="O137" i="25"/>
  <c r="N137" i="25"/>
  <c r="M137" i="25"/>
  <c r="L137" i="25"/>
  <c r="K137" i="25"/>
  <c r="J137" i="25"/>
  <c r="I137" i="25"/>
  <c r="H137" i="25"/>
  <c r="G137" i="25"/>
  <c r="B137" i="25"/>
  <c r="O136" i="25"/>
  <c r="N136" i="25"/>
  <c r="M136" i="25"/>
  <c r="L136" i="25"/>
  <c r="K136" i="25"/>
  <c r="J136" i="25"/>
  <c r="I136" i="25"/>
  <c r="H136" i="25"/>
  <c r="G136" i="25"/>
  <c r="B136" i="25"/>
  <c r="O135" i="25"/>
  <c r="N135" i="25"/>
  <c r="M135" i="25"/>
  <c r="L135" i="25"/>
  <c r="K135" i="25"/>
  <c r="J135" i="25"/>
  <c r="I135" i="25"/>
  <c r="H135" i="25"/>
  <c r="G135" i="25"/>
  <c r="B135" i="25"/>
  <c r="O134" i="25"/>
  <c r="N134" i="25"/>
  <c r="M134" i="25"/>
  <c r="L134" i="25"/>
  <c r="K134" i="25"/>
  <c r="J134" i="25"/>
  <c r="I134" i="25"/>
  <c r="H134" i="25"/>
  <c r="G134" i="25"/>
  <c r="B134" i="25"/>
  <c r="O133" i="25"/>
  <c r="N133" i="25"/>
  <c r="M133" i="25"/>
  <c r="L133" i="25"/>
  <c r="K133" i="25"/>
  <c r="J133" i="25"/>
  <c r="I133" i="25"/>
  <c r="H133" i="25"/>
  <c r="G133" i="25"/>
  <c r="B133" i="25"/>
  <c r="O132" i="25"/>
  <c r="N132" i="25"/>
  <c r="M132" i="25"/>
  <c r="L132" i="25"/>
  <c r="K132" i="25"/>
  <c r="J132" i="25"/>
  <c r="I132" i="25"/>
  <c r="H132" i="25"/>
  <c r="G132" i="25"/>
  <c r="B132" i="25"/>
  <c r="O131" i="25"/>
  <c r="N131" i="25"/>
  <c r="M131" i="25"/>
  <c r="L131" i="25"/>
  <c r="K131" i="25"/>
  <c r="J131" i="25"/>
  <c r="I131" i="25"/>
  <c r="H131" i="25"/>
  <c r="G131" i="25"/>
  <c r="B131" i="25"/>
  <c r="O130" i="25"/>
  <c r="N130" i="25"/>
  <c r="M130" i="25"/>
  <c r="L130" i="25"/>
  <c r="K130" i="25"/>
  <c r="J130" i="25"/>
  <c r="I130" i="25"/>
  <c r="H130" i="25"/>
  <c r="G130" i="25"/>
  <c r="B130" i="25"/>
  <c r="O129" i="25"/>
  <c r="N129" i="25"/>
  <c r="M129" i="25"/>
  <c r="L129" i="25"/>
  <c r="K129" i="25"/>
  <c r="J129" i="25"/>
  <c r="I129" i="25"/>
  <c r="H129" i="25"/>
  <c r="G129" i="25"/>
  <c r="B129" i="25"/>
  <c r="O128" i="25"/>
  <c r="N128" i="25"/>
  <c r="M128" i="25"/>
  <c r="L128" i="25"/>
  <c r="K128" i="25"/>
  <c r="J128" i="25"/>
  <c r="I128" i="25"/>
  <c r="H128" i="25"/>
  <c r="G128" i="25"/>
  <c r="B128" i="25"/>
  <c r="O127" i="25"/>
  <c r="N127" i="25"/>
  <c r="M127" i="25"/>
  <c r="L127" i="25"/>
  <c r="K127" i="25"/>
  <c r="J127" i="25"/>
  <c r="I127" i="25"/>
  <c r="H127" i="25"/>
  <c r="G127" i="25"/>
  <c r="B127" i="25"/>
  <c r="O126" i="25"/>
  <c r="N126" i="25"/>
  <c r="M126" i="25"/>
  <c r="L126" i="25"/>
  <c r="K126" i="25"/>
  <c r="J126" i="25"/>
  <c r="I126" i="25"/>
  <c r="H126" i="25"/>
  <c r="G126" i="25"/>
  <c r="B126" i="25"/>
  <c r="O125" i="25"/>
  <c r="N125" i="25"/>
  <c r="M125" i="25"/>
  <c r="L125" i="25"/>
  <c r="K125" i="25"/>
  <c r="J125" i="25"/>
  <c r="I125" i="25"/>
  <c r="H125" i="25"/>
  <c r="G125" i="25"/>
  <c r="B125" i="25"/>
  <c r="O124" i="25"/>
  <c r="N124" i="25"/>
  <c r="M124" i="25"/>
  <c r="L124" i="25"/>
  <c r="K124" i="25"/>
  <c r="J124" i="25"/>
  <c r="I124" i="25"/>
  <c r="H124" i="25"/>
  <c r="G124" i="25"/>
  <c r="B124" i="25"/>
  <c r="O123" i="25"/>
  <c r="N123" i="25"/>
  <c r="M123" i="25"/>
  <c r="L123" i="25"/>
  <c r="K123" i="25"/>
  <c r="J123" i="25"/>
  <c r="I123" i="25"/>
  <c r="H123" i="25"/>
  <c r="G123" i="25"/>
  <c r="B123" i="25"/>
  <c r="O122" i="25"/>
  <c r="N122" i="25"/>
  <c r="M122" i="25"/>
  <c r="L122" i="25"/>
  <c r="K122" i="25"/>
  <c r="J122" i="25"/>
  <c r="I122" i="25"/>
  <c r="H122" i="25"/>
  <c r="G122" i="25"/>
  <c r="B122" i="25"/>
  <c r="O121" i="25"/>
  <c r="N121" i="25"/>
  <c r="M121" i="25"/>
  <c r="L121" i="25"/>
  <c r="K121" i="25"/>
  <c r="J121" i="25"/>
  <c r="I121" i="25"/>
  <c r="H121" i="25"/>
  <c r="G121" i="25"/>
  <c r="B121" i="25"/>
  <c r="O120" i="25"/>
  <c r="N120" i="25"/>
  <c r="M120" i="25"/>
  <c r="L120" i="25"/>
  <c r="K120" i="25"/>
  <c r="J120" i="25"/>
  <c r="I120" i="25"/>
  <c r="H120" i="25"/>
  <c r="G120" i="25"/>
  <c r="B120" i="25"/>
  <c r="O119" i="25"/>
  <c r="N119" i="25"/>
  <c r="M119" i="25"/>
  <c r="L119" i="25"/>
  <c r="K119" i="25"/>
  <c r="J119" i="25"/>
  <c r="I119" i="25"/>
  <c r="H119" i="25"/>
  <c r="G119" i="25"/>
  <c r="B119" i="25"/>
  <c r="O118" i="25"/>
  <c r="N118" i="25"/>
  <c r="M118" i="25"/>
  <c r="L118" i="25"/>
  <c r="K118" i="25"/>
  <c r="J118" i="25"/>
  <c r="I118" i="25"/>
  <c r="H118" i="25"/>
  <c r="G118" i="25"/>
  <c r="B118" i="25"/>
  <c r="O117" i="25"/>
  <c r="N117" i="25"/>
  <c r="M117" i="25"/>
  <c r="L117" i="25"/>
  <c r="K117" i="25"/>
  <c r="J117" i="25"/>
  <c r="I117" i="25"/>
  <c r="H117" i="25"/>
  <c r="G117" i="25"/>
  <c r="B117" i="25"/>
  <c r="O116" i="25"/>
  <c r="N116" i="25"/>
  <c r="M116" i="25"/>
  <c r="L116" i="25"/>
  <c r="K116" i="25"/>
  <c r="J116" i="25"/>
  <c r="I116" i="25"/>
  <c r="H116" i="25"/>
  <c r="G116" i="25"/>
  <c r="B116" i="25"/>
  <c r="O115" i="25"/>
  <c r="N115" i="25"/>
  <c r="M115" i="25"/>
  <c r="L115" i="25"/>
  <c r="K115" i="25"/>
  <c r="J115" i="25"/>
  <c r="I115" i="25"/>
  <c r="H115" i="25"/>
  <c r="G115" i="25"/>
  <c r="B115" i="25"/>
  <c r="O114" i="25"/>
  <c r="N114" i="25"/>
  <c r="M114" i="25"/>
  <c r="L114" i="25"/>
  <c r="K114" i="25"/>
  <c r="J114" i="25"/>
  <c r="I114" i="25"/>
  <c r="H114" i="25"/>
  <c r="G114" i="25"/>
  <c r="B114" i="25"/>
  <c r="O113" i="25"/>
  <c r="N113" i="25"/>
  <c r="M113" i="25"/>
  <c r="L113" i="25"/>
  <c r="K113" i="25"/>
  <c r="J113" i="25"/>
  <c r="I113" i="25"/>
  <c r="H113" i="25"/>
  <c r="G113" i="25"/>
  <c r="B113" i="25"/>
  <c r="O112" i="25"/>
  <c r="N112" i="25"/>
  <c r="M112" i="25"/>
  <c r="L112" i="25"/>
  <c r="K112" i="25"/>
  <c r="J112" i="25"/>
  <c r="I112" i="25"/>
  <c r="H112" i="25"/>
  <c r="G112" i="25"/>
  <c r="B112" i="25"/>
  <c r="O111" i="25"/>
  <c r="N111" i="25"/>
  <c r="M111" i="25"/>
  <c r="L111" i="25"/>
  <c r="K111" i="25"/>
  <c r="J111" i="25"/>
  <c r="I111" i="25"/>
  <c r="H111" i="25"/>
  <c r="G111" i="25"/>
  <c r="B111" i="25"/>
  <c r="O110" i="25"/>
  <c r="N110" i="25"/>
  <c r="M110" i="25"/>
  <c r="L110" i="25"/>
  <c r="K110" i="25"/>
  <c r="J110" i="25"/>
  <c r="I110" i="25"/>
  <c r="H110" i="25"/>
  <c r="G110" i="25"/>
  <c r="B110" i="25"/>
  <c r="O109" i="25"/>
  <c r="N109" i="25"/>
  <c r="M109" i="25"/>
  <c r="L109" i="25"/>
  <c r="K109" i="25"/>
  <c r="J109" i="25"/>
  <c r="I109" i="25"/>
  <c r="H109" i="25"/>
  <c r="G109" i="25"/>
  <c r="B109" i="25"/>
  <c r="O108" i="25"/>
  <c r="N108" i="25"/>
  <c r="M108" i="25"/>
  <c r="L108" i="25"/>
  <c r="K108" i="25"/>
  <c r="J108" i="25"/>
  <c r="I108" i="25"/>
  <c r="H108" i="25"/>
  <c r="G108" i="25"/>
  <c r="B108" i="25"/>
  <c r="O107" i="25"/>
  <c r="N107" i="25"/>
  <c r="M107" i="25"/>
  <c r="L107" i="25"/>
  <c r="K107" i="25"/>
  <c r="J107" i="25"/>
  <c r="I107" i="25"/>
  <c r="H107" i="25"/>
  <c r="G107" i="25"/>
  <c r="B107" i="25"/>
  <c r="O106" i="25"/>
  <c r="N106" i="25"/>
  <c r="M106" i="25"/>
  <c r="L106" i="25"/>
  <c r="K106" i="25"/>
  <c r="J106" i="25"/>
  <c r="I106" i="25"/>
  <c r="H106" i="25"/>
  <c r="G106" i="25"/>
  <c r="B106" i="25"/>
  <c r="O105" i="25"/>
  <c r="N105" i="25"/>
  <c r="M105" i="25"/>
  <c r="L105" i="25"/>
  <c r="K105" i="25"/>
  <c r="J105" i="25"/>
  <c r="I105" i="25"/>
  <c r="H105" i="25"/>
  <c r="G105" i="25"/>
  <c r="B105" i="25"/>
  <c r="O104" i="25"/>
  <c r="N104" i="25"/>
  <c r="M104" i="25"/>
  <c r="L104" i="25"/>
  <c r="K104" i="25"/>
  <c r="J104" i="25"/>
  <c r="I104" i="25"/>
  <c r="H104" i="25"/>
  <c r="G104" i="25"/>
  <c r="B104" i="25"/>
  <c r="O103" i="25"/>
  <c r="N103" i="25"/>
  <c r="M103" i="25"/>
  <c r="L103" i="25"/>
  <c r="K103" i="25"/>
  <c r="J103" i="25"/>
  <c r="I103" i="25"/>
  <c r="H103" i="25"/>
  <c r="G103" i="25"/>
  <c r="B103" i="25"/>
  <c r="O102" i="25"/>
  <c r="N102" i="25"/>
  <c r="M102" i="25"/>
  <c r="L102" i="25"/>
  <c r="K102" i="25"/>
  <c r="J102" i="25"/>
  <c r="I102" i="25"/>
  <c r="H102" i="25"/>
  <c r="G102" i="25"/>
  <c r="B102" i="25"/>
  <c r="O101" i="25"/>
  <c r="N101" i="25"/>
  <c r="M101" i="25"/>
  <c r="L101" i="25"/>
  <c r="K101" i="25"/>
  <c r="J101" i="25"/>
  <c r="I101" i="25"/>
  <c r="H101" i="25"/>
  <c r="G101" i="25"/>
  <c r="B101" i="25"/>
  <c r="O100" i="25"/>
  <c r="N100" i="25"/>
  <c r="M100" i="25"/>
  <c r="L100" i="25"/>
  <c r="K100" i="25"/>
  <c r="J100" i="25"/>
  <c r="I100" i="25"/>
  <c r="H100" i="25"/>
  <c r="G100" i="25"/>
  <c r="B100" i="25"/>
  <c r="O99" i="25"/>
  <c r="N99" i="25"/>
  <c r="M99" i="25"/>
  <c r="L99" i="25"/>
  <c r="K99" i="25"/>
  <c r="J99" i="25"/>
  <c r="I99" i="25"/>
  <c r="H99" i="25"/>
  <c r="G99" i="25"/>
  <c r="B99" i="25"/>
  <c r="O98" i="25"/>
  <c r="N98" i="25"/>
  <c r="M98" i="25"/>
  <c r="L98" i="25"/>
  <c r="K98" i="25"/>
  <c r="J98" i="25"/>
  <c r="I98" i="25"/>
  <c r="H98" i="25"/>
  <c r="G98" i="25"/>
  <c r="B98" i="25"/>
  <c r="O97" i="25"/>
  <c r="N97" i="25"/>
  <c r="M97" i="25"/>
  <c r="L97" i="25"/>
  <c r="K97" i="25"/>
  <c r="J97" i="25"/>
  <c r="I97" i="25"/>
  <c r="H97" i="25"/>
  <c r="G97" i="25"/>
  <c r="B97" i="25"/>
  <c r="O96" i="25"/>
  <c r="N96" i="25"/>
  <c r="M96" i="25"/>
  <c r="L96" i="25"/>
  <c r="K96" i="25"/>
  <c r="J96" i="25"/>
  <c r="I96" i="25"/>
  <c r="H96" i="25"/>
  <c r="G96" i="25"/>
  <c r="B96" i="25"/>
  <c r="O95" i="25"/>
  <c r="N95" i="25"/>
  <c r="M95" i="25"/>
  <c r="L95" i="25"/>
  <c r="K95" i="25"/>
  <c r="J95" i="25"/>
  <c r="I95" i="25"/>
  <c r="H95" i="25"/>
  <c r="G95" i="25"/>
  <c r="B95" i="25"/>
  <c r="O94" i="25"/>
  <c r="N94" i="25"/>
  <c r="M94" i="25"/>
  <c r="L94" i="25"/>
  <c r="K94" i="25"/>
  <c r="J94" i="25"/>
  <c r="I94" i="25"/>
  <c r="H94" i="25"/>
  <c r="G94" i="25"/>
  <c r="B94" i="25"/>
  <c r="O93" i="25"/>
  <c r="N93" i="25"/>
  <c r="M93" i="25"/>
  <c r="L93" i="25"/>
  <c r="K93" i="25"/>
  <c r="J93" i="25"/>
  <c r="I93" i="25"/>
  <c r="H93" i="25"/>
  <c r="G93" i="25"/>
  <c r="B93" i="25"/>
  <c r="O92" i="25"/>
  <c r="N92" i="25"/>
  <c r="M92" i="25"/>
  <c r="L92" i="25"/>
  <c r="K92" i="25"/>
  <c r="J92" i="25"/>
  <c r="I92" i="25"/>
  <c r="H92" i="25"/>
  <c r="G92" i="25"/>
  <c r="B92" i="25"/>
  <c r="O91" i="25"/>
  <c r="N91" i="25"/>
  <c r="M91" i="25"/>
  <c r="L91" i="25"/>
  <c r="K91" i="25"/>
  <c r="J91" i="25"/>
  <c r="I91" i="25"/>
  <c r="H91" i="25"/>
  <c r="G91" i="25"/>
  <c r="B91" i="25"/>
  <c r="O90" i="25"/>
  <c r="N90" i="25"/>
  <c r="M90" i="25"/>
  <c r="L90" i="25"/>
  <c r="K90" i="25"/>
  <c r="J90" i="25"/>
  <c r="I90" i="25"/>
  <c r="H90" i="25"/>
  <c r="G90" i="25"/>
  <c r="B90" i="25"/>
  <c r="O89" i="25"/>
  <c r="N89" i="25"/>
  <c r="M89" i="25"/>
  <c r="L89" i="25"/>
  <c r="K89" i="25"/>
  <c r="J89" i="25"/>
  <c r="I89" i="25"/>
  <c r="H89" i="25"/>
  <c r="G89" i="25"/>
  <c r="B89" i="25"/>
  <c r="O88" i="25"/>
  <c r="N88" i="25"/>
  <c r="M88" i="25"/>
  <c r="L88" i="25"/>
  <c r="K88" i="25"/>
  <c r="J88" i="25"/>
  <c r="I88" i="25"/>
  <c r="H88" i="25"/>
  <c r="G88" i="25"/>
  <c r="B88" i="25"/>
  <c r="O87" i="25"/>
  <c r="N87" i="25"/>
  <c r="M87" i="25"/>
  <c r="L87" i="25"/>
  <c r="K87" i="25"/>
  <c r="J87" i="25"/>
  <c r="I87" i="25"/>
  <c r="H87" i="25"/>
  <c r="G87" i="25"/>
  <c r="B87" i="25"/>
  <c r="O86" i="25"/>
  <c r="N86" i="25"/>
  <c r="M86" i="25"/>
  <c r="L86" i="25"/>
  <c r="K86" i="25"/>
  <c r="J86" i="25"/>
  <c r="I86" i="25"/>
  <c r="H86" i="25"/>
  <c r="G86" i="25"/>
  <c r="B86" i="25"/>
  <c r="O85" i="25"/>
  <c r="N85" i="25"/>
  <c r="M85" i="25"/>
  <c r="L85" i="25"/>
  <c r="K85" i="25"/>
  <c r="J85" i="25"/>
  <c r="I85" i="25"/>
  <c r="H85" i="25"/>
  <c r="G85" i="25"/>
  <c r="B85" i="25"/>
  <c r="O84" i="25"/>
  <c r="N84" i="25"/>
  <c r="M84" i="25"/>
  <c r="L84" i="25"/>
  <c r="K84" i="25"/>
  <c r="J84" i="25"/>
  <c r="I84" i="25"/>
  <c r="H84" i="25"/>
  <c r="G84" i="25"/>
  <c r="B84" i="25"/>
  <c r="O83" i="25"/>
  <c r="N83" i="25"/>
  <c r="M83" i="25"/>
  <c r="L83" i="25"/>
  <c r="K83" i="25"/>
  <c r="J83" i="25"/>
  <c r="I83" i="25"/>
  <c r="H83" i="25"/>
  <c r="G83" i="25"/>
  <c r="B83" i="25"/>
  <c r="O82" i="25"/>
  <c r="N82" i="25"/>
  <c r="M82" i="25"/>
  <c r="L82" i="25"/>
  <c r="K82" i="25"/>
  <c r="J82" i="25"/>
  <c r="I82" i="25"/>
  <c r="H82" i="25"/>
  <c r="G82" i="25"/>
  <c r="B82" i="25"/>
  <c r="O81" i="25"/>
  <c r="N81" i="25"/>
  <c r="M81" i="25"/>
  <c r="L81" i="25"/>
  <c r="K81" i="25"/>
  <c r="J81" i="25"/>
  <c r="I81" i="25"/>
  <c r="H81" i="25"/>
  <c r="G81" i="25"/>
  <c r="B81" i="25"/>
  <c r="O80" i="25"/>
  <c r="N80" i="25"/>
  <c r="M80" i="25"/>
  <c r="L80" i="25"/>
  <c r="K80" i="25"/>
  <c r="J80" i="25"/>
  <c r="I80" i="25"/>
  <c r="H80" i="25"/>
  <c r="G80" i="25"/>
  <c r="B80" i="25"/>
  <c r="O79" i="25"/>
  <c r="N79" i="25"/>
  <c r="M79" i="25"/>
  <c r="L79" i="25"/>
  <c r="K79" i="25"/>
  <c r="J79" i="25"/>
  <c r="I79" i="25"/>
  <c r="H79" i="25"/>
  <c r="G79" i="25"/>
  <c r="B79" i="25"/>
  <c r="O78" i="25"/>
  <c r="N78" i="25"/>
  <c r="M78" i="25"/>
  <c r="L78" i="25"/>
  <c r="K78" i="25"/>
  <c r="J78" i="25"/>
  <c r="I78" i="25"/>
  <c r="H78" i="25"/>
  <c r="G78" i="25"/>
  <c r="B78" i="25"/>
  <c r="O77" i="25"/>
  <c r="N77" i="25"/>
  <c r="M77" i="25"/>
  <c r="L77" i="25"/>
  <c r="K77" i="25"/>
  <c r="J77" i="25"/>
  <c r="I77" i="25"/>
  <c r="H77" i="25"/>
  <c r="G77" i="25"/>
  <c r="B77" i="25"/>
  <c r="O76" i="25"/>
  <c r="N76" i="25"/>
  <c r="M76" i="25"/>
  <c r="L76" i="25"/>
  <c r="K76" i="25"/>
  <c r="J76" i="25"/>
  <c r="I76" i="25"/>
  <c r="H76" i="25"/>
  <c r="G76" i="25"/>
  <c r="B76" i="25"/>
  <c r="O75" i="25"/>
  <c r="N75" i="25"/>
  <c r="M75" i="25"/>
  <c r="L75" i="25"/>
  <c r="K75" i="25"/>
  <c r="J75" i="25"/>
  <c r="I75" i="25"/>
  <c r="H75" i="25"/>
  <c r="G75" i="25"/>
  <c r="B75" i="25"/>
  <c r="O74" i="25"/>
  <c r="N74" i="25"/>
  <c r="M74" i="25"/>
  <c r="L74" i="25"/>
  <c r="K74" i="25"/>
  <c r="J74" i="25"/>
  <c r="I74" i="25"/>
  <c r="H74" i="25"/>
  <c r="G74" i="25"/>
  <c r="B74" i="25"/>
  <c r="O73" i="25"/>
  <c r="N73" i="25"/>
  <c r="M73" i="25"/>
  <c r="L73" i="25"/>
  <c r="K73" i="25"/>
  <c r="J73" i="25"/>
  <c r="I73" i="25"/>
  <c r="H73" i="25"/>
  <c r="G73" i="25"/>
  <c r="B73" i="25"/>
  <c r="O72" i="25"/>
  <c r="N72" i="25"/>
  <c r="M72" i="25"/>
  <c r="L72" i="25"/>
  <c r="K72" i="25"/>
  <c r="J72" i="25"/>
  <c r="I72" i="25"/>
  <c r="H72" i="25"/>
  <c r="G72" i="25"/>
  <c r="B72" i="25"/>
  <c r="O71" i="25"/>
  <c r="N71" i="25"/>
  <c r="M71" i="25"/>
  <c r="L71" i="25"/>
  <c r="K71" i="25"/>
  <c r="J71" i="25"/>
  <c r="I71" i="25"/>
  <c r="H71" i="25"/>
  <c r="G71" i="25"/>
  <c r="B71" i="25"/>
  <c r="O70" i="25"/>
  <c r="N70" i="25"/>
  <c r="M70" i="25"/>
  <c r="L70" i="25"/>
  <c r="K70" i="25"/>
  <c r="J70" i="25"/>
  <c r="I70" i="25"/>
  <c r="H70" i="25"/>
  <c r="G70" i="25"/>
  <c r="B70" i="25"/>
  <c r="O69" i="25"/>
  <c r="N69" i="25"/>
  <c r="M69" i="25"/>
  <c r="L69" i="25"/>
  <c r="K69" i="25"/>
  <c r="J69" i="25"/>
  <c r="I69" i="25"/>
  <c r="H69" i="25"/>
  <c r="G69" i="25"/>
  <c r="B69" i="25"/>
  <c r="O68" i="25"/>
  <c r="N68" i="25"/>
  <c r="M68" i="25"/>
  <c r="L68" i="25"/>
  <c r="K68" i="25"/>
  <c r="J68" i="25"/>
  <c r="I68" i="25"/>
  <c r="H68" i="25"/>
  <c r="G68" i="25"/>
  <c r="B68" i="25"/>
  <c r="O67" i="25"/>
  <c r="N67" i="25"/>
  <c r="M67" i="25"/>
  <c r="L67" i="25"/>
  <c r="K67" i="25"/>
  <c r="J67" i="25"/>
  <c r="I67" i="25"/>
  <c r="H67" i="25"/>
  <c r="G67" i="25"/>
  <c r="B67" i="25"/>
  <c r="O66" i="25"/>
  <c r="N66" i="25"/>
  <c r="M66" i="25"/>
  <c r="L66" i="25"/>
  <c r="K66" i="25"/>
  <c r="J66" i="25"/>
  <c r="I66" i="25"/>
  <c r="H66" i="25"/>
  <c r="G66" i="25"/>
  <c r="B66" i="25"/>
  <c r="O65" i="25"/>
  <c r="N65" i="25"/>
  <c r="M65" i="25"/>
  <c r="L65" i="25"/>
  <c r="K65" i="25"/>
  <c r="J65" i="25"/>
  <c r="I65" i="25"/>
  <c r="H65" i="25"/>
  <c r="G65" i="25"/>
  <c r="B65" i="25"/>
  <c r="O64" i="25"/>
  <c r="N64" i="25"/>
  <c r="M64" i="25"/>
  <c r="L64" i="25"/>
  <c r="K64" i="25"/>
  <c r="J64" i="25"/>
  <c r="I64" i="25"/>
  <c r="H64" i="25"/>
  <c r="G64" i="25"/>
  <c r="B64" i="25"/>
  <c r="O63" i="25"/>
  <c r="N63" i="25"/>
  <c r="M63" i="25"/>
  <c r="L63" i="25"/>
  <c r="K63" i="25"/>
  <c r="J63" i="25"/>
  <c r="I63" i="25"/>
  <c r="H63" i="25"/>
  <c r="G63" i="25"/>
  <c r="B63" i="25"/>
  <c r="O62" i="25"/>
  <c r="N62" i="25"/>
  <c r="M62" i="25"/>
  <c r="L62" i="25"/>
  <c r="K62" i="25"/>
  <c r="J62" i="25"/>
  <c r="I62" i="25"/>
  <c r="H62" i="25"/>
  <c r="G62" i="25"/>
  <c r="B62" i="25"/>
  <c r="O61" i="25"/>
  <c r="N61" i="25"/>
  <c r="M61" i="25"/>
  <c r="L61" i="25"/>
  <c r="K61" i="25"/>
  <c r="J61" i="25"/>
  <c r="I61" i="25"/>
  <c r="H61" i="25"/>
  <c r="G61" i="25"/>
  <c r="B61" i="25"/>
  <c r="O60" i="25"/>
  <c r="N60" i="25"/>
  <c r="M60" i="25"/>
  <c r="L60" i="25"/>
  <c r="K60" i="25"/>
  <c r="J60" i="25"/>
  <c r="I60" i="25"/>
  <c r="H60" i="25"/>
  <c r="G60" i="25"/>
  <c r="B60" i="25"/>
  <c r="O59" i="25"/>
  <c r="N59" i="25"/>
  <c r="M59" i="25"/>
  <c r="L59" i="25"/>
  <c r="K59" i="25"/>
  <c r="J59" i="25"/>
  <c r="I59" i="25"/>
  <c r="H59" i="25"/>
  <c r="G59" i="25"/>
  <c r="B59" i="25"/>
  <c r="O58" i="25"/>
  <c r="N58" i="25"/>
  <c r="M58" i="25"/>
  <c r="L58" i="25"/>
  <c r="K58" i="25"/>
  <c r="J58" i="25"/>
  <c r="I58" i="25"/>
  <c r="H58" i="25"/>
  <c r="G58" i="25"/>
  <c r="B58" i="25"/>
  <c r="O57" i="25"/>
  <c r="N57" i="25"/>
  <c r="M57" i="25"/>
  <c r="L57" i="25"/>
  <c r="K57" i="25"/>
  <c r="J57" i="25"/>
  <c r="I57" i="25"/>
  <c r="H57" i="25"/>
  <c r="G57" i="25"/>
  <c r="B57" i="25"/>
  <c r="O56" i="25"/>
  <c r="N56" i="25"/>
  <c r="M56" i="25"/>
  <c r="L56" i="25"/>
  <c r="K56" i="25"/>
  <c r="J56" i="25"/>
  <c r="I56" i="25"/>
  <c r="H56" i="25"/>
  <c r="G56" i="25"/>
  <c r="B56" i="25"/>
  <c r="O55" i="25"/>
  <c r="N55" i="25"/>
  <c r="M55" i="25"/>
  <c r="L55" i="25"/>
  <c r="K55" i="25"/>
  <c r="J55" i="25"/>
  <c r="I55" i="25"/>
  <c r="H55" i="25"/>
  <c r="G55" i="25"/>
  <c r="B55" i="25"/>
  <c r="O54" i="25"/>
  <c r="N54" i="25"/>
  <c r="M54" i="25"/>
  <c r="L54" i="25"/>
  <c r="K54" i="25"/>
  <c r="J54" i="25"/>
  <c r="I54" i="25"/>
  <c r="H54" i="25"/>
  <c r="G54" i="25"/>
  <c r="B54" i="25"/>
  <c r="O53" i="25"/>
  <c r="N53" i="25"/>
  <c r="M53" i="25"/>
  <c r="L53" i="25"/>
  <c r="K53" i="25"/>
  <c r="J53" i="25"/>
  <c r="I53" i="25"/>
  <c r="H53" i="25"/>
  <c r="G53" i="25"/>
  <c r="B53" i="25"/>
  <c r="O52" i="25"/>
  <c r="N52" i="25"/>
  <c r="M52" i="25"/>
  <c r="L52" i="25"/>
  <c r="K52" i="25"/>
  <c r="J52" i="25"/>
  <c r="I52" i="25"/>
  <c r="H52" i="25"/>
  <c r="G52" i="25"/>
  <c r="B52" i="25"/>
  <c r="O51" i="25"/>
  <c r="N51" i="25"/>
  <c r="M51" i="25"/>
  <c r="L51" i="25"/>
  <c r="K51" i="25"/>
  <c r="J51" i="25"/>
  <c r="I51" i="25"/>
  <c r="H51" i="25"/>
  <c r="G51" i="25"/>
  <c r="B51" i="25"/>
  <c r="O50" i="25"/>
  <c r="N50" i="25"/>
  <c r="M50" i="25"/>
  <c r="L50" i="25"/>
  <c r="K50" i="25"/>
  <c r="J50" i="25"/>
  <c r="I50" i="25"/>
  <c r="H50" i="25"/>
  <c r="G50" i="25"/>
  <c r="B50" i="25"/>
  <c r="O49" i="25"/>
  <c r="N49" i="25"/>
  <c r="M49" i="25"/>
  <c r="L49" i="25"/>
  <c r="K49" i="25"/>
  <c r="J49" i="25"/>
  <c r="I49" i="25"/>
  <c r="H49" i="25"/>
  <c r="G49" i="25"/>
  <c r="B49" i="25"/>
  <c r="O48" i="25"/>
  <c r="N48" i="25"/>
  <c r="M48" i="25"/>
  <c r="L48" i="25"/>
  <c r="K48" i="25"/>
  <c r="J48" i="25"/>
  <c r="I48" i="25"/>
  <c r="H48" i="25"/>
  <c r="G48" i="25"/>
  <c r="B48" i="25"/>
  <c r="O47" i="25"/>
  <c r="N47" i="25"/>
  <c r="M47" i="25"/>
  <c r="L47" i="25"/>
  <c r="K47" i="25"/>
  <c r="J47" i="25"/>
  <c r="I47" i="25"/>
  <c r="H47" i="25"/>
  <c r="G47" i="25"/>
  <c r="B47" i="25"/>
  <c r="O46" i="25"/>
  <c r="N46" i="25"/>
  <c r="M46" i="25"/>
  <c r="L46" i="25"/>
  <c r="K46" i="25"/>
  <c r="J46" i="25"/>
  <c r="I46" i="25"/>
  <c r="H46" i="25"/>
  <c r="G46" i="25"/>
  <c r="B46" i="25"/>
  <c r="O45" i="25"/>
  <c r="N45" i="25"/>
  <c r="M45" i="25"/>
  <c r="L45" i="25"/>
  <c r="K45" i="25"/>
  <c r="J45" i="25"/>
  <c r="I45" i="25"/>
  <c r="H45" i="25"/>
  <c r="G45" i="25"/>
  <c r="B45" i="25"/>
  <c r="O44" i="25"/>
  <c r="N44" i="25"/>
  <c r="M44" i="25"/>
  <c r="L44" i="25"/>
  <c r="K44" i="25"/>
  <c r="J44" i="25"/>
  <c r="I44" i="25"/>
  <c r="H44" i="25"/>
  <c r="G44" i="25"/>
  <c r="B44" i="25"/>
  <c r="O43" i="25"/>
  <c r="N43" i="25"/>
  <c r="M43" i="25"/>
  <c r="L43" i="25"/>
  <c r="K43" i="25"/>
  <c r="J43" i="25"/>
  <c r="I43" i="25"/>
  <c r="H43" i="25"/>
  <c r="G43" i="25"/>
  <c r="B43" i="25"/>
  <c r="O42" i="25"/>
  <c r="N42" i="25"/>
  <c r="M42" i="25"/>
  <c r="L42" i="25"/>
  <c r="K42" i="25"/>
  <c r="J42" i="25"/>
  <c r="I42" i="25"/>
  <c r="H42" i="25"/>
  <c r="G42" i="25"/>
  <c r="B42" i="25"/>
  <c r="O41" i="25"/>
  <c r="N41" i="25"/>
  <c r="M41" i="25"/>
  <c r="L41" i="25"/>
  <c r="K41" i="25"/>
  <c r="J41" i="25"/>
  <c r="I41" i="25"/>
  <c r="H41" i="25"/>
  <c r="G41" i="25"/>
  <c r="B41" i="25"/>
  <c r="O40" i="25"/>
  <c r="N40" i="25"/>
  <c r="M40" i="25"/>
  <c r="L40" i="25"/>
  <c r="K40" i="25"/>
  <c r="J40" i="25"/>
  <c r="I40" i="25"/>
  <c r="H40" i="25"/>
  <c r="G40" i="25"/>
  <c r="B40" i="25"/>
  <c r="O39" i="25"/>
  <c r="N39" i="25"/>
  <c r="M39" i="25"/>
  <c r="L39" i="25"/>
  <c r="K39" i="25"/>
  <c r="J39" i="25"/>
  <c r="I39" i="25"/>
  <c r="H39" i="25"/>
  <c r="G39" i="25"/>
  <c r="B39" i="25"/>
  <c r="O38" i="25"/>
  <c r="N38" i="25"/>
  <c r="M38" i="25"/>
  <c r="L38" i="25"/>
  <c r="K38" i="25"/>
  <c r="J38" i="25"/>
  <c r="I38" i="25"/>
  <c r="H38" i="25"/>
  <c r="G38" i="25"/>
  <c r="B38" i="25"/>
  <c r="O37" i="25"/>
  <c r="N37" i="25"/>
  <c r="M37" i="25"/>
  <c r="L37" i="25"/>
  <c r="K37" i="25"/>
  <c r="J37" i="25"/>
  <c r="I37" i="25"/>
  <c r="H37" i="25"/>
  <c r="G37" i="25"/>
  <c r="B37" i="25"/>
  <c r="O36" i="25"/>
  <c r="N36" i="25"/>
  <c r="M36" i="25"/>
  <c r="L36" i="25"/>
  <c r="K36" i="25"/>
  <c r="J36" i="25"/>
  <c r="I36" i="25"/>
  <c r="H36" i="25"/>
  <c r="G36" i="25"/>
  <c r="B36" i="25"/>
  <c r="O35" i="25"/>
  <c r="N35" i="25"/>
  <c r="M35" i="25"/>
  <c r="L35" i="25"/>
  <c r="K35" i="25"/>
  <c r="J35" i="25"/>
  <c r="I35" i="25"/>
  <c r="H35" i="25"/>
  <c r="G35" i="25"/>
  <c r="B35" i="25"/>
  <c r="O34" i="25"/>
  <c r="N34" i="25"/>
  <c r="M34" i="25"/>
  <c r="L34" i="25"/>
  <c r="K34" i="25"/>
  <c r="J34" i="25"/>
  <c r="I34" i="25"/>
  <c r="H34" i="25"/>
  <c r="G34" i="25"/>
  <c r="B34" i="25"/>
  <c r="O33" i="25"/>
  <c r="N33" i="25"/>
  <c r="M33" i="25"/>
  <c r="L33" i="25"/>
  <c r="K33" i="25"/>
  <c r="J33" i="25"/>
  <c r="I33" i="25"/>
  <c r="H33" i="25"/>
  <c r="G33" i="25"/>
  <c r="B33" i="25"/>
  <c r="O32" i="25"/>
  <c r="N32" i="25"/>
  <c r="M32" i="25"/>
  <c r="L32" i="25"/>
  <c r="K32" i="25"/>
  <c r="J32" i="25"/>
  <c r="I32" i="25"/>
  <c r="H32" i="25"/>
  <c r="G32" i="25"/>
  <c r="B32" i="25"/>
  <c r="O31" i="25"/>
  <c r="N31" i="25"/>
  <c r="M31" i="25"/>
  <c r="L31" i="25"/>
  <c r="K31" i="25"/>
  <c r="J31" i="25"/>
  <c r="I31" i="25"/>
  <c r="H31" i="25"/>
  <c r="G31" i="25"/>
  <c r="B31" i="25"/>
  <c r="O30" i="25"/>
  <c r="N30" i="25"/>
  <c r="M30" i="25"/>
  <c r="L30" i="25"/>
  <c r="K30" i="25"/>
  <c r="J30" i="25"/>
  <c r="I30" i="25"/>
  <c r="H30" i="25"/>
  <c r="G30" i="25"/>
  <c r="B30" i="25"/>
  <c r="O29" i="25"/>
  <c r="N29" i="25"/>
  <c r="M29" i="25"/>
  <c r="L29" i="25"/>
  <c r="K29" i="25"/>
  <c r="J29" i="25"/>
  <c r="I29" i="25"/>
  <c r="H29" i="25"/>
  <c r="G29" i="25"/>
  <c r="B29" i="25"/>
  <c r="O28" i="25"/>
  <c r="N28" i="25"/>
  <c r="M28" i="25"/>
  <c r="L28" i="25"/>
  <c r="K28" i="25"/>
  <c r="J28" i="25"/>
  <c r="I28" i="25"/>
  <c r="H28" i="25"/>
  <c r="G28" i="25"/>
  <c r="B28" i="25"/>
  <c r="O27" i="25"/>
  <c r="N27" i="25"/>
  <c r="M27" i="25"/>
  <c r="L27" i="25"/>
  <c r="K27" i="25"/>
  <c r="J27" i="25"/>
  <c r="I27" i="25"/>
  <c r="H27" i="25"/>
  <c r="G27" i="25"/>
  <c r="B27" i="25"/>
  <c r="O26" i="25"/>
  <c r="N26" i="25"/>
  <c r="M26" i="25"/>
  <c r="L26" i="25"/>
  <c r="K26" i="25"/>
  <c r="J26" i="25"/>
  <c r="I26" i="25"/>
  <c r="H26" i="25"/>
  <c r="G26" i="25"/>
  <c r="B26" i="25"/>
  <c r="O25" i="25"/>
  <c r="N25" i="25"/>
  <c r="M25" i="25"/>
  <c r="L25" i="25"/>
  <c r="K25" i="25"/>
  <c r="J25" i="25"/>
  <c r="I25" i="25"/>
  <c r="H25" i="25"/>
  <c r="G25" i="25"/>
  <c r="B25" i="25"/>
  <c r="O24" i="25"/>
  <c r="N24" i="25"/>
  <c r="M24" i="25"/>
  <c r="L24" i="25"/>
  <c r="K24" i="25"/>
  <c r="J24" i="25"/>
  <c r="I24" i="25"/>
  <c r="H24" i="25"/>
  <c r="G24" i="25"/>
  <c r="B24" i="25"/>
  <c r="O23" i="25"/>
  <c r="N23" i="25"/>
  <c r="M23" i="25"/>
  <c r="L23" i="25"/>
  <c r="K23" i="25"/>
  <c r="J23" i="25"/>
  <c r="I23" i="25"/>
  <c r="H23" i="25"/>
  <c r="G23" i="25"/>
  <c r="B23" i="25"/>
  <c r="O22" i="25"/>
  <c r="N22" i="25"/>
  <c r="M22" i="25"/>
  <c r="L22" i="25"/>
  <c r="K22" i="25"/>
  <c r="J22" i="25"/>
  <c r="I22" i="25"/>
  <c r="H22" i="25"/>
  <c r="G22" i="25"/>
  <c r="B22" i="25"/>
  <c r="O21" i="25"/>
  <c r="N21" i="25"/>
  <c r="M21" i="25"/>
  <c r="L21" i="25"/>
  <c r="K21" i="25"/>
  <c r="J21" i="25"/>
  <c r="I21" i="25"/>
  <c r="H21" i="25"/>
  <c r="G21" i="25"/>
  <c r="B21" i="25"/>
  <c r="O20" i="25"/>
  <c r="N20" i="25"/>
  <c r="M20" i="25"/>
  <c r="L20" i="25"/>
  <c r="K20" i="25"/>
  <c r="J20" i="25"/>
  <c r="I20" i="25"/>
  <c r="H20" i="25"/>
  <c r="G20" i="25"/>
  <c r="B20" i="25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28" i="21"/>
  <c r="G28" i="21" s="1"/>
  <c r="G27" i="21"/>
  <c r="B26" i="21"/>
  <c r="G26" i="21" s="1"/>
  <c r="B25" i="21"/>
  <c r="B24" i="21"/>
  <c r="B23" i="21"/>
  <c r="B22" i="21"/>
  <c r="B21" i="21"/>
  <c r="B20" i="21"/>
  <c r="B19" i="21"/>
  <c r="B18" i="21"/>
  <c r="G18" i="21" s="1"/>
  <c r="B17" i="21"/>
  <c r="G17" i="21" s="1"/>
  <c r="B16" i="21"/>
  <c r="B15" i="21"/>
  <c r="B14" i="21"/>
  <c r="B13" i="21"/>
  <c r="B12" i="21"/>
  <c r="B11" i="21"/>
  <c r="B9" i="21"/>
  <c r="G9" i="21" s="1"/>
  <c r="O14" i="25"/>
  <c r="N14" i="25"/>
  <c r="M14" i="25"/>
  <c r="L14" i="25"/>
  <c r="K14" i="25"/>
  <c r="J14" i="25"/>
  <c r="I14" i="25"/>
  <c r="H14" i="25"/>
  <c r="G14" i="25"/>
  <c r="B14" i="25"/>
  <c r="O13" i="25"/>
  <c r="N13" i="25"/>
  <c r="M13" i="25"/>
  <c r="L13" i="25"/>
  <c r="K13" i="25"/>
  <c r="J13" i="25"/>
  <c r="I13" i="25"/>
  <c r="H13" i="25"/>
  <c r="G13" i="25"/>
  <c r="B13" i="25"/>
  <c r="O12" i="25"/>
  <c r="N12" i="25"/>
  <c r="M12" i="25"/>
  <c r="L12" i="25"/>
  <c r="K12" i="25"/>
  <c r="J12" i="25"/>
  <c r="I12" i="25"/>
  <c r="H12" i="25"/>
  <c r="G12" i="25"/>
  <c r="B12" i="25"/>
  <c r="O11" i="25"/>
  <c r="N11" i="25"/>
  <c r="M11" i="25"/>
  <c r="L11" i="25"/>
  <c r="K11" i="25"/>
  <c r="J11" i="25"/>
  <c r="I11" i="25"/>
  <c r="H11" i="25"/>
  <c r="G11" i="25"/>
  <c r="B11" i="25"/>
  <c r="O10" i="25"/>
  <c r="N10" i="25"/>
  <c r="M10" i="25"/>
  <c r="L10" i="25"/>
  <c r="K10" i="25"/>
  <c r="J10" i="25"/>
  <c r="I10" i="25"/>
  <c r="H10" i="25"/>
  <c r="G10" i="25"/>
  <c r="B10" i="25"/>
  <c r="O17" i="25"/>
  <c r="N17" i="25"/>
  <c r="M17" i="25"/>
  <c r="L17" i="25"/>
  <c r="K17" i="25"/>
  <c r="J17" i="25"/>
  <c r="I17" i="25"/>
  <c r="H17" i="25"/>
  <c r="G17" i="25"/>
  <c r="B17" i="25"/>
  <c r="O18" i="25"/>
  <c r="N18" i="25"/>
  <c r="M18" i="25"/>
  <c r="L18" i="25"/>
  <c r="K18" i="25"/>
  <c r="J18" i="25"/>
  <c r="I18" i="25"/>
  <c r="H18" i="25"/>
  <c r="G18" i="25"/>
  <c r="B18" i="25"/>
  <c r="O161" i="22" l="1"/>
  <c r="N161" i="22"/>
  <c r="M161" i="22"/>
  <c r="L161" i="22"/>
  <c r="K161" i="22"/>
  <c r="J161" i="22"/>
  <c r="I161" i="22"/>
  <c r="H161" i="22"/>
  <c r="G161" i="22"/>
  <c r="F161" i="22"/>
  <c r="E161" i="22"/>
  <c r="D161" i="22"/>
  <c r="P161" i="22" s="1"/>
  <c r="R161" i="22" s="1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P162" i="22" s="1"/>
  <c r="R162" i="22" s="1"/>
  <c r="O163" i="22"/>
  <c r="N163" i="22"/>
  <c r="M163" i="22"/>
  <c r="L163" i="22"/>
  <c r="K163" i="22"/>
  <c r="J163" i="22"/>
  <c r="I163" i="22"/>
  <c r="H163" i="22"/>
  <c r="G163" i="22"/>
  <c r="F163" i="22"/>
  <c r="E163" i="22"/>
  <c r="D163" i="22"/>
  <c r="P163" i="22" s="1"/>
  <c r="R163" i="22" s="1"/>
  <c r="O150" i="22"/>
  <c r="N150" i="22"/>
  <c r="M150" i="22"/>
  <c r="L150" i="22"/>
  <c r="K150" i="22"/>
  <c r="J150" i="22"/>
  <c r="I150" i="22"/>
  <c r="H150" i="22"/>
  <c r="G150" i="22"/>
  <c r="F150" i="22"/>
  <c r="E150" i="22"/>
  <c r="D150" i="22"/>
  <c r="P150" i="22" s="1"/>
  <c r="R150" i="22" s="1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P151" i="22" s="1"/>
  <c r="R151" i="22" s="1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P152" i="22" s="1"/>
  <c r="R152" i="22" s="1"/>
  <c r="O153" i="22"/>
  <c r="N153" i="22"/>
  <c r="M153" i="22"/>
  <c r="L153" i="22"/>
  <c r="K153" i="22"/>
  <c r="J153" i="22"/>
  <c r="I153" i="22"/>
  <c r="H153" i="22"/>
  <c r="G153" i="22"/>
  <c r="F153" i="22"/>
  <c r="E153" i="22"/>
  <c r="D153" i="22"/>
  <c r="P153" i="22" s="1"/>
  <c r="R153" i="22" s="1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P154" i="22" s="1"/>
  <c r="R154" i="22" s="1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P155" i="22" s="1"/>
  <c r="R155" i="22" s="1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P156" i="22" s="1"/>
  <c r="R156" i="22" s="1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P157" i="22" s="1"/>
  <c r="R157" i="22" s="1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P158" i="22" s="1"/>
  <c r="R158" i="22" s="1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P159" i="22" s="1"/>
  <c r="R159" i="22" s="1"/>
  <c r="O160" i="22"/>
  <c r="N160" i="22"/>
  <c r="M160" i="22"/>
  <c r="L160" i="22"/>
  <c r="K160" i="22"/>
  <c r="J160" i="22"/>
  <c r="I160" i="22"/>
  <c r="H160" i="22"/>
  <c r="G160" i="22"/>
  <c r="F160" i="22"/>
  <c r="E160" i="22"/>
  <c r="D160" i="22"/>
  <c r="P160" i="22" s="1"/>
  <c r="R160" i="22" s="1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P139" i="22" s="1"/>
  <c r="R139" i="22" s="1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P140" i="22" s="1"/>
  <c r="R140" i="22" s="1"/>
  <c r="O141" i="22"/>
  <c r="N141" i="22"/>
  <c r="M141" i="22"/>
  <c r="L141" i="22"/>
  <c r="K141" i="22"/>
  <c r="J141" i="22"/>
  <c r="I141" i="22"/>
  <c r="H141" i="22"/>
  <c r="G141" i="22"/>
  <c r="F141" i="22"/>
  <c r="E141" i="22"/>
  <c r="D141" i="22"/>
  <c r="P141" i="22" s="1"/>
  <c r="R141" i="22" s="1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P142" i="22" s="1"/>
  <c r="R142" i="22" s="1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P143" i="22" s="1"/>
  <c r="R143" i="22" s="1"/>
  <c r="O144" i="22"/>
  <c r="N144" i="22"/>
  <c r="M144" i="22"/>
  <c r="L144" i="22"/>
  <c r="K144" i="22"/>
  <c r="J144" i="22"/>
  <c r="I144" i="22"/>
  <c r="H144" i="22"/>
  <c r="G144" i="22"/>
  <c r="F144" i="22"/>
  <c r="E144" i="22"/>
  <c r="D144" i="22"/>
  <c r="P144" i="22" s="1"/>
  <c r="R144" i="22" s="1"/>
  <c r="O145" i="22"/>
  <c r="N145" i="22"/>
  <c r="M145" i="22"/>
  <c r="L145" i="22"/>
  <c r="K145" i="22"/>
  <c r="J145" i="22"/>
  <c r="I145" i="22"/>
  <c r="H145" i="22"/>
  <c r="G145" i="22"/>
  <c r="F145" i="22"/>
  <c r="E145" i="22"/>
  <c r="D145" i="22"/>
  <c r="P145" i="22" s="1"/>
  <c r="R145" i="22" s="1"/>
  <c r="O146" i="22"/>
  <c r="N146" i="22"/>
  <c r="M146" i="22"/>
  <c r="L146" i="22"/>
  <c r="K146" i="22"/>
  <c r="J146" i="22"/>
  <c r="I146" i="22"/>
  <c r="H146" i="22"/>
  <c r="G146" i="22"/>
  <c r="F146" i="22"/>
  <c r="E146" i="22"/>
  <c r="D146" i="22"/>
  <c r="P146" i="22" s="1"/>
  <c r="R146" i="22" s="1"/>
  <c r="O147" i="22"/>
  <c r="N147" i="22"/>
  <c r="M147" i="22"/>
  <c r="L147" i="22"/>
  <c r="K147" i="22"/>
  <c r="J147" i="22"/>
  <c r="I147" i="22"/>
  <c r="H147" i="22"/>
  <c r="G147" i="22"/>
  <c r="F147" i="22"/>
  <c r="E147" i="22"/>
  <c r="D147" i="22"/>
  <c r="P147" i="22" s="1"/>
  <c r="R147" i="22" s="1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P148" i="22" s="1"/>
  <c r="R148" i="22" s="1"/>
  <c r="O149" i="22"/>
  <c r="N149" i="22"/>
  <c r="M149" i="22"/>
  <c r="L149" i="22"/>
  <c r="K149" i="22"/>
  <c r="J149" i="22"/>
  <c r="I149" i="22"/>
  <c r="H149" i="22"/>
  <c r="G149" i="22"/>
  <c r="F149" i="22"/>
  <c r="E149" i="22"/>
  <c r="D149" i="22"/>
  <c r="P149" i="22" s="1"/>
  <c r="R149" i="22" s="1"/>
  <c r="O128" i="22"/>
  <c r="N128" i="22"/>
  <c r="M128" i="22"/>
  <c r="L128" i="22"/>
  <c r="K128" i="22"/>
  <c r="J128" i="22"/>
  <c r="I128" i="22"/>
  <c r="H128" i="22"/>
  <c r="G128" i="22"/>
  <c r="F128" i="22"/>
  <c r="E128" i="22"/>
  <c r="D128" i="22"/>
  <c r="P128" i="22" s="1"/>
  <c r="R128" i="22" s="1"/>
  <c r="O129" i="22"/>
  <c r="N129" i="22"/>
  <c r="M129" i="22"/>
  <c r="L129" i="22"/>
  <c r="K129" i="22"/>
  <c r="J129" i="22"/>
  <c r="I129" i="22"/>
  <c r="H129" i="22"/>
  <c r="G129" i="22"/>
  <c r="F129" i="22"/>
  <c r="E129" i="22"/>
  <c r="D129" i="22"/>
  <c r="P129" i="22" s="1"/>
  <c r="R129" i="22" s="1"/>
  <c r="O130" i="22"/>
  <c r="N130" i="22"/>
  <c r="M130" i="22"/>
  <c r="L130" i="22"/>
  <c r="K130" i="22"/>
  <c r="J130" i="22"/>
  <c r="I130" i="22"/>
  <c r="H130" i="22"/>
  <c r="G130" i="22"/>
  <c r="F130" i="22"/>
  <c r="E130" i="22"/>
  <c r="D130" i="22"/>
  <c r="P130" i="22" s="1"/>
  <c r="R130" i="22" s="1"/>
  <c r="O131" i="22"/>
  <c r="N131" i="22"/>
  <c r="M131" i="22"/>
  <c r="L131" i="22"/>
  <c r="K131" i="22"/>
  <c r="J131" i="22"/>
  <c r="I131" i="22"/>
  <c r="H131" i="22"/>
  <c r="G131" i="22"/>
  <c r="F131" i="22"/>
  <c r="E131" i="22"/>
  <c r="D131" i="22"/>
  <c r="P131" i="22" s="1"/>
  <c r="R131" i="22" s="1"/>
  <c r="O132" i="22"/>
  <c r="N132" i="22"/>
  <c r="M132" i="22"/>
  <c r="L132" i="22"/>
  <c r="K132" i="22"/>
  <c r="J132" i="22"/>
  <c r="I132" i="22"/>
  <c r="H132" i="22"/>
  <c r="G132" i="22"/>
  <c r="F132" i="22"/>
  <c r="E132" i="22"/>
  <c r="D132" i="22"/>
  <c r="P132" i="22" s="1"/>
  <c r="R132" i="22" s="1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P133" i="22" s="1"/>
  <c r="R133" i="22" s="1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P134" i="22" s="1"/>
  <c r="R134" i="22" s="1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P135" i="22" s="1"/>
  <c r="R135" i="22" s="1"/>
  <c r="O136" i="22"/>
  <c r="N136" i="22"/>
  <c r="M136" i="22"/>
  <c r="L136" i="22"/>
  <c r="K136" i="22"/>
  <c r="J136" i="22"/>
  <c r="I136" i="22"/>
  <c r="H136" i="22"/>
  <c r="G136" i="22"/>
  <c r="F136" i="22"/>
  <c r="E136" i="22"/>
  <c r="D136" i="22"/>
  <c r="P136" i="22" s="1"/>
  <c r="R136" i="22" s="1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P137" i="22" s="1"/>
  <c r="R137" i="22" s="1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P138" i="22" s="1"/>
  <c r="R138" i="22" s="1"/>
  <c r="O93" i="22"/>
  <c r="N93" i="22"/>
  <c r="M93" i="22"/>
  <c r="L93" i="22"/>
  <c r="K93" i="22"/>
  <c r="J93" i="22"/>
  <c r="I93" i="22"/>
  <c r="H93" i="22"/>
  <c r="G93" i="22"/>
  <c r="F93" i="22"/>
  <c r="E93" i="22"/>
  <c r="D93" i="22"/>
  <c r="P93" i="22" s="1"/>
  <c r="R93" i="22" s="1"/>
  <c r="O94" i="22"/>
  <c r="N94" i="22"/>
  <c r="M94" i="22"/>
  <c r="L94" i="22"/>
  <c r="K94" i="22"/>
  <c r="J94" i="22"/>
  <c r="I94" i="22"/>
  <c r="H94" i="22"/>
  <c r="G94" i="22"/>
  <c r="F94" i="22"/>
  <c r="E94" i="22"/>
  <c r="D94" i="22"/>
  <c r="P94" i="22" s="1"/>
  <c r="R94" i="22" s="1"/>
  <c r="O63" i="22"/>
  <c r="N63" i="22"/>
  <c r="M63" i="22"/>
  <c r="L63" i="22"/>
  <c r="K63" i="22"/>
  <c r="J63" i="22"/>
  <c r="I63" i="22"/>
  <c r="H63" i="22"/>
  <c r="G63" i="22"/>
  <c r="F63" i="22"/>
  <c r="E63" i="22"/>
  <c r="D63" i="22"/>
  <c r="P63" i="22" s="1"/>
  <c r="R63" i="22" s="1"/>
  <c r="O64" i="22"/>
  <c r="N64" i="22"/>
  <c r="M64" i="22"/>
  <c r="L64" i="22"/>
  <c r="K64" i="22"/>
  <c r="J64" i="22"/>
  <c r="I64" i="22"/>
  <c r="H64" i="22"/>
  <c r="G64" i="22"/>
  <c r="F64" i="22"/>
  <c r="E64" i="22"/>
  <c r="D64" i="22"/>
  <c r="P64" i="22" s="1"/>
  <c r="R64" i="22" s="1"/>
  <c r="O65" i="22"/>
  <c r="N65" i="22"/>
  <c r="M65" i="22"/>
  <c r="L65" i="22"/>
  <c r="K65" i="22"/>
  <c r="J65" i="22"/>
  <c r="I65" i="22"/>
  <c r="H65" i="22"/>
  <c r="G65" i="22"/>
  <c r="F65" i="22"/>
  <c r="E65" i="22"/>
  <c r="D65" i="22"/>
  <c r="P65" i="22" s="1"/>
  <c r="R65" i="22" s="1"/>
  <c r="O54" i="22"/>
  <c r="N54" i="22"/>
  <c r="M54" i="22"/>
  <c r="L54" i="22"/>
  <c r="K54" i="22"/>
  <c r="J54" i="22"/>
  <c r="I54" i="22"/>
  <c r="H54" i="22"/>
  <c r="G54" i="22"/>
  <c r="F54" i="22"/>
  <c r="E54" i="22"/>
  <c r="D54" i="22"/>
  <c r="P54" i="22" s="1"/>
  <c r="R54" i="22" s="1"/>
  <c r="O55" i="22"/>
  <c r="N55" i="22"/>
  <c r="M55" i="22"/>
  <c r="L55" i="22"/>
  <c r="K55" i="22"/>
  <c r="J55" i="22"/>
  <c r="I55" i="22"/>
  <c r="H55" i="22"/>
  <c r="G55" i="22"/>
  <c r="F55" i="22"/>
  <c r="E55" i="22"/>
  <c r="D55" i="22"/>
  <c r="P55" i="22" s="1"/>
  <c r="R55" i="22" s="1"/>
  <c r="O61" i="22"/>
  <c r="N61" i="22"/>
  <c r="M61" i="22"/>
  <c r="L61" i="22"/>
  <c r="K61" i="22"/>
  <c r="J61" i="22"/>
  <c r="I61" i="22"/>
  <c r="H61" i="22"/>
  <c r="G61" i="22"/>
  <c r="F61" i="22"/>
  <c r="E61" i="22"/>
  <c r="D61" i="22"/>
  <c r="P61" i="22" s="1"/>
  <c r="R61" i="22" s="1"/>
  <c r="O62" i="22"/>
  <c r="N62" i="22"/>
  <c r="M62" i="22"/>
  <c r="L62" i="22"/>
  <c r="K62" i="22"/>
  <c r="J62" i="22"/>
  <c r="I62" i="22"/>
  <c r="H62" i="22"/>
  <c r="G62" i="22"/>
  <c r="F62" i="22"/>
  <c r="E62" i="22"/>
  <c r="D62" i="22"/>
  <c r="P62" i="22" s="1"/>
  <c r="R62" i="22" s="1"/>
  <c r="R26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P27" i="22" s="1"/>
  <c r="R27" i="22" s="1"/>
  <c r="O28" i="22"/>
  <c r="N28" i="22"/>
  <c r="M28" i="22"/>
  <c r="L28" i="22"/>
  <c r="K28" i="22"/>
  <c r="J28" i="22"/>
  <c r="I28" i="22"/>
  <c r="H28" i="22"/>
  <c r="G28" i="22"/>
  <c r="F28" i="22"/>
  <c r="E28" i="22"/>
  <c r="D28" i="22"/>
  <c r="P28" i="22" s="1"/>
  <c r="R28" i="22" s="1"/>
  <c r="O29" i="22"/>
  <c r="N29" i="22"/>
  <c r="M29" i="22"/>
  <c r="L29" i="22"/>
  <c r="K29" i="22"/>
  <c r="J29" i="22"/>
  <c r="I29" i="22"/>
  <c r="H29" i="22"/>
  <c r="G29" i="22"/>
  <c r="F29" i="22"/>
  <c r="E29" i="22"/>
  <c r="D29" i="22"/>
  <c r="P29" i="22" s="1"/>
  <c r="R29" i="22" s="1"/>
  <c r="R18" i="22"/>
  <c r="R17" i="22"/>
  <c r="O9" i="22"/>
  <c r="N9" i="22"/>
  <c r="M9" i="22"/>
  <c r="L9" i="22"/>
  <c r="K9" i="22"/>
  <c r="J9" i="22"/>
  <c r="I9" i="22"/>
  <c r="H9" i="22"/>
  <c r="G9" i="22"/>
  <c r="F9" i="22"/>
  <c r="E9" i="22"/>
  <c r="D9" i="22"/>
  <c r="P9" i="22" s="1"/>
  <c r="R9" i="22" s="1"/>
  <c r="F160" i="25"/>
  <c r="E160" i="25"/>
  <c r="D160" i="25"/>
  <c r="P160" i="25" s="1"/>
  <c r="R160" i="25" s="1"/>
  <c r="F161" i="25"/>
  <c r="E161" i="25"/>
  <c r="D161" i="25"/>
  <c r="P161" i="25" s="1"/>
  <c r="R161" i="25" s="1"/>
  <c r="F162" i="25"/>
  <c r="E162" i="25"/>
  <c r="D162" i="25"/>
  <c r="P162" i="25" s="1"/>
  <c r="R162" i="25" s="1"/>
  <c r="F163" i="25"/>
  <c r="E163" i="25"/>
  <c r="D163" i="25"/>
  <c r="P163" i="25" s="1"/>
  <c r="R163" i="25" s="1"/>
  <c r="F156" i="25"/>
  <c r="E156" i="25"/>
  <c r="D156" i="25"/>
  <c r="P156" i="25" s="1"/>
  <c r="R156" i="25" s="1"/>
  <c r="F157" i="25"/>
  <c r="E157" i="25"/>
  <c r="D157" i="25"/>
  <c r="P157" i="25" s="1"/>
  <c r="R157" i="25" s="1"/>
  <c r="F158" i="25"/>
  <c r="E158" i="25"/>
  <c r="D158" i="25"/>
  <c r="P158" i="25" s="1"/>
  <c r="R158" i="25" s="1"/>
  <c r="F159" i="25"/>
  <c r="E159" i="25"/>
  <c r="D159" i="25"/>
  <c r="P159" i="25" s="1"/>
  <c r="R159" i="25" s="1"/>
  <c r="F150" i="25"/>
  <c r="E150" i="25"/>
  <c r="D150" i="25"/>
  <c r="P150" i="25" s="1"/>
  <c r="R150" i="25" s="1"/>
  <c r="F151" i="25"/>
  <c r="E151" i="25"/>
  <c r="D151" i="25"/>
  <c r="P151" i="25" s="1"/>
  <c r="R151" i="25" s="1"/>
  <c r="F152" i="25"/>
  <c r="E152" i="25"/>
  <c r="D152" i="25"/>
  <c r="P152" i="25" s="1"/>
  <c r="R152" i="25" s="1"/>
  <c r="F153" i="25"/>
  <c r="E153" i="25"/>
  <c r="D153" i="25"/>
  <c r="P153" i="25" s="1"/>
  <c r="R153" i="25" s="1"/>
  <c r="F154" i="25"/>
  <c r="E154" i="25"/>
  <c r="D154" i="25"/>
  <c r="P154" i="25" s="1"/>
  <c r="R154" i="25" s="1"/>
  <c r="F155" i="25"/>
  <c r="E155" i="25"/>
  <c r="D155" i="25"/>
  <c r="P155" i="25" s="1"/>
  <c r="R155" i="25" s="1"/>
  <c r="F140" i="25"/>
  <c r="E140" i="25"/>
  <c r="D140" i="25"/>
  <c r="P140" i="25" s="1"/>
  <c r="R140" i="25" s="1"/>
  <c r="F141" i="25"/>
  <c r="E141" i="25"/>
  <c r="D141" i="25"/>
  <c r="P141" i="25" s="1"/>
  <c r="R141" i="25" s="1"/>
  <c r="F142" i="25"/>
  <c r="E142" i="25"/>
  <c r="D142" i="25"/>
  <c r="P142" i="25" s="1"/>
  <c r="R142" i="25" s="1"/>
  <c r="F143" i="25"/>
  <c r="E143" i="25"/>
  <c r="D143" i="25"/>
  <c r="P143" i="25" s="1"/>
  <c r="R143" i="25" s="1"/>
  <c r="F144" i="25"/>
  <c r="E144" i="25"/>
  <c r="D144" i="25"/>
  <c r="P144" i="25" s="1"/>
  <c r="R144" i="25" s="1"/>
  <c r="F145" i="25"/>
  <c r="E145" i="25"/>
  <c r="D145" i="25"/>
  <c r="P145" i="25" s="1"/>
  <c r="R145" i="25" s="1"/>
  <c r="F146" i="25"/>
  <c r="E146" i="25"/>
  <c r="D146" i="25"/>
  <c r="P146" i="25" s="1"/>
  <c r="R146" i="25" s="1"/>
  <c r="F147" i="25"/>
  <c r="E147" i="25"/>
  <c r="D147" i="25"/>
  <c r="P147" i="25" s="1"/>
  <c r="R147" i="25" s="1"/>
  <c r="F148" i="25"/>
  <c r="E148" i="25"/>
  <c r="D148" i="25"/>
  <c r="P148" i="25" s="1"/>
  <c r="R148" i="25" s="1"/>
  <c r="F149" i="25"/>
  <c r="E149" i="25"/>
  <c r="D149" i="25"/>
  <c r="P149" i="25" s="1"/>
  <c r="R149" i="25" s="1"/>
  <c r="F134" i="25"/>
  <c r="E134" i="25"/>
  <c r="D134" i="25"/>
  <c r="P134" i="25" s="1"/>
  <c r="R134" i="25" s="1"/>
  <c r="F135" i="25"/>
  <c r="E135" i="25"/>
  <c r="D135" i="25"/>
  <c r="P135" i="25" s="1"/>
  <c r="R135" i="25" s="1"/>
  <c r="F136" i="25"/>
  <c r="E136" i="25"/>
  <c r="D136" i="25"/>
  <c r="P136" i="25" s="1"/>
  <c r="R136" i="25" s="1"/>
  <c r="F137" i="25"/>
  <c r="E137" i="25"/>
  <c r="D137" i="25"/>
  <c r="P137" i="25" s="1"/>
  <c r="R137" i="25" s="1"/>
  <c r="F138" i="25"/>
  <c r="E138" i="25"/>
  <c r="D138" i="25"/>
  <c r="P138" i="25" s="1"/>
  <c r="R138" i="25" s="1"/>
  <c r="F139" i="25"/>
  <c r="E139" i="25"/>
  <c r="D139" i="25"/>
  <c r="P139" i="25" s="1"/>
  <c r="R139" i="25" s="1"/>
  <c r="F127" i="25"/>
  <c r="E127" i="25"/>
  <c r="D127" i="25"/>
  <c r="P127" i="25" s="1"/>
  <c r="R127" i="25" s="1"/>
  <c r="F128" i="25"/>
  <c r="E128" i="25"/>
  <c r="D128" i="25"/>
  <c r="P128" i="25" s="1"/>
  <c r="R128" i="25" s="1"/>
  <c r="F129" i="25"/>
  <c r="E129" i="25"/>
  <c r="D129" i="25"/>
  <c r="P129" i="25" s="1"/>
  <c r="R129" i="25" s="1"/>
  <c r="F130" i="25"/>
  <c r="E130" i="25"/>
  <c r="D130" i="25"/>
  <c r="P130" i="25" s="1"/>
  <c r="R130" i="25" s="1"/>
  <c r="F131" i="25"/>
  <c r="E131" i="25"/>
  <c r="D131" i="25"/>
  <c r="P131" i="25" s="1"/>
  <c r="R131" i="25" s="1"/>
  <c r="F132" i="25"/>
  <c r="E132" i="25"/>
  <c r="D132" i="25"/>
  <c r="P132" i="25" s="1"/>
  <c r="R132" i="25" s="1"/>
  <c r="F133" i="25"/>
  <c r="E133" i="25"/>
  <c r="D133" i="25"/>
  <c r="P133" i="25" s="1"/>
  <c r="R133" i="25" s="1"/>
  <c r="F120" i="25"/>
  <c r="E120" i="25"/>
  <c r="D120" i="25"/>
  <c r="P120" i="25" s="1"/>
  <c r="R120" i="25" s="1"/>
  <c r="F121" i="25"/>
  <c r="E121" i="25"/>
  <c r="D121" i="25"/>
  <c r="P121" i="25" s="1"/>
  <c r="R121" i="25" s="1"/>
  <c r="F122" i="25"/>
  <c r="E122" i="25"/>
  <c r="D122" i="25"/>
  <c r="P122" i="25" s="1"/>
  <c r="R122" i="25" s="1"/>
  <c r="F123" i="25"/>
  <c r="E123" i="25"/>
  <c r="D123" i="25"/>
  <c r="P123" i="25" s="1"/>
  <c r="R123" i="25" s="1"/>
  <c r="F124" i="25"/>
  <c r="E124" i="25"/>
  <c r="D124" i="25"/>
  <c r="P124" i="25" s="1"/>
  <c r="R124" i="25" s="1"/>
  <c r="F125" i="25"/>
  <c r="E125" i="25"/>
  <c r="D125" i="25"/>
  <c r="P125" i="25" s="1"/>
  <c r="R125" i="25" s="1"/>
  <c r="F126" i="25"/>
  <c r="E126" i="25"/>
  <c r="D126" i="25"/>
  <c r="P126" i="25" s="1"/>
  <c r="R126" i="25" s="1"/>
  <c r="F111" i="25"/>
  <c r="E111" i="25"/>
  <c r="D111" i="25"/>
  <c r="P111" i="25" s="1"/>
  <c r="R111" i="25" s="1"/>
  <c r="F112" i="25"/>
  <c r="E112" i="25"/>
  <c r="D112" i="25"/>
  <c r="P112" i="25" s="1"/>
  <c r="R112" i="25" s="1"/>
  <c r="F113" i="25"/>
  <c r="E113" i="25"/>
  <c r="D113" i="25"/>
  <c r="P113" i="25" s="1"/>
  <c r="R113" i="25" s="1"/>
  <c r="F114" i="25"/>
  <c r="E114" i="25"/>
  <c r="D114" i="25"/>
  <c r="P114" i="25" s="1"/>
  <c r="R114" i="25" s="1"/>
  <c r="F115" i="25"/>
  <c r="E115" i="25"/>
  <c r="D115" i="25"/>
  <c r="P115" i="25" s="1"/>
  <c r="R115" i="25" s="1"/>
  <c r="F116" i="25"/>
  <c r="E116" i="25"/>
  <c r="D116" i="25"/>
  <c r="P116" i="25" s="1"/>
  <c r="R116" i="25" s="1"/>
  <c r="F117" i="25"/>
  <c r="E117" i="25"/>
  <c r="D117" i="25"/>
  <c r="P117" i="25" s="1"/>
  <c r="R117" i="25" s="1"/>
  <c r="F118" i="25"/>
  <c r="E118" i="25"/>
  <c r="D118" i="25"/>
  <c r="P118" i="25" s="1"/>
  <c r="R118" i="25" s="1"/>
  <c r="F119" i="25"/>
  <c r="E119" i="25"/>
  <c r="D119" i="25"/>
  <c r="P119" i="25" s="1"/>
  <c r="R119" i="25" s="1"/>
  <c r="F106" i="25"/>
  <c r="E106" i="25"/>
  <c r="D106" i="25"/>
  <c r="P106" i="25" s="1"/>
  <c r="R106" i="25" s="1"/>
  <c r="F107" i="25"/>
  <c r="E107" i="25"/>
  <c r="D107" i="25"/>
  <c r="P107" i="25" s="1"/>
  <c r="R107" i="25" s="1"/>
  <c r="F108" i="25"/>
  <c r="E108" i="25"/>
  <c r="D108" i="25"/>
  <c r="P108" i="25" s="1"/>
  <c r="R108" i="25" s="1"/>
  <c r="F109" i="25"/>
  <c r="E109" i="25"/>
  <c r="D109" i="25"/>
  <c r="P109" i="25" s="1"/>
  <c r="R109" i="25" s="1"/>
  <c r="F110" i="25"/>
  <c r="E110" i="25"/>
  <c r="D110" i="25"/>
  <c r="P110" i="25" s="1"/>
  <c r="R110" i="25" s="1"/>
  <c r="F101" i="25"/>
  <c r="E101" i="25"/>
  <c r="D101" i="25"/>
  <c r="P101" i="25" s="1"/>
  <c r="R101" i="25" s="1"/>
  <c r="F102" i="25"/>
  <c r="E102" i="25"/>
  <c r="D102" i="25"/>
  <c r="P102" i="25" s="1"/>
  <c r="R102" i="25" s="1"/>
  <c r="F103" i="25"/>
  <c r="E103" i="25"/>
  <c r="D103" i="25"/>
  <c r="P103" i="25" s="1"/>
  <c r="R103" i="25" s="1"/>
  <c r="F104" i="25"/>
  <c r="E104" i="25"/>
  <c r="D104" i="25"/>
  <c r="P104" i="25" s="1"/>
  <c r="R104" i="25" s="1"/>
  <c r="F105" i="25"/>
  <c r="E105" i="25"/>
  <c r="D105" i="25"/>
  <c r="P105" i="25" s="1"/>
  <c r="R105" i="25" s="1"/>
  <c r="F96" i="25"/>
  <c r="E96" i="25"/>
  <c r="D96" i="25"/>
  <c r="P96" i="25" s="1"/>
  <c r="R96" i="25" s="1"/>
  <c r="F97" i="25"/>
  <c r="E97" i="25"/>
  <c r="D97" i="25"/>
  <c r="P97" i="25" s="1"/>
  <c r="R97" i="25" s="1"/>
  <c r="F98" i="25"/>
  <c r="E98" i="25"/>
  <c r="D98" i="25"/>
  <c r="P98" i="25" s="1"/>
  <c r="R98" i="25" s="1"/>
  <c r="F99" i="25"/>
  <c r="E99" i="25"/>
  <c r="D99" i="25"/>
  <c r="P99" i="25" s="1"/>
  <c r="R99" i="25" s="1"/>
  <c r="F100" i="25"/>
  <c r="E100" i="25"/>
  <c r="D100" i="25"/>
  <c r="P100" i="25" s="1"/>
  <c r="R100" i="25" s="1"/>
  <c r="F90" i="25"/>
  <c r="E90" i="25"/>
  <c r="D90" i="25"/>
  <c r="P90" i="25" s="1"/>
  <c r="R90" i="25" s="1"/>
  <c r="F91" i="25"/>
  <c r="E91" i="25"/>
  <c r="D91" i="25"/>
  <c r="P91" i="25" s="1"/>
  <c r="R91" i="25" s="1"/>
  <c r="F92" i="25"/>
  <c r="E92" i="25"/>
  <c r="D92" i="25"/>
  <c r="P92" i="25" s="1"/>
  <c r="R92" i="25" s="1"/>
  <c r="F93" i="25"/>
  <c r="E93" i="25"/>
  <c r="D93" i="25"/>
  <c r="P93" i="25" s="1"/>
  <c r="R93" i="25" s="1"/>
  <c r="F94" i="25"/>
  <c r="E94" i="25"/>
  <c r="D94" i="25"/>
  <c r="P94" i="25" s="1"/>
  <c r="R94" i="25" s="1"/>
  <c r="F95" i="25"/>
  <c r="E95" i="25"/>
  <c r="D95" i="25"/>
  <c r="P95" i="25" s="1"/>
  <c r="R95" i="25" s="1"/>
  <c r="F84" i="25"/>
  <c r="E84" i="25"/>
  <c r="D84" i="25"/>
  <c r="P84" i="25" s="1"/>
  <c r="R84" i="25" s="1"/>
  <c r="F85" i="25"/>
  <c r="E85" i="25"/>
  <c r="D85" i="25"/>
  <c r="P85" i="25" s="1"/>
  <c r="R85" i="25" s="1"/>
  <c r="F86" i="25"/>
  <c r="E86" i="25"/>
  <c r="D86" i="25"/>
  <c r="P86" i="25" s="1"/>
  <c r="R86" i="25" s="1"/>
  <c r="F87" i="25"/>
  <c r="E87" i="25"/>
  <c r="D87" i="25"/>
  <c r="P87" i="25" s="1"/>
  <c r="R87" i="25" s="1"/>
  <c r="F88" i="25"/>
  <c r="E88" i="25"/>
  <c r="D88" i="25"/>
  <c r="P88" i="25" s="1"/>
  <c r="R88" i="25" s="1"/>
  <c r="F89" i="25"/>
  <c r="E89" i="25"/>
  <c r="D89" i="25"/>
  <c r="P89" i="25" s="1"/>
  <c r="R89" i="25" s="1"/>
  <c r="F78" i="25"/>
  <c r="E78" i="25"/>
  <c r="D78" i="25"/>
  <c r="P78" i="25" s="1"/>
  <c r="R78" i="25" s="1"/>
  <c r="F79" i="25"/>
  <c r="E79" i="25"/>
  <c r="D79" i="25"/>
  <c r="P79" i="25" s="1"/>
  <c r="R79" i="25" s="1"/>
  <c r="F80" i="25"/>
  <c r="E80" i="25"/>
  <c r="D80" i="25"/>
  <c r="P80" i="25" s="1"/>
  <c r="R80" i="25" s="1"/>
  <c r="F81" i="25"/>
  <c r="E81" i="25"/>
  <c r="D81" i="25"/>
  <c r="P81" i="25" s="1"/>
  <c r="R81" i="25" s="1"/>
  <c r="F82" i="25"/>
  <c r="E82" i="25"/>
  <c r="D82" i="25"/>
  <c r="P82" i="25" s="1"/>
  <c r="R82" i="25" s="1"/>
  <c r="F83" i="25"/>
  <c r="E83" i="25"/>
  <c r="D83" i="25"/>
  <c r="P83" i="25" s="1"/>
  <c r="R83" i="25" s="1"/>
  <c r="F72" i="25"/>
  <c r="E72" i="25"/>
  <c r="D72" i="25"/>
  <c r="P72" i="25" s="1"/>
  <c r="R72" i="25" s="1"/>
  <c r="F73" i="25"/>
  <c r="E73" i="25"/>
  <c r="D73" i="25"/>
  <c r="P73" i="25" s="1"/>
  <c r="R73" i="25" s="1"/>
  <c r="F74" i="25"/>
  <c r="E74" i="25"/>
  <c r="D74" i="25"/>
  <c r="P74" i="25" s="1"/>
  <c r="R74" i="25" s="1"/>
  <c r="F75" i="25"/>
  <c r="E75" i="25"/>
  <c r="D75" i="25"/>
  <c r="P75" i="25" s="1"/>
  <c r="R75" i="25" s="1"/>
  <c r="F76" i="25"/>
  <c r="E76" i="25"/>
  <c r="D76" i="25"/>
  <c r="P76" i="25" s="1"/>
  <c r="R76" i="25" s="1"/>
  <c r="F77" i="25"/>
  <c r="E77" i="25"/>
  <c r="D77" i="25"/>
  <c r="P77" i="25" s="1"/>
  <c r="R77" i="25" s="1"/>
  <c r="F68" i="25"/>
  <c r="E68" i="25"/>
  <c r="D68" i="25"/>
  <c r="P68" i="25" s="1"/>
  <c r="R68" i="25" s="1"/>
  <c r="F69" i="25"/>
  <c r="E69" i="25"/>
  <c r="D69" i="25"/>
  <c r="P69" i="25" s="1"/>
  <c r="R69" i="25" s="1"/>
  <c r="F70" i="25"/>
  <c r="E70" i="25"/>
  <c r="D70" i="25"/>
  <c r="P70" i="25" s="1"/>
  <c r="R70" i="25" s="1"/>
  <c r="F71" i="25"/>
  <c r="E71" i="25"/>
  <c r="D71" i="25"/>
  <c r="P71" i="25" s="1"/>
  <c r="R71" i="25" s="1"/>
  <c r="F64" i="25"/>
  <c r="E64" i="25"/>
  <c r="D64" i="25"/>
  <c r="P64" i="25" s="1"/>
  <c r="R64" i="25" s="1"/>
  <c r="F65" i="25"/>
  <c r="E65" i="25"/>
  <c r="D65" i="25"/>
  <c r="P65" i="25" s="1"/>
  <c r="R65" i="25" s="1"/>
  <c r="F66" i="25"/>
  <c r="E66" i="25"/>
  <c r="D66" i="25"/>
  <c r="P66" i="25" s="1"/>
  <c r="R66" i="25" s="1"/>
  <c r="F67" i="25"/>
  <c r="E67" i="25"/>
  <c r="D67" i="25"/>
  <c r="P67" i="25" s="1"/>
  <c r="R67" i="25" s="1"/>
  <c r="F60" i="25"/>
  <c r="E60" i="25"/>
  <c r="D60" i="25"/>
  <c r="P60" i="25" s="1"/>
  <c r="R60" i="25" s="1"/>
  <c r="F61" i="25"/>
  <c r="E61" i="25"/>
  <c r="D61" i="25"/>
  <c r="P61" i="25" s="1"/>
  <c r="R61" i="25" s="1"/>
  <c r="F62" i="25"/>
  <c r="E62" i="25"/>
  <c r="D62" i="25"/>
  <c r="P62" i="25" s="1"/>
  <c r="R62" i="25" s="1"/>
  <c r="F63" i="25"/>
  <c r="E63" i="25"/>
  <c r="D63" i="25"/>
  <c r="P63" i="25" s="1"/>
  <c r="R63" i="25" s="1"/>
  <c r="F56" i="25"/>
  <c r="E56" i="25"/>
  <c r="D56" i="25"/>
  <c r="P56" i="25" s="1"/>
  <c r="R56" i="25" s="1"/>
  <c r="F57" i="25"/>
  <c r="E57" i="25"/>
  <c r="D57" i="25"/>
  <c r="P57" i="25" s="1"/>
  <c r="R57" i="25" s="1"/>
  <c r="F58" i="25"/>
  <c r="E58" i="25"/>
  <c r="D58" i="25"/>
  <c r="P58" i="25" s="1"/>
  <c r="R58" i="25" s="1"/>
  <c r="F59" i="25"/>
  <c r="E59" i="25"/>
  <c r="D59" i="25"/>
  <c r="P59" i="25" s="1"/>
  <c r="R59" i="25" s="1"/>
  <c r="F52" i="25"/>
  <c r="E52" i="25"/>
  <c r="D52" i="25"/>
  <c r="P52" i="25" s="1"/>
  <c r="R52" i="25" s="1"/>
  <c r="F53" i="25"/>
  <c r="E53" i="25"/>
  <c r="D53" i="25"/>
  <c r="P53" i="25" s="1"/>
  <c r="R53" i="25" s="1"/>
  <c r="F54" i="25"/>
  <c r="E54" i="25"/>
  <c r="D54" i="25"/>
  <c r="P54" i="25" s="1"/>
  <c r="R54" i="25" s="1"/>
  <c r="F55" i="25"/>
  <c r="E55" i="25"/>
  <c r="D55" i="25"/>
  <c r="P55" i="25" s="1"/>
  <c r="R55" i="25" s="1"/>
  <c r="F48" i="25"/>
  <c r="E48" i="25"/>
  <c r="D48" i="25"/>
  <c r="P48" i="25" s="1"/>
  <c r="R48" i="25" s="1"/>
  <c r="F49" i="25"/>
  <c r="E49" i="25"/>
  <c r="D49" i="25"/>
  <c r="P49" i="25" s="1"/>
  <c r="R49" i="25" s="1"/>
  <c r="F50" i="25"/>
  <c r="E50" i="25"/>
  <c r="D50" i="25"/>
  <c r="P50" i="25" s="1"/>
  <c r="R50" i="25" s="1"/>
  <c r="F51" i="25"/>
  <c r="E51" i="25"/>
  <c r="D51" i="25"/>
  <c r="P51" i="25" s="1"/>
  <c r="R51" i="25" s="1"/>
  <c r="F44" i="25"/>
  <c r="E44" i="25"/>
  <c r="D44" i="25"/>
  <c r="P44" i="25" s="1"/>
  <c r="R44" i="25" s="1"/>
  <c r="F45" i="25"/>
  <c r="E45" i="25"/>
  <c r="D45" i="25"/>
  <c r="P45" i="25" s="1"/>
  <c r="R45" i="25" s="1"/>
  <c r="F46" i="25"/>
  <c r="E46" i="25"/>
  <c r="D46" i="25"/>
  <c r="P46" i="25" s="1"/>
  <c r="R46" i="25" s="1"/>
  <c r="F47" i="25"/>
  <c r="E47" i="25"/>
  <c r="D47" i="25"/>
  <c r="P47" i="25" s="1"/>
  <c r="R47" i="25" s="1"/>
  <c r="F40" i="25"/>
  <c r="E40" i="25"/>
  <c r="D40" i="25"/>
  <c r="P40" i="25" s="1"/>
  <c r="R40" i="25" s="1"/>
  <c r="F41" i="25"/>
  <c r="E41" i="25"/>
  <c r="D41" i="25"/>
  <c r="P41" i="25" s="1"/>
  <c r="R41" i="25" s="1"/>
  <c r="F42" i="25"/>
  <c r="E42" i="25"/>
  <c r="D42" i="25"/>
  <c r="P42" i="25" s="1"/>
  <c r="R42" i="25" s="1"/>
  <c r="F43" i="25"/>
  <c r="E43" i="25"/>
  <c r="D43" i="25"/>
  <c r="P43" i="25" s="1"/>
  <c r="R43" i="25" s="1"/>
  <c r="F36" i="25"/>
  <c r="E36" i="25"/>
  <c r="D36" i="25"/>
  <c r="P36" i="25" s="1"/>
  <c r="R36" i="25" s="1"/>
  <c r="F37" i="25"/>
  <c r="E37" i="25"/>
  <c r="D37" i="25"/>
  <c r="P37" i="25" s="1"/>
  <c r="R37" i="25" s="1"/>
  <c r="F38" i="25"/>
  <c r="E38" i="25"/>
  <c r="D38" i="25"/>
  <c r="P38" i="25" s="1"/>
  <c r="R38" i="25" s="1"/>
  <c r="F39" i="25"/>
  <c r="E39" i="25"/>
  <c r="D39" i="25"/>
  <c r="P39" i="25" s="1"/>
  <c r="R39" i="25" s="1"/>
  <c r="F32" i="25"/>
  <c r="E32" i="25"/>
  <c r="D32" i="25"/>
  <c r="P32" i="25" s="1"/>
  <c r="R32" i="25" s="1"/>
  <c r="F33" i="25"/>
  <c r="E33" i="25"/>
  <c r="D33" i="25"/>
  <c r="P33" i="25" s="1"/>
  <c r="R33" i="25" s="1"/>
  <c r="F34" i="25"/>
  <c r="E34" i="25"/>
  <c r="D34" i="25"/>
  <c r="P34" i="25" s="1"/>
  <c r="R34" i="25" s="1"/>
  <c r="F35" i="25"/>
  <c r="E35" i="25"/>
  <c r="D35" i="25"/>
  <c r="P35" i="25" s="1"/>
  <c r="R35" i="25" s="1"/>
  <c r="F28" i="25"/>
  <c r="E28" i="25"/>
  <c r="D28" i="25"/>
  <c r="P28" i="25" s="1"/>
  <c r="R28" i="25" s="1"/>
  <c r="F29" i="25"/>
  <c r="E29" i="25"/>
  <c r="D29" i="25"/>
  <c r="P29" i="25" s="1"/>
  <c r="R29" i="25" s="1"/>
  <c r="F30" i="25"/>
  <c r="E30" i="25"/>
  <c r="D30" i="25"/>
  <c r="P30" i="25" s="1"/>
  <c r="R30" i="25" s="1"/>
  <c r="F31" i="25"/>
  <c r="E31" i="25"/>
  <c r="D31" i="25"/>
  <c r="P31" i="25" s="1"/>
  <c r="R31" i="25" s="1"/>
  <c r="F24" i="25"/>
  <c r="E24" i="25"/>
  <c r="D24" i="25"/>
  <c r="P24" i="25" s="1"/>
  <c r="R24" i="25" s="1"/>
  <c r="F25" i="25"/>
  <c r="E25" i="25"/>
  <c r="D25" i="25"/>
  <c r="P25" i="25" s="1"/>
  <c r="R25" i="25" s="1"/>
  <c r="F26" i="25"/>
  <c r="E26" i="25"/>
  <c r="D26" i="25"/>
  <c r="P26" i="25" s="1"/>
  <c r="R26" i="25" s="1"/>
  <c r="F27" i="25"/>
  <c r="E27" i="25"/>
  <c r="D27" i="25"/>
  <c r="P27" i="25" s="1"/>
  <c r="R27" i="25" s="1"/>
  <c r="F20" i="25"/>
  <c r="E20" i="25"/>
  <c r="D20" i="25"/>
  <c r="P20" i="25" s="1"/>
  <c r="R20" i="25" s="1"/>
  <c r="F21" i="25"/>
  <c r="E21" i="25"/>
  <c r="D21" i="25"/>
  <c r="P21" i="25" s="1"/>
  <c r="R21" i="25" s="1"/>
  <c r="F22" i="25"/>
  <c r="E22" i="25"/>
  <c r="D22" i="25"/>
  <c r="P22" i="25" s="1"/>
  <c r="R22" i="25" s="1"/>
  <c r="F23" i="25"/>
  <c r="E23" i="25"/>
  <c r="D23" i="25"/>
  <c r="P23" i="25" s="1"/>
  <c r="R23" i="25" s="1"/>
  <c r="F17" i="25"/>
  <c r="E17" i="25"/>
  <c r="D17" i="25"/>
  <c r="P17" i="25" s="1"/>
  <c r="R17" i="25" s="1"/>
  <c r="F18" i="25"/>
  <c r="E18" i="25"/>
  <c r="D18" i="25"/>
  <c r="P18" i="25" s="1"/>
  <c r="R18" i="25" s="1"/>
  <c r="X1069" i="4" l="1"/>
  <c r="M1069" i="4"/>
  <c r="L1069" i="4"/>
  <c r="X1068" i="4"/>
  <c r="M1068" i="4"/>
  <c r="L1068" i="4"/>
  <c r="N1069" i="4" l="1"/>
  <c r="O1069" i="4" s="1"/>
  <c r="N1068" i="4"/>
  <c r="O1068" i="4" s="1"/>
  <c r="X696" i="4" l="1"/>
  <c r="M696" i="4"/>
  <c r="L696" i="4"/>
  <c r="X612" i="4"/>
  <c r="M612" i="4"/>
  <c r="L612" i="4"/>
  <c r="X529" i="4"/>
  <c r="M529" i="4"/>
  <c r="L529" i="4"/>
  <c r="X440" i="4"/>
  <c r="M440" i="4"/>
  <c r="L440" i="4"/>
  <c r="X353" i="4"/>
  <c r="M353" i="4"/>
  <c r="L353" i="4"/>
  <c r="J14" i="30"/>
  <c r="X681" i="4"/>
  <c r="M681" i="4"/>
  <c r="L681" i="4"/>
  <c r="X260" i="4"/>
  <c r="M260" i="4"/>
  <c r="L260" i="4"/>
  <c r="X259" i="4"/>
  <c r="M259" i="4"/>
  <c r="L259" i="4"/>
  <c r="B98" i="13"/>
  <c r="X1063" i="4"/>
  <c r="M1063" i="4"/>
  <c r="L1063" i="4"/>
  <c r="H95" i="1"/>
  <c r="B105" i="14" s="1"/>
  <c r="N696" i="4" l="1"/>
  <c r="N612" i="4"/>
  <c r="N529" i="4"/>
  <c r="N440" i="4"/>
  <c r="N353" i="4"/>
  <c r="N681" i="4"/>
  <c r="N260" i="4"/>
  <c r="N259" i="4"/>
  <c r="C98" i="13"/>
  <c r="N1063" i="4"/>
  <c r="G98" i="13" l="1"/>
  <c r="F98" i="13"/>
  <c r="X1057" i="4" l="1"/>
  <c r="M1057" i="4"/>
  <c r="L1057" i="4"/>
  <c r="B164" i="19"/>
  <c r="B163" i="19"/>
  <c r="B160" i="19"/>
  <c r="B156" i="19"/>
  <c r="B155" i="19"/>
  <c r="B154" i="19"/>
  <c r="B153" i="19"/>
  <c r="B152" i="19"/>
  <c r="B143" i="19"/>
  <c r="B142" i="19"/>
  <c r="B138" i="19"/>
  <c r="B137" i="19"/>
  <c r="B94" i="19"/>
  <c r="B93" i="19"/>
  <c r="B65" i="19"/>
  <c r="B64" i="19"/>
  <c r="B63" i="19"/>
  <c r="B62" i="19"/>
  <c r="B61" i="19"/>
  <c r="B55" i="19"/>
  <c r="B54" i="19"/>
  <c r="B29" i="19"/>
  <c r="B28" i="19"/>
  <c r="B27" i="19"/>
  <c r="B26" i="19"/>
  <c r="B18" i="19"/>
  <c r="B17" i="19"/>
  <c r="B9" i="19"/>
  <c r="B9" i="24"/>
  <c r="B154" i="18"/>
  <c r="B153" i="18"/>
  <c r="B143" i="18"/>
  <c r="B142" i="18"/>
  <c r="B141" i="18"/>
  <c r="B138" i="18"/>
  <c r="B137" i="18"/>
  <c r="B130" i="18"/>
  <c r="B129" i="18"/>
  <c r="N1057" i="4" l="1"/>
  <c r="S155" i="19"/>
  <c r="S156" i="19"/>
  <c r="S160" i="19"/>
  <c r="S143" i="19"/>
  <c r="S138" i="19"/>
  <c r="S94" i="19"/>
  <c r="S64" i="19"/>
  <c r="S65" i="19"/>
  <c r="S55" i="19"/>
  <c r="S28" i="19"/>
  <c r="S29" i="19"/>
  <c r="S18" i="19"/>
  <c r="S9" i="19"/>
  <c r="S143" i="18"/>
  <c r="S138" i="18"/>
  <c r="S130" i="18"/>
  <c r="B120" i="18"/>
  <c r="B119" i="18"/>
  <c r="B118" i="18"/>
  <c r="B116" i="18"/>
  <c r="B115" i="18"/>
  <c r="B114" i="18"/>
  <c r="B111" i="18"/>
  <c r="B110" i="18"/>
  <c r="B106" i="18"/>
  <c r="B105" i="18"/>
  <c r="B84" i="18"/>
  <c r="B83" i="18"/>
  <c r="B74" i="13"/>
  <c r="B271" i="13"/>
  <c r="B272" i="13"/>
  <c r="C272" i="13"/>
  <c r="F272" i="13"/>
  <c r="G272" i="13"/>
  <c r="B270" i="13"/>
  <c r="H268" i="1"/>
  <c r="B151" i="15" s="1"/>
  <c r="B151" i="19" s="1"/>
  <c r="H71" i="1"/>
  <c r="B68" i="18"/>
  <c r="B66" i="18"/>
  <c r="B65" i="18"/>
  <c r="B52" i="18"/>
  <c r="B51" i="18"/>
  <c r="B50" i="18"/>
  <c r="O19" i="25"/>
  <c r="N19" i="25"/>
  <c r="M19" i="25"/>
  <c r="L19" i="25"/>
  <c r="K19" i="25"/>
  <c r="J19" i="25"/>
  <c r="I19" i="25"/>
  <c r="H19" i="25"/>
  <c r="G19" i="25"/>
  <c r="O16" i="25"/>
  <c r="N16" i="25"/>
  <c r="M16" i="25"/>
  <c r="L16" i="25"/>
  <c r="K16" i="25"/>
  <c r="J16" i="25"/>
  <c r="I16" i="25"/>
  <c r="H16" i="25"/>
  <c r="G16" i="25"/>
  <c r="O15" i="25"/>
  <c r="N15" i="25"/>
  <c r="M15" i="25"/>
  <c r="L15" i="25"/>
  <c r="K15" i="25"/>
  <c r="J15" i="25"/>
  <c r="I15" i="25"/>
  <c r="H15" i="25"/>
  <c r="G15" i="25"/>
  <c r="O9" i="25"/>
  <c r="N9" i="25"/>
  <c r="M9" i="25"/>
  <c r="L9" i="25"/>
  <c r="K9" i="25"/>
  <c r="J9" i="25"/>
  <c r="I9" i="25"/>
  <c r="H9" i="25"/>
  <c r="G9" i="25"/>
  <c r="X991" i="4"/>
  <c r="M991" i="4"/>
  <c r="L991" i="4"/>
  <c r="X990" i="4"/>
  <c r="M990" i="4"/>
  <c r="L990" i="4"/>
  <c r="X1045" i="4"/>
  <c r="M1045" i="4"/>
  <c r="L1045" i="4"/>
  <c r="X1016" i="4"/>
  <c r="M1016" i="4"/>
  <c r="L1016" i="4"/>
  <c r="X995" i="4"/>
  <c r="M995" i="4"/>
  <c r="L995" i="4"/>
  <c r="X984" i="4"/>
  <c r="M984" i="4"/>
  <c r="L984" i="4"/>
  <c r="X964" i="4"/>
  <c r="M964" i="4"/>
  <c r="L964" i="4"/>
  <c r="B82" i="14" l="1"/>
  <c r="B82" i="18" s="1"/>
  <c r="S120" i="18"/>
  <c r="S119" i="18"/>
  <c r="S118" i="18"/>
  <c r="S117" i="18"/>
  <c r="S111" i="18"/>
  <c r="S106" i="18"/>
  <c r="S84" i="18"/>
  <c r="C74" i="13"/>
  <c r="C271" i="13"/>
  <c r="C270" i="13"/>
  <c r="S68" i="18"/>
  <c r="S67" i="18"/>
  <c r="S52" i="18"/>
  <c r="N991" i="4"/>
  <c r="N990" i="4"/>
  <c r="N1045" i="4"/>
  <c r="N1016" i="4"/>
  <c r="N995" i="4"/>
  <c r="O995" i="4" s="1"/>
  <c r="N984" i="4"/>
  <c r="N964" i="4"/>
  <c r="G74" i="13" l="1"/>
  <c r="F74" i="13"/>
  <c r="G271" i="13"/>
  <c r="F271" i="13"/>
  <c r="G270" i="13"/>
  <c r="F270" i="13"/>
  <c r="X934" i="4"/>
  <c r="M934" i="4"/>
  <c r="L934" i="4"/>
  <c r="X933" i="4"/>
  <c r="M933" i="4"/>
  <c r="L933" i="4"/>
  <c r="N934" i="4" l="1"/>
  <c r="N933" i="4"/>
  <c r="X915" i="4" l="1"/>
  <c r="M915" i="4"/>
  <c r="L915" i="4"/>
  <c r="X908" i="4"/>
  <c r="M908" i="4"/>
  <c r="L908" i="4"/>
  <c r="X817" i="4"/>
  <c r="M817" i="4"/>
  <c r="L817" i="4"/>
  <c r="X816" i="4"/>
  <c r="M816" i="4"/>
  <c r="L816" i="4"/>
  <c r="X815" i="4"/>
  <c r="M815" i="4"/>
  <c r="L815" i="4"/>
  <c r="X814" i="4"/>
  <c r="M814" i="4"/>
  <c r="L814" i="4"/>
  <c r="X813" i="4"/>
  <c r="M813" i="4"/>
  <c r="L813" i="4"/>
  <c r="X820" i="4"/>
  <c r="M820" i="4"/>
  <c r="L820" i="4"/>
  <c r="X791" i="4"/>
  <c r="M791" i="4"/>
  <c r="L791" i="4"/>
  <c r="X790" i="4"/>
  <c r="M790" i="4"/>
  <c r="L790" i="4"/>
  <c r="B45" i="18"/>
  <c r="B44" i="18"/>
  <c r="B34" i="18"/>
  <c r="B35" i="18"/>
  <c r="X826" i="4"/>
  <c r="M826" i="4"/>
  <c r="L826" i="4"/>
  <c r="X825" i="4"/>
  <c r="M825" i="4"/>
  <c r="L825" i="4"/>
  <c r="L879" i="4"/>
  <c r="M879" i="4"/>
  <c r="N879" i="4"/>
  <c r="X879" i="4"/>
  <c r="X852" i="4"/>
  <c r="M852" i="4"/>
  <c r="L852" i="4"/>
  <c r="X844" i="4"/>
  <c r="M844" i="4"/>
  <c r="L844" i="4"/>
  <c r="N915" i="4" l="1"/>
  <c r="N908" i="4"/>
  <c r="N817" i="4"/>
  <c r="N814" i="4"/>
  <c r="N815" i="4"/>
  <c r="N816" i="4"/>
  <c r="N813" i="4"/>
  <c r="N820" i="4"/>
  <c r="N791" i="4"/>
  <c r="N790" i="4"/>
  <c r="N825" i="4"/>
  <c r="N826" i="4"/>
  <c r="N852" i="4"/>
  <c r="N844" i="4"/>
  <c r="X812" i="4" l="1"/>
  <c r="M812" i="4"/>
  <c r="L812" i="4"/>
  <c r="X811" i="4"/>
  <c r="M811" i="4"/>
  <c r="L811" i="4"/>
  <c r="X839" i="4"/>
  <c r="M839" i="4"/>
  <c r="L839" i="4"/>
  <c r="X928" i="4"/>
  <c r="M928" i="4"/>
  <c r="L928" i="4"/>
  <c r="X927" i="4"/>
  <c r="M927" i="4"/>
  <c r="L927" i="4"/>
  <c r="X926" i="4"/>
  <c r="M926" i="4"/>
  <c r="L926" i="4"/>
  <c r="X925" i="4"/>
  <c r="M925" i="4"/>
  <c r="L925" i="4"/>
  <c r="X924" i="4"/>
  <c r="M924" i="4"/>
  <c r="L924" i="4"/>
  <c r="X923" i="4"/>
  <c r="M923" i="4"/>
  <c r="L923" i="4"/>
  <c r="X922" i="4"/>
  <c r="M922" i="4"/>
  <c r="L922" i="4"/>
  <c r="X921" i="4"/>
  <c r="M921" i="4"/>
  <c r="L921" i="4"/>
  <c r="X920" i="4"/>
  <c r="M920" i="4"/>
  <c r="L920" i="4"/>
  <c r="X919" i="4"/>
  <c r="M919" i="4"/>
  <c r="L919" i="4"/>
  <c r="X918" i="4"/>
  <c r="M918" i="4"/>
  <c r="L918" i="4"/>
  <c r="X917" i="4"/>
  <c r="M917" i="4"/>
  <c r="L917" i="4"/>
  <c r="X916" i="4"/>
  <c r="M916" i="4"/>
  <c r="L916" i="4"/>
  <c r="X914" i="4"/>
  <c r="M914" i="4"/>
  <c r="L914" i="4"/>
  <c r="X913" i="4"/>
  <c r="M913" i="4"/>
  <c r="L913" i="4"/>
  <c r="X912" i="4"/>
  <c r="M912" i="4"/>
  <c r="L912" i="4"/>
  <c r="X911" i="4"/>
  <c r="M911" i="4"/>
  <c r="L911" i="4"/>
  <c r="X910" i="4"/>
  <c r="M910" i="4"/>
  <c r="L910" i="4"/>
  <c r="X909" i="4"/>
  <c r="M909" i="4"/>
  <c r="L909" i="4"/>
  <c r="X907" i="4"/>
  <c r="M907" i="4"/>
  <c r="L907" i="4"/>
  <c r="X906" i="4"/>
  <c r="M906" i="4"/>
  <c r="L906" i="4"/>
  <c r="X905" i="4"/>
  <c r="M905" i="4"/>
  <c r="L905" i="4"/>
  <c r="X904" i="4"/>
  <c r="M904" i="4"/>
  <c r="L904" i="4"/>
  <c r="X903" i="4"/>
  <c r="M903" i="4"/>
  <c r="L903" i="4"/>
  <c r="X902" i="4"/>
  <c r="M902" i="4"/>
  <c r="L902" i="4"/>
  <c r="X901" i="4"/>
  <c r="M901" i="4"/>
  <c r="L901" i="4"/>
  <c r="X900" i="4"/>
  <c r="M900" i="4"/>
  <c r="L900" i="4"/>
  <c r="X899" i="4"/>
  <c r="M899" i="4"/>
  <c r="L899" i="4"/>
  <c r="X898" i="4"/>
  <c r="M898" i="4"/>
  <c r="L898" i="4"/>
  <c r="X897" i="4"/>
  <c r="M897" i="4"/>
  <c r="L897" i="4"/>
  <c r="X896" i="4"/>
  <c r="M896" i="4"/>
  <c r="L896" i="4"/>
  <c r="X895" i="4"/>
  <c r="M895" i="4"/>
  <c r="L895" i="4"/>
  <c r="X894" i="4"/>
  <c r="M894" i="4"/>
  <c r="L894" i="4"/>
  <c r="X893" i="4"/>
  <c r="M893" i="4"/>
  <c r="L893" i="4"/>
  <c r="X892" i="4"/>
  <c r="M892" i="4"/>
  <c r="L892" i="4"/>
  <c r="X891" i="4"/>
  <c r="M891" i="4"/>
  <c r="L891" i="4"/>
  <c r="X890" i="4"/>
  <c r="M890" i="4"/>
  <c r="L890" i="4"/>
  <c r="X889" i="4"/>
  <c r="M889" i="4"/>
  <c r="L889" i="4"/>
  <c r="X888" i="4"/>
  <c r="M888" i="4"/>
  <c r="L888" i="4"/>
  <c r="X887" i="4"/>
  <c r="M887" i="4"/>
  <c r="L887" i="4"/>
  <c r="X886" i="4"/>
  <c r="M886" i="4"/>
  <c r="L886" i="4"/>
  <c r="X885" i="4"/>
  <c r="M885" i="4"/>
  <c r="L885" i="4"/>
  <c r="X884" i="4"/>
  <c r="M884" i="4"/>
  <c r="L884" i="4"/>
  <c r="X883" i="4"/>
  <c r="M883" i="4"/>
  <c r="L883" i="4"/>
  <c r="X882" i="4"/>
  <c r="M882" i="4"/>
  <c r="L882" i="4"/>
  <c r="X881" i="4"/>
  <c r="M881" i="4"/>
  <c r="L881" i="4"/>
  <c r="X880" i="4"/>
  <c r="M880" i="4"/>
  <c r="L880" i="4"/>
  <c r="X878" i="4"/>
  <c r="M878" i="4"/>
  <c r="L878" i="4"/>
  <c r="X877" i="4"/>
  <c r="M877" i="4"/>
  <c r="L877" i="4"/>
  <c r="X876" i="4"/>
  <c r="M876" i="4"/>
  <c r="L876" i="4"/>
  <c r="X875" i="4"/>
  <c r="M875" i="4"/>
  <c r="L875" i="4"/>
  <c r="X874" i="4"/>
  <c r="M874" i="4"/>
  <c r="L874" i="4"/>
  <c r="X873" i="4"/>
  <c r="M873" i="4"/>
  <c r="L873" i="4"/>
  <c r="X872" i="4"/>
  <c r="M872" i="4"/>
  <c r="L872" i="4"/>
  <c r="X871" i="4"/>
  <c r="M871" i="4"/>
  <c r="L871" i="4"/>
  <c r="X870" i="4"/>
  <c r="M870" i="4"/>
  <c r="L870" i="4"/>
  <c r="X869" i="4"/>
  <c r="M869" i="4"/>
  <c r="L869" i="4"/>
  <c r="X868" i="4"/>
  <c r="M868" i="4"/>
  <c r="L868" i="4"/>
  <c r="X867" i="4"/>
  <c r="M867" i="4"/>
  <c r="L867" i="4"/>
  <c r="X866" i="4"/>
  <c r="M866" i="4"/>
  <c r="L866" i="4"/>
  <c r="X865" i="4"/>
  <c r="M865" i="4"/>
  <c r="L865" i="4"/>
  <c r="X864" i="4"/>
  <c r="M864" i="4"/>
  <c r="L864" i="4"/>
  <c r="X863" i="4"/>
  <c r="M863" i="4"/>
  <c r="L863" i="4"/>
  <c r="X862" i="4"/>
  <c r="M862" i="4"/>
  <c r="L862" i="4"/>
  <c r="X861" i="4"/>
  <c r="M861" i="4"/>
  <c r="L861" i="4"/>
  <c r="X860" i="4"/>
  <c r="M860" i="4"/>
  <c r="L860" i="4"/>
  <c r="X859" i="4"/>
  <c r="M859" i="4"/>
  <c r="L859" i="4"/>
  <c r="X858" i="4"/>
  <c r="M858" i="4"/>
  <c r="L858" i="4"/>
  <c r="X857" i="4"/>
  <c r="M857" i="4"/>
  <c r="L857" i="4"/>
  <c r="X856" i="4"/>
  <c r="M856" i="4"/>
  <c r="L856" i="4"/>
  <c r="X855" i="4"/>
  <c r="M855" i="4"/>
  <c r="L855" i="4"/>
  <c r="X854" i="4"/>
  <c r="M854" i="4"/>
  <c r="L854" i="4"/>
  <c r="X853" i="4"/>
  <c r="M853" i="4"/>
  <c r="L853" i="4"/>
  <c r="X851" i="4"/>
  <c r="M851" i="4"/>
  <c r="L851" i="4"/>
  <c r="X850" i="4"/>
  <c r="M850" i="4"/>
  <c r="L850" i="4"/>
  <c r="X849" i="4"/>
  <c r="M849" i="4"/>
  <c r="L849" i="4"/>
  <c r="X848" i="4"/>
  <c r="M848" i="4"/>
  <c r="L848" i="4"/>
  <c r="X847" i="4"/>
  <c r="M847" i="4"/>
  <c r="L847" i="4"/>
  <c r="X846" i="4"/>
  <c r="M846" i="4"/>
  <c r="L846" i="4"/>
  <c r="X845" i="4"/>
  <c r="M845" i="4"/>
  <c r="L845" i="4"/>
  <c r="X843" i="4"/>
  <c r="M843" i="4"/>
  <c r="L843" i="4"/>
  <c r="X842" i="4"/>
  <c r="M842" i="4"/>
  <c r="L842" i="4"/>
  <c r="X841" i="4"/>
  <c r="M841" i="4"/>
  <c r="L841" i="4"/>
  <c r="X840" i="4"/>
  <c r="M840" i="4"/>
  <c r="L840" i="4"/>
  <c r="X838" i="4"/>
  <c r="M838" i="4"/>
  <c r="L838" i="4"/>
  <c r="X837" i="4"/>
  <c r="M837" i="4"/>
  <c r="L837" i="4"/>
  <c r="X836" i="4"/>
  <c r="M836" i="4"/>
  <c r="L836" i="4"/>
  <c r="X835" i="4"/>
  <c r="M835" i="4"/>
  <c r="L835" i="4"/>
  <c r="X834" i="4"/>
  <c r="M834" i="4"/>
  <c r="L834" i="4"/>
  <c r="X833" i="4"/>
  <c r="M833" i="4"/>
  <c r="L833" i="4"/>
  <c r="X832" i="4"/>
  <c r="M832" i="4"/>
  <c r="L832" i="4"/>
  <c r="X831" i="4"/>
  <c r="M831" i="4"/>
  <c r="L831" i="4"/>
  <c r="X830" i="4"/>
  <c r="M830" i="4"/>
  <c r="L830" i="4"/>
  <c r="X829" i="4"/>
  <c r="M829" i="4"/>
  <c r="L829" i="4"/>
  <c r="X828" i="4"/>
  <c r="M828" i="4"/>
  <c r="L828" i="4"/>
  <c r="X827" i="4"/>
  <c r="M827" i="4"/>
  <c r="L827" i="4"/>
  <c r="X824" i="4"/>
  <c r="M824" i="4"/>
  <c r="L824" i="4"/>
  <c r="X823" i="4"/>
  <c r="M823" i="4"/>
  <c r="L823" i="4"/>
  <c r="X822" i="4"/>
  <c r="M822" i="4"/>
  <c r="L822" i="4"/>
  <c r="X821" i="4"/>
  <c r="M821" i="4"/>
  <c r="L821" i="4"/>
  <c r="X819" i="4"/>
  <c r="M819" i="4"/>
  <c r="L819" i="4"/>
  <c r="X818" i="4"/>
  <c r="M818" i="4"/>
  <c r="L818" i="4"/>
  <c r="X810" i="4"/>
  <c r="M810" i="4"/>
  <c r="L810" i="4"/>
  <c r="X809" i="4"/>
  <c r="M809" i="4"/>
  <c r="L809" i="4"/>
  <c r="X808" i="4"/>
  <c r="M808" i="4"/>
  <c r="L808" i="4"/>
  <c r="X807" i="4"/>
  <c r="M807" i="4"/>
  <c r="L807" i="4"/>
  <c r="X806" i="4"/>
  <c r="M806" i="4"/>
  <c r="L806" i="4"/>
  <c r="X805" i="4"/>
  <c r="M805" i="4"/>
  <c r="L805" i="4"/>
  <c r="X804" i="4"/>
  <c r="M804" i="4"/>
  <c r="L804" i="4"/>
  <c r="X803" i="4"/>
  <c r="M803" i="4"/>
  <c r="L803" i="4"/>
  <c r="X802" i="4"/>
  <c r="M802" i="4"/>
  <c r="L802" i="4"/>
  <c r="X801" i="4"/>
  <c r="M801" i="4"/>
  <c r="L801" i="4"/>
  <c r="X800" i="4"/>
  <c r="M800" i="4"/>
  <c r="L800" i="4"/>
  <c r="X799" i="4"/>
  <c r="M799" i="4"/>
  <c r="L799" i="4"/>
  <c r="X798" i="4"/>
  <c r="M798" i="4"/>
  <c r="L798" i="4"/>
  <c r="X797" i="4"/>
  <c r="M797" i="4"/>
  <c r="L797" i="4"/>
  <c r="X796" i="4"/>
  <c r="M796" i="4"/>
  <c r="L796" i="4"/>
  <c r="X795" i="4"/>
  <c r="M795" i="4"/>
  <c r="L795" i="4"/>
  <c r="X794" i="4"/>
  <c r="M794" i="4"/>
  <c r="L794" i="4"/>
  <c r="X793" i="4"/>
  <c r="M793" i="4"/>
  <c r="L793" i="4"/>
  <c r="X792" i="4"/>
  <c r="M792" i="4"/>
  <c r="L792" i="4"/>
  <c r="X1344" i="4"/>
  <c r="M1344" i="4"/>
  <c r="L1344" i="4"/>
  <c r="X1343" i="4"/>
  <c r="M1343" i="4"/>
  <c r="L1343" i="4"/>
  <c r="X1342" i="4"/>
  <c r="M1342" i="4"/>
  <c r="L1342" i="4"/>
  <c r="X1341" i="4"/>
  <c r="M1341" i="4"/>
  <c r="L1341" i="4"/>
  <c r="X1340" i="4"/>
  <c r="M1340" i="4"/>
  <c r="L1340" i="4"/>
  <c r="X1339" i="4"/>
  <c r="M1339" i="4"/>
  <c r="L1339" i="4"/>
  <c r="X1338" i="4"/>
  <c r="M1338" i="4"/>
  <c r="L1338" i="4"/>
  <c r="X1337" i="4"/>
  <c r="M1337" i="4"/>
  <c r="L1337" i="4"/>
  <c r="X1336" i="4"/>
  <c r="M1336" i="4"/>
  <c r="L1336" i="4"/>
  <c r="X1335" i="4"/>
  <c r="M1335" i="4"/>
  <c r="L1335" i="4"/>
  <c r="X1334" i="4"/>
  <c r="M1334" i="4"/>
  <c r="L1334" i="4"/>
  <c r="X1333" i="4"/>
  <c r="M1333" i="4"/>
  <c r="L1333" i="4"/>
  <c r="X1332" i="4"/>
  <c r="M1332" i="4"/>
  <c r="L1332" i="4"/>
  <c r="X1331" i="4"/>
  <c r="M1331" i="4"/>
  <c r="L1331" i="4"/>
  <c r="X1330" i="4"/>
  <c r="M1330" i="4"/>
  <c r="L1330" i="4"/>
  <c r="X1329" i="4"/>
  <c r="M1329" i="4"/>
  <c r="L1329" i="4"/>
  <c r="X1328" i="4"/>
  <c r="M1328" i="4"/>
  <c r="L1328" i="4"/>
  <c r="X1327" i="4"/>
  <c r="M1327" i="4"/>
  <c r="L1327" i="4"/>
  <c r="X1326" i="4"/>
  <c r="M1326" i="4"/>
  <c r="L1326" i="4"/>
  <c r="X1325" i="4"/>
  <c r="M1325" i="4"/>
  <c r="L1325" i="4"/>
  <c r="X1324" i="4"/>
  <c r="M1324" i="4"/>
  <c r="L1324" i="4"/>
  <c r="X1323" i="4"/>
  <c r="M1323" i="4"/>
  <c r="L1323" i="4"/>
  <c r="X1322" i="4"/>
  <c r="M1322" i="4"/>
  <c r="L1322" i="4"/>
  <c r="X1321" i="4"/>
  <c r="M1321" i="4"/>
  <c r="L1321" i="4"/>
  <c r="X1320" i="4"/>
  <c r="M1320" i="4"/>
  <c r="L1320" i="4"/>
  <c r="X1319" i="4"/>
  <c r="M1319" i="4"/>
  <c r="L1319" i="4"/>
  <c r="X1318" i="4"/>
  <c r="M1318" i="4"/>
  <c r="L1318" i="4"/>
  <c r="X1317" i="4"/>
  <c r="M1317" i="4"/>
  <c r="L1317" i="4"/>
  <c r="X1316" i="4"/>
  <c r="M1316" i="4"/>
  <c r="L1316" i="4"/>
  <c r="X1315" i="4"/>
  <c r="M1315" i="4"/>
  <c r="L1315" i="4"/>
  <c r="X1314" i="4"/>
  <c r="M1314" i="4"/>
  <c r="L1314" i="4"/>
  <c r="X1313" i="4"/>
  <c r="M1313" i="4"/>
  <c r="L1313" i="4"/>
  <c r="X1312" i="4"/>
  <c r="M1312" i="4"/>
  <c r="L1312" i="4"/>
  <c r="X1311" i="4"/>
  <c r="M1311" i="4"/>
  <c r="L1311" i="4"/>
  <c r="X1310" i="4"/>
  <c r="M1310" i="4"/>
  <c r="L1310" i="4"/>
  <c r="X1309" i="4"/>
  <c r="M1309" i="4"/>
  <c r="L1309" i="4"/>
  <c r="X1308" i="4"/>
  <c r="M1308" i="4"/>
  <c r="L1308" i="4"/>
  <c r="X1307" i="4"/>
  <c r="M1307" i="4"/>
  <c r="L1307" i="4"/>
  <c r="X1306" i="4"/>
  <c r="M1306" i="4"/>
  <c r="L1306" i="4"/>
  <c r="X1305" i="4"/>
  <c r="M1305" i="4"/>
  <c r="L1305" i="4"/>
  <c r="X1304" i="4"/>
  <c r="M1304" i="4"/>
  <c r="L1304" i="4"/>
  <c r="X1303" i="4"/>
  <c r="M1303" i="4"/>
  <c r="L1303" i="4"/>
  <c r="X1302" i="4"/>
  <c r="M1302" i="4"/>
  <c r="L1302" i="4"/>
  <c r="X1301" i="4"/>
  <c r="M1301" i="4"/>
  <c r="L1301" i="4"/>
  <c r="X1300" i="4"/>
  <c r="M1300" i="4"/>
  <c r="L1300" i="4"/>
  <c r="X1299" i="4"/>
  <c r="M1299" i="4"/>
  <c r="L1299" i="4"/>
  <c r="X1298" i="4"/>
  <c r="M1298" i="4"/>
  <c r="L1298" i="4"/>
  <c r="X1297" i="4"/>
  <c r="M1297" i="4"/>
  <c r="L1297" i="4"/>
  <c r="X1296" i="4"/>
  <c r="M1296" i="4"/>
  <c r="L1296" i="4"/>
  <c r="X1295" i="4"/>
  <c r="M1295" i="4"/>
  <c r="L1295" i="4"/>
  <c r="X1294" i="4"/>
  <c r="M1294" i="4"/>
  <c r="L1294" i="4"/>
  <c r="X1293" i="4"/>
  <c r="M1293" i="4"/>
  <c r="L1293" i="4"/>
  <c r="X1292" i="4"/>
  <c r="M1292" i="4"/>
  <c r="L1292" i="4"/>
  <c r="X1291" i="4"/>
  <c r="M1291" i="4"/>
  <c r="L1291" i="4"/>
  <c r="X1290" i="4"/>
  <c r="M1290" i="4"/>
  <c r="L1290" i="4"/>
  <c r="X1289" i="4"/>
  <c r="M1289" i="4"/>
  <c r="L1289" i="4"/>
  <c r="X1288" i="4"/>
  <c r="M1288" i="4"/>
  <c r="L1288" i="4"/>
  <c r="X1287" i="4"/>
  <c r="M1287" i="4"/>
  <c r="L1287" i="4"/>
  <c r="X1286" i="4"/>
  <c r="M1286" i="4"/>
  <c r="L1286" i="4"/>
  <c r="X1285" i="4"/>
  <c r="M1285" i="4"/>
  <c r="L1285" i="4"/>
  <c r="X1284" i="4"/>
  <c r="M1284" i="4"/>
  <c r="L1284" i="4"/>
  <c r="X1283" i="4"/>
  <c r="M1283" i="4"/>
  <c r="L1283" i="4"/>
  <c r="X1282" i="4"/>
  <c r="M1282" i="4"/>
  <c r="L1282" i="4"/>
  <c r="X1281" i="4"/>
  <c r="M1281" i="4"/>
  <c r="L1281" i="4"/>
  <c r="X1280" i="4"/>
  <c r="M1280" i="4"/>
  <c r="L1280" i="4"/>
  <c r="X1279" i="4"/>
  <c r="M1279" i="4"/>
  <c r="L1279" i="4"/>
  <c r="X1278" i="4"/>
  <c r="M1278" i="4"/>
  <c r="L1278" i="4"/>
  <c r="X1277" i="4"/>
  <c r="M1277" i="4"/>
  <c r="L1277" i="4"/>
  <c r="X1276" i="4"/>
  <c r="M1276" i="4"/>
  <c r="L1276" i="4"/>
  <c r="X1275" i="4"/>
  <c r="M1275" i="4"/>
  <c r="L1275" i="4"/>
  <c r="X1274" i="4"/>
  <c r="M1274" i="4"/>
  <c r="L1274" i="4"/>
  <c r="X1273" i="4"/>
  <c r="M1273" i="4"/>
  <c r="L1273" i="4"/>
  <c r="X1272" i="4"/>
  <c r="M1272" i="4"/>
  <c r="L1272" i="4"/>
  <c r="X1271" i="4"/>
  <c r="M1271" i="4"/>
  <c r="L1271" i="4"/>
  <c r="X1270" i="4"/>
  <c r="M1270" i="4"/>
  <c r="L1270" i="4"/>
  <c r="X1269" i="4"/>
  <c r="M1269" i="4"/>
  <c r="L1269" i="4"/>
  <c r="X1268" i="4"/>
  <c r="M1268" i="4"/>
  <c r="L1268" i="4"/>
  <c r="X1267" i="4"/>
  <c r="M1267" i="4"/>
  <c r="L1267" i="4"/>
  <c r="X1266" i="4"/>
  <c r="M1266" i="4"/>
  <c r="L1266" i="4"/>
  <c r="X1265" i="4"/>
  <c r="M1265" i="4"/>
  <c r="L1265" i="4"/>
  <c r="X1264" i="4"/>
  <c r="M1264" i="4"/>
  <c r="L1264" i="4"/>
  <c r="X1263" i="4"/>
  <c r="M1263" i="4"/>
  <c r="L1263" i="4"/>
  <c r="X1262" i="4"/>
  <c r="M1262" i="4"/>
  <c r="L1262" i="4"/>
  <c r="X1261" i="4"/>
  <c r="M1261" i="4"/>
  <c r="L1261" i="4"/>
  <c r="X1260" i="4"/>
  <c r="M1260" i="4"/>
  <c r="L1260" i="4"/>
  <c r="X1259" i="4"/>
  <c r="M1259" i="4"/>
  <c r="L1259" i="4"/>
  <c r="X1258" i="4"/>
  <c r="M1258" i="4"/>
  <c r="L1258" i="4"/>
  <c r="X1257" i="4"/>
  <c r="M1257" i="4"/>
  <c r="L1257" i="4"/>
  <c r="X1256" i="4"/>
  <c r="M1256" i="4"/>
  <c r="L1256" i="4"/>
  <c r="X1255" i="4"/>
  <c r="M1255" i="4"/>
  <c r="L1255" i="4"/>
  <c r="X1254" i="4"/>
  <c r="M1254" i="4"/>
  <c r="L1254" i="4"/>
  <c r="X1253" i="4"/>
  <c r="M1253" i="4"/>
  <c r="L1253" i="4"/>
  <c r="X1252" i="4"/>
  <c r="M1252" i="4"/>
  <c r="L1252" i="4"/>
  <c r="X1251" i="4"/>
  <c r="M1251" i="4"/>
  <c r="L1251" i="4"/>
  <c r="X1250" i="4"/>
  <c r="M1250" i="4"/>
  <c r="L1250" i="4"/>
  <c r="X1249" i="4"/>
  <c r="M1249" i="4"/>
  <c r="L1249" i="4"/>
  <c r="X1248" i="4"/>
  <c r="M1248" i="4"/>
  <c r="L1248" i="4"/>
  <c r="X1247" i="4"/>
  <c r="M1247" i="4"/>
  <c r="L1247" i="4"/>
  <c r="X1246" i="4"/>
  <c r="M1246" i="4"/>
  <c r="L1246" i="4"/>
  <c r="X1245" i="4"/>
  <c r="M1245" i="4"/>
  <c r="L1245" i="4"/>
  <c r="X1244" i="4"/>
  <c r="M1244" i="4"/>
  <c r="L1244" i="4"/>
  <c r="X1243" i="4"/>
  <c r="M1243" i="4"/>
  <c r="L1243" i="4"/>
  <c r="X1242" i="4"/>
  <c r="M1242" i="4"/>
  <c r="L1242" i="4"/>
  <c r="X1241" i="4"/>
  <c r="M1241" i="4"/>
  <c r="L1241" i="4"/>
  <c r="X1240" i="4"/>
  <c r="M1240" i="4"/>
  <c r="L1240" i="4"/>
  <c r="X1239" i="4"/>
  <c r="M1239" i="4"/>
  <c r="L1239" i="4"/>
  <c r="X1238" i="4"/>
  <c r="M1238" i="4"/>
  <c r="L1238" i="4"/>
  <c r="X1237" i="4"/>
  <c r="M1237" i="4"/>
  <c r="L1237" i="4"/>
  <c r="X1236" i="4"/>
  <c r="M1236" i="4"/>
  <c r="L1236" i="4"/>
  <c r="X1235" i="4"/>
  <c r="M1235" i="4"/>
  <c r="L1235" i="4"/>
  <c r="X1234" i="4"/>
  <c r="M1234" i="4"/>
  <c r="L1234" i="4"/>
  <c r="X1233" i="4"/>
  <c r="M1233" i="4"/>
  <c r="L1233" i="4"/>
  <c r="X1232" i="4"/>
  <c r="M1232" i="4"/>
  <c r="L1232" i="4"/>
  <c r="X1231" i="4"/>
  <c r="M1231" i="4"/>
  <c r="L1231" i="4"/>
  <c r="X1230" i="4"/>
  <c r="M1230" i="4"/>
  <c r="L1230" i="4"/>
  <c r="X1229" i="4"/>
  <c r="M1229" i="4"/>
  <c r="L1229" i="4"/>
  <c r="X1228" i="4"/>
  <c r="M1228" i="4"/>
  <c r="L1228" i="4"/>
  <c r="X1227" i="4"/>
  <c r="M1227" i="4"/>
  <c r="L1227" i="4"/>
  <c r="X1226" i="4"/>
  <c r="M1226" i="4"/>
  <c r="L1226" i="4"/>
  <c r="X1225" i="4"/>
  <c r="M1225" i="4"/>
  <c r="L1225" i="4"/>
  <c r="X1224" i="4"/>
  <c r="M1224" i="4"/>
  <c r="L1224" i="4"/>
  <c r="X1223" i="4"/>
  <c r="M1223" i="4"/>
  <c r="L1223" i="4"/>
  <c r="X1222" i="4"/>
  <c r="M1222" i="4"/>
  <c r="L1222" i="4"/>
  <c r="X1221" i="4"/>
  <c r="M1221" i="4"/>
  <c r="L1221" i="4"/>
  <c r="X1220" i="4"/>
  <c r="M1220" i="4"/>
  <c r="L1220" i="4"/>
  <c r="X1219" i="4"/>
  <c r="M1219" i="4"/>
  <c r="L1219" i="4"/>
  <c r="X1218" i="4"/>
  <c r="M1218" i="4"/>
  <c r="L1218" i="4"/>
  <c r="X1217" i="4"/>
  <c r="M1217" i="4"/>
  <c r="L1217" i="4"/>
  <c r="X1216" i="4"/>
  <c r="M1216" i="4"/>
  <c r="L1216" i="4"/>
  <c r="X1215" i="4"/>
  <c r="M1215" i="4"/>
  <c r="L1215" i="4"/>
  <c r="X1214" i="4"/>
  <c r="M1214" i="4"/>
  <c r="L1214" i="4"/>
  <c r="X1213" i="4"/>
  <c r="M1213" i="4"/>
  <c r="L1213" i="4"/>
  <c r="X1212" i="4"/>
  <c r="M1212" i="4"/>
  <c r="L1212" i="4"/>
  <c r="X1211" i="4"/>
  <c r="M1211" i="4"/>
  <c r="L1211" i="4"/>
  <c r="X1210" i="4"/>
  <c r="M1210" i="4"/>
  <c r="L1210" i="4"/>
  <c r="X1209" i="4"/>
  <c r="M1209" i="4"/>
  <c r="L1209" i="4"/>
  <c r="X1208" i="4"/>
  <c r="M1208" i="4"/>
  <c r="L1208" i="4"/>
  <c r="X1207" i="4"/>
  <c r="M1207" i="4"/>
  <c r="L1207" i="4"/>
  <c r="X1206" i="4"/>
  <c r="M1206" i="4"/>
  <c r="L1206" i="4"/>
  <c r="X1205" i="4"/>
  <c r="M1205" i="4"/>
  <c r="L1205" i="4"/>
  <c r="X1204" i="4"/>
  <c r="M1204" i="4"/>
  <c r="L1204" i="4"/>
  <c r="X1203" i="4"/>
  <c r="M1203" i="4"/>
  <c r="L1203" i="4"/>
  <c r="X1202" i="4"/>
  <c r="M1202" i="4"/>
  <c r="L1202" i="4"/>
  <c r="X1201" i="4"/>
  <c r="M1201" i="4"/>
  <c r="L1201" i="4"/>
  <c r="X1200" i="4"/>
  <c r="M1200" i="4"/>
  <c r="L1200" i="4"/>
  <c r="X1199" i="4"/>
  <c r="M1199" i="4"/>
  <c r="L1199" i="4"/>
  <c r="X1198" i="4"/>
  <c r="M1198" i="4"/>
  <c r="L1198" i="4"/>
  <c r="X1197" i="4"/>
  <c r="M1197" i="4"/>
  <c r="L1197" i="4"/>
  <c r="X1196" i="4"/>
  <c r="M1196" i="4"/>
  <c r="L1196" i="4"/>
  <c r="X1195" i="4"/>
  <c r="M1195" i="4"/>
  <c r="L1195" i="4"/>
  <c r="X1194" i="4"/>
  <c r="M1194" i="4"/>
  <c r="L1194" i="4"/>
  <c r="X1193" i="4"/>
  <c r="M1193" i="4"/>
  <c r="L1193" i="4"/>
  <c r="X1192" i="4"/>
  <c r="M1192" i="4"/>
  <c r="L1192" i="4"/>
  <c r="X1191" i="4"/>
  <c r="M1191" i="4"/>
  <c r="L1191" i="4"/>
  <c r="X1190" i="4"/>
  <c r="M1190" i="4"/>
  <c r="L1190" i="4"/>
  <c r="X1189" i="4"/>
  <c r="M1189" i="4"/>
  <c r="L1189" i="4"/>
  <c r="X1188" i="4"/>
  <c r="M1188" i="4"/>
  <c r="L1188" i="4"/>
  <c r="X1187" i="4"/>
  <c r="M1187" i="4"/>
  <c r="L1187" i="4"/>
  <c r="X1186" i="4"/>
  <c r="M1186" i="4"/>
  <c r="L1186" i="4"/>
  <c r="X1185" i="4"/>
  <c r="M1185" i="4"/>
  <c r="L1185" i="4"/>
  <c r="X1184" i="4"/>
  <c r="M1184" i="4"/>
  <c r="L1184" i="4"/>
  <c r="X1183" i="4"/>
  <c r="M1183" i="4"/>
  <c r="L1183" i="4"/>
  <c r="X1182" i="4"/>
  <c r="M1182" i="4"/>
  <c r="L1182" i="4"/>
  <c r="X1181" i="4"/>
  <c r="M1181" i="4"/>
  <c r="L1181" i="4"/>
  <c r="X1180" i="4"/>
  <c r="M1180" i="4"/>
  <c r="L1180" i="4"/>
  <c r="X1179" i="4"/>
  <c r="M1179" i="4"/>
  <c r="L1179" i="4"/>
  <c r="X1178" i="4"/>
  <c r="M1178" i="4"/>
  <c r="L1178" i="4"/>
  <c r="X1177" i="4"/>
  <c r="M1177" i="4"/>
  <c r="L1177" i="4"/>
  <c r="X1176" i="4"/>
  <c r="M1176" i="4"/>
  <c r="L1176" i="4"/>
  <c r="X1175" i="4"/>
  <c r="M1175" i="4"/>
  <c r="L1175" i="4"/>
  <c r="X1174" i="4"/>
  <c r="M1174" i="4"/>
  <c r="L1174" i="4"/>
  <c r="X1173" i="4"/>
  <c r="M1173" i="4"/>
  <c r="L1173" i="4"/>
  <c r="X1172" i="4"/>
  <c r="M1172" i="4"/>
  <c r="L1172" i="4"/>
  <c r="X1171" i="4"/>
  <c r="M1171" i="4"/>
  <c r="L1171" i="4"/>
  <c r="X1170" i="4"/>
  <c r="M1170" i="4"/>
  <c r="L1170" i="4"/>
  <c r="X1169" i="4"/>
  <c r="M1169" i="4"/>
  <c r="L1169" i="4"/>
  <c r="X1168" i="4"/>
  <c r="M1168" i="4"/>
  <c r="L1168" i="4"/>
  <c r="X1167" i="4"/>
  <c r="M1167" i="4"/>
  <c r="L1167" i="4"/>
  <c r="X1166" i="4"/>
  <c r="M1166" i="4"/>
  <c r="L1166" i="4"/>
  <c r="X1165" i="4"/>
  <c r="M1165" i="4"/>
  <c r="L1165" i="4"/>
  <c r="X1164" i="4"/>
  <c r="M1164" i="4"/>
  <c r="L1164" i="4"/>
  <c r="X1163" i="4"/>
  <c r="M1163" i="4"/>
  <c r="L1163" i="4"/>
  <c r="X1162" i="4"/>
  <c r="M1162" i="4"/>
  <c r="L1162" i="4"/>
  <c r="X1161" i="4"/>
  <c r="M1161" i="4"/>
  <c r="L1161" i="4"/>
  <c r="X1160" i="4"/>
  <c r="M1160" i="4"/>
  <c r="L1160" i="4"/>
  <c r="X1159" i="4"/>
  <c r="M1159" i="4"/>
  <c r="L1159" i="4"/>
  <c r="X1158" i="4"/>
  <c r="M1158" i="4"/>
  <c r="L1158" i="4"/>
  <c r="X1157" i="4"/>
  <c r="M1157" i="4"/>
  <c r="L1157" i="4"/>
  <c r="X1156" i="4"/>
  <c r="M1156" i="4"/>
  <c r="L1156" i="4"/>
  <c r="X1155" i="4"/>
  <c r="M1155" i="4"/>
  <c r="L1155" i="4"/>
  <c r="X1154" i="4"/>
  <c r="M1154" i="4"/>
  <c r="L1154" i="4"/>
  <c r="X1153" i="4"/>
  <c r="M1153" i="4"/>
  <c r="L1153" i="4"/>
  <c r="X1152" i="4"/>
  <c r="M1152" i="4"/>
  <c r="L1152" i="4"/>
  <c r="X1151" i="4"/>
  <c r="M1151" i="4"/>
  <c r="L1151" i="4"/>
  <c r="X1150" i="4"/>
  <c r="M1150" i="4"/>
  <c r="L1150" i="4"/>
  <c r="X1149" i="4"/>
  <c r="M1149" i="4"/>
  <c r="L1149" i="4"/>
  <c r="X1148" i="4"/>
  <c r="M1148" i="4"/>
  <c r="L1148" i="4"/>
  <c r="X1147" i="4"/>
  <c r="M1147" i="4"/>
  <c r="L1147" i="4"/>
  <c r="X1146" i="4"/>
  <c r="M1146" i="4"/>
  <c r="L1146" i="4"/>
  <c r="X1145" i="4"/>
  <c r="M1145" i="4"/>
  <c r="L1145" i="4"/>
  <c r="X1144" i="4"/>
  <c r="M1144" i="4"/>
  <c r="L1144" i="4"/>
  <c r="X1143" i="4"/>
  <c r="M1143" i="4"/>
  <c r="L1143" i="4"/>
  <c r="X1142" i="4"/>
  <c r="M1142" i="4"/>
  <c r="L1142" i="4"/>
  <c r="X1141" i="4"/>
  <c r="M1141" i="4"/>
  <c r="L1141" i="4"/>
  <c r="X1140" i="4"/>
  <c r="M1140" i="4"/>
  <c r="L1140" i="4"/>
  <c r="X1139" i="4"/>
  <c r="M1139" i="4"/>
  <c r="L1139" i="4"/>
  <c r="X1138" i="4"/>
  <c r="M1138" i="4"/>
  <c r="L1138" i="4"/>
  <c r="X1137" i="4"/>
  <c r="M1137" i="4"/>
  <c r="L1137" i="4"/>
  <c r="X1136" i="4"/>
  <c r="M1136" i="4"/>
  <c r="L1136" i="4"/>
  <c r="X1135" i="4"/>
  <c r="M1135" i="4"/>
  <c r="L1135" i="4"/>
  <c r="X1134" i="4"/>
  <c r="M1134" i="4"/>
  <c r="L1134" i="4"/>
  <c r="X1133" i="4"/>
  <c r="M1133" i="4"/>
  <c r="L1133" i="4"/>
  <c r="X1132" i="4"/>
  <c r="M1132" i="4"/>
  <c r="L1132" i="4"/>
  <c r="X1131" i="4"/>
  <c r="M1131" i="4"/>
  <c r="L1131" i="4"/>
  <c r="X1130" i="4"/>
  <c r="M1130" i="4"/>
  <c r="L1130" i="4"/>
  <c r="X1129" i="4"/>
  <c r="M1129" i="4"/>
  <c r="L1129" i="4"/>
  <c r="X1128" i="4"/>
  <c r="M1128" i="4"/>
  <c r="L1128" i="4"/>
  <c r="X1127" i="4"/>
  <c r="M1127" i="4"/>
  <c r="L1127" i="4"/>
  <c r="X1126" i="4"/>
  <c r="M1126" i="4"/>
  <c r="L1126" i="4"/>
  <c r="X1125" i="4"/>
  <c r="M1125" i="4"/>
  <c r="L1125" i="4"/>
  <c r="X1124" i="4"/>
  <c r="M1124" i="4"/>
  <c r="L1124" i="4"/>
  <c r="X1123" i="4"/>
  <c r="M1123" i="4"/>
  <c r="L1123" i="4"/>
  <c r="X1122" i="4"/>
  <c r="M1122" i="4"/>
  <c r="L1122" i="4"/>
  <c r="X1121" i="4"/>
  <c r="M1121" i="4"/>
  <c r="L1121" i="4"/>
  <c r="X1120" i="4"/>
  <c r="M1120" i="4"/>
  <c r="L1120" i="4"/>
  <c r="X1119" i="4"/>
  <c r="M1119" i="4"/>
  <c r="L1119" i="4"/>
  <c r="X1118" i="4"/>
  <c r="M1118" i="4"/>
  <c r="L1118" i="4"/>
  <c r="X1117" i="4"/>
  <c r="M1117" i="4"/>
  <c r="L1117" i="4"/>
  <c r="X1116" i="4"/>
  <c r="M1116" i="4"/>
  <c r="L1116" i="4"/>
  <c r="X1115" i="4"/>
  <c r="M1115" i="4"/>
  <c r="L1115" i="4"/>
  <c r="X1114" i="4"/>
  <c r="M1114" i="4"/>
  <c r="L1114" i="4"/>
  <c r="X1113" i="4"/>
  <c r="M1113" i="4"/>
  <c r="L1113" i="4"/>
  <c r="X1112" i="4"/>
  <c r="M1112" i="4"/>
  <c r="L1112" i="4"/>
  <c r="X1111" i="4"/>
  <c r="M1111" i="4"/>
  <c r="L1111" i="4"/>
  <c r="X1110" i="4"/>
  <c r="M1110" i="4"/>
  <c r="L1110" i="4"/>
  <c r="X1109" i="4"/>
  <c r="M1109" i="4"/>
  <c r="L1109" i="4"/>
  <c r="X1108" i="4"/>
  <c r="M1108" i="4"/>
  <c r="L1108" i="4"/>
  <c r="X1107" i="4"/>
  <c r="M1107" i="4"/>
  <c r="L1107" i="4"/>
  <c r="X1106" i="4"/>
  <c r="M1106" i="4"/>
  <c r="L1106" i="4"/>
  <c r="X1105" i="4"/>
  <c r="M1105" i="4"/>
  <c r="L1105" i="4"/>
  <c r="X1104" i="4"/>
  <c r="M1104" i="4"/>
  <c r="L1104" i="4"/>
  <c r="X1103" i="4"/>
  <c r="M1103" i="4"/>
  <c r="L1103" i="4"/>
  <c r="X1102" i="4"/>
  <c r="M1102" i="4"/>
  <c r="L1102" i="4"/>
  <c r="X1101" i="4"/>
  <c r="M1101" i="4"/>
  <c r="L1101" i="4"/>
  <c r="X1100" i="4"/>
  <c r="M1100" i="4"/>
  <c r="L1100" i="4"/>
  <c r="X1099" i="4"/>
  <c r="M1099" i="4"/>
  <c r="L1099" i="4"/>
  <c r="X1098" i="4"/>
  <c r="M1098" i="4"/>
  <c r="L1098" i="4"/>
  <c r="X1097" i="4"/>
  <c r="M1097" i="4"/>
  <c r="L1097" i="4"/>
  <c r="X1096" i="4"/>
  <c r="M1096" i="4"/>
  <c r="L1096" i="4"/>
  <c r="X1095" i="4"/>
  <c r="M1095" i="4"/>
  <c r="L1095" i="4"/>
  <c r="X1094" i="4"/>
  <c r="M1094" i="4"/>
  <c r="L1094" i="4"/>
  <c r="X1093" i="4"/>
  <c r="M1093" i="4"/>
  <c r="L1093" i="4"/>
  <c r="X1092" i="4"/>
  <c r="M1092" i="4"/>
  <c r="L1092" i="4"/>
  <c r="X1091" i="4"/>
  <c r="M1091" i="4"/>
  <c r="L1091" i="4"/>
  <c r="X1090" i="4"/>
  <c r="M1090" i="4"/>
  <c r="L1090" i="4"/>
  <c r="X1089" i="4"/>
  <c r="M1089" i="4"/>
  <c r="L1089" i="4"/>
  <c r="X1088" i="4"/>
  <c r="M1088" i="4"/>
  <c r="L1088" i="4"/>
  <c r="X1087" i="4"/>
  <c r="M1087" i="4"/>
  <c r="L1087" i="4"/>
  <c r="X1086" i="4"/>
  <c r="M1086" i="4"/>
  <c r="L1086" i="4"/>
  <c r="X1085" i="4"/>
  <c r="M1085" i="4"/>
  <c r="L1085" i="4"/>
  <c r="X1084" i="4"/>
  <c r="M1084" i="4"/>
  <c r="L1084" i="4"/>
  <c r="X1083" i="4"/>
  <c r="M1083" i="4"/>
  <c r="L1083" i="4"/>
  <c r="X1082" i="4"/>
  <c r="M1082" i="4"/>
  <c r="L1082" i="4"/>
  <c r="X1081" i="4"/>
  <c r="M1081" i="4"/>
  <c r="L1081" i="4"/>
  <c r="X1080" i="4"/>
  <c r="M1080" i="4"/>
  <c r="L1080" i="4"/>
  <c r="X1079" i="4"/>
  <c r="M1079" i="4"/>
  <c r="L1079" i="4"/>
  <c r="X1078" i="4"/>
  <c r="M1078" i="4"/>
  <c r="L1078" i="4"/>
  <c r="X1077" i="4"/>
  <c r="M1077" i="4"/>
  <c r="L1077" i="4"/>
  <c r="X1076" i="4"/>
  <c r="M1076" i="4"/>
  <c r="L1076" i="4"/>
  <c r="X1075" i="4"/>
  <c r="M1075" i="4"/>
  <c r="L1075" i="4"/>
  <c r="X1074" i="4"/>
  <c r="M1074" i="4"/>
  <c r="L1074" i="4"/>
  <c r="X1073" i="4"/>
  <c r="M1073" i="4"/>
  <c r="L1073" i="4"/>
  <c r="X1072" i="4"/>
  <c r="M1072" i="4"/>
  <c r="L1072" i="4"/>
  <c r="X1071" i="4"/>
  <c r="M1071" i="4"/>
  <c r="L1071" i="4"/>
  <c r="X1070" i="4"/>
  <c r="M1070" i="4"/>
  <c r="L1070" i="4"/>
  <c r="X1067" i="4"/>
  <c r="M1067" i="4"/>
  <c r="L1067" i="4"/>
  <c r="X1066" i="4"/>
  <c r="M1066" i="4"/>
  <c r="L1066" i="4"/>
  <c r="X1065" i="4"/>
  <c r="M1065" i="4"/>
  <c r="L1065" i="4"/>
  <c r="X1064" i="4"/>
  <c r="M1064" i="4"/>
  <c r="L1064" i="4"/>
  <c r="X1062" i="4"/>
  <c r="M1062" i="4"/>
  <c r="L1062" i="4"/>
  <c r="X1061" i="4"/>
  <c r="M1061" i="4"/>
  <c r="L1061" i="4"/>
  <c r="X1060" i="4"/>
  <c r="M1060" i="4"/>
  <c r="L1060" i="4"/>
  <c r="X1059" i="4"/>
  <c r="M1059" i="4"/>
  <c r="L1059" i="4"/>
  <c r="X1058" i="4"/>
  <c r="M1058" i="4"/>
  <c r="L1058" i="4"/>
  <c r="X1056" i="4"/>
  <c r="M1056" i="4"/>
  <c r="L1056" i="4"/>
  <c r="X1055" i="4"/>
  <c r="M1055" i="4"/>
  <c r="L1055" i="4"/>
  <c r="X1054" i="4"/>
  <c r="M1054" i="4"/>
  <c r="L1054" i="4"/>
  <c r="X1053" i="4"/>
  <c r="M1053" i="4"/>
  <c r="L1053" i="4"/>
  <c r="X1052" i="4"/>
  <c r="M1052" i="4"/>
  <c r="L1052" i="4"/>
  <c r="X1051" i="4"/>
  <c r="M1051" i="4"/>
  <c r="L1051" i="4"/>
  <c r="X1050" i="4"/>
  <c r="M1050" i="4"/>
  <c r="L1050" i="4"/>
  <c r="X1049" i="4"/>
  <c r="M1049" i="4"/>
  <c r="L1049" i="4"/>
  <c r="X1048" i="4"/>
  <c r="M1048" i="4"/>
  <c r="L1048" i="4"/>
  <c r="X1047" i="4"/>
  <c r="M1047" i="4"/>
  <c r="L1047" i="4"/>
  <c r="X1046" i="4"/>
  <c r="M1046" i="4"/>
  <c r="L1046" i="4"/>
  <c r="X1044" i="4"/>
  <c r="M1044" i="4"/>
  <c r="L1044" i="4"/>
  <c r="X1043" i="4"/>
  <c r="M1043" i="4"/>
  <c r="L1043" i="4"/>
  <c r="X1042" i="4"/>
  <c r="M1042" i="4"/>
  <c r="L1042" i="4"/>
  <c r="X1041" i="4"/>
  <c r="M1041" i="4"/>
  <c r="L1041" i="4"/>
  <c r="X1040" i="4"/>
  <c r="M1040" i="4"/>
  <c r="L1040" i="4"/>
  <c r="X1039" i="4"/>
  <c r="M1039" i="4"/>
  <c r="L1039" i="4"/>
  <c r="X1038" i="4"/>
  <c r="M1038" i="4"/>
  <c r="L1038" i="4"/>
  <c r="X1037" i="4"/>
  <c r="M1037" i="4"/>
  <c r="L1037" i="4"/>
  <c r="X1036" i="4"/>
  <c r="M1036" i="4"/>
  <c r="L1036" i="4"/>
  <c r="X1035" i="4"/>
  <c r="M1035" i="4"/>
  <c r="L1035" i="4"/>
  <c r="X1034" i="4"/>
  <c r="M1034" i="4"/>
  <c r="L1034" i="4"/>
  <c r="X1033" i="4"/>
  <c r="M1033" i="4"/>
  <c r="L1033" i="4"/>
  <c r="X1032" i="4"/>
  <c r="M1032" i="4"/>
  <c r="L1032" i="4"/>
  <c r="X1031" i="4"/>
  <c r="M1031" i="4"/>
  <c r="L1031" i="4"/>
  <c r="X1030" i="4"/>
  <c r="M1030" i="4"/>
  <c r="L1030" i="4"/>
  <c r="X1029" i="4"/>
  <c r="M1029" i="4"/>
  <c r="L1029" i="4"/>
  <c r="X1028" i="4"/>
  <c r="M1028" i="4"/>
  <c r="L1028" i="4"/>
  <c r="X1027" i="4"/>
  <c r="M1027" i="4"/>
  <c r="L1027" i="4"/>
  <c r="X1026" i="4"/>
  <c r="M1026" i="4"/>
  <c r="L1026" i="4"/>
  <c r="X1025" i="4"/>
  <c r="M1025" i="4"/>
  <c r="L1025" i="4"/>
  <c r="X1024" i="4"/>
  <c r="M1024" i="4"/>
  <c r="L1024" i="4"/>
  <c r="X1023" i="4"/>
  <c r="M1023" i="4"/>
  <c r="L1023" i="4"/>
  <c r="X1022" i="4"/>
  <c r="M1022" i="4"/>
  <c r="L1022" i="4"/>
  <c r="X1021" i="4"/>
  <c r="M1021" i="4"/>
  <c r="L1021" i="4"/>
  <c r="X1020" i="4"/>
  <c r="M1020" i="4"/>
  <c r="L1020" i="4"/>
  <c r="X1019" i="4"/>
  <c r="M1019" i="4"/>
  <c r="L1019" i="4"/>
  <c r="X1018" i="4"/>
  <c r="M1018" i="4"/>
  <c r="L1018" i="4"/>
  <c r="X1017" i="4"/>
  <c r="M1017" i="4"/>
  <c r="L1017" i="4"/>
  <c r="X1015" i="4"/>
  <c r="M1015" i="4"/>
  <c r="L1015" i="4"/>
  <c r="X1014" i="4"/>
  <c r="M1014" i="4"/>
  <c r="L1014" i="4"/>
  <c r="X1013" i="4"/>
  <c r="M1013" i="4"/>
  <c r="L1013" i="4"/>
  <c r="X1012" i="4"/>
  <c r="M1012" i="4"/>
  <c r="L1012" i="4"/>
  <c r="X1011" i="4"/>
  <c r="M1011" i="4"/>
  <c r="L1011" i="4"/>
  <c r="X1010" i="4"/>
  <c r="M1010" i="4"/>
  <c r="L1010" i="4"/>
  <c r="X1009" i="4"/>
  <c r="M1009" i="4"/>
  <c r="L1009" i="4"/>
  <c r="X1008" i="4"/>
  <c r="M1008" i="4"/>
  <c r="L1008" i="4"/>
  <c r="X1007" i="4"/>
  <c r="M1007" i="4"/>
  <c r="L1007" i="4"/>
  <c r="X1006" i="4"/>
  <c r="M1006" i="4"/>
  <c r="L1006" i="4"/>
  <c r="X1005" i="4"/>
  <c r="M1005" i="4"/>
  <c r="L1005" i="4"/>
  <c r="X1004" i="4"/>
  <c r="M1004" i="4"/>
  <c r="L1004" i="4"/>
  <c r="X1003" i="4"/>
  <c r="M1003" i="4"/>
  <c r="L1003" i="4"/>
  <c r="X1002" i="4"/>
  <c r="M1002" i="4"/>
  <c r="L1002" i="4"/>
  <c r="X1001" i="4"/>
  <c r="M1001" i="4"/>
  <c r="L1001" i="4"/>
  <c r="X1000" i="4"/>
  <c r="M1000" i="4"/>
  <c r="L1000" i="4"/>
  <c r="X999" i="4"/>
  <c r="M999" i="4"/>
  <c r="L999" i="4"/>
  <c r="X998" i="4"/>
  <c r="M998" i="4"/>
  <c r="L998" i="4"/>
  <c r="X997" i="4"/>
  <c r="M997" i="4"/>
  <c r="L997" i="4"/>
  <c r="X996" i="4"/>
  <c r="M996" i="4"/>
  <c r="L996" i="4"/>
  <c r="X994" i="4"/>
  <c r="M994" i="4"/>
  <c r="L994" i="4"/>
  <c r="X993" i="4"/>
  <c r="M993" i="4"/>
  <c r="L993" i="4"/>
  <c r="X992" i="4"/>
  <c r="M992" i="4"/>
  <c r="L992" i="4"/>
  <c r="X989" i="4"/>
  <c r="M989" i="4"/>
  <c r="L989" i="4"/>
  <c r="X988" i="4"/>
  <c r="M988" i="4"/>
  <c r="L988" i="4"/>
  <c r="X987" i="4"/>
  <c r="M987" i="4"/>
  <c r="L987" i="4"/>
  <c r="X986" i="4"/>
  <c r="M986" i="4"/>
  <c r="L986" i="4"/>
  <c r="X985" i="4"/>
  <c r="M985" i="4"/>
  <c r="L985" i="4"/>
  <c r="X983" i="4"/>
  <c r="M983" i="4"/>
  <c r="L983" i="4"/>
  <c r="X982" i="4"/>
  <c r="M982" i="4"/>
  <c r="L982" i="4"/>
  <c r="X981" i="4"/>
  <c r="M981" i="4"/>
  <c r="L981" i="4"/>
  <c r="X980" i="4"/>
  <c r="M980" i="4"/>
  <c r="L980" i="4"/>
  <c r="X979" i="4"/>
  <c r="M979" i="4"/>
  <c r="L979" i="4"/>
  <c r="X978" i="4"/>
  <c r="M978" i="4"/>
  <c r="L978" i="4"/>
  <c r="X977" i="4"/>
  <c r="M977" i="4"/>
  <c r="L977" i="4"/>
  <c r="X976" i="4"/>
  <c r="M976" i="4"/>
  <c r="L976" i="4"/>
  <c r="X975" i="4"/>
  <c r="M975" i="4"/>
  <c r="L975" i="4"/>
  <c r="X974" i="4"/>
  <c r="M974" i="4"/>
  <c r="L974" i="4"/>
  <c r="X973" i="4"/>
  <c r="M973" i="4"/>
  <c r="L973" i="4"/>
  <c r="X972" i="4"/>
  <c r="M972" i="4"/>
  <c r="L972" i="4"/>
  <c r="X971" i="4"/>
  <c r="M971" i="4"/>
  <c r="L971" i="4"/>
  <c r="X970" i="4"/>
  <c r="M970" i="4"/>
  <c r="L970" i="4"/>
  <c r="X969" i="4"/>
  <c r="M969" i="4"/>
  <c r="L969" i="4"/>
  <c r="X968" i="4"/>
  <c r="M968" i="4"/>
  <c r="L968" i="4"/>
  <c r="X967" i="4"/>
  <c r="M967" i="4"/>
  <c r="L967" i="4"/>
  <c r="X966" i="4"/>
  <c r="M966" i="4"/>
  <c r="L966" i="4"/>
  <c r="X965" i="4"/>
  <c r="M965" i="4"/>
  <c r="L965" i="4"/>
  <c r="X963" i="4"/>
  <c r="M963" i="4"/>
  <c r="L963" i="4"/>
  <c r="X962" i="4"/>
  <c r="M962" i="4"/>
  <c r="L962" i="4"/>
  <c r="X961" i="4"/>
  <c r="M961" i="4"/>
  <c r="L961" i="4"/>
  <c r="X960" i="4"/>
  <c r="M960" i="4"/>
  <c r="L960" i="4"/>
  <c r="X959" i="4"/>
  <c r="M959" i="4"/>
  <c r="L959" i="4"/>
  <c r="X958" i="4"/>
  <c r="M958" i="4"/>
  <c r="L958" i="4"/>
  <c r="X957" i="4"/>
  <c r="M957" i="4"/>
  <c r="L957" i="4"/>
  <c r="X956" i="4"/>
  <c r="M956" i="4"/>
  <c r="L956" i="4"/>
  <c r="X955" i="4"/>
  <c r="M955" i="4"/>
  <c r="L955" i="4"/>
  <c r="X954" i="4"/>
  <c r="M954" i="4"/>
  <c r="L954" i="4"/>
  <c r="X953" i="4"/>
  <c r="M953" i="4"/>
  <c r="L953" i="4"/>
  <c r="X952" i="4"/>
  <c r="M952" i="4"/>
  <c r="L952" i="4"/>
  <c r="X951" i="4"/>
  <c r="M951" i="4"/>
  <c r="L951" i="4"/>
  <c r="X950" i="4"/>
  <c r="M950" i="4"/>
  <c r="L950" i="4"/>
  <c r="X949" i="4"/>
  <c r="M949" i="4"/>
  <c r="L949" i="4"/>
  <c r="X948" i="4"/>
  <c r="M948" i="4"/>
  <c r="L948" i="4"/>
  <c r="X947" i="4"/>
  <c r="M947" i="4"/>
  <c r="L947" i="4"/>
  <c r="X946" i="4"/>
  <c r="M946" i="4"/>
  <c r="L946" i="4"/>
  <c r="X945" i="4"/>
  <c r="M945" i="4"/>
  <c r="L945" i="4"/>
  <c r="X944" i="4"/>
  <c r="M944" i="4"/>
  <c r="L944" i="4"/>
  <c r="X943" i="4"/>
  <c r="M943" i="4"/>
  <c r="L943" i="4"/>
  <c r="X942" i="4"/>
  <c r="M942" i="4"/>
  <c r="L942" i="4"/>
  <c r="X941" i="4"/>
  <c r="M941" i="4"/>
  <c r="L941" i="4"/>
  <c r="X940" i="4"/>
  <c r="M940" i="4"/>
  <c r="L940" i="4"/>
  <c r="X939" i="4"/>
  <c r="M939" i="4"/>
  <c r="L939" i="4"/>
  <c r="X938" i="4"/>
  <c r="M938" i="4"/>
  <c r="L938" i="4"/>
  <c r="X937" i="4"/>
  <c r="M937" i="4"/>
  <c r="L937" i="4"/>
  <c r="X936" i="4"/>
  <c r="M936" i="4"/>
  <c r="L936" i="4"/>
  <c r="X935" i="4"/>
  <c r="M935" i="4"/>
  <c r="L935" i="4"/>
  <c r="X932" i="4"/>
  <c r="M932" i="4"/>
  <c r="L932" i="4"/>
  <c r="X931" i="4"/>
  <c r="M931" i="4"/>
  <c r="L931" i="4"/>
  <c r="X930" i="4"/>
  <c r="M930" i="4"/>
  <c r="L930" i="4"/>
  <c r="X929" i="4"/>
  <c r="M929" i="4"/>
  <c r="L929" i="4"/>
  <c r="X1522" i="4"/>
  <c r="M1522" i="4"/>
  <c r="L1522" i="4"/>
  <c r="X1521" i="4"/>
  <c r="M1521" i="4"/>
  <c r="L1521" i="4"/>
  <c r="X1520" i="4"/>
  <c r="M1520" i="4"/>
  <c r="L1520" i="4"/>
  <c r="X1519" i="4"/>
  <c r="M1519" i="4"/>
  <c r="L1519" i="4"/>
  <c r="X1518" i="4"/>
  <c r="M1518" i="4"/>
  <c r="L1518" i="4"/>
  <c r="X1517" i="4"/>
  <c r="M1517" i="4"/>
  <c r="L1517" i="4"/>
  <c r="X1516" i="4"/>
  <c r="M1516" i="4"/>
  <c r="L1516" i="4"/>
  <c r="X1515" i="4"/>
  <c r="M1515" i="4"/>
  <c r="L1515" i="4"/>
  <c r="X1514" i="4"/>
  <c r="M1514" i="4"/>
  <c r="L1514" i="4"/>
  <c r="X1513" i="4"/>
  <c r="M1513" i="4"/>
  <c r="L1513" i="4"/>
  <c r="X1512" i="4"/>
  <c r="M1512" i="4"/>
  <c r="L1512" i="4"/>
  <c r="X1511" i="4"/>
  <c r="M1511" i="4"/>
  <c r="L1511" i="4"/>
  <c r="X1510" i="4"/>
  <c r="M1510" i="4"/>
  <c r="L1510" i="4"/>
  <c r="X1509" i="4"/>
  <c r="M1509" i="4"/>
  <c r="L1509" i="4"/>
  <c r="X1508" i="4"/>
  <c r="M1508" i="4"/>
  <c r="L1508" i="4"/>
  <c r="X1507" i="4"/>
  <c r="M1507" i="4"/>
  <c r="L1507" i="4"/>
  <c r="X1506" i="4"/>
  <c r="M1506" i="4"/>
  <c r="L1506" i="4"/>
  <c r="X1505" i="4"/>
  <c r="M1505" i="4"/>
  <c r="L1505" i="4"/>
  <c r="X1504" i="4"/>
  <c r="M1504" i="4"/>
  <c r="L1504" i="4"/>
  <c r="X1503" i="4"/>
  <c r="M1503" i="4"/>
  <c r="L1503" i="4"/>
  <c r="X1502" i="4"/>
  <c r="M1502" i="4"/>
  <c r="L1502" i="4"/>
  <c r="X1501" i="4"/>
  <c r="M1501" i="4"/>
  <c r="L1501" i="4"/>
  <c r="X1500" i="4"/>
  <c r="M1500" i="4"/>
  <c r="L1500" i="4"/>
  <c r="X1499" i="4"/>
  <c r="M1499" i="4"/>
  <c r="L1499" i="4"/>
  <c r="X1498" i="4"/>
  <c r="M1498" i="4"/>
  <c r="L1498" i="4"/>
  <c r="X1497" i="4"/>
  <c r="M1497" i="4"/>
  <c r="L1497" i="4"/>
  <c r="X1496" i="4"/>
  <c r="M1496" i="4"/>
  <c r="L1496" i="4"/>
  <c r="X1495" i="4"/>
  <c r="M1495" i="4"/>
  <c r="L1495" i="4"/>
  <c r="X1494" i="4"/>
  <c r="M1494" i="4"/>
  <c r="L1494" i="4"/>
  <c r="X1493" i="4"/>
  <c r="M1493" i="4"/>
  <c r="L1493" i="4"/>
  <c r="X1492" i="4"/>
  <c r="M1492" i="4"/>
  <c r="L1492" i="4"/>
  <c r="X1491" i="4"/>
  <c r="M1491" i="4"/>
  <c r="L1491" i="4"/>
  <c r="X1490" i="4"/>
  <c r="M1490" i="4"/>
  <c r="L1490" i="4"/>
  <c r="X1489" i="4"/>
  <c r="M1489" i="4"/>
  <c r="L1489" i="4"/>
  <c r="X1488" i="4"/>
  <c r="M1488" i="4"/>
  <c r="L1488" i="4"/>
  <c r="X1487" i="4"/>
  <c r="M1487" i="4"/>
  <c r="L1487" i="4"/>
  <c r="X1486" i="4"/>
  <c r="M1486" i="4"/>
  <c r="L1486" i="4"/>
  <c r="X1485" i="4"/>
  <c r="M1485" i="4"/>
  <c r="L1485" i="4"/>
  <c r="X1484" i="4"/>
  <c r="M1484" i="4"/>
  <c r="L1484" i="4"/>
  <c r="X1483" i="4"/>
  <c r="M1483" i="4"/>
  <c r="L1483" i="4"/>
  <c r="X1482" i="4"/>
  <c r="M1482" i="4"/>
  <c r="L1482" i="4"/>
  <c r="X1481" i="4"/>
  <c r="M1481" i="4"/>
  <c r="L1481" i="4"/>
  <c r="X1480" i="4"/>
  <c r="M1480" i="4"/>
  <c r="L1480" i="4"/>
  <c r="X1479" i="4"/>
  <c r="M1479" i="4"/>
  <c r="L1479" i="4"/>
  <c r="X1478" i="4"/>
  <c r="M1478" i="4"/>
  <c r="L1478" i="4"/>
  <c r="X1477" i="4"/>
  <c r="M1477" i="4"/>
  <c r="L1477" i="4"/>
  <c r="X1476" i="4"/>
  <c r="M1476" i="4"/>
  <c r="L1476" i="4"/>
  <c r="X1475" i="4"/>
  <c r="M1475" i="4"/>
  <c r="L1475" i="4"/>
  <c r="X1474" i="4"/>
  <c r="M1474" i="4"/>
  <c r="L1474" i="4"/>
  <c r="X1473" i="4"/>
  <c r="M1473" i="4"/>
  <c r="L1473" i="4"/>
  <c r="X1472" i="4"/>
  <c r="M1472" i="4"/>
  <c r="L1472" i="4"/>
  <c r="X1471" i="4"/>
  <c r="M1471" i="4"/>
  <c r="L1471" i="4"/>
  <c r="X1470" i="4"/>
  <c r="M1470" i="4"/>
  <c r="L1470" i="4"/>
  <c r="X1469" i="4"/>
  <c r="M1469" i="4"/>
  <c r="L1469" i="4"/>
  <c r="X1468" i="4"/>
  <c r="M1468" i="4"/>
  <c r="L1468" i="4"/>
  <c r="X1467" i="4"/>
  <c r="M1467" i="4"/>
  <c r="L1467" i="4"/>
  <c r="X1466" i="4"/>
  <c r="M1466" i="4"/>
  <c r="L1466" i="4"/>
  <c r="X1465" i="4"/>
  <c r="M1465" i="4"/>
  <c r="L1465" i="4"/>
  <c r="X1464" i="4"/>
  <c r="M1464" i="4"/>
  <c r="L1464" i="4"/>
  <c r="X1463" i="4"/>
  <c r="M1463" i="4"/>
  <c r="L1463" i="4"/>
  <c r="X1462" i="4"/>
  <c r="M1462" i="4"/>
  <c r="L1462" i="4"/>
  <c r="X1461" i="4"/>
  <c r="M1461" i="4"/>
  <c r="L1461" i="4"/>
  <c r="X1460" i="4"/>
  <c r="M1460" i="4"/>
  <c r="L1460" i="4"/>
  <c r="X1459" i="4"/>
  <c r="M1459" i="4"/>
  <c r="L1459" i="4"/>
  <c r="X1458" i="4"/>
  <c r="M1458" i="4"/>
  <c r="L1458" i="4"/>
  <c r="X1457" i="4"/>
  <c r="M1457" i="4"/>
  <c r="L1457" i="4"/>
  <c r="X1456" i="4"/>
  <c r="M1456" i="4"/>
  <c r="L1456" i="4"/>
  <c r="X1455" i="4"/>
  <c r="M1455" i="4"/>
  <c r="L1455" i="4"/>
  <c r="X1454" i="4"/>
  <c r="M1454" i="4"/>
  <c r="L1454" i="4"/>
  <c r="X1453" i="4"/>
  <c r="M1453" i="4"/>
  <c r="L1453" i="4"/>
  <c r="X1452" i="4"/>
  <c r="M1452" i="4"/>
  <c r="L1452" i="4"/>
  <c r="X1451" i="4"/>
  <c r="M1451" i="4"/>
  <c r="L1451" i="4"/>
  <c r="X1450" i="4"/>
  <c r="M1450" i="4"/>
  <c r="L1450" i="4"/>
  <c r="X1449" i="4"/>
  <c r="M1449" i="4"/>
  <c r="L1449" i="4"/>
  <c r="X1448" i="4"/>
  <c r="M1448" i="4"/>
  <c r="L1448" i="4"/>
  <c r="X1447" i="4"/>
  <c r="M1447" i="4"/>
  <c r="L1447" i="4"/>
  <c r="X1446" i="4"/>
  <c r="M1446" i="4"/>
  <c r="L1446" i="4"/>
  <c r="X1445" i="4"/>
  <c r="M1445" i="4"/>
  <c r="L1445" i="4"/>
  <c r="X1444" i="4"/>
  <c r="M1444" i="4"/>
  <c r="L1444" i="4"/>
  <c r="X1443" i="4"/>
  <c r="M1443" i="4"/>
  <c r="L1443" i="4"/>
  <c r="X1442" i="4"/>
  <c r="M1442" i="4"/>
  <c r="L1442" i="4"/>
  <c r="X1441" i="4"/>
  <c r="M1441" i="4"/>
  <c r="L1441" i="4"/>
  <c r="X1440" i="4"/>
  <c r="M1440" i="4"/>
  <c r="L1440" i="4"/>
  <c r="X1439" i="4"/>
  <c r="M1439" i="4"/>
  <c r="L1439" i="4"/>
  <c r="X1438" i="4"/>
  <c r="M1438" i="4"/>
  <c r="L1438" i="4"/>
  <c r="X1437" i="4"/>
  <c r="M1437" i="4"/>
  <c r="L1437" i="4"/>
  <c r="X1436" i="4"/>
  <c r="M1436" i="4"/>
  <c r="L1436" i="4"/>
  <c r="X1435" i="4"/>
  <c r="M1435" i="4"/>
  <c r="L1435" i="4"/>
  <c r="X1434" i="4"/>
  <c r="M1434" i="4"/>
  <c r="L1434" i="4"/>
  <c r="X1433" i="4"/>
  <c r="M1433" i="4"/>
  <c r="L1433" i="4"/>
  <c r="X1432" i="4"/>
  <c r="M1432" i="4"/>
  <c r="L1432" i="4"/>
  <c r="X1431" i="4"/>
  <c r="M1431" i="4"/>
  <c r="L1431" i="4"/>
  <c r="X1430" i="4"/>
  <c r="M1430" i="4"/>
  <c r="L1430" i="4"/>
  <c r="X1429" i="4"/>
  <c r="M1429" i="4"/>
  <c r="L1429" i="4"/>
  <c r="X1428" i="4"/>
  <c r="M1428" i="4"/>
  <c r="L1428" i="4"/>
  <c r="X1427" i="4"/>
  <c r="M1427" i="4"/>
  <c r="L1427" i="4"/>
  <c r="X1426" i="4"/>
  <c r="M1426" i="4"/>
  <c r="L1426" i="4"/>
  <c r="X1425" i="4"/>
  <c r="M1425" i="4"/>
  <c r="L1425" i="4"/>
  <c r="X1424" i="4"/>
  <c r="M1424" i="4"/>
  <c r="L1424" i="4"/>
  <c r="X1423" i="4"/>
  <c r="M1423" i="4"/>
  <c r="L1423" i="4"/>
  <c r="X1422" i="4"/>
  <c r="M1422" i="4"/>
  <c r="L1422" i="4"/>
  <c r="X1421" i="4"/>
  <c r="M1421" i="4"/>
  <c r="L1421" i="4"/>
  <c r="X1420" i="4"/>
  <c r="M1420" i="4"/>
  <c r="L1420" i="4"/>
  <c r="X1419" i="4"/>
  <c r="M1419" i="4"/>
  <c r="L1419" i="4"/>
  <c r="X1418" i="4"/>
  <c r="M1418" i="4"/>
  <c r="L1418" i="4"/>
  <c r="X1417" i="4"/>
  <c r="M1417" i="4"/>
  <c r="L1417" i="4"/>
  <c r="X1416" i="4"/>
  <c r="M1416" i="4"/>
  <c r="L1416" i="4"/>
  <c r="X1415" i="4"/>
  <c r="M1415" i="4"/>
  <c r="L1415" i="4"/>
  <c r="X1414" i="4"/>
  <c r="M1414" i="4"/>
  <c r="L1414" i="4"/>
  <c r="X1413" i="4"/>
  <c r="M1413" i="4"/>
  <c r="L1413" i="4"/>
  <c r="X1412" i="4"/>
  <c r="M1412" i="4"/>
  <c r="L1412" i="4"/>
  <c r="X1411" i="4"/>
  <c r="M1411" i="4"/>
  <c r="L1411" i="4"/>
  <c r="X1410" i="4"/>
  <c r="M1410" i="4"/>
  <c r="L1410" i="4"/>
  <c r="X1409" i="4"/>
  <c r="M1409" i="4"/>
  <c r="L1409" i="4"/>
  <c r="X1408" i="4"/>
  <c r="M1408" i="4"/>
  <c r="L1408" i="4"/>
  <c r="X1407" i="4"/>
  <c r="M1407" i="4"/>
  <c r="L1407" i="4"/>
  <c r="X1406" i="4"/>
  <c r="M1406" i="4"/>
  <c r="L1406" i="4"/>
  <c r="X1405" i="4"/>
  <c r="M1405" i="4"/>
  <c r="L1405" i="4"/>
  <c r="X1404" i="4"/>
  <c r="M1404" i="4"/>
  <c r="L1404" i="4"/>
  <c r="X1403" i="4"/>
  <c r="M1403" i="4"/>
  <c r="L1403" i="4"/>
  <c r="X1402" i="4"/>
  <c r="M1402" i="4"/>
  <c r="L1402" i="4"/>
  <c r="X1401" i="4"/>
  <c r="M1401" i="4"/>
  <c r="L1401" i="4"/>
  <c r="X1400" i="4"/>
  <c r="M1400" i="4"/>
  <c r="L1400" i="4"/>
  <c r="X1399" i="4"/>
  <c r="M1399" i="4"/>
  <c r="L1399" i="4"/>
  <c r="X1398" i="4"/>
  <c r="M1398" i="4"/>
  <c r="L1398" i="4"/>
  <c r="X1397" i="4"/>
  <c r="M1397" i="4"/>
  <c r="L1397" i="4"/>
  <c r="X1396" i="4"/>
  <c r="M1396" i="4"/>
  <c r="L1396" i="4"/>
  <c r="X1395" i="4"/>
  <c r="M1395" i="4"/>
  <c r="L1395" i="4"/>
  <c r="X1394" i="4"/>
  <c r="M1394" i="4"/>
  <c r="L1394" i="4"/>
  <c r="X1393" i="4"/>
  <c r="M1393" i="4"/>
  <c r="L1393" i="4"/>
  <c r="X1392" i="4"/>
  <c r="M1392" i="4"/>
  <c r="L1392" i="4"/>
  <c r="X1391" i="4"/>
  <c r="M1391" i="4"/>
  <c r="L1391" i="4"/>
  <c r="X1390" i="4"/>
  <c r="M1390" i="4"/>
  <c r="L1390" i="4"/>
  <c r="X1389" i="4"/>
  <c r="M1389" i="4"/>
  <c r="L1389" i="4"/>
  <c r="X1388" i="4"/>
  <c r="M1388" i="4"/>
  <c r="L1388" i="4"/>
  <c r="X1387" i="4"/>
  <c r="M1387" i="4"/>
  <c r="L1387" i="4"/>
  <c r="X1386" i="4"/>
  <c r="M1386" i="4"/>
  <c r="L1386" i="4"/>
  <c r="X1385" i="4"/>
  <c r="M1385" i="4"/>
  <c r="L1385" i="4"/>
  <c r="X1384" i="4"/>
  <c r="M1384" i="4"/>
  <c r="L1384" i="4"/>
  <c r="X1383" i="4"/>
  <c r="M1383" i="4"/>
  <c r="L1383" i="4"/>
  <c r="X1382" i="4"/>
  <c r="M1382" i="4"/>
  <c r="L1382" i="4"/>
  <c r="X1381" i="4"/>
  <c r="M1381" i="4"/>
  <c r="L1381" i="4"/>
  <c r="X1380" i="4"/>
  <c r="M1380" i="4"/>
  <c r="L1380" i="4"/>
  <c r="X1379" i="4"/>
  <c r="M1379" i="4"/>
  <c r="L1379" i="4"/>
  <c r="X1378" i="4"/>
  <c r="M1378" i="4"/>
  <c r="L1378" i="4"/>
  <c r="X1377" i="4"/>
  <c r="M1377" i="4"/>
  <c r="L1377" i="4"/>
  <c r="X1376" i="4"/>
  <c r="M1376" i="4"/>
  <c r="L1376" i="4"/>
  <c r="X1375" i="4"/>
  <c r="M1375" i="4"/>
  <c r="L1375" i="4"/>
  <c r="X1374" i="4"/>
  <c r="M1374" i="4"/>
  <c r="L1374" i="4"/>
  <c r="X1373" i="4"/>
  <c r="M1373" i="4"/>
  <c r="L1373" i="4"/>
  <c r="X1372" i="4"/>
  <c r="M1372" i="4"/>
  <c r="L1372" i="4"/>
  <c r="X1371" i="4"/>
  <c r="M1371" i="4"/>
  <c r="L1371" i="4"/>
  <c r="X1370" i="4"/>
  <c r="M1370" i="4"/>
  <c r="L1370" i="4"/>
  <c r="X1369" i="4"/>
  <c r="M1369" i="4"/>
  <c r="L1369" i="4"/>
  <c r="X1368" i="4"/>
  <c r="M1368" i="4"/>
  <c r="L1368" i="4"/>
  <c r="X1367" i="4"/>
  <c r="M1367" i="4"/>
  <c r="L1367" i="4"/>
  <c r="X1366" i="4"/>
  <c r="M1366" i="4"/>
  <c r="L1366" i="4"/>
  <c r="X1365" i="4"/>
  <c r="M1365" i="4"/>
  <c r="L1365" i="4"/>
  <c r="X1364" i="4"/>
  <c r="M1364" i="4"/>
  <c r="L1364" i="4"/>
  <c r="X1363" i="4"/>
  <c r="M1363" i="4"/>
  <c r="L1363" i="4"/>
  <c r="X1362" i="4"/>
  <c r="M1362" i="4"/>
  <c r="L1362" i="4"/>
  <c r="X1361" i="4"/>
  <c r="M1361" i="4"/>
  <c r="L1361" i="4"/>
  <c r="X1360" i="4"/>
  <c r="M1360" i="4"/>
  <c r="L1360" i="4"/>
  <c r="X1359" i="4"/>
  <c r="M1359" i="4"/>
  <c r="L1359" i="4"/>
  <c r="X1358" i="4"/>
  <c r="M1358" i="4"/>
  <c r="L1358" i="4"/>
  <c r="X1357" i="4"/>
  <c r="M1357" i="4"/>
  <c r="L1357" i="4"/>
  <c r="X1356" i="4"/>
  <c r="M1356" i="4"/>
  <c r="L1356" i="4"/>
  <c r="X1355" i="4"/>
  <c r="M1355" i="4"/>
  <c r="L1355" i="4"/>
  <c r="X1354" i="4"/>
  <c r="M1354" i="4"/>
  <c r="L1354" i="4"/>
  <c r="X1353" i="4"/>
  <c r="M1353" i="4"/>
  <c r="L1353" i="4"/>
  <c r="X1352" i="4"/>
  <c r="M1352" i="4"/>
  <c r="L1352" i="4"/>
  <c r="X1351" i="4"/>
  <c r="M1351" i="4"/>
  <c r="L1351" i="4"/>
  <c r="X1350" i="4"/>
  <c r="M1350" i="4"/>
  <c r="L1350" i="4"/>
  <c r="X1349" i="4"/>
  <c r="M1349" i="4"/>
  <c r="L1349" i="4"/>
  <c r="X1348" i="4"/>
  <c r="M1348" i="4"/>
  <c r="L1348" i="4"/>
  <c r="X1347" i="4"/>
  <c r="M1347" i="4"/>
  <c r="L1347" i="4"/>
  <c r="X1346" i="4"/>
  <c r="M1346" i="4"/>
  <c r="L1346" i="4"/>
  <c r="X1345" i="4"/>
  <c r="M1345" i="4"/>
  <c r="L1345" i="4"/>
  <c r="X1683" i="4"/>
  <c r="M1683" i="4"/>
  <c r="L1683" i="4"/>
  <c r="X1682" i="4"/>
  <c r="M1682" i="4"/>
  <c r="L1682" i="4"/>
  <c r="X1681" i="4"/>
  <c r="M1681" i="4"/>
  <c r="L1681" i="4"/>
  <c r="X1680" i="4"/>
  <c r="M1680" i="4"/>
  <c r="L1680" i="4"/>
  <c r="X1679" i="4"/>
  <c r="M1679" i="4"/>
  <c r="L1679" i="4"/>
  <c r="X1678" i="4"/>
  <c r="M1678" i="4"/>
  <c r="L1678" i="4"/>
  <c r="X1677" i="4"/>
  <c r="M1677" i="4"/>
  <c r="L1677" i="4"/>
  <c r="X1676" i="4"/>
  <c r="M1676" i="4"/>
  <c r="L1676" i="4"/>
  <c r="X1675" i="4"/>
  <c r="M1675" i="4"/>
  <c r="L1675" i="4"/>
  <c r="X1674" i="4"/>
  <c r="M1674" i="4"/>
  <c r="L1674" i="4"/>
  <c r="X1673" i="4"/>
  <c r="M1673" i="4"/>
  <c r="L1673" i="4"/>
  <c r="X1672" i="4"/>
  <c r="M1672" i="4"/>
  <c r="L1672" i="4"/>
  <c r="X1671" i="4"/>
  <c r="M1671" i="4"/>
  <c r="L1671" i="4"/>
  <c r="X1670" i="4"/>
  <c r="M1670" i="4"/>
  <c r="L1670" i="4"/>
  <c r="X1669" i="4"/>
  <c r="M1669" i="4"/>
  <c r="L1669" i="4"/>
  <c r="X1668" i="4"/>
  <c r="M1668" i="4"/>
  <c r="L1668" i="4"/>
  <c r="X1667" i="4"/>
  <c r="M1667" i="4"/>
  <c r="L1667" i="4"/>
  <c r="X1666" i="4"/>
  <c r="M1666" i="4"/>
  <c r="L1666" i="4"/>
  <c r="X1665" i="4"/>
  <c r="M1665" i="4"/>
  <c r="L1665" i="4"/>
  <c r="X1664" i="4"/>
  <c r="M1664" i="4"/>
  <c r="L1664" i="4"/>
  <c r="X1663" i="4"/>
  <c r="M1663" i="4"/>
  <c r="L1663" i="4"/>
  <c r="X1662" i="4"/>
  <c r="M1662" i="4"/>
  <c r="L1662" i="4"/>
  <c r="X1661" i="4"/>
  <c r="M1661" i="4"/>
  <c r="L1661" i="4"/>
  <c r="X1660" i="4"/>
  <c r="M1660" i="4"/>
  <c r="L1660" i="4"/>
  <c r="X1659" i="4"/>
  <c r="M1659" i="4"/>
  <c r="L1659" i="4"/>
  <c r="X1658" i="4"/>
  <c r="M1658" i="4"/>
  <c r="L1658" i="4"/>
  <c r="X1657" i="4"/>
  <c r="M1657" i="4"/>
  <c r="L1657" i="4"/>
  <c r="X1656" i="4"/>
  <c r="M1656" i="4"/>
  <c r="L1656" i="4"/>
  <c r="X1655" i="4"/>
  <c r="M1655" i="4"/>
  <c r="L1655" i="4"/>
  <c r="X1654" i="4"/>
  <c r="M1654" i="4"/>
  <c r="L1654" i="4"/>
  <c r="X1653" i="4"/>
  <c r="M1653" i="4"/>
  <c r="L1653" i="4"/>
  <c r="X1652" i="4"/>
  <c r="M1652" i="4"/>
  <c r="L1652" i="4"/>
  <c r="X1651" i="4"/>
  <c r="M1651" i="4"/>
  <c r="L1651" i="4"/>
  <c r="X1650" i="4"/>
  <c r="M1650" i="4"/>
  <c r="L1650" i="4"/>
  <c r="X1649" i="4"/>
  <c r="M1649" i="4"/>
  <c r="L1649" i="4"/>
  <c r="X1648" i="4"/>
  <c r="M1648" i="4"/>
  <c r="L1648" i="4"/>
  <c r="X1647" i="4"/>
  <c r="M1647" i="4"/>
  <c r="L1647" i="4"/>
  <c r="X1646" i="4"/>
  <c r="M1646" i="4"/>
  <c r="L1646" i="4"/>
  <c r="X1645" i="4"/>
  <c r="M1645" i="4"/>
  <c r="L1645" i="4"/>
  <c r="X1644" i="4"/>
  <c r="M1644" i="4"/>
  <c r="L1644" i="4"/>
  <c r="X1643" i="4"/>
  <c r="M1643" i="4"/>
  <c r="L1643" i="4"/>
  <c r="X1642" i="4"/>
  <c r="M1642" i="4"/>
  <c r="L1642" i="4"/>
  <c r="X1641" i="4"/>
  <c r="M1641" i="4"/>
  <c r="L1641" i="4"/>
  <c r="X1640" i="4"/>
  <c r="M1640" i="4"/>
  <c r="L1640" i="4"/>
  <c r="X1639" i="4"/>
  <c r="M1639" i="4"/>
  <c r="L1639" i="4"/>
  <c r="X1638" i="4"/>
  <c r="M1638" i="4"/>
  <c r="L1638" i="4"/>
  <c r="X1637" i="4"/>
  <c r="M1637" i="4"/>
  <c r="L1637" i="4"/>
  <c r="X1636" i="4"/>
  <c r="M1636" i="4"/>
  <c r="L1636" i="4"/>
  <c r="X1635" i="4"/>
  <c r="M1635" i="4"/>
  <c r="L1635" i="4"/>
  <c r="X1634" i="4"/>
  <c r="M1634" i="4"/>
  <c r="L1634" i="4"/>
  <c r="X1633" i="4"/>
  <c r="M1633" i="4"/>
  <c r="L1633" i="4"/>
  <c r="X1632" i="4"/>
  <c r="M1632" i="4"/>
  <c r="L1632" i="4"/>
  <c r="X1631" i="4"/>
  <c r="M1631" i="4"/>
  <c r="L1631" i="4"/>
  <c r="X1630" i="4"/>
  <c r="M1630" i="4"/>
  <c r="L1630" i="4"/>
  <c r="X1629" i="4"/>
  <c r="M1629" i="4"/>
  <c r="L1629" i="4"/>
  <c r="X1628" i="4"/>
  <c r="M1628" i="4"/>
  <c r="L1628" i="4"/>
  <c r="X1627" i="4"/>
  <c r="M1627" i="4"/>
  <c r="L1627" i="4"/>
  <c r="X1626" i="4"/>
  <c r="M1626" i="4"/>
  <c r="L1626" i="4"/>
  <c r="X1625" i="4"/>
  <c r="M1625" i="4"/>
  <c r="L1625" i="4"/>
  <c r="X1624" i="4"/>
  <c r="M1624" i="4"/>
  <c r="L1624" i="4"/>
  <c r="X1623" i="4"/>
  <c r="M1623" i="4"/>
  <c r="L1623" i="4"/>
  <c r="X1622" i="4"/>
  <c r="M1622" i="4"/>
  <c r="L1622" i="4"/>
  <c r="X1621" i="4"/>
  <c r="M1621" i="4"/>
  <c r="L1621" i="4"/>
  <c r="X1620" i="4"/>
  <c r="M1620" i="4"/>
  <c r="L1620" i="4"/>
  <c r="X1619" i="4"/>
  <c r="M1619" i="4"/>
  <c r="L1619" i="4"/>
  <c r="X1618" i="4"/>
  <c r="M1618" i="4"/>
  <c r="L1618" i="4"/>
  <c r="X1617" i="4"/>
  <c r="M1617" i="4"/>
  <c r="L1617" i="4"/>
  <c r="X1616" i="4"/>
  <c r="M1616" i="4"/>
  <c r="L1616" i="4"/>
  <c r="X1615" i="4"/>
  <c r="M1615" i="4"/>
  <c r="L1615" i="4"/>
  <c r="X1614" i="4"/>
  <c r="M1614" i="4"/>
  <c r="L1614" i="4"/>
  <c r="X1613" i="4"/>
  <c r="M1613" i="4"/>
  <c r="L1613" i="4"/>
  <c r="X1612" i="4"/>
  <c r="M1612" i="4"/>
  <c r="L1612" i="4"/>
  <c r="X1611" i="4"/>
  <c r="M1611" i="4"/>
  <c r="L1611" i="4"/>
  <c r="X1610" i="4"/>
  <c r="M1610" i="4"/>
  <c r="L1610" i="4"/>
  <c r="X1609" i="4"/>
  <c r="M1609" i="4"/>
  <c r="L1609" i="4"/>
  <c r="X1608" i="4"/>
  <c r="M1608" i="4"/>
  <c r="L1608" i="4"/>
  <c r="X1607" i="4"/>
  <c r="M1607" i="4"/>
  <c r="L1607" i="4"/>
  <c r="X1606" i="4"/>
  <c r="M1606" i="4"/>
  <c r="L1606" i="4"/>
  <c r="X1605" i="4"/>
  <c r="M1605" i="4"/>
  <c r="L1605" i="4"/>
  <c r="X1604" i="4"/>
  <c r="M1604" i="4"/>
  <c r="L1604" i="4"/>
  <c r="X1603" i="4"/>
  <c r="M1603" i="4"/>
  <c r="L1603" i="4"/>
  <c r="X1602" i="4"/>
  <c r="M1602" i="4"/>
  <c r="L1602" i="4"/>
  <c r="X1601" i="4"/>
  <c r="M1601" i="4"/>
  <c r="L1601" i="4"/>
  <c r="X1600" i="4"/>
  <c r="M1600" i="4"/>
  <c r="L1600" i="4"/>
  <c r="X1599" i="4"/>
  <c r="M1599" i="4"/>
  <c r="L1599" i="4"/>
  <c r="X1598" i="4"/>
  <c r="M1598" i="4"/>
  <c r="L1598" i="4"/>
  <c r="X1597" i="4"/>
  <c r="M1597" i="4"/>
  <c r="L1597" i="4"/>
  <c r="X1596" i="4"/>
  <c r="M1596" i="4"/>
  <c r="L1596" i="4"/>
  <c r="X1595" i="4"/>
  <c r="M1595" i="4"/>
  <c r="L1595" i="4"/>
  <c r="X1594" i="4"/>
  <c r="M1594" i="4"/>
  <c r="L1594" i="4"/>
  <c r="X1593" i="4"/>
  <c r="M1593" i="4"/>
  <c r="L1593" i="4"/>
  <c r="X1592" i="4"/>
  <c r="M1592" i="4"/>
  <c r="L1592" i="4"/>
  <c r="X1591" i="4"/>
  <c r="M1591" i="4"/>
  <c r="L1591" i="4"/>
  <c r="X1590" i="4"/>
  <c r="M1590" i="4"/>
  <c r="L1590" i="4"/>
  <c r="X1589" i="4"/>
  <c r="M1589" i="4"/>
  <c r="L1589" i="4"/>
  <c r="X1588" i="4"/>
  <c r="M1588" i="4"/>
  <c r="L1588" i="4"/>
  <c r="X1587" i="4"/>
  <c r="M1587" i="4"/>
  <c r="L1587" i="4"/>
  <c r="X1586" i="4"/>
  <c r="M1586" i="4"/>
  <c r="L1586" i="4"/>
  <c r="X1585" i="4"/>
  <c r="M1585" i="4"/>
  <c r="L1585" i="4"/>
  <c r="X1584" i="4"/>
  <c r="M1584" i="4"/>
  <c r="L1584" i="4"/>
  <c r="X1583" i="4"/>
  <c r="M1583" i="4"/>
  <c r="L1583" i="4"/>
  <c r="X1582" i="4"/>
  <c r="M1582" i="4"/>
  <c r="L1582" i="4"/>
  <c r="X1581" i="4"/>
  <c r="M1581" i="4"/>
  <c r="L1581" i="4"/>
  <c r="X1580" i="4"/>
  <c r="M1580" i="4"/>
  <c r="L1580" i="4"/>
  <c r="X1579" i="4"/>
  <c r="M1579" i="4"/>
  <c r="L1579" i="4"/>
  <c r="X1578" i="4"/>
  <c r="M1578" i="4"/>
  <c r="L1578" i="4"/>
  <c r="X1577" i="4"/>
  <c r="M1577" i="4"/>
  <c r="L1577" i="4"/>
  <c r="X1576" i="4"/>
  <c r="M1576" i="4"/>
  <c r="L1576" i="4"/>
  <c r="X1575" i="4"/>
  <c r="M1575" i="4"/>
  <c r="L1575" i="4"/>
  <c r="X1574" i="4"/>
  <c r="M1574" i="4"/>
  <c r="L1574" i="4"/>
  <c r="X1573" i="4"/>
  <c r="M1573" i="4"/>
  <c r="L1573" i="4"/>
  <c r="X1572" i="4"/>
  <c r="M1572" i="4"/>
  <c r="L1572" i="4"/>
  <c r="X1571" i="4"/>
  <c r="M1571" i="4"/>
  <c r="L1571" i="4"/>
  <c r="X1570" i="4"/>
  <c r="M1570" i="4"/>
  <c r="L1570" i="4"/>
  <c r="X1569" i="4"/>
  <c r="M1569" i="4"/>
  <c r="L1569" i="4"/>
  <c r="X1568" i="4"/>
  <c r="M1568" i="4"/>
  <c r="L1568" i="4"/>
  <c r="X1567" i="4"/>
  <c r="M1567" i="4"/>
  <c r="L1567" i="4"/>
  <c r="X1566" i="4"/>
  <c r="M1566" i="4"/>
  <c r="L1566" i="4"/>
  <c r="X1565" i="4"/>
  <c r="M1565" i="4"/>
  <c r="L1565" i="4"/>
  <c r="X1564" i="4"/>
  <c r="M1564" i="4"/>
  <c r="L1564" i="4"/>
  <c r="X1563" i="4"/>
  <c r="M1563" i="4"/>
  <c r="L1563" i="4"/>
  <c r="X1562" i="4"/>
  <c r="M1562" i="4"/>
  <c r="L1562" i="4"/>
  <c r="X1561" i="4"/>
  <c r="M1561" i="4"/>
  <c r="L1561" i="4"/>
  <c r="X1560" i="4"/>
  <c r="M1560" i="4"/>
  <c r="L1560" i="4"/>
  <c r="X1559" i="4"/>
  <c r="M1559" i="4"/>
  <c r="L1559" i="4"/>
  <c r="X1558" i="4"/>
  <c r="M1558" i="4"/>
  <c r="L1558" i="4"/>
  <c r="X1557" i="4"/>
  <c r="M1557" i="4"/>
  <c r="L1557" i="4"/>
  <c r="X1556" i="4"/>
  <c r="M1556" i="4"/>
  <c r="L1556" i="4"/>
  <c r="X1555" i="4"/>
  <c r="M1555" i="4"/>
  <c r="L1555" i="4"/>
  <c r="X1554" i="4"/>
  <c r="M1554" i="4"/>
  <c r="L1554" i="4"/>
  <c r="X1553" i="4"/>
  <c r="M1553" i="4"/>
  <c r="L1553" i="4"/>
  <c r="X1552" i="4"/>
  <c r="M1552" i="4"/>
  <c r="L1552" i="4"/>
  <c r="X1551" i="4"/>
  <c r="M1551" i="4"/>
  <c r="L1551" i="4"/>
  <c r="X1550" i="4"/>
  <c r="M1550" i="4"/>
  <c r="L1550" i="4"/>
  <c r="X1549" i="4"/>
  <c r="M1549" i="4"/>
  <c r="L1549" i="4"/>
  <c r="X1548" i="4"/>
  <c r="M1548" i="4"/>
  <c r="L1548" i="4"/>
  <c r="X1547" i="4"/>
  <c r="M1547" i="4"/>
  <c r="L1547" i="4"/>
  <c r="X1546" i="4"/>
  <c r="M1546" i="4"/>
  <c r="L1546" i="4"/>
  <c r="X1545" i="4"/>
  <c r="M1545" i="4"/>
  <c r="L1545" i="4"/>
  <c r="X1544" i="4"/>
  <c r="M1544" i="4"/>
  <c r="L1544" i="4"/>
  <c r="X1543" i="4"/>
  <c r="M1543" i="4"/>
  <c r="L1543" i="4"/>
  <c r="X1542" i="4"/>
  <c r="M1542" i="4"/>
  <c r="L1542" i="4"/>
  <c r="X1541" i="4"/>
  <c r="M1541" i="4"/>
  <c r="L1541" i="4"/>
  <c r="X1540" i="4"/>
  <c r="M1540" i="4"/>
  <c r="L1540" i="4"/>
  <c r="X1539" i="4"/>
  <c r="M1539" i="4"/>
  <c r="L1539" i="4"/>
  <c r="X1538" i="4"/>
  <c r="M1538" i="4"/>
  <c r="L1538" i="4"/>
  <c r="X1537" i="4"/>
  <c r="M1537" i="4"/>
  <c r="L1537" i="4"/>
  <c r="X1536" i="4"/>
  <c r="M1536" i="4"/>
  <c r="L1536" i="4"/>
  <c r="X1535" i="4"/>
  <c r="M1535" i="4"/>
  <c r="L1535" i="4"/>
  <c r="X1534" i="4"/>
  <c r="M1534" i="4"/>
  <c r="L1534" i="4"/>
  <c r="X1533" i="4"/>
  <c r="M1533" i="4"/>
  <c r="L1533" i="4"/>
  <c r="X1532" i="4"/>
  <c r="M1532" i="4"/>
  <c r="L1532" i="4"/>
  <c r="X1531" i="4"/>
  <c r="M1531" i="4"/>
  <c r="L1531" i="4"/>
  <c r="X1530" i="4"/>
  <c r="M1530" i="4"/>
  <c r="L1530" i="4"/>
  <c r="X1529" i="4"/>
  <c r="M1529" i="4"/>
  <c r="L1529" i="4"/>
  <c r="X1528" i="4"/>
  <c r="M1528" i="4"/>
  <c r="L1528" i="4"/>
  <c r="X1527" i="4"/>
  <c r="M1527" i="4"/>
  <c r="L1527" i="4"/>
  <c r="X1526" i="4"/>
  <c r="M1526" i="4"/>
  <c r="L1526" i="4"/>
  <c r="X1525" i="4"/>
  <c r="M1525" i="4"/>
  <c r="L1525" i="4"/>
  <c r="X1524" i="4"/>
  <c r="M1524" i="4"/>
  <c r="L1524" i="4"/>
  <c r="X1523" i="4"/>
  <c r="M1523" i="4"/>
  <c r="L1523" i="4"/>
  <c r="X1724" i="4"/>
  <c r="M1724" i="4"/>
  <c r="L1724" i="4"/>
  <c r="X1723" i="4"/>
  <c r="M1723" i="4"/>
  <c r="L1723" i="4"/>
  <c r="X1722" i="4"/>
  <c r="M1722" i="4"/>
  <c r="L1722" i="4"/>
  <c r="X1721" i="4"/>
  <c r="M1721" i="4"/>
  <c r="L1721" i="4"/>
  <c r="X1720" i="4"/>
  <c r="M1720" i="4"/>
  <c r="L1720" i="4"/>
  <c r="X1719" i="4"/>
  <c r="M1719" i="4"/>
  <c r="L1719" i="4"/>
  <c r="X1718" i="4"/>
  <c r="M1718" i="4"/>
  <c r="L1718" i="4"/>
  <c r="X1717" i="4"/>
  <c r="M1717" i="4"/>
  <c r="L1717" i="4"/>
  <c r="X1716" i="4"/>
  <c r="M1716" i="4"/>
  <c r="L1716" i="4"/>
  <c r="X1715" i="4"/>
  <c r="M1715" i="4"/>
  <c r="L1715" i="4"/>
  <c r="X1714" i="4"/>
  <c r="M1714" i="4"/>
  <c r="L1714" i="4"/>
  <c r="X1713" i="4"/>
  <c r="M1713" i="4"/>
  <c r="L1713" i="4"/>
  <c r="X1712" i="4"/>
  <c r="M1712" i="4"/>
  <c r="L1712" i="4"/>
  <c r="X1711" i="4"/>
  <c r="M1711" i="4"/>
  <c r="L1711" i="4"/>
  <c r="X1710" i="4"/>
  <c r="M1710" i="4"/>
  <c r="L1710" i="4"/>
  <c r="X1709" i="4"/>
  <c r="M1709" i="4"/>
  <c r="L1709" i="4"/>
  <c r="X1708" i="4"/>
  <c r="M1708" i="4"/>
  <c r="L1708" i="4"/>
  <c r="X1707" i="4"/>
  <c r="M1707" i="4"/>
  <c r="L1707" i="4"/>
  <c r="X1706" i="4"/>
  <c r="M1706" i="4"/>
  <c r="L1706" i="4"/>
  <c r="X1705" i="4"/>
  <c r="M1705" i="4"/>
  <c r="L1705" i="4"/>
  <c r="X1704" i="4"/>
  <c r="M1704" i="4"/>
  <c r="L1704" i="4"/>
  <c r="X1703" i="4"/>
  <c r="M1703" i="4"/>
  <c r="L1703" i="4"/>
  <c r="X1702" i="4"/>
  <c r="M1702" i="4"/>
  <c r="L1702" i="4"/>
  <c r="X1701" i="4"/>
  <c r="M1701" i="4"/>
  <c r="L1701" i="4"/>
  <c r="X1700" i="4"/>
  <c r="M1700" i="4"/>
  <c r="L1700" i="4"/>
  <c r="X1699" i="4"/>
  <c r="M1699" i="4"/>
  <c r="L1699" i="4"/>
  <c r="X1698" i="4"/>
  <c r="M1698" i="4"/>
  <c r="L1698" i="4"/>
  <c r="X1697" i="4"/>
  <c r="M1697" i="4"/>
  <c r="L1697" i="4"/>
  <c r="X1696" i="4"/>
  <c r="M1696" i="4"/>
  <c r="L1696" i="4"/>
  <c r="X1695" i="4"/>
  <c r="M1695" i="4"/>
  <c r="L1695" i="4"/>
  <c r="X1694" i="4"/>
  <c r="M1694" i="4"/>
  <c r="L1694" i="4"/>
  <c r="X1693" i="4"/>
  <c r="M1693" i="4"/>
  <c r="L1693" i="4"/>
  <c r="X1692" i="4"/>
  <c r="M1692" i="4"/>
  <c r="L1692" i="4"/>
  <c r="X1691" i="4"/>
  <c r="M1691" i="4"/>
  <c r="L1691" i="4"/>
  <c r="X1690" i="4"/>
  <c r="M1690" i="4"/>
  <c r="L1690" i="4"/>
  <c r="X1689" i="4"/>
  <c r="M1689" i="4"/>
  <c r="L1689" i="4"/>
  <c r="X1688" i="4"/>
  <c r="M1688" i="4"/>
  <c r="L1688" i="4"/>
  <c r="X1687" i="4"/>
  <c r="M1687" i="4"/>
  <c r="L1687" i="4"/>
  <c r="X1686" i="4"/>
  <c r="M1686" i="4"/>
  <c r="L1686" i="4"/>
  <c r="X1685" i="4"/>
  <c r="M1685" i="4"/>
  <c r="L1685" i="4"/>
  <c r="X1684" i="4"/>
  <c r="M1684" i="4"/>
  <c r="L1684" i="4"/>
  <c r="X1760" i="4"/>
  <c r="M1760" i="4"/>
  <c r="L1760" i="4"/>
  <c r="X1759" i="4"/>
  <c r="M1759" i="4"/>
  <c r="L1759" i="4"/>
  <c r="X1758" i="4"/>
  <c r="M1758" i="4"/>
  <c r="L1758" i="4"/>
  <c r="X1757" i="4"/>
  <c r="M1757" i="4"/>
  <c r="L1757" i="4"/>
  <c r="X1756" i="4"/>
  <c r="M1756" i="4"/>
  <c r="L1756" i="4"/>
  <c r="X1755" i="4"/>
  <c r="M1755" i="4"/>
  <c r="L1755" i="4"/>
  <c r="X1754" i="4"/>
  <c r="M1754" i="4"/>
  <c r="L1754" i="4"/>
  <c r="X1753" i="4"/>
  <c r="M1753" i="4"/>
  <c r="L1753" i="4"/>
  <c r="X1752" i="4"/>
  <c r="M1752" i="4"/>
  <c r="L1752" i="4"/>
  <c r="X1751" i="4"/>
  <c r="M1751" i="4"/>
  <c r="L1751" i="4"/>
  <c r="X1750" i="4"/>
  <c r="M1750" i="4"/>
  <c r="L1750" i="4"/>
  <c r="X1749" i="4"/>
  <c r="M1749" i="4"/>
  <c r="L1749" i="4"/>
  <c r="X1748" i="4"/>
  <c r="M1748" i="4"/>
  <c r="L1748" i="4"/>
  <c r="X1747" i="4"/>
  <c r="M1747" i="4"/>
  <c r="L1747" i="4"/>
  <c r="X1746" i="4"/>
  <c r="M1746" i="4"/>
  <c r="L1746" i="4"/>
  <c r="X1745" i="4"/>
  <c r="M1745" i="4"/>
  <c r="L1745" i="4"/>
  <c r="X1744" i="4"/>
  <c r="M1744" i="4"/>
  <c r="L1744" i="4"/>
  <c r="X1743" i="4"/>
  <c r="M1743" i="4"/>
  <c r="L1743" i="4"/>
  <c r="X1742" i="4"/>
  <c r="M1742" i="4"/>
  <c r="L1742" i="4"/>
  <c r="X1741" i="4"/>
  <c r="M1741" i="4"/>
  <c r="L1741" i="4"/>
  <c r="X1740" i="4"/>
  <c r="M1740" i="4"/>
  <c r="L1740" i="4"/>
  <c r="X1739" i="4"/>
  <c r="M1739" i="4"/>
  <c r="L1739" i="4"/>
  <c r="X1738" i="4"/>
  <c r="M1738" i="4"/>
  <c r="L1738" i="4"/>
  <c r="X1737" i="4"/>
  <c r="M1737" i="4"/>
  <c r="L1737" i="4"/>
  <c r="X1736" i="4"/>
  <c r="M1736" i="4"/>
  <c r="L1736" i="4"/>
  <c r="X1735" i="4"/>
  <c r="M1735" i="4"/>
  <c r="L1735" i="4"/>
  <c r="X1734" i="4"/>
  <c r="M1734" i="4"/>
  <c r="L1734" i="4"/>
  <c r="X1733" i="4"/>
  <c r="M1733" i="4"/>
  <c r="L1733" i="4"/>
  <c r="X1732" i="4"/>
  <c r="M1732" i="4"/>
  <c r="L1732" i="4"/>
  <c r="X1731" i="4"/>
  <c r="M1731" i="4"/>
  <c r="L1731" i="4"/>
  <c r="X1730" i="4"/>
  <c r="M1730" i="4"/>
  <c r="L1730" i="4"/>
  <c r="X1729" i="4"/>
  <c r="M1729" i="4"/>
  <c r="L1729" i="4"/>
  <c r="X1728" i="4"/>
  <c r="M1728" i="4"/>
  <c r="L1728" i="4"/>
  <c r="X1727" i="4"/>
  <c r="M1727" i="4"/>
  <c r="L1727" i="4"/>
  <c r="X1726" i="4"/>
  <c r="M1726" i="4"/>
  <c r="L1726" i="4"/>
  <c r="X1725" i="4"/>
  <c r="M1725" i="4"/>
  <c r="L1725" i="4"/>
  <c r="X1810" i="4"/>
  <c r="M1810" i="4"/>
  <c r="L1810" i="4"/>
  <c r="X1809" i="4"/>
  <c r="M1809" i="4"/>
  <c r="L1809" i="4"/>
  <c r="X1808" i="4"/>
  <c r="M1808" i="4"/>
  <c r="L1808" i="4"/>
  <c r="X1807" i="4"/>
  <c r="M1807" i="4"/>
  <c r="L1807" i="4"/>
  <c r="X1806" i="4"/>
  <c r="M1806" i="4"/>
  <c r="L1806" i="4"/>
  <c r="X1805" i="4"/>
  <c r="M1805" i="4"/>
  <c r="L1805" i="4"/>
  <c r="X1804" i="4"/>
  <c r="M1804" i="4"/>
  <c r="L1804" i="4"/>
  <c r="X1803" i="4"/>
  <c r="M1803" i="4"/>
  <c r="L1803" i="4"/>
  <c r="X1802" i="4"/>
  <c r="M1802" i="4"/>
  <c r="L1802" i="4"/>
  <c r="X1801" i="4"/>
  <c r="M1801" i="4"/>
  <c r="L1801" i="4"/>
  <c r="X1800" i="4"/>
  <c r="M1800" i="4"/>
  <c r="L1800" i="4"/>
  <c r="X1799" i="4"/>
  <c r="M1799" i="4"/>
  <c r="L1799" i="4"/>
  <c r="X1798" i="4"/>
  <c r="M1798" i="4"/>
  <c r="L1798" i="4"/>
  <c r="X1797" i="4"/>
  <c r="M1797" i="4"/>
  <c r="L1797" i="4"/>
  <c r="X1796" i="4"/>
  <c r="M1796" i="4"/>
  <c r="L1796" i="4"/>
  <c r="X1795" i="4"/>
  <c r="M1795" i="4"/>
  <c r="L1795" i="4"/>
  <c r="X1794" i="4"/>
  <c r="M1794" i="4"/>
  <c r="L1794" i="4"/>
  <c r="X1793" i="4"/>
  <c r="M1793" i="4"/>
  <c r="L1793" i="4"/>
  <c r="X1792" i="4"/>
  <c r="M1792" i="4"/>
  <c r="L1792" i="4"/>
  <c r="X1791" i="4"/>
  <c r="M1791" i="4"/>
  <c r="L1791" i="4"/>
  <c r="X1790" i="4"/>
  <c r="M1790" i="4"/>
  <c r="L1790" i="4"/>
  <c r="X1789" i="4"/>
  <c r="M1789" i="4"/>
  <c r="L1789" i="4"/>
  <c r="X1788" i="4"/>
  <c r="M1788" i="4"/>
  <c r="L1788" i="4"/>
  <c r="X1787" i="4"/>
  <c r="M1787" i="4"/>
  <c r="L1787" i="4"/>
  <c r="X1786" i="4"/>
  <c r="M1786" i="4"/>
  <c r="L1786" i="4"/>
  <c r="X1785" i="4"/>
  <c r="M1785" i="4"/>
  <c r="L1785" i="4"/>
  <c r="X1784" i="4"/>
  <c r="M1784" i="4"/>
  <c r="L1784" i="4"/>
  <c r="X1783" i="4"/>
  <c r="M1783" i="4"/>
  <c r="L1783" i="4"/>
  <c r="X1782" i="4"/>
  <c r="M1782" i="4"/>
  <c r="L1782" i="4"/>
  <c r="X1781" i="4"/>
  <c r="M1781" i="4"/>
  <c r="L1781" i="4"/>
  <c r="X1780" i="4"/>
  <c r="M1780" i="4"/>
  <c r="L1780" i="4"/>
  <c r="X1779" i="4"/>
  <c r="M1779" i="4"/>
  <c r="L1779" i="4"/>
  <c r="X1778" i="4"/>
  <c r="M1778" i="4"/>
  <c r="L1778" i="4"/>
  <c r="X1777" i="4"/>
  <c r="M1777" i="4"/>
  <c r="L1777" i="4"/>
  <c r="X1776" i="4"/>
  <c r="M1776" i="4"/>
  <c r="L1776" i="4"/>
  <c r="X1775" i="4"/>
  <c r="M1775" i="4"/>
  <c r="L1775" i="4"/>
  <c r="X1774" i="4"/>
  <c r="M1774" i="4"/>
  <c r="L1774" i="4"/>
  <c r="X1773" i="4"/>
  <c r="M1773" i="4"/>
  <c r="L1773" i="4"/>
  <c r="X1772" i="4"/>
  <c r="M1772" i="4"/>
  <c r="L1772" i="4"/>
  <c r="X1771" i="4"/>
  <c r="M1771" i="4"/>
  <c r="L1771" i="4"/>
  <c r="X1770" i="4"/>
  <c r="M1770" i="4"/>
  <c r="L1770" i="4"/>
  <c r="X1769" i="4"/>
  <c r="M1769" i="4"/>
  <c r="L1769" i="4"/>
  <c r="X1768" i="4"/>
  <c r="M1768" i="4"/>
  <c r="L1768" i="4"/>
  <c r="X1767" i="4"/>
  <c r="M1767" i="4"/>
  <c r="L1767" i="4"/>
  <c r="X1766" i="4"/>
  <c r="M1766" i="4"/>
  <c r="L1766" i="4"/>
  <c r="X1765" i="4"/>
  <c r="M1765" i="4"/>
  <c r="L1765" i="4"/>
  <c r="X1764" i="4"/>
  <c r="M1764" i="4"/>
  <c r="L1764" i="4"/>
  <c r="X1763" i="4"/>
  <c r="M1763" i="4"/>
  <c r="L1763" i="4"/>
  <c r="X1762" i="4"/>
  <c r="M1762" i="4"/>
  <c r="L1762" i="4"/>
  <c r="X1761" i="4"/>
  <c r="M1761" i="4"/>
  <c r="L1761" i="4"/>
  <c r="X1898" i="4"/>
  <c r="M1898" i="4"/>
  <c r="L1898" i="4"/>
  <c r="X1897" i="4"/>
  <c r="M1897" i="4"/>
  <c r="L1897" i="4"/>
  <c r="X1896" i="4"/>
  <c r="M1896" i="4"/>
  <c r="L1896" i="4"/>
  <c r="X1895" i="4"/>
  <c r="M1895" i="4"/>
  <c r="L1895" i="4"/>
  <c r="X1894" i="4"/>
  <c r="M1894" i="4"/>
  <c r="L1894" i="4"/>
  <c r="X1893" i="4"/>
  <c r="M1893" i="4"/>
  <c r="L1893" i="4"/>
  <c r="X1892" i="4"/>
  <c r="M1892" i="4"/>
  <c r="L1892" i="4"/>
  <c r="X1891" i="4"/>
  <c r="M1891" i="4"/>
  <c r="L1891" i="4"/>
  <c r="X1890" i="4"/>
  <c r="M1890" i="4"/>
  <c r="L1890" i="4"/>
  <c r="X1889" i="4"/>
  <c r="M1889" i="4"/>
  <c r="L1889" i="4"/>
  <c r="X1888" i="4"/>
  <c r="M1888" i="4"/>
  <c r="L1888" i="4"/>
  <c r="X1887" i="4"/>
  <c r="M1887" i="4"/>
  <c r="L1887" i="4"/>
  <c r="X1886" i="4"/>
  <c r="M1886" i="4"/>
  <c r="L1886" i="4"/>
  <c r="X1885" i="4"/>
  <c r="M1885" i="4"/>
  <c r="L1885" i="4"/>
  <c r="X1884" i="4"/>
  <c r="M1884" i="4"/>
  <c r="L1884" i="4"/>
  <c r="X1883" i="4"/>
  <c r="M1883" i="4"/>
  <c r="L1883" i="4"/>
  <c r="X1882" i="4"/>
  <c r="M1882" i="4"/>
  <c r="L1882" i="4"/>
  <c r="X1881" i="4"/>
  <c r="M1881" i="4"/>
  <c r="L1881" i="4"/>
  <c r="X1880" i="4"/>
  <c r="M1880" i="4"/>
  <c r="L1880" i="4"/>
  <c r="X1879" i="4"/>
  <c r="M1879" i="4"/>
  <c r="L1879" i="4"/>
  <c r="X1878" i="4"/>
  <c r="M1878" i="4"/>
  <c r="L1878" i="4"/>
  <c r="X1877" i="4"/>
  <c r="M1877" i="4"/>
  <c r="L1877" i="4"/>
  <c r="X1876" i="4"/>
  <c r="M1876" i="4"/>
  <c r="L1876" i="4"/>
  <c r="X1875" i="4"/>
  <c r="M1875" i="4"/>
  <c r="L1875" i="4"/>
  <c r="X1874" i="4"/>
  <c r="M1874" i="4"/>
  <c r="L1874" i="4"/>
  <c r="X1873" i="4"/>
  <c r="M1873" i="4"/>
  <c r="L1873" i="4"/>
  <c r="X1872" i="4"/>
  <c r="M1872" i="4"/>
  <c r="L1872" i="4"/>
  <c r="X1871" i="4"/>
  <c r="M1871" i="4"/>
  <c r="L1871" i="4"/>
  <c r="X1870" i="4"/>
  <c r="M1870" i="4"/>
  <c r="L1870" i="4"/>
  <c r="X1869" i="4"/>
  <c r="M1869" i="4"/>
  <c r="L1869" i="4"/>
  <c r="X1868" i="4"/>
  <c r="M1868" i="4"/>
  <c r="L1868" i="4"/>
  <c r="X1867" i="4"/>
  <c r="M1867" i="4"/>
  <c r="L1867" i="4"/>
  <c r="X1866" i="4"/>
  <c r="M1866" i="4"/>
  <c r="L1866" i="4"/>
  <c r="X1865" i="4"/>
  <c r="M1865" i="4"/>
  <c r="L1865" i="4"/>
  <c r="X1864" i="4"/>
  <c r="M1864" i="4"/>
  <c r="L1864" i="4"/>
  <c r="X1863" i="4"/>
  <c r="M1863" i="4"/>
  <c r="L1863" i="4"/>
  <c r="X1862" i="4"/>
  <c r="M1862" i="4"/>
  <c r="L1862" i="4"/>
  <c r="X1861" i="4"/>
  <c r="M1861" i="4"/>
  <c r="L1861" i="4"/>
  <c r="X1860" i="4"/>
  <c r="M1860" i="4"/>
  <c r="L1860" i="4"/>
  <c r="X1859" i="4"/>
  <c r="M1859" i="4"/>
  <c r="L1859" i="4"/>
  <c r="X1858" i="4"/>
  <c r="M1858" i="4"/>
  <c r="L1858" i="4"/>
  <c r="X1857" i="4"/>
  <c r="M1857" i="4"/>
  <c r="L1857" i="4"/>
  <c r="X1856" i="4"/>
  <c r="M1856" i="4"/>
  <c r="L1856" i="4"/>
  <c r="X1855" i="4"/>
  <c r="M1855" i="4"/>
  <c r="L1855" i="4"/>
  <c r="X1854" i="4"/>
  <c r="M1854" i="4"/>
  <c r="L1854" i="4"/>
  <c r="X1853" i="4"/>
  <c r="M1853" i="4"/>
  <c r="L1853" i="4"/>
  <c r="X1852" i="4"/>
  <c r="M1852" i="4"/>
  <c r="L1852" i="4"/>
  <c r="X1851" i="4"/>
  <c r="M1851" i="4"/>
  <c r="L1851" i="4"/>
  <c r="X1850" i="4"/>
  <c r="M1850" i="4"/>
  <c r="L1850" i="4"/>
  <c r="X1849" i="4"/>
  <c r="M1849" i="4"/>
  <c r="L1849" i="4"/>
  <c r="X1848" i="4"/>
  <c r="M1848" i="4"/>
  <c r="L1848" i="4"/>
  <c r="X1847" i="4"/>
  <c r="M1847" i="4"/>
  <c r="L1847" i="4"/>
  <c r="X1846" i="4"/>
  <c r="M1846" i="4"/>
  <c r="L1846" i="4"/>
  <c r="X1845" i="4"/>
  <c r="M1845" i="4"/>
  <c r="L1845" i="4"/>
  <c r="X1844" i="4"/>
  <c r="M1844" i="4"/>
  <c r="L1844" i="4"/>
  <c r="X1843" i="4"/>
  <c r="M1843" i="4"/>
  <c r="L1843" i="4"/>
  <c r="X1842" i="4"/>
  <c r="M1842" i="4"/>
  <c r="L1842" i="4"/>
  <c r="X1841" i="4"/>
  <c r="M1841" i="4"/>
  <c r="L1841" i="4"/>
  <c r="X1840" i="4"/>
  <c r="M1840" i="4"/>
  <c r="L1840" i="4"/>
  <c r="X1839" i="4"/>
  <c r="M1839" i="4"/>
  <c r="L1839" i="4"/>
  <c r="X1838" i="4"/>
  <c r="M1838" i="4"/>
  <c r="L1838" i="4"/>
  <c r="X1837" i="4"/>
  <c r="M1837" i="4"/>
  <c r="L1837" i="4"/>
  <c r="X1836" i="4"/>
  <c r="M1836" i="4"/>
  <c r="L1836" i="4"/>
  <c r="X1835" i="4"/>
  <c r="M1835" i="4"/>
  <c r="L1835" i="4"/>
  <c r="X1834" i="4"/>
  <c r="M1834" i="4"/>
  <c r="L1834" i="4"/>
  <c r="X1833" i="4"/>
  <c r="M1833" i="4"/>
  <c r="L1833" i="4"/>
  <c r="X1832" i="4"/>
  <c r="M1832" i="4"/>
  <c r="L1832" i="4"/>
  <c r="X1831" i="4"/>
  <c r="M1831" i="4"/>
  <c r="L1831" i="4"/>
  <c r="X1830" i="4"/>
  <c r="M1830" i="4"/>
  <c r="L1830" i="4"/>
  <c r="X1829" i="4"/>
  <c r="M1829" i="4"/>
  <c r="L1829" i="4"/>
  <c r="X1828" i="4"/>
  <c r="M1828" i="4"/>
  <c r="L1828" i="4"/>
  <c r="X1827" i="4"/>
  <c r="M1827" i="4"/>
  <c r="L1827" i="4"/>
  <c r="X1826" i="4"/>
  <c r="M1826" i="4"/>
  <c r="L1826" i="4"/>
  <c r="X1825" i="4"/>
  <c r="M1825" i="4"/>
  <c r="L1825" i="4"/>
  <c r="X1824" i="4"/>
  <c r="M1824" i="4"/>
  <c r="L1824" i="4"/>
  <c r="X1823" i="4"/>
  <c r="M1823" i="4"/>
  <c r="L1823" i="4"/>
  <c r="X1822" i="4"/>
  <c r="M1822" i="4"/>
  <c r="L1822" i="4"/>
  <c r="X1821" i="4"/>
  <c r="M1821" i="4"/>
  <c r="L1821" i="4"/>
  <c r="X1820" i="4"/>
  <c r="M1820" i="4"/>
  <c r="L1820" i="4"/>
  <c r="X1819" i="4"/>
  <c r="M1819" i="4"/>
  <c r="L1819" i="4"/>
  <c r="X1818" i="4"/>
  <c r="M1818" i="4"/>
  <c r="L1818" i="4"/>
  <c r="X1817" i="4"/>
  <c r="M1817" i="4"/>
  <c r="L1817" i="4"/>
  <c r="X1816" i="4"/>
  <c r="M1816" i="4"/>
  <c r="L1816" i="4"/>
  <c r="X1815" i="4"/>
  <c r="M1815" i="4"/>
  <c r="L1815" i="4"/>
  <c r="X1814" i="4"/>
  <c r="M1814" i="4"/>
  <c r="L1814" i="4"/>
  <c r="X1813" i="4"/>
  <c r="M1813" i="4"/>
  <c r="L1813" i="4"/>
  <c r="X1812" i="4"/>
  <c r="M1812" i="4"/>
  <c r="L1812" i="4"/>
  <c r="X1811" i="4"/>
  <c r="M1811" i="4"/>
  <c r="L1811" i="4"/>
  <c r="X1902" i="4"/>
  <c r="M1902" i="4"/>
  <c r="L1902" i="4"/>
  <c r="X1901" i="4"/>
  <c r="M1901" i="4"/>
  <c r="L1901" i="4"/>
  <c r="X1900" i="4"/>
  <c r="M1900" i="4"/>
  <c r="L1900" i="4"/>
  <c r="X1899" i="4"/>
  <c r="M1899" i="4"/>
  <c r="L1899" i="4"/>
  <c r="X1911" i="4"/>
  <c r="M1911" i="4"/>
  <c r="L1911" i="4"/>
  <c r="X1910" i="4"/>
  <c r="M1910" i="4"/>
  <c r="L1910" i="4"/>
  <c r="X1909" i="4"/>
  <c r="M1909" i="4"/>
  <c r="L1909" i="4"/>
  <c r="X1908" i="4"/>
  <c r="M1908" i="4"/>
  <c r="L1908" i="4"/>
  <c r="X1907" i="4"/>
  <c r="M1907" i="4"/>
  <c r="L1907" i="4"/>
  <c r="X1906" i="4"/>
  <c r="M1906" i="4"/>
  <c r="L1906" i="4"/>
  <c r="X1905" i="4"/>
  <c r="M1905" i="4"/>
  <c r="L1905" i="4"/>
  <c r="X1904" i="4"/>
  <c r="M1904" i="4"/>
  <c r="L1904" i="4"/>
  <c r="X1903" i="4"/>
  <c r="M1903" i="4"/>
  <c r="L1903" i="4"/>
  <c r="X1953" i="4"/>
  <c r="M1953" i="4"/>
  <c r="L1953" i="4"/>
  <c r="X1952" i="4"/>
  <c r="M1952" i="4"/>
  <c r="L1952" i="4"/>
  <c r="X1951" i="4"/>
  <c r="M1951" i="4"/>
  <c r="L1951" i="4"/>
  <c r="X1950" i="4"/>
  <c r="M1950" i="4"/>
  <c r="L1950" i="4"/>
  <c r="X1949" i="4"/>
  <c r="M1949" i="4"/>
  <c r="L1949" i="4"/>
  <c r="X1948" i="4"/>
  <c r="M1948" i="4"/>
  <c r="L1948" i="4"/>
  <c r="X1947" i="4"/>
  <c r="M1947" i="4"/>
  <c r="L1947" i="4"/>
  <c r="X1946" i="4"/>
  <c r="M1946" i="4"/>
  <c r="L1946" i="4"/>
  <c r="X1945" i="4"/>
  <c r="M1945" i="4"/>
  <c r="L1945" i="4"/>
  <c r="X1944" i="4"/>
  <c r="M1944" i="4"/>
  <c r="L1944" i="4"/>
  <c r="X1943" i="4"/>
  <c r="M1943" i="4"/>
  <c r="L1943" i="4"/>
  <c r="X1942" i="4"/>
  <c r="M1942" i="4"/>
  <c r="L1942" i="4"/>
  <c r="X1941" i="4"/>
  <c r="M1941" i="4"/>
  <c r="L1941" i="4"/>
  <c r="X1940" i="4"/>
  <c r="M1940" i="4"/>
  <c r="L1940" i="4"/>
  <c r="X1939" i="4"/>
  <c r="M1939" i="4"/>
  <c r="L1939" i="4"/>
  <c r="X1938" i="4"/>
  <c r="M1938" i="4"/>
  <c r="L1938" i="4"/>
  <c r="X1937" i="4"/>
  <c r="M1937" i="4"/>
  <c r="L1937" i="4"/>
  <c r="X1936" i="4"/>
  <c r="M1936" i="4"/>
  <c r="L1936" i="4"/>
  <c r="X1935" i="4"/>
  <c r="M1935" i="4"/>
  <c r="L1935" i="4"/>
  <c r="X1934" i="4"/>
  <c r="M1934" i="4"/>
  <c r="L1934" i="4"/>
  <c r="X1933" i="4"/>
  <c r="M1933" i="4"/>
  <c r="L1933" i="4"/>
  <c r="X1932" i="4"/>
  <c r="M1932" i="4"/>
  <c r="L1932" i="4"/>
  <c r="X1931" i="4"/>
  <c r="M1931" i="4"/>
  <c r="L1931" i="4"/>
  <c r="X1930" i="4"/>
  <c r="M1930" i="4"/>
  <c r="L1930" i="4"/>
  <c r="X1929" i="4"/>
  <c r="M1929" i="4"/>
  <c r="L1929" i="4"/>
  <c r="X1928" i="4"/>
  <c r="M1928" i="4"/>
  <c r="L1928" i="4"/>
  <c r="X1927" i="4"/>
  <c r="M1927" i="4"/>
  <c r="L1927" i="4"/>
  <c r="X1926" i="4"/>
  <c r="M1926" i="4"/>
  <c r="L1926" i="4"/>
  <c r="X1925" i="4"/>
  <c r="M1925" i="4"/>
  <c r="L1925" i="4"/>
  <c r="X1924" i="4"/>
  <c r="M1924" i="4"/>
  <c r="L1924" i="4"/>
  <c r="X1923" i="4"/>
  <c r="M1923" i="4"/>
  <c r="L1923" i="4"/>
  <c r="X1922" i="4"/>
  <c r="M1922" i="4"/>
  <c r="L1922" i="4"/>
  <c r="X1921" i="4"/>
  <c r="M1921" i="4"/>
  <c r="L1921" i="4"/>
  <c r="X1920" i="4"/>
  <c r="M1920" i="4"/>
  <c r="L1920" i="4"/>
  <c r="X1919" i="4"/>
  <c r="M1919" i="4"/>
  <c r="L1919" i="4"/>
  <c r="X1918" i="4"/>
  <c r="M1918" i="4"/>
  <c r="L1918" i="4"/>
  <c r="X1917" i="4"/>
  <c r="M1917" i="4"/>
  <c r="L1917" i="4"/>
  <c r="X1916" i="4"/>
  <c r="M1916" i="4"/>
  <c r="L1916" i="4"/>
  <c r="X1915" i="4"/>
  <c r="M1915" i="4"/>
  <c r="L1915" i="4"/>
  <c r="X1914" i="4"/>
  <c r="M1914" i="4"/>
  <c r="L1914" i="4"/>
  <c r="X1913" i="4"/>
  <c r="M1913" i="4"/>
  <c r="L1913" i="4"/>
  <c r="X1912" i="4"/>
  <c r="M1912" i="4"/>
  <c r="L1912" i="4"/>
  <c r="X2048" i="4"/>
  <c r="M2048" i="4"/>
  <c r="L2048" i="4"/>
  <c r="X2047" i="4"/>
  <c r="M2047" i="4"/>
  <c r="L2047" i="4"/>
  <c r="X2046" i="4"/>
  <c r="M2046" i="4"/>
  <c r="L2046" i="4"/>
  <c r="X2045" i="4"/>
  <c r="M2045" i="4"/>
  <c r="L2045" i="4"/>
  <c r="X2044" i="4"/>
  <c r="M2044" i="4"/>
  <c r="L2044" i="4"/>
  <c r="X2043" i="4"/>
  <c r="M2043" i="4"/>
  <c r="L2043" i="4"/>
  <c r="X2042" i="4"/>
  <c r="M2042" i="4"/>
  <c r="L2042" i="4"/>
  <c r="X2041" i="4"/>
  <c r="M2041" i="4"/>
  <c r="L2041" i="4"/>
  <c r="X2040" i="4"/>
  <c r="M2040" i="4"/>
  <c r="L2040" i="4"/>
  <c r="X2039" i="4"/>
  <c r="M2039" i="4"/>
  <c r="L2039" i="4"/>
  <c r="X2038" i="4"/>
  <c r="M2038" i="4"/>
  <c r="L2038" i="4"/>
  <c r="X2037" i="4"/>
  <c r="M2037" i="4"/>
  <c r="L2037" i="4"/>
  <c r="X2036" i="4"/>
  <c r="M2036" i="4"/>
  <c r="L2036" i="4"/>
  <c r="X2035" i="4"/>
  <c r="M2035" i="4"/>
  <c r="L2035" i="4"/>
  <c r="X2034" i="4"/>
  <c r="M2034" i="4"/>
  <c r="L2034" i="4"/>
  <c r="X2033" i="4"/>
  <c r="M2033" i="4"/>
  <c r="L2033" i="4"/>
  <c r="X2032" i="4"/>
  <c r="M2032" i="4"/>
  <c r="L2032" i="4"/>
  <c r="X2031" i="4"/>
  <c r="M2031" i="4"/>
  <c r="L2031" i="4"/>
  <c r="X2030" i="4"/>
  <c r="M2030" i="4"/>
  <c r="L2030" i="4"/>
  <c r="X2029" i="4"/>
  <c r="M2029" i="4"/>
  <c r="L2029" i="4"/>
  <c r="X2028" i="4"/>
  <c r="M2028" i="4"/>
  <c r="L2028" i="4"/>
  <c r="X2027" i="4"/>
  <c r="M2027" i="4"/>
  <c r="L2027" i="4"/>
  <c r="X2026" i="4"/>
  <c r="M2026" i="4"/>
  <c r="L2026" i="4"/>
  <c r="X2025" i="4"/>
  <c r="M2025" i="4"/>
  <c r="L2025" i="4"/>
  <c r="X2024" i="4"/>
  <c r="M2024" i="4"/>
  <c r="L2024" i="4"/>
  <c r="X2023" i="4"/>
  <c r="M2023" i="4"/>
  <c r="L2023" i="4"/>
  <c r="X2022" i="4"/>
  <c r="M2022" i="4"/>
  <c r="L2022" i="4"/>
  <c r="X2021" i="4"/>
  <c r="M2021" i="4"/>
  <c r="L2021" i="4"/>
  <c r="X2020" i="4"/>
  <c r="M2020" i="4"/>
  <c r="L2020" i="4"/>
  <c r="X2019" i="4"/>
  <c r="M2019" i="4"/>
  <c r="L2019" i="4"/>
  <c r="X2018" i="4"/>
  <c r="M2018" i="4"/>
  <c r="L2018" i="4"/>
  <c r="X2017" i="4"/>
  <c r="M2017" i="4"/>
  <c r="L2017" i="4"/>
  <c r="X2016" i="4"/>
  <c r="M2016" i="4"/>
  <c r="L2016" i="4"/>
  <c r="X2015" i="4"/>
  <c r="M2015" i="4"/>
  <c r="L2015" i="4"/>
  <c r="X2014" i="4"/>
  <c r="M2014" i="4"/>
  <c r="L2014" i="4"/>
  <c r="X2013" i="4"/>
  <c r="M2013" i="4"/>
  <c r="L2013" i="4"/>
  <c r="X2012" i="4"/>
  <c r="M2012" i="4"/>
  <c r="L2012" i="4"/>
  <c r="X2011" i="4"/>
  <c r="M2011" i="4"/>
  <c r="L2011" i="4"/>
  <c r="X2010" i="4"/>
  <c r="M2010" i="4"/>
  <c r="L2010" i="4"/>
  <c r="X2009" i="4"/>
  <c r="M2009" i="4"/>
  <c r="L2009" i="4"/>
  <c r="X2008" i="4"/>
  <c r="M2008" i="4"/>
  <c r="L2008" i="4"/>
  <c r="X2007" i="4"/>
  <c r="M2007" i="4"/>
  <c r="L2007" i="4"/>
  <c r="X2006" i="4"/>
  <c r="M2006" i="4"/>
  <c r="L2006" i="4"/>
  <c r="X2005" i="4"/>
  <c r="M2005" i="4"/>
  <c r="L2005" i="4"/>
  <c r="X2004" i="4"/>
  <c r="M2004" i="4"/>
  <c r="L2004" i="4"/>
  <c r="X2003" i="4"/>
  <c r="M2003" i="4"/>
  <c r="L2003" i="4"/>
  <c r="X2002" i="4"/>
  <c r="M2002" i="4"/>
  <c r="L2002" i="4"/>
  <c r="X2001" i="4"/>
  <c r="M2001" i="4"/>
  <c r="L2001" i="4"/>
  <c r="X2000" i="4"/>
  <c r="M2000" i="4"/>
  <c r="L2000" i="4"/>
  <c r="X1999" i="4"/>
  <c r="M1999" i="4"/>
  <c r="L1999" i="4"/>
  <c r="X1998" i="4"/>
  <c r="M1998" i="4"/>
  <c r="L1998" i="4"/>
  <c r="X1997" i="4"/>
  <c r="M1997" i="4"/>
  <c r="L1997" i="4"/>
  <c r="X1996" i="4"/>
  <c r="M1996" i="4"/>
  <c r="L1996" i="4"/>
  <c r="X1995" i="4"/>
  <c r="M1995" i="4"/>
  <c r="L1995" i="4"/>
  <c r="X1994" i="4"/>
  <c r="M1994" i="4"/>
  <c r="L1994" i="4"/>
  <c r="X1993" i="4"/>
  <c r="M1993" i="4"/>
  <c r="L1993" i="4"/>
  <c r="X1992" i="4"/>
  <c r="M1992" i="4"/>
  <c r="L1992" i="4"/>
  <c r="X1991" i="4"/>
  <c r="M1991" i="4"/>
  <c r="L1991" i="4"/>
  <c r="X1990" i="4"/>
  <c r="M1990" i="4"/>
  <c r="L1990" i="4"/>
  <c r="X1989" i="4"/>
  <c r="M1989" i="4"/>
  <c r="L1989" i="4"/>
  <c r="X1988" i="4"/>
  <c r="M1988" i="4"/>
  <c r="L1988" i="4"/>
  <c r="X1987" i="4"/>
  <c r="M1987" i="4"/>
  <c r="L1987" i="4"/>
  <c r="X1986" i="4"/>
  <c r="M1986" i="4"/>
  <c r="L1986" i="4"/>
  <c r="X1985" i="4"/>
  <c r="M1985" i="4"/>
  <c r="L1985" i="4"/>
  <c r="X1984" i="4"/>
  <c r="M1984" i="4"/>
  <c r="L1984" i="4"/>
  <c r="X1983" i="4"/>
  <c r="M1983" i="4"/>
  <c r="L1983" i="4"/>
  <c r="X1982" i="4"/>
  <c r="M1982" i="4"/>
  <c r="L1982" i="4"/>
  <c r="X1981" i="4"/>
  <c r="M1981" i="4"/>
  <c r="L1981" i="4"/>
  <c r="X1980" i="4"/>
  <c r="M1980" i="4"/>
  <c r="L1980" i="4"/>
  <c r="X1979" i="4"/>
  <c r="M1979" i="4"/>
  <c r="L1979" i="4"/>
  <c r="X1978" i="4"/>
  <c r="M1978" i="4"/>
  <c r="L1978" i="4"/>
  <c r="X1977" i="4"/>
  <c r="M1977" i="4"/>
  <c r="L1977" i="4"/>
  <c r="X1976" i="4"/>
  <c r="M1976" i="4"/>
  <c r="L1976" i="4"/>
  <c r="X1975" i="4"/>
  <c r="M1975" i="4"/>
  <c r="L1975" i="4"/>
  <c r="X1974" i="4"/>
  <c r="M1974" i="4"/>
  <c r="L1974" i="4"/>
  <c r="X1973" i="4"/>
  <c r="M1973" i="4"/>
  <c r="L1973" i="4"/>
  <c r="X1972" i="4"/>
  <c r="M1972" i="4"/>
  <c r="L1972" i="4"/>
  <c r="X1971" i="4"/>
  <c r="M1971" i="4"/>
  <c r="L1971" i="4"/>
  <c r="X1970" i="4"/>
  <c r="M1970" i="4"/>
  <c r="L1970" i="4"/>
  <c r="X1969" i="4"/>
  <c r="M1969" i="4"/>
  <c r="L1969" i="4"/>
  <c r="X1968" i="4"/>
  <c r="M1968" i="4"/>
  <c r="L1968" i="4"/>
  <c r="X1967" i="4"/>
  <c r="M1967" i="4"/>
  <c r="L1967" i="4"/>
  <c r="X1966" i="4"/>
  <c r="M1966" i="4"/>
  <c r="L1966" i="4"/>
  <c r="X1965" i="4"/>
  <c r="M1965" i="4"/>
  <c r="L1965" i="4"/>
  <c r="X1964" i="4"/>
  <c r="M1964" i="4"/>
  <c r="L1964" i="4"/>
  <c r="X1963" i="4"/>
  <c r="M1963" i="4"/>
  <c r="L1963" i="4"/>
  <c r="X1962" i="4"/>
  <c r="M1962" i="4"/>
  <c r="L1962" i="4"/>
  <c r="X1961" i="4"/>
  <c r="M1961" i="4"/>
  <c r="L1961" i="4"/>
  <c r="X1960" i="4"/>
  <c r="M1960" i="4"/>
  <c r="L1960" i="4"/>
  <c r="X1959" i="4"/>
  <c r="M1959" i="4"/>
  <c r="L1959" i="4"/>
  <c r="X1958" i="4"/>
  <c r="M1958" i="4"/>
  <c r="L1958" i="4"/>
  <c r="X1957" i="4"/>
  <c r="M1957" i="4"/>
  <c r="L1957" i="4"/>
  <c r="X1956" i="4"/>
  <c r="M1956" i="4"/>
  <c r="L1956" i="4"/>
  <c r="X1955" i="4"/>
  <c r="M1955" i="4"/>
  <c r="L1955" i="4"/>
  <c r="X1954" i="4"/>
  <c r="M1954" i="4"/>
  <c r="L1954" i="4"/>
  <c r="X788" i="4"/>
  <c r="M788" i="4"/>
  <c r="L788" i="4"/>
  <c r="X769" i="4"/>
  <c r="M769" i="4"/>
  <c r="L769" i="4"/>
  <c r="X761" i="4"/>
  <c r="M761" i="4"/>
  <c r="L761" i="4"/>
  <c r="X753" i="4"/>
  <c r="M753" i="4"/>
  <c r="L753" i="4"/>
  <c r="X744" i="4"/>
  <c r="M744" i="4"/>
  <c r="L744" i="4"/>
  <c r="X702" i="4"/>
  <c r="M702" i="4"/>
  <c r="L702" i="4"/>
  <c r="X742" i="4"/>
  <c r="M742" i="4"/>
  <c r="L742" i="4"/>
  <c r="X740" i="4"/>
  <c r="M740" i="4"/>
  <c r="L740" i="4"/>
  <c r="X731" i="4"/>
  <c r="M731" i="4"/>
  <c r="L731" i="4"/>
  <c r="L725" i="4"/>
  <c r="L726" i="4"/>
  <c r="L727" i="4"/>
  <c r="L728" i="4"/>
  <c r="L729" i="4"/>
  <c r="X728" i="4"/>
  <c r="M728" i="4"/>
  <c r="X727" i="4"/>
  <c r="M727" i="4"/>
  <c r="X726" i="4"/>
  <c r="M726" i="4"/>
  <c r="N812" i="4" l="1"/>
  <c r="N811" i="4"/>
  <c r="N839" i="4"/>
  <c r="N792" i="4"/>
  <c r="O792" i="4" s="1"/>
  <c r="N793" i="4"/>
  <c r="O793" i="4" s="1"/>
  <c r="N794" i="4"/>
  <c r="N795" i="4"/>
  <c r="N796" i="4"/>
  <c r="O796" i="4" s="1"/>
  <c r="N797" i="4"/>
  <c r="O797" i="4" s="1"/>
  <c r="N798" i="4"/>
  <c r="O798" i="4" s="1"/>
  <c r="N799" i="4"/>
  <c r="N800" i="4"/>
  <c r="N801" i="4"/>
  <c r="N802" i="4"/>
  <c r="N803" i="4"/>
  <c r="O803" i="4" s="1"/>
  <c r="N804" i="4"/>
  <c r="N805" i="4"/>
  <c r="N806" i="4"/>
  <c r="N807" i="4"/>
  <c r="N808" i="4"/>
  <c r="N809" i="4"/>
  <c r="N810" i="4"/>
  <c r="N818" i="4"/>
  <c r="N819" i="4"/>
  <c r="N821" i="4"/>
  <c r="N822" i="4"/>
  <c r="N823" i="4"/>
  <c r="N824" i="4"/>
  <c r="N827" i="4"/>
  <c r="N828" i="4"/>
  <c r="O828" i="4" s="1"/>
  <c r="N829" i="4"/>
  <c r="O829" i="4" s="1"/>
  <c r="N830" i="4"/>
  <c r="N831" i="4"/>
  <c r="N832" i="4"/>
  <c r="N833" i="4"/>
  <c r="N834" i="4"/>
  <c r="N835" i="4"/>
  <c r="N836" i="4"/>
  <c r="O836" i="4" s="1"/>
  <c r="N837" i="4"/>
  <c r="N838" i="4"/>
  <c r="N840" i="4"/>
  <c r="N841" i="4"/>
  <c r="N842" i="4"/>
  <c r="N843" i="4"/>
  <c r="N845" i="4"/>
  <c r="N846" i="4"/>
  <c r="N847" i="4"/>
  <c r="N848" i="4"/>
  <c r="N849" i="4"/>
  <c r="N850" i="4"/>
  <c r="N851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80" i="4"/>
  <c r="N881" i="4"/>
  <c r="N882" i="4"/>
  <c r="O882" i="4" s="1"/>
  <c r="N883" i="4"/>
  <c r="O883" i="4" s="1"/>
  <c r="N884" i="4"/>
  <c r="O884" i="4" s="1"/>
  <c r="N885" i="4"/>
  <c r="N886" i="4"/>
  <c r="O886" i="4" s="1"/>
  <c r="N887" i="4"/>
  <c r="O887" i="4" s="1"/>
  <c r="N888" i="4"/>
  <c r="O888" i="4" s="1"/>
  <c r="N889" i="4"/>
  <c r="N890" i="4"/>
  <c r="N891" i="4"/>
  <c r="N892" i="4"/>
  <c r="N893" i="4"/>
  <c r="O893" i="4" s="1"/>
  <c r="N894" i="4"/>
  <c r="O894" i="4" s="1"/>
  <c r="N895" i="4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N902" i="4"/>
  <c r="O902" i="4" s="1"/>
  <c r="N903" i="4"/>
  <c r="N904" i="4"/>
  <c r="N905" i="4"/>
  <c r="N906" i="4"/>
  <c r="N907" i="4"/>
  <c r="N909" i="4"/>
  <c r="N910" i="4"/>
  <c r="N911" i="4"/>
  <c r="N912" i="4"/>
  <c r="N913" i="4"/>
  <c r="N914" i="4"/>
  <c r="N916" i="4"/>
  <c r="N917" i="4"/>
  <c r="N918" i="4"/>
  <c r="O918" i="4" s="1"/>
  <c r="N919" i="4"/>
  <c r="O919" i="4" s="1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5" i="4"/>
  <c r="O965" i="4" s="1"/>
  <c r="N966" i="4"/>
  <c r="O966" i="4" s="1"/>
  <c r="N967" i="4"/>
  <c r="O967" i="4" s="1"/>
  <c r="N968" i="4"/>
  <c r="N969" i="4"/>
  <c r="O969" i="4" s="1"/>
  <c r="N970" i="4"/>
  <c r="O970" i="4" s="1"/>
  <c r="N971" i="4"/>
  <c r="O971" i="4" s="1"/>
  <c r="N972" i="4"/>
  <c r="N973" i="4"/>
  <c r="N974" i="4"/>
  <c r="O974" i="4" s="1"/>
  <c r="N975" i="4"/>
  <c r="O975" i="4" s="1"/>
  <c r="N976" i="4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N983" i="4"/>
  <c r="O983" i="4" s="1"/>
  <c r="N985" i="4"/>
  <c r="N986" i="4"/>
  <c r="O986" i="4" s="1"/>
  <c r="N987" i="4"/>
  <c r="O987" i="4" s="1"/>
  <c r="N988" i="4"/>
  <c r="N989" i="4"/>
  <c r="N992" i="4"/>
  <c r="N993" i="4"/>
  <c r="O993" i="4" s="1"/>
  <c r="N994" i="4"/>
  <c r="O994" i="4" s="1"/>
  <c r="N996" i="4"/>
  <c r="N997" i="4"/>
  <c r="N998" i="4"/>
  <c r="N999" i="4"/>
  <c r="N1000" i="4"/>
  <c r="O1000" i="4" s="1"/>
  <c r="N1001" i="4"/>
  <c r="O1001" i="4" s="1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6" i="4"/>
  <c r="N1047" i="4"/>
  <c r="N1048" i="4"/>
  <c r="O1048" i="4" s="1"/>
  <c r="N1049" i="4"/>
  <c r="O1049" i="4" s="1"/>
  <c r="N1050" i="4"/>
  <c r="O1050" i="4" s="1"/>
  <c r="N1051" i="4"/>
  <c r="N1052" i="4"/>
  <c r="O1052" i="4" s="1"/>
  <c r="N1053" i="4"/>
  <c r="O1053" i="4" s="1"/>
  <c r="N1054" i="4"/>
  <c r="O1054" i="4" s="1"/>
  <c r="N1055" i="4"/>
  <c r="N1056" i="4"/>
  <c r="N1058" i="4"/>
  <c r="O1058" i="4" s="1"/>
  <c r="N1059" i="4"/>
  <c r="O1059" i="4" s="1"/>
  <c r="N1060" i="4"/>
  <c r="O1060" i="4" s="1"/>
  <c r="N1061" i="4"/>
  <c r="N1062" i="4"/>
  <c r="O1062" i="4" s="1"/>
  <c r="N1064" i="4"/>
  <c r="N1065" i="4"/>
  <c r="N1066" i="4"/>
  <c r="O1066" i="4" s="1"/>
  <c r="N1067" i="4"/>
  <c r="N1070" i="4"/>
  <c r="O1070" i="4" s="1"/>
  <c r="N1071" i="4"/>
  <c r="O1071" i="4" s="1"/>
  <c r="N1072" i="4"/>
  <c r="O1072" i="4" s="1"/>
  <c r="N1073" i="4"/>
  <c r="O1073" i="4" s="1"/>
  <c r="N1074" i="4"/>
  <c r="O1074" i="4" s="1"/>
  <c r="N1075" i="4"/>
  <c r="O1075" i="4" s="1"/>
  <c r="N1076" i="4"/>
  <c r="O1076" i="4" s="1"/>
  <c r="N1077" i="4"/>
  <c r="O1077" i="4" s="1"/>
  <c r="N1078" i="4"/>
  <c r="O1078" i="4" s="1"/>
  <c r="N1079" i="4"/>
  <c r="O1079" i="4" s="1"/>
  <c r="N1080" i="4"/>
  <c r="O1080" i="4" s="1"/>
  <c r="N1081" i="4"/>
  <c r="O1081" i="4" s="1"/>
  <c r="N1082" i="4"/>
  <c r="O1082" i="4" s="1"/>
  <c r="N1083" i="4"/>
  <c r="O1083" i="4" s="1"/>
  <c r="N1084" i="4"/>
  <c r="O1084" i="4" s="1"/>
  <c r="N1085" i="4"/>
  <c r="O1085" i="4" s="1"/>
  <c r="N1086" i="4"/>
  <c r="O1086" i="4" s="1"/>
  <c r="N1087" i="4"/>
  <c r="O1087" i="4" s="1"/>
  <c r="N1088" i="4"/>
  <c r="O1088" i="4" s="1"/>
  <c r="N1089" i="4"/>
  <c r="O1089" i="4" s="1"/>
  <c r="N1090" i="4"/>
  <c r="O1090" i="4" s="1"/>
  <c r="N1091" i="4"/>
  <c r="O1091" i="4" s="1"/>
  <c r="N1092" i="4"/>
  <c r="O1092" i="4" s="1"/>
  <c r="N1093" i="4"/>
  <c r="O1093" i="4" s="1"/>
  <c r="N1094" i="4"/>
  <c r="O1094" i="4" s="1"/>
  <c r="N1095" i="4"/>
  <c r="O1095" i="4" s="1"/>
  <c r="N1096" i="4"/>
  <c r="O1096" i="4" s="1"/>
  <c r="N1097" i="4"/>
  <c r="O1097" i="4" s="1"/>
  <c r="N1098" i="4"/>
  <c r="O1098" i="4" s="1"/>
  <c r="N1099" i="4"/>
  <c r="O1099" i="4" s="1"/>
  <c r="N1100" i="4"/>
  <c r="O1100" i="4" s="1"/>
  <c r="N1101" i="4"/>
  <c r="O1101" i="4" s="1"/>
  <c r="N1102" i="4"/>
  <c r="O1102" i="4" s="1"/>
  <c r="N1103" i="4"/>
  <c r="O1103" i="4" s="1"/>
  <c r="N1104" i="4"/>
  <c r="O1104" i="4" s="1"/>
  <c r="N1105" i="4"/>
  <c r="O1105" i="4" s="1"/>
  <c r="N1106" i="4"/>
  <c r="O1106" i="4" s="1"/>
  <c r="N1107" i="4"/>
  <c r="O1107" i="4" s="1"/>
  <c r="N1108" i="4"/>
  <c r="O1108" i="4" s="1"/>
  <c r="N1109" i="4"/>
  <c r="O1109" i="4" s="1"/>
  <c r="N1110" i="4"/>
  <c r="O1110" i="4" s="1"/>
  <c r="N1111" i="4"/>
  <c r="O1111" i="4" s="1"/>
  <c r="N1112" i="4"/>
  <c r="O1112" i="4" s="1"/>
  <c r="N1113" i="4"/>
  <c r="O1113" i="4" s="1"/>
  <c r="N1114" i="4"/>
  <c r="O1114" i="4" s="1"/>
  <c r="N1115" i="4"/>
  <c r="O1115" i="4" s="1"/>
  <c r="N1116" i="4"/>
  <c r="O1116" i="4" s="1"/>
  <c r="N1117" i="4"/>
  <c r="O1117" i="4" s="1"/>
  <c r="N1118" i="4"/>
  <c r="O1118" i="4" s="1"/>
  <c r="N1119" i="4"/>
  <c r="O1119" i="4" s="1"/>
  <c r="N1120" i="4"/>
  <c r="O1120" i="4" s="1"/>
  <c r="N1121" i="4"/>
  <c r="O1121" i="4" s="1"/>
  <c r="N1122" i="4"/>
  <c r="O1122" i="4" s="1"/>
  <c r="N1123" i="4"/>
  <c r="O1123" i="4" s="1"/>
  <c r="N1124" i="4"/>
  <c r="O1124" i="4" s="1"/>
  <c r="N1125" i="4"/>
  <c r="O1125" i="4" s="1"/>
  <c r="N1126" i="4"/>
  <c r="O1126" i="4" s="1"/>
  <c r="N1127" i="4"/>
  <c r="O1127" i="4" s="1"/>
  <c r="N1128" i="4"/>
  <c r="O1128" i="4" s="1"/>
  <c r="N1129" i="4"/>
  <c r="O1129" i="4" s="1"/>
  <c r="N1130" i="4"/>
  <c r="O1130" i="4" s="1"/>
  <c r="N1131" i="4"/>
  <c r="O1131" i="4" s="1"/>
  <c r="N1132" i="4"/>
  <c r="O1132" i="4" s="1"/>
  <c r="N1133" i="4"/>
  <c r="O1133" i="4" s="1"/>
  <c r="N1134" i="4"/>
  <c r="O1134" i="4" s="1"/>
  <c r="N1135" i="4"/>
  <c r="O1135" i="4" s="1"/>
  <c r="N1136" i="4"/>
  <c r="O1136" i="4" s="1"/>
  <c r="N1137" i="4"/>
  <c r="O1137" i="4" s="1"/>
  <c r="N1138" i="4"/>
  <c r="O1138" i="4" s="1"/>
  <c r="N1139" i="4"/>
  <c r="O1139" i="4" s="1"/>
  <c r="N1140" i="4"/>
  <c r="O1140" i="4" s="1"/>
  <c r="N1141" i="4"/>
  <c r="O1141" i="4" s="1"/>
  <c r="N1142" i="4"/>
  <c r="O1142" i="4" s="1"/>
  <c r="N1143" i="4"/>
  <c r="O1143" i="4" s="1"/>
  <c r="N1144" i="4"/>
  <c r="O1144" i="4" s="1"/>
  <c r="N1145" i="4"/>
  <c r="O1145" i="4" s="1"/>
  <c r="N1146" i="4"/>
  <c r="O1146" i="4" s="1"/>
  <c r="N1147" i="4"/>
  <c r="O1147" i="4" s="1"/>
  <c r="N1148" i="4"/>
  <c r="O1148" i="4" s="1"/>
  <c r="N1149" i="4"/>
  <c r="O1149" i="4" s="1"/>
  <c r="N1150" i="4"/>
  <c r="O1150" i="4" s="1"/>
  <c r="N1151" i="4"/>
  <c r="O1151" i="4" s="1"/>
  <c r="N1152" i="4"/>
  <c r="O1152" i="4" s="1"/>
  <c r="N1153" i="4"/>
  <c r="O1153" i="4" s="1"/>
  <c r="N1154" i="4"/>
  <c r="O1154" i="4" s="1"/>
  <c r="N1155" i="4"/>
  <c r="O1155" i="4" s="1"/>
  <c r="N1156" i="4"/>
  <c r="O1156" i="4" s="1"/>
  <c r="N1157" i="4"/>
  <c r="O1157" i="4" s="1"/>
  <c r="N1158" i="4"/>
  <c r="O1158" i="4" s="1"/>
  <c r="N1159" i="4"/>
  <c r="O1159" i="4" s="1"/>
  <c r="N1160" i="4"/>
  <c r="O1160" i="4" s="1"/>
  <c r="N1161" i="4"/>
  <c r="O1161" i="4" s="1"/>
  <c r="N1162" i="4"/>
  <c r="O1162" i="4" s="1"/>
  <c r="N1163" i="4"/>
  <c r="O1163" i="4" s="1"/>
  <c r="N1164" i="4"/>
  <c r="O1164" i="4" s="1"/>
  <c r="N1165" i="4"/>
  <c r="O1165" i="4" s="1"/>
  <c r="N1166" i="4"/>
  <c r="O1166" i="4" s="1"/>
  <c r="N1167" i="4"/>
  <c r="O1167" i="4" s="1"/>
  <c r="N1168" i="4"/>
  <c r="O1168" i="4" s="1"/>
  <c r="N1169" i="4"/>
  <c r="O1169" i="4" s="1"/>
  <c r="N1170" i="4"/>
  <c r="O1170" i="4" s="1"/>
  <c r="N1171" i="4"/>
  <c r="O1171" i="4" s="1"/>
  <c r="N1172" i="4"/>
  <c r="O1172" i="4" s="1"/>
  <c r="N1173" i="4"/>
  <c r="O1173" i="4" s="1"/>
  <c r="N1174" i="4"/>
  <c r="O1174" i="4" s="1"/>
  <c r="N1175" i="4"/>
  <c r="O1175" i="4" s="1"/>
  <c r="N1176" i="4"/>
  <c r="O1176" i="4" s="1"/>
  <c r="N1177" i="4"/>
  <c r="O1177" i="4" s="1"/>
  <c r="N1178" i="4"/>
  <c r="O1178" i="4" s="1"/>
  <c r="N1179" i="4"/>
  <c r="O1179" i="4" s="1"/>
  <c r="N1180" i="4"/>
  <c r="O1180" i="4" s="1"/>
  <c r="N1181" i="4"/>
  <c r="O1181" i="4" s="1"/>
  <c r="N1182" i="4"/>
  <c r="O1182" i="4" s="1"/>
  <c r="N1183" i="4"/>
  <c r="O1183" i="4" s="1"/>
  <c r="N1184" i="4"/>
  <c r="O1184" i="4" s="1"/>
  <c r="N1185" i="4"/>
  <c r="O1185" i="4" s="1"/>
  <c r="N1186" i="4"/>
  <c r="O1186" i="4" s="1"/>
  <c r="N1187" i="4"/>
  <c r="O1187" i="4" s="1"/>
  <c r="N1188" i="4"/>
  <c r="O1188" i="4" s="1"/>
  <c r="N1189" i="4"/>
  <c r="O1189" i="4" s="1"/>
  <c r="N1190" i="4"/>
  <c r="O1190" i="4" s="1"/>
  <c r="N1191" i="4"/>
  <c r="O1191" i="4" s="1"/>
  <c r="N1192" i="4"/>
  <c r="O1192" i="4" s="1"/>
  <c r="N1193" i="4"/>
  <c r="O1193" i="4" s="1"/>
  <c r="N1194" i="4"/>
  <c r="O1194" i="4" s="1"/>
  <c r="N1195" i="4"/>
  <c r="O1195" i="4" s="1"/>
  <c r="N1196" i="4"/>
  <c r="O1196" i="4" s="1"/>
  <c r="N1197" i="4"/>
  <c r="O1197" i="4" s="1"/>
  <c r="N1198" i="4"/>
  <c r="O1198" i="4" s="1"/>
  <c r="N1199" i="4"/>
  <c r="O1199" i="4" s="1"/>
  <c r="N1200" i="4"/>
  <c r="O1200" i="4" s="1"/>
  <c r="N1201" i="4"/>
  <c r="O1201" i="4" s="1"/>
  <c r="N1202" i="4"/>
  <c r="O1202" i="4" s="1"/>
  <c r="N1203" i="4"/>
  <c r="O1203" i="4" s="1"/>
  <c r="N1204" i="4"/>
  <c r="O1204" i="4" s="1"/>
  <c r="N1205" i="4"/>
  <c r="O1205" i="4" s="1"/>
  <c r="N1206" i="4"/>
  <c r="O1206" i="4" s="1"/>
  <c r="N1207" i="4"/>
  <c r="O1207" i="4" s="1"/>
  <c r="N1208" i="4"/>
  <c r="O1208" i="4" s="1"/>
  <c r="N1209" i="4"/>
  <c r="O1209" i="4" s="1"/>
  <c r="N1210" i="4"/>
  <c r="O1210" i="4" s="1"/>
  <c r="N1211" i="4"/>
  <c r="O1211" i="4" s="1"/>
  <c r="N1212" i="4"/>
  <c r="O1212" i="4" s="1"/>
  <c r="N1213" i="4"/>
  <c r="O1213" i="4" s="1"/>
  <c r="N1214" i="4"/>
  <c r="O1214" i="4" s="1"/>
  <c r="N1215" i="4"/>
  <c r="O1215" i="4" s="1"/>
  <c r="N1216" i="4"/>
  <c r="O1216" i="4" s="1"/>
  <c r="N1217" i="4"/>
  <c r="O1217" i="4" s="1"/>
  <c r="N1218" i="4"/>
  <c r="O1218" i="4" s="1"/>
  <c r="N1219" i="4"/>
  <c r="O1219" i="4" s="1"/>
  <c r="N1220" i="4"/>
  <c r="O1220" i="4" s="1"/>
  <c r="N1221" i="4"/>
  <c r="O1221" i="4" s="1"/>
  <c r="N1222" i="4"/>
  <c r="O1222" i="4" s="1"/>
  <c r="N1223" i="4"/>
  <c r="O1223" i="4" s="1"/>
  <c r="N1224" i="4"/>
  <c r="O1224" i="4" s="1"/>
  <c r="N1225" i="4"/>
  <c r="O1225" i="4" s="1"/>
  <c r="N1226" i="4"/>
  <c r="O1226" i="4" s="1"/>
  <c r="N1227" i="4"/>
  <c r="O1227" i="4" s="1"/>
  <c r="N1228" i="4"/>
  <c r="O1228" i="4" s="1"/>
  <c r="N1229" i="4"/>
  <c r="O1229" i="4" s="1"/>
  <c r="N1230" i="4"/>
  <c r="O1230" i="4" s="1"/>
  <c r="N1231" i="4"/>
  <c r="O1231" i="4" s="1"/>
  <c r="N1232" i="4"/>
  <c r="O1232" i="4" s="1"/>
  <c r="N1233" i="4"/>
  <c r="O1233" i="4" s="1"/>
  <c r="N1234" i="4"/>
  <c r="O1234" i="4" s="1"/>
  <c r="N1235" i="4"/>
  <c r="O1235" i="4" s="1"/>
  <c r="N1236" i="4"/>
  <c r="O1236" i="4" s="1"/>
  <c r="N1237" i="4"/>
  <c r="O1237" i="4" s="1"/>
  <c r="N1238" i="4"/>
  <c r="O1238" i="4" s="1"/>
  <c r="N1239" i="4"/>
  <c r="O1239" i="4" s="1"/>
  <c r="N1240" i="4"/>
  <c r="O1240" i="4" s="1"/>
  <c r="N1241" i="4"/>
  <c r="O1241" i="4" s="1"/>
  <c r="N1242" i="4"/>
  <c r="O1242" i="4" s="1"/>
  <c r="N1243" i="4"/>
  <c r="O1243" i="4" s="1"/>
  <c r="N1244" i="4"/>
  <c r="O1244" i="4" s="1"/>
  <c r="N1245" i="4"/>
  <c r="O1245" i="4" s="1"/>
  <c r="N1246" i="4"/>
  <c r="O1246" i="4" s="1"/>
  <c r="N1247" i="4"/>
  <c r="O1247" i="4" s="1"/>
  <c r="N1248" i="4"/>
  <c r="O1248" i="4" s="1"/>
  <c r="N1249" i="4"/>
  <c r="O1249" i="4" s="1"/>
  <c r="N1250" i="4"/>
  <c r="O1250" i="4" s="1"/>
  <c r="N1251" i="4"/>
  <c r="O1251" i="4" s="1"/>
  <c r="N1252" i="4"/>
  <c r="O1252" i="4" s="1"/>
  <c r="N1253" i="4"/>
  <c r="O1253" i="4" s="1"/>
  <c r="N1254" i="4"/>
  <c r="O1254" i="4" s="1"/>
  <c r="N1255" i="4"/>
  <c r="O1255" i="4" s="1"/>
  <c r="N1256" i="4"/>
  <c r="O1256" i="4" s="1"/>
  <c r="N1257" i="4"/>
  <c r="O1257" i="4" s="1"/>
  <c r="N1258" i="4"/>
  <c r="O1258" i="4" s="1"/>
  <c r="N1259" i="4"/>
  <c r="O1259" i="4" s="1"/>
  <c r="N1260" i="4"/>
  <c r="O1260" i="4" s="1"/>
  <c r="N1261" i="4"/>
  <c r="O1261" i="4" s="1"/>
  <c r="N1262" i="4"/>
  <c r="O1262" i="4" s="1"/>
  <c r="N1263" i="4"/>
  <c r="O1263" i="4" s="1"/>
  <c r="N1264" i="4"/>
  <c r="O1264" i="4" s="1"/>
  <c r="N1265" i="4"/>
  <c r="O1265" i="4" s="1"/>
  <c r="N1266" i="4"/>
  <c r="O1266" i="4" s="1"/>
  <c r="N1267" i="4"/>
  <c r="O1267" i="4" s="1"/>
  <c r="N1268" i="4"/>
  <c r="O1268" i="4" s="1"/>
  <c r="N1269" i="4"/>
  <c r="O1269" i="4" s="1"/>
  <c r="N1270" i="4"/>
  <c r="O1270" i="4" s="1"/>
  <c r="N1271" i="4"/>
  <c r="O1271" i="4" s="1"/>
  <c r="N1272" i="4"/>
  <c r="O1272" i="4" s="1"/>
  <c r="N1273" i="4"/>
  <c r="O1273" i="4" s="1"/>
  <c r="N1274" i="4"/>
  <c r="O1274" i="4" s="1"/>
  <c r="N1275" i="4"/>
  <c r="O1275" i="4" s="1"/>
  <c r="N1276" i="4"/>
  <c r="O1276" i="4" s="1"/>
  <c r="N1277" i="4"/>
  <c r="O1277" i="4" s="1"/>
  <c r="N1278" i="4"/>
  <c r="O1278" i="4" s="1"/>
  <c r="N1279" i="4"/>
  <c r="O1279" i="4" s="1"/>
  <c r="N1280" i="4"/>
  <c r="O1280" i="4" s="1"/>
  <c r="N1281" i="4"/>
  <c r="O1281" i="4" s="1"/>
  <c r="N1282" i="4"/>
  <c r="O1282" i="4" s="1"/>
  <c r="N1283" i="4"/>
  <c r="O1283" i="4" s="1"/>
  <c r="N1284" i="4"/>
  <c r="O1284" i="4" s="1"/>
  <c r="N1285" i="4"/>
  <c r="O1285" i="4" s="1"/>
  <c r="N1286" i="4"/>
  <c r="O1286" i="4" s="1"/>
  <c r="N1287" i="4"/>
  <c r="O1287" i="4" s="1"/>
  <c r="N1288" i="4"/>
  <c r="O1288" i="4" s="1"/>
  <c r="N1289" i="4"/>
  <c r="O1289" i="4" s="1"/>
  <c r="N1290" i="4"/>
  <c r="O1290" i="4" s="1"/>
  <c r="N1291" i="4"/>
  <c r="O1291" i="4" s="1"/>
  <c r="N1292" i="4"/>
  <c r="O1292" i="4" s="1"/>
  <c r="N1293" i="4"/>
  <c r="O1293" i="4" s="1"/>
  <c r="N1294" i="4"/>
  <c r="O1294" i="4" s="1"/>
  <c r="N1295" i="4"/>
  <c r="O1295" i="4" s="1"/>
  <c r="N1296" i="4"/>
  <c r="O1296" i="4" s="1"/>
  <c r="N1297" i="4"/>
  <c r="O1297" i="4" s="1"/>
  <c r="N1298" i="4"/>
  <c r="O1298" i="4" s="1"/>
  <c r="N1299" i="4"/>
  <c r="O1299" i="4" s="1"/>
  <c r="N1300" i="4"/>
  <c r="O1300" i="4" s="1"/>
  <c r="N1301" i="4"/>
  <c r="O1301" i="4" s="1"/>
  <c r="N1302" i="4"/>
  <c r="O1302" i="4" s="1"/>
  <c r="N1303" i="4"/>
  <c r="O1303" i="4" s="1"/>
  <c r="N1304" i="4"/>
  <c r="O1304" i="4" s="1"/>
  <c r="N1305" i="4"/>
  <c r="O1305" i="4" s="1"/>
  <c r="N1306" i="4"/>
  <c r="O1306" i="4" s="1"/>
  <c r="N1307" i="4"/>
  <c r="O1307" i="4" s="1"/>
  <c r="N1308" i="4"/>
  <c r="O1308" i="4" s="1"/>
  <c r="N1309" i="4"/>
  <c r="O1309" i="4" s="1"/>
  <c r="N1310" i="4"/>
  <c r="O1310" i="4" s="1"/>
  <c r="N1311" i="4"/>
  <c r="O1311" i="4" s="1"/>
  <c r="N1312" i="4"/>
  <c r="O1312" i="4" s="1"/>
  <c r="N1313" i="4"/>
  <c r="O1313" i="4" s="1"/>
  <c r="N1314" i="4"/>
  <c r="O1314" i="4" s="1"/>
  <c r="N1315" i="4"/>
  <c r="O1315" i="4" s="1"/>
  <c r="N1316" i="4"/>
  <c r="O1316" i="4" s="1"/>
  <c r="N1317" i="4"/>
  <c r="O1317" i="4" s="1"/>
  <c r="N1318" i="4"/>
  <c r="O1318" i="4" s="1"/>
  <c r="N1319" i="4"/>
  <c r="O1319" i="4" s="1"/>
  <c r="N1320" i="4"/>
  <c r="O1320" i="4" s="1"/>
  <c r="N1321" i="4"/>
  <c r="O1321" i="4" s="1"/>
  <c r="N1322" i="4"/>
  <c r="O1322" i="4" s="1"/>
  <c r="N1323" i="4"/>
  <c r="O1323" i="4" s="1"/>
  <c r="N1324" i="4"/>
  <c r="O1324" i="4" s="1"/>
  <c r="N1325" i="4"/>
  <c r="O1325" i="4" s="1"/>
  <c r="N1326" i="4"/>
  <c r="O1326" i="4" s="1"/>
  <c r="N1327" i="4"/>
  <c r="O1327" i="4" s="1"/>
  <c r="N1328" i="4"/>
  <c r="O1328" i="4" s="1"/>
  <c r="N1329" i="4"/>
  <c r="O1329" i="4" s="1"/>
  <c r="N1330" i="4"/>
  <c r="O1330" i="4" s="1"/>
  <c r="N1331" i="4"/>
  <c r="O1331" i="4" s="1"/>
  <c r="N1332" i="4"/>
  <c r="O1332" i="4" s="1"/>
  <c r="N1333" i="4"/>
  <c r="O1333" i="4" s="1"/>
  <c r="N1334" i="4"/>
  <c r="O1334" i="4" s="1"/>
  <c r="N1335" i="4"/>
  <c r="O1335" i="4" s="1"/>
  <c r="N1336" i="4"/>
  <c r="O1336" i="4" s="1"/>
  <c r="N1337" i="4"/>
  <c r="O1337" i="4" s="1"/>
  <c r="N1338" i="4"/>
  <c r="O1338" i="4" s="1"/>
  <c r="N1339" i="4"/>
  <c r="O1339" i="4" s="1"/>
  <c r="N1340" i="4"/>
  <c r="O1340" i="4" s="1"/>
  <c r="N1341" i="4"/>
  <c r="O1341" i="4" s="1"/>
  <c r="N1342" i="4"/>
  <c r="O1342" i="4" s="1"/>
  <c r="N1343" i="4"/>
  <c r="O1343" i="4" s="1"/>
  <c r="N1344" i="4"/>
  <c r="O1344" i="4" s="1"/>
  <c r="N1345" i="4"/>
  <c r="O1345" i="4" s="1"/>
  <c r="N1346" i="4"/>
  <c r="O1346" i="4" s="1"/>
  <c r="N1347" i="4"/>
  <c r="O1347" i="4" s="1"/>
  <c r="N1348" i="4"/>
  <c r="O1348" i="4" s="1"/>
  <c r="N1349" i="4"/>
  <c r="O1349" i="4" s="1"/>
  <c r="N1350" i="4"/>
  <c r="O1350" i="4" s="1"/>
  <c r="N1351" i="4"/>
  <c r="O1351" i="4" s="1"/>
  <c r="N1352" i="4"/>
  <c r="O1352" i="4" s="1"/>
  <c r="N1353" i="4"/>
  <c r="O1353" i="4" s="1"/>
  <c r="N1354" i="4"/>
  <c r="O1354" i="4" s="1"/>
  <c r="N1355" i="4"/>
  <c r="O1355" i="4" s="1"/>
  <c r="N1356" i="4"/>
  <c r="O1356" i="4" s="1"/>
  <c r="N1357" i="4"/>
  <c r="O1357" i="4" s="1"/>
  <c r="N1358" i="4"/>
  <c r="O1358" i="4" s="1"/>
  <c r="N1359" i="4"/>
  <c r="O1359" i="4" s="1"/>
  <c r="N1360" i="4"/>
  <c r="O1360" i="4" s="1"/>
  <c r="N1361" i="4"/>
  <c r="O1361" i="4" s="1"/>
  <c r="N1362" i="4"/>
  <c r="O1362" i="4" s="1"/>
  <c r="N1363" i="4"/>
  <c r="O1363" i="4" s="1"/>
  <c r="N1364" i="4"/>
  <c r="O1364" i="4" s="1"/>
  <c r="N1365" i="4"/>
  <c r="O1365" i="4" s="1"/>
  <c r="N1366" i="4"/>
  <c r="O1366" i="4" s="1"/>
  <c r="N1367" i="4"/>
  <c r="O1367" i="4" s="1"/>
  <c r="N1368" i="4"/>
  <c r="O1368" i="4" s="1"/>
  <c r="N1369" i="4"/>
  <c r="O1369" i="4" s="1"/>
  <c r="N1370" i="4"/>
  <c r="O1370" i="4" s="1"/>
  <c r="N1371" i="4"/>
  <c r="O1371" i="4" s="1"/>
  <c r="N1372" i="4"/>
  <c r="O1372" i="4" s="1"/>
  <c r="N1373" i="4"/>
  <c r="O1373" i="4" s="1"/>
  <c r="N1374" i="4"/>
  <c r="O1374" i="4" s="1"/>
  <c r="N1375" i="4"/>
  <c r="O1375" i="4" s="1"/>
  <c r="N1376" i="4"/>
  <c r="O1376" i="4" s="1"/>
  <c r="N1377" i="4"/>
  <c r="O1377" i="4" s="1"/>
  <c r="N1378" i="4"/>
  <c r="O1378" i="4" s="1"/>
  <c r="N1379" i="4"/>
  <c r="O1379" i="4" s="1"/>
  <c r="N1380" i="4"/>
  <c r="O1380" i="4" s="1"/>
  <c r="N1381" i="4"/>
  <c r="O1381" i="4" s="1"/>
  <c r="N1382" i="4"/>
  <c r="O1382" i="4" s="1"/>
  <c r="N1383" i="4"/>
  <c r="O1383" i="4" s="1"/>
  <c r="N1384" i="4"/>
  <c r="O1384" i="4" s="1"/>
  <c r="N1385" i="4"/>
  <c r="O1385" i="4" s="1"/>
  <c r="N1386" i="4"/>
  <c r="O1386" i="4" s="1"/>
  <c r="N1387" i="4"/>
  <c r="O1387" i="4" s="1"/>
  <c r="N1388" i="4"/>
  <c r="O1388" i="4" s="1"/>
  <c r="N1389" i="4"/>
  <c r="O1389" i="4" s="1"/>
  <c r="N1390" i="4"/>
  <c r="O1390" i="4" s="1"/>
  <c r="N1391" i="4"/>
  <c r="O1391" i="4" s="1"/>
  <c r="N1392" i="4"/>
  <c r="O1392" i="4" s="1"/>
  <c r="N1393" i="4"/>
  <c r="O1393" i="4" s="1"/>
  <c r="N1394" i="4"/>
  <c r="O1394" i="4" s="1"/>
  <c r="N1395" i="4"/>
  <c r="O1395" i="4" s="1"/>
  <c r="N1396" i="4"/>
  <c r="O1396" i="4" s="1"/>
  <c r="N1397" i="4"/>
  <c r="O1397" i="4" s="1"/>
  <c r="N1398" i="4"/>
  <c r="O1398" i="4" s="1"/>
  <c r="N1399" i="4"/>
  <c r="O1399" i="4" s="1"/>
  <c r="N1400" i="4"/>
  <c r="O1400" i="4" s="1"/>
  <c r="N1401" i="4"/>
  <c r="O1401" i="4" s="1"/>
  <c r="N1402" i="4"/>
  <c r="O1402" i="4" s="1"/>
  <c r="N1403" i="4"/>
  <c r="O1403" i="4" s="1"/>
  <c r="N1404" i="4"/>
  <c r="O1404" i="4" s="1"/>
  <c r="N1405" i="4"/>
  <c r="O1405" i="4" s="1"/>
  <c r="N1406" i="4"/>
  <c r="O1406" i="4" s="1"/>
  <c r="N1407" i="4"/>
  <c r="O1407" i="4" s="1"/>
  <c r="N1408" i="4"/>
  <c r="O1408" i="4" s="1"/>
  <c r="N1409" i="4"/>
  <c r="O1409" i="4" s="1"/>
  <c r="N1410" i="4"/>
  <c r="O1410" i="4" s="1"/>
  <c r="N1411" i="4"/>
  <c r="O1411" i="4" s="1"/>
  <c r="N1412" i="4"/>
  <c r="O1412" i="4" s="1"/>
  <c r="N1413" i="4"/>
  <c r="O1413" i="4" s="1"/>
  <c r="N1414" i="4"/>
  <c r="O1414" i="4" s="1"/>
  <c r="N1415" i="4"/>
  <c r="O1415" i="4" s="1"/>
  <c r="N1416" i="4"/>
  <c r="O1416" i="4" s="1"/>
  <c r="N1417" i="4"/>
  <c r="O1417" i="4" s="1"/>
  <c r="N1418" i="4"/>
  <c r="O1418" i="4" s="1"/>
  <c r="N1419" i="4"/>
  <c r="O1419" i="4" s="1"/>
  <c r="N1420" i="4"/>
  <c r="O1420" i="4" s="1"/>
  <c r="N1421" i="4"/>
  <c r="O1421" i="4" s="1"/>
  <c r="N1422" i="4"/>
  <c r="O1422" i="4" s="1"/>
  <c r="N1423" i="4"/>
  <c r="O1423" i="4" s="1"/>
  <c r="N1424" i="4"/>
  <c r="O1424" i="4" s="1"/>
  <c r="N1425" i="4"/>
  <c r="O1425" i="4" s="1"/>
  <c r="N1426" i="4"/>
  <c r="O1426" i="4" s="1"/>
  <c r="N1427" i="4"/>
  <c r="O1427" i="4" s="1"/>
  <c r="N1428" i="4"/>
  <c r="O1428" i="4" s="1"/>
  <c r="N1429" i="4"/>
  <c r="O1429" i="4" s="1"/>
  <c r="N1430" i="4"/>
  <c r="O1430" i="4" s="1"/>
  <c r="N1431" i="4"/>
  <c r="O1431" i="4" s="1"/>
  <c r="N1432" i="4"/>
  <c r="O1432" i="4" s="1"/>
  <c r="N1433" i="4"/>
  <c r="O1433" i="4" s="1"/>
  <c r="N1434" i="4"/>
  <c r="O1434" i="4" s="1"/>
  <c r="N1435" i="4"/>
  <c r="O1435" i="4" s="1"/>
  <c r="N1436" i="4"/>
  <c r="O1436" i="4" s="1"/>
  <c r="N1437" i="4"/>
  <c r="O1437" i="4" s="1"/>
  <c r="N1438" i="4"/>
  <c r="O1438" i="4" s="1"/>
  <c r="N1439" i="4"/>
  <c r="O1439" i="4" s="1"/>
  <c r="N1440" i="4"/>
  <c r="O1440" i="4" s="1"/>
  <c r="N1441" i="4"/>
  <c r="O1441" i="4" s="1"/>
  <c r="N1442" i="4"/>
  <c r="O1442" i="4" s="1"/>
  <c r="N1443" i="4"/>
  <c r="O1443" i="4" s="1"/>
  <c r="N1444" i="4"/>
  <c r="O1444" i="4" s="1"/>
  <c r="N1445" i="4"/>
  <c r="O1445" i="4" s="1"/>
  <c r="N1446" i="4"/>
  <c r="O1446" i="4" s="1"/>
  <c r="N1447" i="4"/>
  <c r="O1447" i="4" s="1"/>
  <c r="N1448" i="4"/>
  <c r="O1448" i="4" s="1"/>
  <c r="N1449" i="4"/>
  <c r="O1449" i="4" s="1"/>
  <c r="N1450" i="4"/>
  <c r="O1450" i="4" s="1"/>
  <c r="N1451" i="4"/>
  <c r="O1451" i="4" s="1"/>
  <c r="N1452" i="4"/>
  <c r="O1452" i="4" s="1"/>
  <c r="N1453" i="4"/>
  <c r="O1453" i="4" s="1"/>
  <c r="N1454" i="4"/>
  <c r="O1454" i="4" s="1"/>
  <c r="N1455" i="4"/>
  <c r="O1455" i="4" s="1"/>
  <c r="N1456" i="4"/>
  <c r="O1456" i="4" s="1"/>
  <c r="N1457" i="4"/>
  <c r="O1457" i="4" s="1"/>
  <c r="N1458" i="4"/>
  <c r="O1458" i="4" s="1"/>
  <c r="N1459" i="4"/>
  <c r="O1459" i="4" s="1"/>
  <c r="N1460" i="4"/>
  <c r="O1460" i="4" s="1"/>
  <c r="N1461" i="4"/>
  <c r="O1461" i="4" s="1"/>
  <c r="N1462" i="4"/>
  <c r="O1462" i="4" s="1"/>
  <c r="N1463" i="4"/>
  <c r="O1463" i="4" s="1"/>
  <c r="N1464" i="4"/>
  <c r="O1464" i="4" s="1"/>
  <c r="N1465" i="4"/>
  <c r="O1465" i="4" s="1"/>
  <c r="N1466" i="4"/>
  <c r="O1466" i="4" s="1"/>
  <c r="N1467" i="4"/>
  <c r="O1467" i="4" s="1"/>
  <c r="N1468" i="4"/>
  <c r="O1468" i="4" s="1"/>
  <c r="N1469" i="4"/>
  <c r="O1469" i="4" s="1"/>
  <c r="N1470" i="4"/>
  <c r="O1470" i="4" s="1"/>
  <c r="N1471" i="4"/>
  <c r="O1471" i="4" s="1"/>
  <c r="N1472" i="4"/>
  <c r="O1472" i="4" s="1"/>
  <c r="N1473" i="4"/>
  <c r="O1473" i="4" s="1"/>
  <c r="N1474" i="4"/>
  <c r="O1474" i="4" s="1"/>
  <c r="N1475" i="4"/>
  <c r="O1475" i="4" s="1"/>
  <c r="N1476" i="4"/>
  <c r="O1476" i="4" s="1"/>
  <c r="N1477" i="4"/>
  <c r="O1477" i="4" s="1"/>
  <c r="N1478" i="4"/>
  <c r="O1478" i="4" s="1"/>
  <c r="N1479" i="4"/>
  <c r="O1479" i="4" s="1"/>
  <c r="N1480" i="4"/>
  <c r="O1480" i="4" s="1"/>
  <c r="N1481" i="4"/>
  <c r="O1481" i="4" s="1"/>
  <c r="N1482" i="4"/>
  <c r="O1482" i="4" s="1"/>
  <c r="N1483" i="4"/>
  <c r="O1483" i="4" s="1"/>
  <c r="N1484" i="4"/>
  <c r="O1484" i="4" s="1"/>
  <c r="N1485" i="4"/>
  <c r="O1485" i="4" s="1"/>
  <c r="N1486" i="4"/>
  <c r="O1486" i="4" s="1"/>
  <c r="N1487" i="4"/>
  <c r="O1487" i="4" s="1"/>
  <c r="N1488" i="4"/>
  <c r="O1488" i="4" s="1"/>
  <c r="N1489" i="4"/>
  <c r="O1489" i="4" s="1"/>
  <c r="N1490" i="4"/>
  <c r="O1490" i="4" s="1"/>
  <c r="N1491" i="4"/>
  <c r="O1491" i="4" s="1"/>
  <c r="N1492" i="4"/>
  <c r="O1492" i="4" s="1"/>
  <c r="N1493" i="4"/>
  <c r="O1493" i="4" s="1"/>
  <c r="N1494" i="4"/>
  <c r="O1494" i="4" s="1"/>
  <c r="N1495" i="4"/>
  <c r="O1495" i="4" s="1"/>
  <c r="N1496" i="4"/>
  <c r="O1496" i="4" s="1"/>
  <c r="N1497" i="4"/>
  <c r="O1497" i="4" s="1"/>
  <c r="N1498" i="4"/>
  <c r="O1498" i="4" s="1"/>
  <c r="N1499" i="4"/>
  <c r="O1499" i="4" s="1"/>
  <c r="N1500" i="4"/>
  <c r="O1500" i="4" s="1"/>
  <c r="N1501" i="4"/>
  <c r="O1501" i="4" s="1"/>
  <c r="N1502" i="4"/>
  <c r="O1502" i="4" s="1"/>
  <c r="N1503" i="4"/>
  <c r="O1503" i="4" s="1"/>
  <c r="N1504" i="4"/>
  <c r="O1504" i="4" s="1"/>
  <c r="N1505" i="4"/>
  <c r="O1505" i="4" s="1"/>
  <c r="N1506" i="4"/>
  <c r="O1506" i="4" s="1"/>
  <c r="N1507" i="4"/>
  <c r="O1507" i="4" s="1"/>
  <c r="N1508" i="4"/>
  <c r="O1508" i="4" s="1"/>
  <c r="N1509" i="4"/>
  <c r="O1509" i="4" s="1"/>
  <c r="N1510" i="4"/>
  <c r="O1510" i="4" s="1"/>
  <c r="N1511" i="4"/>
  <c r="O1511" i="4" s="1"/>
  <c r="N1512" i="4"/>
  <c r="O1512" i="4" s="1"/>
  <c r="N1513" i="4"/>
  <c r="O1513" i="4" s="1"/>
  <c r="N1514" i="4"/>
  <c r="O1514" i="4" s="1"/>
  <c r="N1515" i="4"/>
  <c r="O1515" i="4" s="1"/>
  <c r="N1516" i="4"/>
  <c r="O1516" i="4" s="1"/>
  <c r="N1517" i="4"/>
  <c r="O1517" i="4" s="1"/>
  <c r="N1518" i="4"/>
  <c r="O1518" i="4" s="1"/>
  <c r="N1519" i="4"/>
  <c r="O1519" i="4" s="1"/>
  <c r="N1520" i="4"/>
  <c r="O1520" i="4" s="1"/>
  <c r="N1521" i="4"/>
  <c r="O1521" i="4" s="1"/>
  <c r="N1522" i="4"/>
  <c r="O1522" i="4" s="1"/>
  <c r="N1523" i="4"/>
  <c r="O1523" i="4" s="1"/>
  <c r="N1524" i="4"/>
  <c r="O1524" i="4" s="1"/>
  <c r="N1525" i="4"/>
  <c r="O1525" i="4" s="1"/>
  <c r="N1526" i="4"/>
  <c r="O1526" i="4" s="1"/>
  <c r="N1527" i="4"/>
  <c r="O1527" i="4" s="1"/>
  <c r="N1528" i="4"/>
  <c r="O1528" i="4" s="1"/>
  <c r="N1529" i="4"/>
  <c r="O1529" i="4" s="1"/>
  <c r="N1530" i="4"/>
  <c r="O1530" i="4" s="1"/>
  <c r="N1531" i="4"/>
  <c r="O1531" i="4" s="1"/>
  <c r="N1532" i="4"/>
  <c r="O1532" i="4" s="1"/>
  <c r="N1533" i="4"/>
  <c r="O1533" i="4" s="1"/>
  <c r="N1534" i="4"/>
  <c r="O1534" i="4" s="1"/>
  <c r="N1535" i="4"/>
  <c r="O1535" i="4" s="1"/>
  <c r="N1536" i="4"/>
  <c r="O1536" i="4" s="1"/>
  <c r="N1537" i="4"/>
  <c r="O1537" i="4" s="1"/>
  <c r="N1538" i="4"/>
  <c r="O1538" i="4" s="1"/>
  <c r="N1539" i="4"/>
  <c r="O1539" i="4" s="1"/>
  <c r="N1540" i="4"/>
  <c r="O1540" i="4" s="1"/>
  <c r="N1541" i="4"/>
  <c r="O1541" i="4" s="1"/>
  <c r="N1542" i="4"/>
  <c r="O1542" i="4" s="1"/>
  <c r="N1543" i="4"/>
  <c r="O1543" i="4" s="1"/>
  <c r="N1544" i="4"/>
  <c r="O1544" i="4" s="1"/>
  <c r="N1545" i="4"/>
  <c r="O1545" i="4" s="1"/>
  <c r="N1546" i="4"/>
  <c r="O1546" i="4" s="1"/>
  <c r="N1547" i="4"/>
  <c r="O1547" i="4" s="1"/>
  <c r="N1548" i="4"/>
  <c r="O1548" i="4" s="1"/>
  <c r="N1549" i="4"/>
  <c r="O1549" i="4" s="1"/>
  <c r="N1550" i="4"/>
  <c r="O1550" i="4" s="1"/>
  <c r="N1551" i="4"/>
  <c r="O1551" i="4" s="1"/>
  <c r="N1552" i="4"/>
  <c r="O1552" i="4" s="1"/>
  <c r="N1553" i="4"/>
  <c r="O1553" i="4" s="1"/>
  <c r="N1554" i="4"/>
  <c r="O1554" i="4" s="1"/>
  <c r="N1555" i="4"/>
  <c r="O1555" i="4" s="1"/>
  <c r="N1556" i="4"/>
  <c r="O1556" i="4" s="1"/>
  <c r="N1557" i="4"/>
  <c r="O1557" i="4" s="1"/>
  <c r="N1558" i="4"/>
  <c r="O1558" i="4" s="1"/>
  <c r="N1559" i="4"/>
  <c r="O1559" i="4" s="1"/>
  <c r="N1560" i="4"/>
  <c r="O1560" i="4" s="1"/>
  <c r="N1561" i="4"/>
  <c r="O1561" i="4" s="1"/>
  <c r="N1562" i="4"/>
  <c r="O1562" i="4" s="1"/>
  <c r="N1563" i="4"/>
  <c r="O1563" i="4" s="1"/>
  <c r="N1564" i="4"/>
  <c r="O1564" i="4" s="1"/>
  <c r="N1565" i="4"/>
  <c r="O1565" i="4" s="1"/>
  <c r="N1566" i="4"/>
  <c r="O1566" i="4" s="1"/>
  <c r="N1567" i="4"/>
  <c r="O1567" i="4" s="1"/>
  <c r="N1568" i="4"/>
  <c r="O1568" i="4" s="1"/>
  <c r="N1569" i="4"/>
  <c r="O1569" i="4" s="1"/>
  <c r="N1570" i="4"/>
  <c r="O1570" i="4" s="1"/>
  <c r="N1571" i="4"/>
  <c r="O1571" i="4" s="1"/>
  <c r="N1572" i="4"/>
  <c r="O1572" i="4" s="1"/>
  <c r="N1573" i="4"/>
  <c r="O1573" i="4" s="1"/>
  <c r="N1574" i="4"/>
  <c r="O1574" i="4" s="1"/>
  <c r="N1575" i="4"/>
  <c r="O1575" i="4" s="1"/>
  <c r="N1576" i="4"/>
  <c r="O1576" i="4" s="1"/>
  <c r="N1577" i="4"/>
  <c r="O1577" i="4" s="1"/>
  <c r="N1578" i="4"/>
  <c r="O1578" i="4" s="1"/>
  <c r="N1579" i="4"/>
  <c r="O1579" i="4" s="1"/>
  <c r="N1580" i="4"/>
  <c r="O1580" i="4" s="1"/>
  <c r="N1581" i="4"/>
  <c r="O1581" i="4" s="1"/>
  <c r="N1582" i="4"/>
  <c r="O1582" i="4" s="1"/>
  <c r="N1583" i="4"/>
  <c r="O1583" i="4" s="1"/>
  <c r="N1584" i="4"/>
  <c r="O1584" i="4" s="1"/>
  <c r="N1585" i="4"/>
  <c r="O1585" i="4" s="1"/>
  <c r="N1586" i="4"/>
  <c r="O1586" i="4" s="1"/>
  <c r="N1587" i="4"/>
  <c r="O1587" i="4" s="1"/>
  <c r="N1588" i="4"/>
  <c r="O1588" i="4" s="1"/>
  <c r="N1589" i="4"/>
  <c r="O1589" i="4" s="1"/>
  <c r="N1590" i="4"/>
  <c r="O1590" i="4" s="1"/>
  <c r="N1591" i="4"/>
  <c r="O1591" i="4" s="1"/>
  <c r="N1592" i="4"/>
  <c r="O1592" i="4" s="1"/>
  <c r="N1593" i="4"/>
  <c r="O1593" i="4" s="1"/>
  <c r="N1594" i="4"/>
  <c r="O1594" i="4" s="1"/>
  <c r="N1595" i="4"/>
  <c r="O1595" i="4" s="1"/>
  <c r="N1596" i="4"/>
  <c r="O1596" i="4" s="1"/>
  <c r="N1597" i="4"/>
  <c r="O1597" i="4" s="1"/>
  <c r="N1598" i="4"/>
  <c r="O1598" i="4" s="1"/>
  <c r="N1599" i="4"/>
  <c r="O1599" i="4" s="1"/>
  <c r="N1600" i="4"/>
  <c r="O1600" i="4" s="1"/>
  <c r="N1601" i="4"/>
  <c r="O1601" i="4" s="1"/>
  <c r="N1602" i="4"/>
  <c r="O1602" i="4" s="1"/>
  <c r="N1603" i="4"/>
  <c r="O1603" i="4" s="1"/>
  <c r="N1604" i="4"/>
  <c r="O1604" i="4" s="1"/>
  <c r="N1605" i="4"/>
  <c r="O1605" i="4" s="1"/>
  <c r="N1606" i="4"/>
  <c r="O1606" i="4" s="1"/>
  <c r="N1607" i="4"/>
  <c r="O1607" i="4" s="1"/>
  <c r="N1608" i="4"/>
  <c r="O1608" i="4" s="1"/>
  <c r="N1609" i="4"/>
  <c r="O1609" i="4" s="1"/>
  <c r="N1610" i="4"/>
  <c r="O1610" i="4" s="1"/>
  <c r="N1611" i="4"/>
  <c r="O1611" i="4" s="1"/>
  <c r="N1612" i="4"/>
  <c r="O1612" i="4" s="1"/>
  <c r="N1613" i="4"/>
  <c r="O1613" i="4" s="1"/>
  <c r="N1614" i="4"/>
  <c r="O1614" i="4" s="1"/>
  <c r="N1615" i="4"/>
  <c r="O1615" i="4" s="1"/>
  <c r="N1616" i="4"/>
  <c r="O1616" i="4" s="1"/>
  <c r="N1617" i="4"/>
  <c r="O1617" i="4" s="1"/>
  <c r="N1618" i="4"/>
  <c r="O1618" i="4" s="1"/>
  <c r="N1619" i="4"/>
  <c r="O1619" i="4" s="1"/>
  <c r="N1620" i="4"/>
  <c r="O1620" i="4" s="1"/>
  <c r="N1621" i="4"/>
  <c r="O1621" i="4" s="1"/>
  <c r="N1622" i="4"/>
  <c r="O1622" i="4" s="1"/>
  <c r="N1623" i="4"/>
  <c r="O1623" i="4" s="1"/>
  <c r="N1624" i="4"/>
  <c r="O1624" i="4" s="1"/>
  <c r="N1625" i="4"/>
  <c r="O1625" i="4" s="1"/>
  <c r="N1626" i="4"/>
  <c r="O1626" i="4" s="1"/>
  <c r="N1627" i="4"/>
  <c r="O1627" i="4" s="1"/>
  <c r="N1628" i="4"/>
  <c r="O1628" i="4" s="1"/>
  <c r="N1629" i="4"/>
  <c r="O1629" i="4" s="1"/>
  <c r="N1630" i="4"/>
  <c r="O1630" i="4" s="1"/>
  <c r="N1631" i="4"/>
  <c r="O1631" i="4" s="1"/>
  <c r="N1632" i="4"/>
  <c r="O1632" i="4" s="1"/>
  <c r="N1633" i="4"/>
  <c r="O1633" i="4" s="1"/>
  <c r="N1634" i="4"/>
  <c r="O1634" i="4" s="1"/>
  <c r="N1635" i="4"/>
  <c r="O1635" i="4" s="1"/>
  <c r="N1636" i="4"/>
  <c r="O1636" i="4" s="1"/>
  <c r="N1637" i="4"/>
  <c r="O1637" i="4" s="1"/>
  <c r="N1638" i="4"/>
  <c r="O1638" i="4" s="1"/>
  <c r="N1639" i="4"/>
  <c r="O1639" i="4" s="1"/>
  <c r="N1640" i="4"/>
  <c r="O1640" i="4" s="1"/>
  <c r="N1641" i="4"/>
  <c r="O1641" i="4" s="1"/>
  <c r="N1642" i="4"/>
  <c r="O1642" i="4" s="1"/>
  <c r="N1643" i="4"/>
  <c r="O1643" i="4" s="1"/>
  <c r="N1644" i="4"/>
  <c r="O1644" i="4" s="1"/>
  <c r="N1645" i="4"/>
  <c r="O1645" i="4" s="1"/>
  <c r="N1646" i="4"/>
  <c r="O1646" i="4" s="1"/>
  <c r="N1647" i="4"/>
  <c r="O1647" i="4" s="1"/>
  <c r="N1648" i="4"/>
  <c r="O1648" i="4" s="1"/>
  <c r="N1649" i="4"/>
  <c r="O1649" i="4" s="1"/>
  <c r="N1650" i="4"/>
  <c r="O1650" i="4" s="1"/>
  <c r="N1651" i="4"/>
  <c r="O1651" i="4" s="1"/>
  <c r="N1652" i="4"/>
  <c r="O1652" i="4" s="1"/>
  <c r="N1653" i="4"/>
  <c r="O1653" i="4" s="1"/>
  <c r="N1654" i="4"/>
  <c r="O1654" i="4" s="1"/>
  <c r="N1655" i="4"/>
  <c r="O1655" i="4" s="1"/>
  <c r="N1656" i="4"/>
  <c r="O1656" i="4" s="1"/>
  <c r="N1657" i="4"/>
  <c r="O1657" i="4" s="1"/>
  <c r="N1658" i="4"/>
  <c r="O1658" i="4" s="1"/>
  <c r="N1659" i="4"/>
  <c r="O1659" i="4" s="1"/>
  <c r="N1660" i="4"/>
  <c r="O1660" i="4" s="1"/>
  <c r="N1661" i="4"/>
  <c r="O1661" i="4" s="1"/>
  <c r="N1662" i="4"/>
  <c r="O1662" i="4" s="1"/>
  <c r="N1663" i="4"/>
  <c r="O1663" i="4" s="1"/>
  <c r="N1664" i="4"/>
  <c r="O1664" i="4" s="1"/>
  <c r="N1665" i="4"/>
  <c r="O1665" i="4" s="1"/>
  <c r="N1666" i="4"/>
  <c r="O1666" i="4" s="1"/>
  <c r="N1667" i="4"/>
  <c r="O1667" i="4" s="1"/>
  <c r="N1668" i="4"/>
  <c r="O1668" i="4" s="1"/>
  <c r="N1669" i="4"/>
  <c r="O1669" i="4" s="1"/>
  <c r="N1670" i="4"/>
  <c r="O1670" i="4" s="1"/>
  <c r="N1671" i="4"/>
  <c r="O1671" i="4" s="1"/>
  <c r="N1672" i="4"/>
  <c r="O1672" i="4" s="1"/>
  <c r="N1673" i="4"/>
  <c r="O1673" i="4" s="1"/>
  <c r="N1674" i="4"/>
  <c r="O1674" i="4" s="1"/>
  <c r="N1675" i="4"/>
  <c r="O1675" i="4" s="1"/>
  <c r="N1676" i="4"/>
  <c r="O1676" i="4" s="1"/>
  <c r="N1677" i="4"/>
  <c r="O1677" i="4" s="1"/>
  <c r="N1678" i="4"/>
  <c r="O1678" i="4" s="1"/>
  <c r="N1679" i="4"/>
  <c r="O1679" i="4" s="1"/>
  <c r="N1680" i="4"/>
  <c r="O1680" i="4" s="1"/>
  <c r="N1681" i="4"/>
  <c r="O1681" i="4" s="1"/>
  <c r="N1682" i="4"/>
  <c r="O1682" i="4" s="1"/>
  <c r="N1683" i="4"/>
  <c r="O1683" i="4" s="1"/>
  <c r="N1684" i="4"/>
  <c r="O1684" i="4" s="1"/>
  <c r="N1685" i="4"/>
  <c r="O1685" i="4" s="1"/>
  <c r="N1686" i="4"/>
  <c r="O1686" i="4" s="1"/>
  <c r="N1687" i="4"/>
  <c r="O1687" i="4" s="1"/>
  <c r="N1688" i="4"/>
  <c r="O1688" i="4" s="1"/>
  <c r="N1689" i="4"/>
  <c r="O1689" i="4" s="1"/>
  <c r="N1690" i="4"/>
  <c r="O1690" i="4" s="1"/>
  <c r="N1691" i="4"/>
  <c r="O1691" i="4" s="1"/>
  <c r="N1692" i="4"/>
  <c r="O1692" i="4" s="1"/>
  <c r="N1693" i="4"/>
  <c r="O1693" i="4" s="1"/>
  <c r="N1694" i="4"/>
  <c r="O1694" i="4" s="1"/>
  <c r="N1695" i="4"/>
  <c r="O1695" i="4" s="1"/>
  <c r="N1696" i="4"/>
  <c r="O1696" i="4" s="1"/>
  <c r="N1697" i="4"/>
  <c r="O1697" i="4" s="1"/>
  <c r="N1698" i="4"/>
  <c r="O1698" i="4" s="1"/>
  <c r="N1699" i="4"/>
  <c r="O1699" i="4" s="1"/>
  <c r="N1700" i="4"/>
  <c r="O1700" i="4" s="1"/>
  <c r="N1701" i="4"/>
  <c r="O1701" i="4" s="1"/>
  <c r="N1702" i="4"/>
  <c r="O1702" i="4" s="1"/>
  <c r="N1703" i="4"/>
  <c r="O1703" i="4" s="1"/>
  <c r="N1704" i="4"/>
  <c r="O1704" i="4" s="1"/>
  <c r="N1705" i="4"/>
  <c r="O1705" i="4" s="1"/>
  <c r="N1706" i="4"/>
  <c r="O1706" i="4" s="1"/>
  <c r="N1707" i="4"/>
  <c r="O1707" i="4" s="1"/>
  <c r="N1708" i="4"/>
  <c r="O1708" i="4" s="1"/>
  <c r="N1709" i="4"/>
  <c r="O1709" i="4" s="1"/>
  <c r="N1710" i="4"/>
  <c r="O1710" i="4" s="1"/>
  <c r="N1711" i="4"/>
  <c r="O1711" i="4" s="1"/>
  <c r="N1712" i="4"/>
  <c r="O1712" i="4" s="1"/>
  <c r="N1713" i="4"/>
  <c r="O1713" i="4" s="1"/>
  <c r="N1714" i="4"/>
  <c r="O1714" i="4" s="1"/>
  <c r="N1715" i="4"/>
  <c r="O1715" i="4" s="1"/>
  <c r="N1716" i="4"/>
  <c r="O1716" i="4" s="1"/>
  <c r="N1717" i="4"/>
  <c r="O1717" i="4" s="1"/>
  <c r="N1718" i="4"/>
  <c r="O1718" i="4" s="1"/>
  <c r="N1719" i="4"/>
  <c r="O1719" i="4" s="1"/>
  <c r="N1720" i="4"/>
  <c r="O1720" i="4" s="1"/>
  <c r="N1721" i="4"/>
  <c r="O1721" i="4" s="1"/>
  <c r="N1722" i="4"/>
  <c r="O1722" i="4" s="1"/>
  <c r="N1723" i="4"/>
  <c r="O1723" i="4" s="1"/>
  <c r="N1724" i="4"/>
  <c r="O1724" i="4" s="1"/>
  <c r="N1725" i="4"/>
  <c r="O1725" i="4" s="1"/>
  <c r="N1726" i="4"/>
  <c r="O1726" i="4" s="1"/>
  <c r="N1727" i="4"/>
  <c r="O1727" i="4" s="1"/>
  <c r="N1728" i="4"/>
  <c r="O1728" i="4" s="1"/>
  <c r="N1729" i="4"/>
  <c r="O1729" i="4" s="1"/>
  <c r="N1730" i="4"/>
  <c r="O1730" i="4" s="1"/>
  <c r="N1731" i="4"/>
  <c r="O1731" i="4" s="1"/>
  <c r="N1732" i="4"/>
  <c r="O1732" i="4" s="1"/>
  <c r="N1733" i="4"/>
  <c r="O1733" i="4" s="1"/>
  <c r="N1734" i="4"/>
  <c r="O1734" i="4" s="1"/>
  <c r="N1735" i="4"/>
  <c r="O1735" i="4" s="1"/>
  <c r="N1736" i="4"/>
  <c r="O1736" i="4" s="1"/>
  <c r="N1737" i="4"/>
  <c r="O1737" i="4" s="1"/>
  <c r="N1738" i="4"/>
  <c r="O1738" i="4" s="1"/>
  <c r="N1739" i="4"/>
  <c r="O1739" i="4" s="1"/>
  <c r="N1740" i="4"/>
  <c r="O1740" i="4" s="1"/>
  <c r="N1741" i="4"/>
  <c r="O1741" i="4" s="1"/>
  <c r="N1742" i="4"/>
  <c r="O1742" i="4" s="1"/>
  <c r="N1743" i="4"/>
  <c r="O1743" i="4" s="1"/>
  <c r="N1744" i="4"/>
  <c r="O1744" i="4" s="1"/>
  <c r="N1745" i="4"/>
  <c r="O1745" i="4" s="1"/>
  <c r="N1746" i="4"/>
  <c r="O1746" i="4" s="1"/>
  <c r="N1747" i="4"/>
  <c r="O1747" i="4" s="1"/>
  <c r="N1748" i="4"/>
  <c r="O1748" i="4" s="1"/>
  <c r="N1749" i="4"/>
  <c r="O1749" i="4" s="1"/>
  <c r="N1750" i="4"/>
  <c r="O1750" i="4" s="1"/>
  <c r="N1751" i="4"/>
  <c r="O1751" i="4" s="1"/>
  <c r="N1752" i="4"/>
  <c r="O1752" i="4" s="1"/>
  <c r="N1753" i="4"/>
  <c r="O1753" i="4" s="1"/>
  <c r="N1754" i="4"/>
  <c r="O1754" i="4" s="1"/>
  <c r="N1755" i="4"/>
  <c r="O1755" i="4" s="1"/>
  <c r="N1756" i="4"/>
  <c r="O1756" i="4" s="1"/>
  <c r="N1757" i="4"/>
  <c r="O1757" i="4" s="1"/>
  <c r="N1758" i="4"/>
  <c r="O1758" i="4" s="1"/>
  <c r="N1759" i="4"/>
  <c r="O1759" i="4" s="1"/>
  <c r="N1760" i="4"/>
  <c r="O1760" i="4" s="1"/>
  <c r="N1761" i="4"/>
  <c r="O1761" i="4" s="1"/>
  <c r="N1762" i="4"/>
  <c r="O1762" i="4" s="1"/>
  <c r="N1763" i="4"/>
  <c r="O1763" i="4" s="1"/>
  <c r="N1764" i="4"/>
  <c r="O1764" i="4" s="1"/>
  <c r="N1765" i="4"/>
  <c r="O1765" i="4" s="1"/>
  <c r="N1766" i="4"/>
  <c r="O1766" i="4" s="1"/>
  <c r="N1767" i="4"/>
  <c r="O1767" i="4" s="1"/>
  <c r="N1768" i="4"/>
  <c r="O1768" i="4" s="1"/>
  <c r="N1769" i="4"/>
  <c r="O1769" i="4" s="1"/>
  <c r="N1770" i="4"/>
  <c r="O1770" i="4" s="1"/>
  <c r="N1771" i="4"/>
  <c r="O1771" i="4" s="1"/>
  <c r="N1772" i="4"/>
  <c r="O1772" i="4" s="1"/>
  <c r="N1773" i="4"/>
  <c r="O1773" i="4" s="1"/>
  <c r="N1774" i="4"/>
  <c r="O1774" i="4" s="1"/>
  <c r="N1775" i="4"/>
  <c r="O1775" i="4" s="1"/>
  <c r="N1776" i="4"/>
  <c r="O1776" i="4" s="1"/>
  <c r="N1777" i="4"/>
  <c r="O1777" i="4" s="1"/>
  <c r="N1778" i="4"/>
  <c r="O1778" i="4" s="1"/>
  <c r="N1779" i="4"/>
  <c r="O1779" i="4" s="1"/>
  <c r="N1780" i="4"/>
  <c r="O1780" i="4" s="1"/>
  <c r="N1781" i="4"/>
  <c r="O1781" i="4" s="1"/>
  <c r="N1782" i="4"/>
  <c r="O1782" i="4" s="1"/>
  <c r="N1783" i="4"/>
  <c r="O1783" i="4" s="1"/>
  <c r="N1784" i="4"/>
  <c r="O1784" i="4" s="1"/>
  <c r="N1785" i="4"/>
  <c r="O1785" i="4" s="1"/>
  <c r="N1786" i="4"/>
  <c r="O1786" i="4" s="1"/>
  <c r="N1787" i="4"/>
  <c r="O1787" i="4" s="1"/>
  <c r="N1788" i="4"/>
  <c r="O1788" i="4" s="1"/>
  <c r="N1789" i="4"/>
  <c r="O1789" i="4" s="1"/>
  <c r="N1790" i="4"/>
  <c r="O1790" i="4" s="1"/>
  <c r="N1791" i="4"/>
  <c r="O1791" i="4" s="1"/>
  <c r="N1792" i="4"/>
  <c r="O1792" i="4" s="1"/>
  <c r="N1793" i="4"/>
  <c r="O1793" i="4" s="1"/>
  <c r="N1794" i="4"/>
  <c r="O1794" i="4" s="1"/>
  <c r="N1795" i="4"/>
  <c r="O1795" i="4" s="1"/>
  <c r="N1796" i="4"/>
  <c r="O1796" i="4" s="1"/>
  <c r="N1797" i="4"/>
  <c r="O1797" i="4" s="1"/>
  <c r="N1798" i="4"/>
  <c r="O1798" i="4" s="1"/>
  <c r="N1799" i="4"/>
  <c r="O1799" i="4" s="1"/>
  <c r="N1800" i="4"/>
  <c r="O1800" i="4" s="1"/>
  <c r="N1801" i="4"/>
  <c r="O1801" i="4" s="1"/>
  <c r="N1802" i="4"/>
  <c r="O1802" i="4" s="1"/>
  <c r="N1803" i="4"/>
  <c r="O1803" i="4" s="1"/>
  <c r="N1804" i="4"/>
  <c r="O1804" i="4" s="1"/>
  <c r="N1805" i="4"/>
  <c r="O1805" i="4" s="1"/>
  <c r="N1806" i="4"/>
  <c r="O1806" i="4" s="1"/>
  <c r="N1807" i="4"/>
  <c r="O1807" i="4" s="1"/>
  <c r="N1808" i="4"/>
  <c r="O1808" i="4" s="1"/>
  <c r="N1809" i="4"/>
  <c r="O1809" i="4" s="1"/>
  <c r="N1810" i="4"/>
  <c r="O1810" i="4" s="1"/>
  <c r="N1811" i="4"/>
  <c r="O1811" i="4" s="1"/>
  <c r="N1812" i="4"/>
  <c r="O1812" i="4" s="1"/>
  <c r="N1813" i="4"/>
  <c r="O1813" i="4" s="1"/>
  <c r="N1814" i="4"/>
  <c r="O1814" i="4" s="1"/>
  <c r="N1815" i="4"/>
  <c r="O1815" i="4" s="1"/>
  <c r="N1816" i="4"/>
  <c r="O1816" i="4" s="1"/>
  <c r="N1817" i="4"/>
  <c r="O1817" i="4" s="1"/>
  <c r="N1818" i="4"/>
  <c r="O1818" i="4" s="1"/>
  <c r="N1819" i="4"/>
  <c r="O1819" i="4" s="1"/>
  <c r="N1820" i="4"/>
  <c r="O1820" i="4" s="1"/>
  <c r="N1821" i="4"/>
  <c r="O1821" i="4" s="1"/>
  <c r="N1822" i="4"/>
  <c r="O1822" i="4" s="1"/>
  <c r="N1823" i="4"/>
  <c r="O1823" i="4" s="1"/>
  <c r="N1824" i="4"/>
  <c r="O1824" i="4" s="1"/>
  <c r="N1825" i="4"/>
  <c r="O1825" i="4" s="1"/>
  <c r="N1826" i="4"/>
  <c r="O1826" i="4" s="1"/>
  <c r="N1827" i="4"/>
  <c r="O1827" i="4" s="1"/>
  <c r="N1828" i="4"/>
  <c r="O1828" i="4" s="1"/>
  <c r="N1829" i="4"/>
  <c r="O1829" i="4" s="1"/>
  <c r="N1830" i="4"/>
  <c r="O1830" i="4" s="1"/>
  <c r="N1831" i="4"/>
  <c r="O1831" i="4" s="1"/>
  <c r="N1832" i="4"/>
  <c r="O1832" i="4" s="1"/>
  <c r="N1833" i="4"/>
  <c r="O1833" i="4" s="1"/>
  <c r="N1834" i="4"/>
  <c r="O1834" i="4" s="1"/>
  <c r="N1835" i="4"/>
  <c r="O1835" i="4" s="1"/>
  <c r="N1836" i="4"/>
  <c r="O1836" i="4" s="1"/>
  <c r="N1837" i="4"/>
  <c r="O1837" i="4" s="1"/>
  <c r="N1838" i="4"/>
  <c r="O1838" i="4" s="1"/>
  <c r="N1839" i="4"/>
  <c r="O1839" i="4" s="1"/>
  <c r="N1840" i="4"/>
  <c r="O1840" i="4" s="1"/>
  <c r="N1841" i="4"/>
  <c r="O1841" i="4" s="1"/>
  <c r="N1842" i="4"/>
  <c r="O1842" i="4" s="1"/>
  <c r="N1843" i="4"/>
  <c r="O1843" i="4" s="1"/>
  <c r="N1844" i="4"/>
  <c r="O1844" i="4" s="1"/>
  <c r="N1845" i="4"/>
  <c r="O1845" i="4" s="1"/>
  <c r="N1846" i="4"/>
  <c r="O1846" i="4" s="1"/>
  <c r="N1847" i="4"/>
  <c r="O1847" i="4" s="1"/>
  <c r="N1848" i="4"/>
  <c r="O1848" i="4" s="1"/>
  <c r="N1849" i="4"/>
  <c r="O1849" i="4" s="1"/>
  <c r="N1850" i="4"/>
  <c r="O1850" i="4" s="1"/>
  <c r="N1851" i="4"/>
  <c r="O1851" i="4" s="1"/>
  <c r="N1852" i="4"/>
  <c r="O1852" i="4" s="1"/>
  <c r="N1853" i="4"/>
  <c r="O1853" i="4" s="1"/>
  <c r="N1854" i="4"/>
  <c r="O1854" i="4" s="1"/>
  <c r="N1855" i="4"/>
  <c r="O1855" i="4" s="1"/>
  <c r="N1856" i="4"/>
  <c r="O1856" i="4" s="1"/>
  <c r="N1857" i="4"/>
  <c r="O1857" i="4" s="1"/>
  <c r="N1858" i="4"/>
  <c r="O1858" i="4" s="1"/>
  <c r="N1859" i="4"/>
  <c r="O1859" i="4" s="1"/>
  <c r="N1860" i="4"/>
  <c r="O1860" i="4" s="1"/>
  <c r="N1861" i="4"/>
  <c r="O1861" i="4" s="1"/>
  <c r="N1862" i="4"/>
  <c r="O1862" i="4" s="1"/>
  <c r="N1863" i="4"/>
  <c r="O1863" i="4" s="1"/>
  <c r="N1864" i="4"/>
  <c r="O1864" i="4" s="1"/>
  <c r="N1865" i="4"/>
  <c r="O1865" i="4" s="1"/>
  <c r="N1866" i="4"/>
  <c r="O1866" i="4" s="1"/>
  <c r="N1867" i="4"/>
  <c r="O1867" i="4" s="1"/>
  <c r="N1868" i="4"/>
  <c r="O1868" i="4" s="1"/>
  <c r="N1869" i="4"/>
  <c r="O1869" i="4" s="1"/>
  <c r="N1870" i="4"/>
  <c r="O1870" i="4" s="1"/>
  <c r="N1871" i="4"/>
  <c r="O1871" i="4" s="1"/>
  <c r="N1872" i="4"/>
  <c r="O1872" i="4" s="1"/>
  <c r="N1873" i="4"/>
  <c r="O1873" i="4" s="1"/>
  <c r="N1874" i="4"/>
  <c r="O1874" i="4" s="1"/>
  <c r="N1875" i="4"/>
  <c r="O1875" i="4" s="1"/>
  <c r="N1876" i="4"/>
  <c r="O1876" i="4" s="1"/>
  <c r="N1877" i="4"/>
  <c r="O1877" i="4" s="1"/>
  <c r="N1878" i="4"/>
  <c r="O1878" i="4" s="1"/>
  <c r="N1879" i="4"/>
  <c r="O1879" i="4" s="1"/>
  <c r="N1880" i="4"/>
  <c r="O1880" i="4" s="1"/>
  <c r="N1881" i="4"/>
  <c r="O1881" i="4" s="1"/>
  <c r="N1882" i="4"/>
  <c r="O1882" i="4" s="1"/>
  <c r="N1883" i="4"/>
  <c r="O1883" i="4" s="1"/>
  <c r="N1884" i="4"/>
  <c r="O1884" i="4" s="1"/>
  <c r="N1885" i="4"/>
  <c r="O1885" i="4" s="1"/>
  <c r="N1886" i="4"/>
  <c r="O1886" i="4" s="1"/>
  <c r="N1887" i="4"/>
  <c r="O1887" i="4" s="1"/>
  <c r="N1888" i="4"/>
  <c r="O1888" i="4" s="1"/>
  <c r="N1889" i="4"/>
  <c r="O1889" i="4" s="1"/>
  <c r="N1890" i="4"/>
  <c r="O1890" i="4" s="1"/>
  <c r="N1891" i="4"/>
  <c r="O1891" i="4" s="1"/>
  <c r="N1892" i="4"/>
  <c r="O1892" i="4" s="1"/>
  <c r="N1893" i="4"/>
  <c r="O1893" i="4" s="1"/>
  <c r="N1894" i="4"/>
  <c r="O1894" i="4" s="1"/>
  <c r="N1895" i="4"/>
  <c r="O1895" i="4" s="1"/>
  <c r="N1896" i="4"/>
  <c r="O1896" i="4" s="1"/>
  <c r="N1897" i="4"/>
  <c r="O1897" i="4" s="1"/>
  <c r="N1898" i="4"/>
  <c r="O1898" i="4" s="1"/>
  <c r="N1899" i="4"/>
  <c r="O1899" i="4" s="1"/>
  <c r="N1900" i="4"/>
  <c r="O1900" i="4" s="1"/>
  <c r="N1901" i="4"/>
  <c r="O1901" i="4" s="1"/>
  <c r="N1902" i="4"/>
  <c r="O1902" i="4" s="1"/>
  <c r="N1903" i="4"/>
  <c r="O1903" i="4" s="1"/>
  <c r="N1904" i="4"/>
  <c r="O1904" i="4" s="1"/>
  <c r="N1905" i="4"/>
  <c r="O1905" i="4" s="1"/>
  <c r="N1906" i="4"/>
  <c r="O1906" i="4" s="1"/>
  <c r="N1907" i="4"/>
  <c r="O1907" i="4" s="1"/>
  <c r="N1908" i="4"/>
  <c r="O1908" i="4" s="1"/>
  <c r="N1909" i="4"/>
  <c r="O1909" i="4" s="1"/>
  <c r="N1910" i="4"/>
  <c r="O1910" i="4" s="1"/>
  <c r="N1911" i="4"/>
  <c r="O1911" i="4" s="1"/>
  <c r="N1912" i="4"/>
  <c r="O1912" i="4" s="1"/>
  <c r="N1913" i="4"/>
  <c r="O1913" i="4" s="1"/>
  <c r="N1914" i="4"/>
  <c r="O1914" i="4" s="1"/>
  <c r="N1915" i="4"/>
  <c r="O1915" i="4" s="1"/>
  <c r="N1916" i="4"/>
  <c r="O1916" i="4" s="1"/>
  <c r="N1917" i="4"/>
  <c r="O1917" i="4" s="1"/>
  <c r="N1918" i="4"/>
  <c r="O1918" i="4" s="1"/>
  <c r="N1919" i="4"/>
  <c r="O1919" i="4" s="1"/>
  <c r="N1920" i="4"/>
  <c r="O1920" i="4" s="1"/>
  <c r="N1921" i="4"/>
  <c r="O1921" i="4" s="1"/>
  <c r="N1922" i="4"/>
  <c r="O1922" i="4" s="1"/>
  <c r="N1923" i="4"/>
  <c r="O1923" i="4" s="1"/>
  <c r="N1924" i="4"/>
  <c r="O1924" i="4" s="1"/>
  <c r="N1925" i="4"/>
  <c r="O1925" i="4" s="1"/>
  <c r="N1926" i="4"/>
  <c r="O1926" i="4" s="1"/>
  <c r="N1927" i="4"/>
  <c r="O1927" i="4" s="1"/>
  <c r="N1928" i="4"/>
  <c r="O1928" i="4" s="1"/>
  <c r="N1929" i="4"/>
  <c r="O1929" i="4" s="1"/>
  <c r="N1930" i="4"/>
  <c r="O1930" i="4" s="1"/>
  <c r="N1931" i="4"/>
  <c r="O1931" i="4" s="1"/>
  <c r="N1932" i="4"/>
  <c r="O1932" i="4" s="1"/>
  <c r="N1933" i="4"/>
  <c r="O1933" i="4" s="1"/>
  <c r="N1934" i="4"/>
  <c r="O1934" i="4" s="1"/>
  <c r="N1935" i="4"/>
  <c r="O1935" i="4" s="1"/>
  <c r="N1936" i="4"/>
  <c r="O1936" i="4" s="1"/>
  <c r="N1937" i="4"/>
  <c r="O1937" i="4" s="1"/>
  <c r="N1938" i="4"/>
  <c r="O1938" i="4" s="1"/>
  <c r="N1939" i="4"/>
  <c r="O1939" i="4" s="1"/>
  <c r="N1940" i="4"/>
  <c r="O1940" i="4" s="1"/>
  <c r="N1941" i="4"/>
  <c r="O1941" i="4" s="1"/>
  <c r="N1942" i="4"/>
  <c r="O1942" i="4" s="1"/>
  <c r="N1943" i="4"/>
  <c r="O1943" i="4" s="1"/>
  <c r="N1944" i="4"/>
  <c r="O1944" i="4" s="1"/>
  <c r="N1945" i="4"/>
  <c r="O1945" i="4" s="1"/>
  <c r="N1946" i="4"/>
  <c r="O1946" i="4" s="1"/>
  <c r="N1947" i="4"/>
  <c r="O1947" i="4" s="1"/>
  <c r="N1948" i="4"/>
  <c r="O1948" i="4" s="1"/>
  <c r="N1949" i="4"/>
  <c r="O1949" i="4" s="1"/>
  <c r="N1950" i="4"/>
  <c r="O1950" i="4" s="1"/>
  <c r="N1951" i="4"/>
  <c r="O1951" i="4" s="1"/>
  <c r="N1952" i="4"/>
  <c r="O1952" i="4" s="1"/>
  <c r="N1953" i="4"/>
  <c r="O1953" i="4" s="1"/>
  <c r="N1954" i="4"/>
  <c r="O1954" i="4" s="1"/>
  <c r="N1955" i="4"/>
  <c r="O1955" i="4" s="1"/>
  <c r="N1956" i="4"/>
  <c r="O1956" i="4" s="1"/>
  <c r="N1957" i="4"/>
  <c r="O1957" i="4" s="1"/>
  <c r="N1958" i="4"/>
  <c r="O1958" i="4" s="1"/>
  <c r="N1959" i="4"/>
  <c r="O1959" i="4" s="1"/>
  <c r="N1960" i="4"/>
  <c r="O1960" i="4" s="1"/>
  <c r="N1961" i="4"/>
  <c r="O1961" i="4" s="1"/>
  <c r="N1962" i="4"/>
  <c r="O1962" i="4" s="1"/>
  <c r="N1963" i="4"/>
  <c r="O1963" i="4" s="1"/>
  <c r="N1964" i="4"/>
  <c r="O1964" i="4" s="1"/>
  <c r="N1965" i="4"/>
  <c r="O1965" i="4" s="1"/>
  <c r="N1966" i="4"/>
  <c r="O1966" i="4" s="1"/>
  <c r="N1967" i="4"/>
  <c r="O1967" i="4" s="1"/>
  <c r="N1968" i="4"/>
  <c r="O1968" i="4" s="1"/>
  <c r="N1969" i="4"/>
  <c r="O1969" i="4" s="1"/>
  <c r="N1970" i="4"/>
  <c r="O1970" i="4" s="1"/>
  <c r="N1971" i="4"/>
  <c r="O1971" i="4" s="1"/>
  <c r="N1972" i="4"/>
  <c r="O1972" i="4" s="1"/>
  <c r="N1973" i="4"/>
  <c r="O1973" i="4" s="1"/>
  <c r="N1974" i="4"/>
  <c r="O1974" i="4" s="1"/>
  <c r="N1975" i="4"/>
  <c r="O1975" i="4" s="1"/>
  <c r="N1976" i="4"/>
  <c r="O1976" i="4" s="1"/>
  <c r="N1977" i="4"/>
  <c r="O1977" i="4" s="1"/>
  <c r="N1978" i="4"/>
  <c r="O1978" i="4" s="1"/>
  <c r="N1979" i="4"/>
  <c r="O1979" i="4" s="1"/>
  <c r="N1980" i="4"/>
  <c r="O1980" i="4" s="1"/>
  <c r="N1981" i="4"/>
  <c r="O1981" i="4" s="1"/>
  <c r="N1982" i="4"/>
  <c r="O1982" i="4" s="1"/>
  <c r="N1983" i="4"/>
  <c r="O1983" i="4" s="1"/>
  <c r="N1984" i="4"/>
  <c r="O1984" i="4" s="1"/>
  <c r="N1985" i="4"/>
  <c r="O1985" i="4" s="1"/>
  <c r="N1986" i="4"/>
  <c r="O1986" i="4" s="1"/>
  <c r="N1987" i="4"/>
  <c r="O1987" i="4" s="1"/>
  <c r="N1988" i="4"/>
  <c r="O1988" i="4" s="1"/>
  <c r="N1989" i="4"/>
  <c r="O1989" i="4" s="1"/>
  <c r="N1990" i="4"/>
  <c r="O1990" i="4" s="1"/>
  <c r="N1991" i="4"/>
  <c r="O1991" i="4" s="1"/>
  <c r="N1992" i="4"/>
  <c r="O1992" i="4" s="1"/>
  <c r="N1993" i="4"/>
  <c r="O1993" i="4" s="1"/>
  <c r="N1994" i="4"/>
  <c r="O1994" i="4" s="1"/>
  <c r="N1995" i="4"/>
  <c r="O1995" i="4" s="1"/>
  <c r="N1996" i="4"/>
  <c r="O1996" i="4" s="1"/>
  <c r="N1997" i="4"/>
  <c r="O1997" i="4" s="1"/>
  <c r="N1998" i="4"/>
  <c r="O1998" i="4" s="1"/>
  <c r="N1999" i="4"/>
  <c r="O1999" i="4" s="1"/>
  <c r="N2000" i="4"/>
  <c r="O2000" i="4" s="1"/>
  <c r="N2001" i="4"/>
  <c r="O2001" i="4" s="1"/>
  <c r="N2002" i="4"/>
  <c r="O2002" i="4" s="1"/>
  <c r="N2003" i="4"/>
  <c r="O2003" i="4" s="1"/>
  <c r="N2004" i="4"/>
  <c r="O2004" i="4" s="1"/>
  <c r="N2005" i="4"/>
  <c r="O2005" i="4" s="1"/>
  <c r="N2006" i="4"/>
  <c r="O2006" i="4" s="1"/>
  <c r="N2007" i="4"/>
  <c r="O2007" i="4" s="1"/>
  <c r="N2008" i="4"/>
  <c r="O2008" i="4" s="1"/>
  <c r="N2009" i="4"/>
  <c r="O2009" i="4" s="1"/>
  <c r="N2010" i="4"/>
  <c r="O2010" i="4" s="1"/>
  <c r="N2011" i="4"/>
  <c r="O2011" i="4" s="1"/>
  <c r="N2012" i="4"/>
  <c r="O2012" i="4" s="1"/>
  <c r="N2013" i="4"/>
  <c r="O2013" i="4" s="1"/>
  <c r="N2014" i="4"/>
  <c r="O2014" i="4" s="1"/>
  <c r="N2015" i="4"/>
  <c r="O2015" i="4" s="1"/>
  <c r="N2016" i="4"/>
  <c r="O2016" i="4" s="1"/>
  <c r="N2017" i="4"/>
  <c r="O2017" i="4" s="1"/>
  <c r="N2018" i="4"/>
  <c r="O2018" i="4" s="1"/>
  <c r="N2019" i="4"/>
  <c r="O2019" i="4" s="1"/>
  <c r="N2020" i="4"/>
  <c r="O2020" i="4" s="1"/>
  <c r="N2021" i="4"/>
  <c r="O2021" i="4" s="1"/>
  <c r="N2022" i="4"/>
  <c r="O2022" i="4" s="1"/>
  <c r="N2023" i="4"/>
  <c r="O2023" i="4" s="1"/>
  <c r="N2024" i="4"/>
  <c r="O2024" i="4" s="1"/>
  <c r="N2025" i="4"/>
  <c r="O2025" i="4" s="1"/>
  <c r="N2026" i="4"/>
  <c r="O2026" i="4" s="1"/>
  <c r="N2027" i="4"/>
  <c r="O2027" i="4" s="1"/>
  <c r="N2028" i="4"/>
  <c r="O2028" i="4" s="1"/>
  <c r="N2029" i="4"/>
  <c r="O2029" i="4" s="1"/>
  <c r="N2030" i="4"/>
  <c r="O2030" i="4" s="1"/>
  <c r="N2031" i="4"/>
  <c r="O2031" i="4" s="1"/>
  <c r="N2032" i="4"/>
  <c r="O2032" i="4" s="1"/>
  <c r="N2033" i="4"/>
  <c r="O2033" i="4" s="1"/>
  <c r="N2034" i="4"/>
  <c r="O2034" i="4" s="1"/>
  <c r="N2035" i="4"/>
  <c r="O2035" i="4" s="1"/>
  <c r="N2036" i="4"/>
  <c r="O2036" i="4" s="1"/>
  <c r="N2037" i="4"/>
  <c r="O2037" i="4" s="1"/>
  <c r="N2038" i="4"/>
  <c r="O2038" i="4" s="1"/>
  <c r="N2039" i="4"/>
  <c r="O2039" i="4" s="1"/>
  <c r="N2040" i="4"/>
  <c r="O2040" i="4" s="1"/>
  <c r="N2041" i="4"/>
  <c r="O2041" i="4" s="1"/>
  <c r="N2042" i="4"/>
  <c r="O2042" i="4" s="1"/>
  <c r="N2043" i="4"/>
  <c r="O2043" i="4" s="1"/>
  <c r="N2044" i="4"/>
  <c r="O2044" i="4" s="1"/>
  <c r="N2045" i="4"/>
  <c r="O2045" i="4" s="1"/>
  <c r="N2046" i="4"/>
  <c r="O2046" i="4" s="1"/>
  <c r="N2047" i="4"/>
  <c r="O2047" i="4" s="1"/>
  <c r="N2048" i="4"/>
  <c r="O2048" i="4" s="1"/>
  <c r="N788" i="4"/>
  <c r="O788" i="4" s="1"/>
  <c r="N769" i="4"/>
  <c r="N761" i="4"/>
  <c r="N753" i="4"/>
  <c r="N744" i="4"/>
  <c r="N702" i="4"/>
  <c r="O702" i="4" s="1"/>
  <c r="N742" i="4"/>
  <c r="O742" i="4" s="1"/>
  <c r="N740" i="4"/>
  <c r="O740" i="4" s="1"/>
  <c r="N731" i="4"/>
  <c r="N727" i="4"/>
  <c r="O727" i="4" s="1"/>
  <c r="N728" i="4"/>
  <c r="O728" i="4" s="1"/>
  <c r="N726" i="4"/>
  <c r="X707" i="4" l="1"/>
  <c r="M707" i="4"/>
  <c r="L707" i="4"/>
  <c r="X706" i="4"/>
  <c r="M706" i="4"/>
  <c r="L706" i="4"/>
  <c r="X695" i="4"/>
  <c r="M695" i="4"/>
  <c r="L695" i="4"/>
  <c r="X685" i="4"/>
  <c r="M685" i="4"/>
  <c r="L685" i="4"/>
  <c r="X669" i="4"/>
  <c r="M669" i="4"/>
  <c r="L669" i="4"/>
  <c r="X668" i="4"/>
  <c r="M668" i="4"/>
  <c r="L668" i="4"/>
  <c r="X660" i="4"/>
  <c r="M660" i="4"/>
  <c r="L660" i="4"/>
  <c r="X659" i="4"/>
  <c r="M659" i="4"/>
  <c r="L659" i="4"/>
  <c r="X694" i="4"/>
  <c r="M694" i="4"/>
  <c r="L694" i="4"/>
  <c r="X643" i="4"/>
  <c r="M643" i="4"/>
  <c r="L643" i="4"/>
  <c r="X2083" i="4"/>
  <c r="M2083" i="4"/>
  <c r="L2083" i="4"/>
  <c r="X2082" i="4"/>
  <c r="M2082" i="4"/>
  <c r="L2082" i="4"/>
  <c r="X2081" i="4"/>
  <c r="M2081" i="4"/>
  <c r="L2081" i="4"/>
  <c r="X2080" i="4"/>
  <c r="M2080" i="4"/>
  <c r="L2080" i="4"/>
  <c r="X2079" i="4"/>
  <c r="M2079" i="4"/>
  <c r="L2079" i="4"/>
  <c r="X2078" i="4"/>
  <c r="M2078" i="4"/>
  <c r="L2078" i="4"/>
  <c r="X2077" i="4"/>
  <c r="M2077" i="4"/>
  <c r="L2077" i="4"/>
  <c r="X2076" i="4"/>
  <c r="M2076" i="4"/>
  <c r="L2076" i="4"/>
  <c r="X2075" i="4"/>
  <c r="M2075" i="4"/>
  <c r="L2075" i="4"/>
  <c r="X2074" i="4"/>
  <c r="M2074" i="4"/>
  <c r="L2074" i="4"/>
  <c r="X2073" i="4"/>
  <c r="M2073" i="4"/>
  <c r="L2073" i="4"/>
  <c r="X2072" i="4"/>
  <c r="M2072" i="4"/>
  <c r="L2072" i="4"/>
  <c r="X2071" i="4"/>
  <c r="M2071" i="4"/>
  <c r="L2071" i="4"/>
  <c r="X2070" i="4"/>
  <c r="M2070" i="4"/>
  <c r="L2070" i="4"/>
  <c r="X2069" i="4"/>
  <c r="M2069" i="4"/>
  <c r="L2069" i="4"/>
  <c r="X2068" i="4"/>
  <c r="M2068" i="4"/>
  <c r="L2068" i="4"/>
  <c r="X2067" i="4"/>
  <c r="M2067" i="4"/>
  <c r="L2067" i="4"/>
  <c r="X2066" i="4"/>
  <c r="M2066" i="4"/>
  <c r="L2066" i="4"/>
  <c r="X2065" i="4"/>
  <c r="M2065" i="4"/>
  <c r="L2065" i="4"/>
  <c r="X2064" i="4"/>
  <c r="M2064" i="4"/>
  <c r="L2064" i="4"/>
  <c r="X2063" i="4"/>
  <c r="M2063" i="4"/>
  <c r="L2063" i="4"/>
  <c r="X2062" i="4"/>
  <c r="M2062" i="4"/>
  <c r="L2062" i="4"/>
  <c r="X2061" i="4"/>
  <c r="M2061" i="4"/>
  <c r="L2061" i="4"/>
  <c r="X2060" i="4"/>
  <c r="M2060" i="4"/>
  <c r="L2060" i="4"/>
  <c r="X2059" i="4"/>
  <c r="M2059" i="4"/>
  <c r="L2059" i="4"/>
  <c r="X2058" i="4"/>
  <c r="M2058" i="4"/>
  <c r="L2058" i="4"/>
  <c r="X2057" i="4"/>
  <c r="M2057" i="4"/>
  <c r="L2057" i="4"/>
  <c r="X2056" i="4"/>
  <c r="M2056" i="4"/>
  <c r="L2056" i="4"/>
  <c r="X2055" i="4"/>
  <c r="M2055" i="4"/>
  <c r="L2055" i="4"/>
  <c r="X2054" i="4"/>
  <c r="M2054" i="4"/>
  <c r="L2054" i="4"/>
  <c r="X2053" i="4"/>
  <c r="M2053" i="4"/>
  <c r="L2053" i="4"/>
  <c r="X2052" i="4"/>
  <c r="M2052" i="4"/>
  <c r="L2052" i="4"/>
  <c r="X2051" i="4"/>
  <c r="M2051" i="4"/>
  <c r="L2051" i="4"/>
  <c r="X2050" i="4"/>
  <c r="M2050" i="4"/>
  <c r="L2050" i="4"/>
  <c r="X2049" i="4"/>
  <c r="M2049" i="4"/>
  <c r="L2049" i="4"/>
  <c r="X789" i="4"/>
  <c r="M789" i="4"/>
  <c r="L789" i="4"/>
  <c r="X787" i="4"/>
  <c r="M787" i="4"/>
  <c r="L787" i="4"/>
  <c r="X786" i="4"/>
  <c r="M786" i="4"/>
  <c r="L786" i="4"/>
  <c r="X785" i="4"/>
  <c r="M785" i="4"/>
  <c r="L785" i="4"/>
  <c r="X784" i="4"/>
  <c r="M784" i="4"/>
  <c r="L784" i="4"/>
  <c r="X783" i="4"/>
  <c r="M783" i="4"/>
  <c r="L783" i="4"/>
  <c r="X782" i="4"/>
  <c r="M782" i="4"/>
  <c r="L782" i="4"/>
  <c r="X781" i="4"/>
  <c r="M781" i="4"/>
  <c r="L781" i="4"/>
  <c r="X780" i="4"/>
  <c r="M780" i="4"/>
  <c r="L780" i="4"/>
  <c r="X779" i="4"/>
  <c r="M779" i="4"/>
  <c r="L779" i="4"/>
  <c r="X778" i="4"/>
  <c r="M778" i="4"/>
  <c r="L778" i="4"/>
  <c r="X777" i="4"/>
  <c r="M777" i="4"/>
  <c r="L777" i="4"/>
  <c r="X776" i="4"/>
  <c r="M776" i="4"/>
  <c r="L776" i="4"/>
  <c r="X766" i="4"/>
  <c r="M766" i="4"/>
  <c r="L766" i="4"/>
  <c r="X765" i="4"/>
  <c r="M765" i="4"/>
  <c r="L765" i="4"/>
  <c r="X764" i="4"/>
  <c r="M764" i="4"/>
  <c r="L764" i="4"/>
  <c r="X763" i="4"/>
  <c r="M763" i="4"/>
  <c r="L763" i="4"/>
  <c r="X762" i="4"/>
  <c r="M762" i="4"/>
  <c r="L762" i="4"/>
  <c r="X760" i="4"/>
  <c r="M760" i="4"/>
  <c r="L760" i="4"/>
  <c r="X759" i="4"/>
  <c r="M759" i="4"/>
  <c r="L759" i="4"/>
  <c r="X758" i="4"/>
  <c r="M758" i="4"/>
  <c r="L758" i="4"/>
  <c r="X757" i="4"/>
  <c r="M757" i="4"/>
  <c r="L757" i="4"/>
  <c r="X756" i="4"/>
  <c r="M756" i="4"/>
  <c r="L756" i="4"/>
  <c r="X755" i="4"/>
  <c r="M755" i="4"/>
  <c r="L755" i="4"/>
  <c r="X754" i="4"/>
  <c r="M754" i="4"/>
  <c r="L754" i="4"/>
  <c r="X752" i="4"/>
  <c r="M752" i="4"/>
  <c r="L752" i="4"/>
  <c r="X751" i="4"/>
  <c r="M751" i="4"/>
  <c r="L751" i="4"/>
  <c r="X750" i="4"/>
  <c r="M750" i="4"/>
  <c r="L750" i="4"/>
  <c r="X749" i="4"/>
  <c r="M749" i="4"/>
  <c r="L749" i="4"/>
  <c r="X748" i="4"/>
  <c r="M748" i="4"/>
  <c r="L748" i="4"/>
  <c r="X747" i="4"/>
  <c r="M747" i="4"/>
  <c r="L747" i="4"/>
  <c r="X746" i="4"/>
  <c r="M746" i="4"/>
  <c r="L746" i="4"/>
  <c r="X745" i="4"/>
  <c r="M745" i="4"/>
  <c r="L745" i="4"/>
  <c r="X743" i="4"/>
  <c r="M743" i="4"/>
  <c r="L743" i="4"/>
  <c r="X741" i="4"/>
  <c r="M741" i="4"/>
  <c r="L741" i="4"/>
  <c r="X739" i="4"/>
  <c r="M739" i="4"/>
  <c r="L739" i="4"/>
  <c r="X738" i="4"/>
  <c r="M738" i="4"/>
  <c r="L738" i="4"/>
  <c r="X737" i="4"/>
  <c r="M737" i="4"/>
  <c r="L737" i="4"/>
  <c r="X736" i="4"/>
  <c r="M736" i="4"/>
  <c r="L736" i="4"/>
  <c r="X735" i="4"/>
  <c r="M735" i="4"/>
  <c r="L735" i="4"/>
  <c r="X734" i="4"/>
  <c r="M734" i="4"/>
  <c r="L734" i="4"/>
  <c r="X733" i="4"/>
  <c r="M733" i="4"/>
  <c r="L733" i="4"/>
  <c r="X732" i="4"/>
  <c r="M732" i="4"/>
  <c r="L732" i="4"/>
  <c r="X730" i="4"/>
  <c r="M730" i="4"/>
  <c r="L730" i="4"/>
  <c r="X729" i="4"/>
  <c r="M729" i="4"/>
  <c r="X725" i="4"/>
  <c r="M725" i="4"/>
  <c r="X724" i="4"/>
  <c r="M724" i="4"/>
  <c r="L724" i="4"/>
  <c r="X723" i="4"/>
  <c r="M723" i="4"/>
  <c r="L723" i="4"/>
  <c r="X722" i="4"/>
  <c r="M722" i="4"/>
  <c r="L722" i="4"/>
  <c r="X721" i="4"/>
  <c r="M721" i="4"/>
  <c r="L721" i="4"/>
  <c r="X720" i="4"/>
  <c r="M720" i="4"/>
  <c r="L720" i="4"/>
  <c r="X719" i="4"/>
  <c r="M719" i="4"/>
  <c r="L719" i="4"/>
  <c r="X718" i="4"/>
  <c r="M718" i="4"/>
  <c r="L718" i="4"/>
  <c r="X2096" i="4"/>
  <c r="M2096" i="4"/>
  <c r="L2096" i="4"/>
  <c r="X2095" i="4"/>
  <c r="M2095" i="4"/>
  <c r="L2095" i="4"/>
  <c r="X2094" i="4"/>
  <c r="M2094" i="4"/>
  <c r="L2094" i="4"/>
  <c r="X2093" i="4"/>
  <c r="M2093" i="4"/>
  <c r="L2093" i="4"/>
  <c r="X2092" i="4"/>
  <c r="M2092" i="4"/>
  <c r="L2092" i="4"/>
  <c r="X2091" i="4"/>
  <c r="M2091" i="4"/>
  <c r="L2091" i="4"/>
  <c r="X2090" i="4"/>
  <c r="M2090" i="4"/>
  <c r="L2090" i="4"/>
  <c r="X2089" i="4"/>
  <c r="M2089" i="4"/>
  <c r="L2089" i="4"/>
  <c r="X2088" i="4"/>
  <c r="M2088" i="4"/>
  <c r="L2088" i="4"/>
  <c r="X2087" i="4"/>
  <c r="M2087" i="4"/>
  <c r="L2087" i="4"/>
  <c r="X2086" i="4"/>
  <c r="M2086" i="4"/>
  <c r="L2086" i="4"/>
  <c r="X2085" i="4"/>
  <c r="M2085" i="4"/>
  <c r="L2085" i="4"/>
  <c r="X2084" i="4"/>
  <c r="M2084" i="4"/>
  <c r="L2084" i="4"/>
  <c r="X603" i="4"/>
  <c r="M603" i="4"/>
  <c r="L603" i="4"/>
  <c r="X548" i="4"/>
  <c r="M548" i="4"/>
  <c r="L548" i="4"/>
  <c r="X611" i="4"/>
  <c r="M611" i="4"/>
  <c r="L611" i="4"/>
  <c r="X610" i="4"/>
  <c r="M610" i="4"/>
  <c r="L610" i="4"/>
  <c r="X609" i="4"/>
  <c r="M609" i="4"/>
  <c r="L609" i="4"/>
  <c r="X608" i="4"/>
  <c r="M608" i="4"/>
  <c r="L608" i="4"/>
  <c r="X607" i="4"/>
  <c r="M607" i="4"/>
  <c r="L607" i="4"/>
  <c r="X606" i="4"/>
  <c r="M606" i="4"/>
  <c r="L606" i="4"/>
  <c r="X605" i="4"/>
  <c r="M605" i="4"/>
  <c r="L605" i="4"/>
  <c r="X604" i="4"/>
  <c r="M604" i="4"/>
  <c r="L604" i="4"/>
  <c r="X602" i="4"/>
  <c r="M602" i="4"/>
  <c r="L602" i="4"/>
  <c r="X601" i="4"/>
  <c r="M601" i="4"/>
  <c r="L601" i="4"/>
  <c r="X600" i="4"/>
  <c r="M600" i="4"/>
  <c r="L600" i="4"/>
  <c r="X599" i="4"/>
  <c r="M599" i="4"/>
  <c r="L599" i="4"/>
  <c r="X598" i="4"/>
  <c r="M598" i="4"/>
  <c r="L598" i="4"/>
  <c r="X597" i="4"/>
  <c r="M597" i="4"/>
  <c r="L597" i="4"/>
  <c r="X596" i="4"/>
  <c r="M596" i="4"/>
  <c r="L596" i="4"/>
  <c r="X595" i="4"/>
  <c r="M595" i="4"/>
  <c r="L595" i="4"/>
  <c r="X594" i="4"/>
  <c r="M594" i="4"/>
  <c r="L594" i="4"/>
  <c r="X593" i="4"/>
  <c r="M593" i="4"/>
  <c r="L593" i="4"/>
  <c r="X592" i="4"/>
  <c r="M592" i="4"/>
  <c r="L592" i="4"/>
  <c r="X591" i="4"/>
  <c r="M591" i="4"/>
  <c r="L591" i="4"/>
  <c r="X590" i="4"/>
  <c r="M590" i="4"/>
  <c r="L590" i="4"/>
  <c r="X589" i="4"/>
  <c r="M589" i="4"/>
  <c r="L589" i="4"/>
  <c r="X588" i="4"/>
  <c r="M588" i="4"/>
  <c r="L588" i="4"/>
  <c r="X587" i="4"/>
  <c r="M587" i="4"/>
  <c r="L587" i="4"/>
  <c r="X586" i="4"/>
  <c r="M586" i="4"/>
  <c r="L586" i="4"/>
  <c r="X585" i="4"/>
  <c r="M585" i="4"/>
  <c r="L585" i="4"/>
  <c r="X584" i="4"/>
  <c r="M584" i="4"/>
  <c r="L584" i="4"/>
  <c r="X583" i="4"/>
  <c r="M583" i="4"/>
  <c r="L583" i="4"/>
  <c r="X582" i="4"/>
  <c r="M582" i="4"/>
  <c r="L582" i="4"/>
  <c r="X581" i="4"/>
  <c r="M581" i="4"/>
  <c r="L581" i="4"/>
  <c r="X580" i="4"/>
  <c r="M580" i="4"/>
  <c r="L580" i="4"/>
  <c r="X579" i="4"/>
  <c r="M579" i="4"/>
  <c r="L579" i="4"/>
  <c r="X578" i="4"/>
  <c r="M578" i="4"/>
  <c r="L578" i="4"/>
  <c r="X577" i="4"/>
  <c r="M577" i="4"/>
  <c r="L577" i="4"/>
  <c r="X576" i="4"/>
  <c r="M576" i="4"/>
  <c r="L576" i="4"/>
  <c r="X575" i="4"/>
  <c r="M575" i="4"/>
  <c r="L575" i="4"/>
  <c r="X574" i="4"/>
  <c r="M574" i="4"/>
  <c r="L574" i="4"/>
  <c r="X573" i="4"/>
  <c r="M573" i="4"/>
  <c r="L573" i="4"/>
  <c r="X572" i="4"/>
  <c r="M572" i="4"/>
  <c r="L572" i="4"/>
  <c r="X571" i="4"/>
  <c r="M571" i="4"/>
  <c r="L571" i="4"/>
  <c r="X570" i="4"/>
  <c r="M570" i="4"/>
  <c r="L570" i="4"/>
  <c r="X569" i="4"/>
  <c r="M569" i="4"/>
  <c r="L569" i="4"/>
  <c r="X568" i="4"/>
  <c r="M568" i="4"/>
  <c r="L568" i="4"/>
  <c r="X567" i="4"/>
  <c r="M567" i="4"/>
  <c r="L567" i="4"/>
  <c r="X566" i="4"/>
  <c r="M566" i="4"/>
  <c r="L566" i="4"/>
  <c r="X565" i="4"/>
  <c r="M565" i="4"/>
  <c r="L565" i="4"/>
  <c r="X564" i="4"/>
  <c r="M564" i="4"/>
  <c r="L564" i="4"/>
  <c r="X563" i="4"/>
  <c r="M563" i="4"/>
  <c r="L563" i="4"/>
  <c r="X562" i="4"/>
  <c r="M562" i="4"/>
  <c r="L562" i="4"/>
  <c r="X561" i="4"/>
  <c r="M561" i="4"/>
  <c r="L561" i="4"/>
  <c r="X560" i="4"/>
  <c r="M560" i="4"/>
  <c r="L560" i="4"/>
  <c r="X559" i="4"/>
  <c r="M559" i="4"/>
  <c r="L559" i="4"/>
  <c r="X558" i="4"/>
  <c r="M558" i="4"/>
  <c r="L558" i="4"/>
  <c r="X557" i="4"/>
  <c r="M557" i="4"/>
  <c r="L557" i="4"/>
  <c r="X556" i="4"/>
  <c r="M556" i="4"/>
  <c r="L556" i="4"/>
  <c r="X555" i="4"/>
  <c r="M555" i="4"/>
  <c r="L555" i="4"/>
  <c r="X554" i="4"/>
  <c r="M554" i="4"/>
  <c r="L554" i="4"/>
  <c r="X553" i="4"/>
  <c r="M553" i="4"/>
  <c r="L553" i="4"/>
  <c r="X552" i="4"/>
  <c r="M552" i="4"/>
  <c r="L552" i="4"/>
  <c r="X551" i="4"/>
  <c r="M551" i="4"/>
  <c r="L551" i="4"/>
  <c r="X550" i="4"/>
  <c r="M550" i="4"/>
  <c r="L550" i="4"/>
  <c r="X549" i="4"/>
  <c r="M549" i="4"/>
  <c r="L549" i="4"/>
  <c r="X547" i="4"/>
  <c r="M547" i="4"/>
  <c r="L547" i="4"/>
  <c r="X546" i="4"/>
  <c r="M546" i="4"/>
  <c r="L546" i="4"/>
  <c r="X545" i="4"/>
  <c r="M545" i="4"/>
  <c r="L545" i="4"/>
  <c r="X544" i="4"/>
  <c r="M544" i="4"/>
  <c r="L544" i="4"/>
  <c r="X543" i="4"/>
  <c r="M543" i="4"/>
  <c r="L543" i="4"/>
  <c r="X542" i="4"/>
  <c r="M542" i="4"/>
  <c r="L542" i="4"/>
  <c r="X541" i="4"/>
  <c r="M541" i="4"/>
  <c r="L541" i="4"/>
  <c r="X540" i="4"/>
  <c r="M540" i="4"/>
  <c r="L540" i="4"/>
  <c r="X539" i="4"/>
  <c r="M539" i="4"/>
  <c r="L539" i="4"/>
  <c r="X538" i="4"/>
  <c r="M538" i="4"/>
  <c r="L538" i="4"/>
  <c r="X537" i="4"/>
  <c r="M537" i="4"/>
  <c r="L537" i="4"/>
  <c r="X536" i="4"/>
  <c r="M536" i="4"/>
  <c r="L536" i="4"/>
  <c r="X535" i="4"/>
  <c r="M535" i="4"/>
  <c r="L535" i="4"/>
  <c r="X534" i="4"/>
  <c r="M534" i="4"/>
  <c r="L534" i="4"/>
  <c r="X533" i="4"/>
  <c r="M533" i="4"/>
  <c r="L533" i="4"/>
  <c r="X532" i="4"/>
  <c r="M532" i="4"/>
  <c r="L532" i="4"/>
  <c r="X531" i="4"/>
  <c r="M531" i="4"/>
  <c r="L531" i="4"/>
  <c r="X530" i="4"/>
  <c r="M530" i="4"/>
  <c r="L530" i="4"/>
  <c r="X663" i="4"/>
  <c r="M663" i="4"/>
  <c r="L663" i="4"/>
  <c r="X662" i="4"/>
  <c r="M662" i="4"/>
  <c r="L662" i="4"/>
  <c r="X661" i="4"/>
  <c r="M661" i="4"/>
  <c r="L661" i="4"/>
  <c r="X658" i="4"/>
  <c r="M658" i="4"/>
  <c r="L658" i="4"/>
  <c r="X657" i="4"/>
  <c r="M657" i="4"/>
  <c r="L657" i="4"/>
  <c r="X656" i="4"/>
  <c r="M656" i="4"/>
  <c r="L656" i="4"/>
  <c r="X655" i="4"/>
  <c r="M655" i="4"/>
  <c r="L655" i="4"/>
  <c r="X654" i="4"/>
  <c r="M654" i="4"/>
  <c r="L654" i="4"/>
  <c r="X653" i="4"/>
  <c r="M653" i="4"/>
  <c r="L653" i="4"/>
  <c r="X652" i="4"/>
  <c r="M652" i="4"/>
  <c r="L652" i="4"/>
  <c r="X651" i="4"/>
  <c r="M651" i="4"/>
  <c r="L651" i="4"/>
  <c r="X650" i="4"/>
  <c r="M650" i="4"/>
  <c r="L650" i="4"/>
  <c r="X649" i="4"/>
  <c r="M649" i="4"/>
  <c r="L649" i="4"/>
  <c r="X648" i="4"/>
  <c r="M648" i="4"/>
  <c r="L648" i="4"/>
  <c r="X647" i="4"/>
  <c r="M647" i="4"/>
  <c r="L647" i="4"/>
  <c r="X646" i="4"/>
  <c r="M646" i="4"/>
  <c r="L646" i="4"/>
  <c r="X645" i="4"/>
  <c r="M645" i="4"/>
  <c r="L645" i="4"/>
  <c r="X644" i="4"/>
  <c r="M644" i="4"/>
  <c r="L644" i="4"/>
  <c r="X642" i="4"/>
  <c r="M642" i="4"/>
  <c r="L642" i="4"/>
  <c r="X641" i="4"/>
  <c r="M641" i="4"/>
  <c r="L641" i="4"/>
  <c r="X640" i="4"/>
  <c r="M640" i="4"/>
  <c r="L640" i="4"/>
  <c r="X639" i="4"/>
  <c r="M639" i="4"/>
  <c r="L639" i="4"/>
  <c r="X638" i="4"/>
  <c r="M638" i="4"/>
  <c r="L638" i="4"/>
  <c r="X637" i="4"/>
  <c r="M637" i="4"/>
  <c r="L637" i="4"/>
  <c r="X636" i="4"/>
  <c r="M636" i="4"/>
  <c r="L636" i="4"/>
  <c r="X635" i="4"/>
  <c r="M635" i="4"/>
  <c r="L635" i="4"/>
  <c r="X634" i="4"/>
  <c r="M634" i="4"/>
  <c r="L634" i="4"/>
  <c r="X633" i="4"/>
  <c r="M633" i="4"/>
  <c r="L633" i="4"/>
  <c r="X632" i="4"/>
  <c r="M632" i="4"/>
  <c r="L632" i="4"/>
  <c r="X631" i="4"/>
  <c r="M631" i="4"/>
  <c r="L631" i="4"/>
  <c r="X630" i="4"/>
  <c r="M630" i="4"/>
  <c r="L630" i="4"/>
  <c r="X629" i="4"/>
  <c r="M629" i="4"/>
  <c r="L629" i="4"/>
  <c r="X628" i="4"/>
  <c r="M628" i="4"/>
  <c r="L628" i="4"/>
  <c r="X627" i="4"/>
  <c r="M627" i="4"/>
  <c r="L627" i="4"/>
  <c r="X626" i="4"/>
  <c r="M626" i="4"/>
  <c r="L626" i="4"/>
  <c r="X625" i="4"/>
  <c r="M625" i="4"/>
  <c r="L625" i="4"/>
  <c r="X624" i="4"/>
  <c r="M624" i="4"/>
  <c r="L624" i="4"/>
  <c r="X623" i="4"/>
  <c r="M623" i="4"/>
  <c r="L623" i="4"/>
  <c r="X622" i="4"/>
  <c r="M622" i="4"/>
  <c r="L622" i="4"/>
  <c r="X621" i="4"/>
  <c r="M621" i="4"/>
  <c r="L621" i="4"/>
  <c r="X620" i="4"/>
  <c r="M620" i="4"/>
  <c r="L620" i="4"/>
  <c r="X619" i="4"/>
  <c r="M619" i="4"/>
  <c r="L619" i="4"/>
  <c r="X618" i="4"/>
  <c r="M618" i="4"/>
  <c r="L618" i="4"/>
  <c r="X617" i="4"/>
  <c r="M617" i="4"/>
  <c r="L617" i="4"/>
  <c r="X616" i="4"/>
  <c r="M616" i="4"/>
  <c r="L616" i="4"/>
  <c r="X615" i="4"/>
  <c r="M615" i="4"/>
  <c r="L615" i="4"/>
  <c r="X614" i="4"/>
  <c r="M614" i="4"/>
  <c r="L614" i="4"/>
  <c r="X613" i="4"/>
  <c r="M613" i="4"/>
  <c r="L613" i="4"/>
  <c r="X518" i="4"/>
  <c r="M518" i="4"/>
  <c r="L518" i="4"/>
  <c r="X498" i="4"/>
  <c r="M498" i="4"/>
  <c r="L498" i="4"/>
  <c r="X497" i="4"/>
  <c r="M497" i="4"/>
  <c r="L497" i="4"/>
  <c r="X495" i="4"/>
  <c r="M495" i="4"/>
  <c r="L495" i="4"/>
  <c r="X528" i="4"/>
  <c r="M528" i="4"/>
  <c r="L528" i="4"/>
  <c r="X522" i="4"/>
  <c r="M522" i="4"/>
  <c r="L522" i="4"/>
  <c r="X521" i="4"/>
  <c r="M521" i="4"/>
  <c r="L521" i="4"/>
  <c r="X520" i="4"/>
  <c r="M520" i="4"/>
  <c r="L520" i="4"/>
  <c r="X519" i="4"/>
  <c r="M519" i="4"/>
  <c r="L519" i="4"/>
  <c r="X517" i="4"/>
  <c r="M517" i="4"/>
  <c r="L517" i="4"/>
  <c r="X516" i="4"/>
  <c r="M516" i="4"/>
  <c r="L516" i="4"/>
  <c r="X515" i="4"/>
  <c r="M515" i="4"/>
  <c r="L515" i="4"/>
  <c r="X514" i="4"/>
  <c r="M514" i="4"/>
  <c r="L514" i="4"/>
  <c r="X513" i="4"/>
  <c r="M513" i="4"/>
  <c r="L513" i="4"/>
  <c r="X512" i="4"/>
  <c r="M512" i="4"/>
  <c r="L512" i="4"/>
  <c r="X511" i="4"/>
  <c r="M511" i="4"/>
  <c r="L511" i="4"/>
  <c r="X510" i="4"/>
  <c r="M510" i="4"/>
  <c r="L510" i="4"/>
  <c r="X509" i="4"/>
  <c r="M509" i="4"/>
  <c r="L509" i="4"/>
  <c r="X508" i="4"/>
  <c r="M508" i="4"/>
  <c r="L508" i="4"/>
  <c r="X507" i="4"/>
  <c r="M507" i="4"/>
  <c r="L507" i="4"/>
  <c r="X506" i="4"/>
  <c r="M506" i="4"/>
  <c r="L506" i="4"/>
  <c r="X505" i="4"/>
  <c r="M505" i="4"/>
  <c r="L505" i="4"/>
  <c r="X504" i="4"/>
  <c r="M504" i="4"/>
  <c r="L504" i="4"/>
  <c r="X503" i="4"/>
  <c r="M503" i="4"/>
  <c r="L503" i="4"/>
  <c r="X502" i="4"/>
  <c r="M502" i="4"/>
  <c r="L502" i="4"/>
  <c r="X501" i="4"/>
  <c r="M501" i="4"/>
  <c r="L501" i="4"/>
  <c r="X500" i="4"/>
  <c r="M500" i="4"/>
  <c r="L500" i="4"/>
  <c r="X499" i="4"/>
  <c r="M499" i="4"/>
  <c r="L499" i="4"/>
  <c r="X496" i="4"/>
  <c r="M496" i="4"/>
  <c r="L496" i="4"/>
  <c r="X494" i="4"/>
  <c r="M494" i="4"/>
  <c r="L494" i="4"/>
  <c r="X493" i="4"/>
  <c r="M493" i="4"/>
  <c r="L493" i="4"/>
  <c r="X492" i="4"/>
  <c r="M492" i="4"/>
  <c r="L492" i="4"/>
  <c r="X491" i="4"/>
  <c r="M491" i="4"/>
  <c r="L491" i="4"/>
  <c r="X490" i="4"/>
  <c r="M490" i="4"/>
  <c r="L490" i="4"/>
  <c r="X489" i="4"/>
  <c r="M489" i="4"/>
  <c r="L489" i="4"/>
  <c r="X488" i="4"/>
  <c r="M488" i="4"/>
  <c r="L488" i="4"/>
  <c r="X487" i="4"/>
  <c r="M487" i="4"/>
  <c r="L487" i="4"/>
  <c r="X486" i="4"/>
  <c r="M486" i="4"/>
  <c r="L486" i="4"/>
  <c r="X485" i="4"/>
  <c r="M485" i="4"/>
  <c r="L485" i="4"/>
  <c r="X484" i="4"/>
  <c r="M484" i="4"/>
  <c r="L484" i="4"/>
  <c r="X483" i="4"/>
  <c r="M483" i="4"/>
  <c r="L483" i="4"/>
  <c r="X482" i="4"/>
  <c r="M482" i="4"/>
  <c r="L482" i="4"/>
  <c r="X481" i="4"/>
  <c r="M481" i="4"/>
  <c r="L481" i="4"/>
  <c r="X480" i="4"/>
  <c r="M480" i="4"/>
  <c r="L480" i="4"/>
  <c r="X479" i="4"/>
  <c r="M479" i="4"/>
  <c r="L479" i="4"/>
  <c r="X478" i="4"/>
  <c r="M478" i="4"/>
  <c r="L478" i="4"/>
  <c r="X477" i="4"/>
  <c r="M477" i="4"/>
  <c r="L477" i="4"/>
  <c r="X476" i="4"/>
  <c r="M476" i="4"/>
  <c r="L476" i="4"/>
  <c r="X475" i="4"/>
  <c r="M475" i="4"/>
  <c r="L475" i="4"/>
  <c r="X474" i="4"/>
  <c r="M474" i="4"/>
  <c r="L474" i="4"/>
  <c r="X473" i="4"/>
  <c r="M473" i="4"/>
  <c r="L473" i="4"/>
  <c r="X472" i="4"/>
  <c r="M472" i="4"/>
  <c r="L472" i="4"/>
  <c r="X471" i="4"/>
  <c r="M471" i="4"/>
  <c r="L471" i="4"/>
  <c r="X470" i="4"/>
  <c r="M470" i="4"/>
  <c r="L470" i="4"/>
  <c r="X469" i="4"/>
  <c r="M469" i="4"/>
  <c r="L469" i="4"/>
  <c r="X468" i="4"/>
  <c r="M468" i="4"/>
  <c r="L468" i="4"/>
  <c r="X467" i="4"/>
  <c r="M467" i="4"/>
  <c r="L467" i="4"/>
  <c r="X466" i="4"/>
  <c r="M466" i="4"/>
  <c r="L466" i="4"/>
  <c r="X465" i="4"/>
  <c r="M465" i="4"/>
  <c r="L465" i="4"/>
  <c r="X464" i="4"/>
  <c r="M464" i="4"/>
  <c r="L464" i="4"/>
  <c r="X463" i="4"/>
  <c r="M463" i="4"/>
  <c r="L463" i="4"/>
  <c r="X462" i="4"/>
  <c r="M462" i="4"/>
  <c r="L462" i="4"/>
  <c r="X461" i="4"/>
  <c r="M461" i="4"/>
  <c r="L461" i="4"/>
  <c r="X460" i="4"/>
  <c r="M460" i="4"/>
  <c r="L460" i="4"/>
  <c r="X459" i="4"/>
  <c r="M459" i="4"/>
  <c r="L459" i="4"/>
  <c r="X458" i="4"/>
  <c r="M458" i="4"/>
  <c r="L458" i="4"/>
  <c r="X457" i="4"/>
  <c r="M457" i="4"/>
  <c r="L457" i="4"/>
  <c r="X456" i="4"/>
  <c r="M456" i="4"/>
  <c r="L456" i="4"/>
  <c r="X455" i="4"/>
  <c r="M455" i="4"/>
  <c r="L455" i="4"/>
  <c r="X454" i="4"/>
  <c r="M454" i="4"/>
  <c r="L454" i="4"/>
  <c r="X453" i="4"/>
  <c r="M453" i="4"/>
  <c r="L453" i="4"/>
  <c r="X452" i="4"/>
  <c r="M452" i="4"/>
  <c r="L452" i="4"/>
  <c r="X451" i="4"/>
  <c r="M451" i="4"/>
  <c r="L451" i="4"/>
  <c r="X450" i="4"/>
  <c r="M450" i="4"/>
  <c r="L450" i="4"/>
  <c r="X449" i="4"/>
  <c r="M449" i="4"/>
  <c r="L449" i="4"/>
  <c r="X448" i="4"/>
  <c r="M448" i="4"/>
  <c r="L448" i="4"/>
  <c r="X447" i="4"/>
  <c r="M447" i="4"/>
  <c r="L447" i="4"/>
  <c r="X446" i="4"/>
  <c r="M446" i="4"/>
  <c r="L446" i="4"/>
  <c r="X445" i="4"/>
  <c r="M445" i="4"/>
  <c r="L445" i="4"/>
  <c r="X444" i="4"/>
  <c r="M444" i="4"/>
  <c r="L444" i="4"/>
  <c r="X443" i="4"/>
  <c r="M443" i="4"/>
  <c r="L443" i="4"/>
  <c r="X442" i="4"/>
  <c r="M442" i="4"/>
  <c r="L442" i="4"/>
  <c r="X441" i="4"/>
  <c r="M441" i="4"/>
  <c r="L441" i="4"/>
  <c r="X2098" i="4"/>
  <c r="M2098" i="4"/>
  <c r="L2098" i="4"/>
  <c r="X2097" i="4"/>
  <c r="M2097" i="4"/>
  <c r="L2097" i="4"/>
  <c r="X775" i="4"/>
  <c r="M775" i="4"/>
  <c r="L775" i="4"/>
  <c r="X774" i="4"/>
  <c r="M774" i="4"/>
  <c r="L774" i="4"/>
  <c r="X677" i="4"/>
  <c r="M677" i="4"/>
  <c r="L677" i="4"/>
  <c r="X676" i="4"/>
  <c r="M676" i="4"/>
  <c r="L676" i="4"/>
  <c r="X675" i="4"/>
  <c r="M675" i="4"/>
  <c r="L675" i="4"/>
  <c r="X674" i="4"/>
  <c r="M674" i="4"/>
  <c r="L674" i="4"/>
  <c r="X673" i="4"/>
  <c r="M673" i="4"/>
  <c r="L673" i="4"/>
  <c r="X672" i="4"/>
  <c r="M672" i="4"/>
  <c r="L672" i="4"/>
  <c r="X671" i="4"/>
  <c r="M671" i="4"/>
  <c r="L671" i="4"/>
  <c r="X670" i="4"/>
  <c r="M670" i="4"/>
  <c r="L670" i="4"/>
  <c r="X667" i="4"/>
  <c r="M667" i="4"/>
  <c r="L667" i="4"/>
  <c r="X666" i="4"/>
  <c r="M666" i="4"/>
  <c r="L666" i="4"/>
  <c r="X665" i="4"/>
  <c r="M665" i="4"/>
  <c r="L665" i="4"/>
  <c r="X664" i="4"/>
  <c r="M664" i="4"/>
  <c r="L664" i="4"/>
  <c r="X527" i="4"/>
  <c r="M527" i="4"/>
  <c r="L527" i="4"/>
  <c r="X526" i="4"/>
  <c r="M526" i="4"/>
  <c r="L526" i="4"/>
  <c r="X525" i="4"/>
  <c r="M525" i="4"/>
  <c r="L525" i="4"/>
  <c r="X524" i="4"/>
  <c r="M524" i="4"/>
  <c r="L524" i="4"/>
  <c r="X523" i="4"/>
  <c r="M523" i="4"/>
  <c r="L523" i="4"/>
  <c r="X717" i="4"/>
  <c r="M717" i="4"/>
  <c r="L717" i="4"/>
  <c r="X716" i="4"/>
  <c r="M716" i="4"/>
  <c r="L716" i="4"/>
  <c r="X715" i="4"/>
  <c r="M715" i="4"/>
  <c r="L715" i="4"/>
  <c r="X714" i="4"/>
  <c r="M714" i="4"/>
  <c r="L714" i="4"/>
  <c r="X713" i="4"/>
  <c r="M713" i="4"/>
  <c r="L713" i="4"/>
  <c r="X712" i="4"/>
  <c r="M712" i="4"/>
  <c r="L712" i="4"/>
  <c r="X711" i="4"/>
  <c r="M711" i="4"/>
  <c r="L711" i="4"/>
  <c r="X710" i="4"/>
  <c r="M710" i="4"/>
  <c r="L710" i="4"/>
  <c r="X709" i="4"/>
  <c r="M709" i="4"/>
  <c r="L709" i="4"/>
  <c r="X708" i="4"/>
  <c r="M708" i="4"/>
  <c r="L708" i="4"/>
  <c r="X705" i="4"/>
  <c r="M705" i="4"/>
  <c r="L705" i="4"/>
  <c r="X704" i="4"/>
  <c r="M704" i="4"/>
  <c r="L704" i="4"/>
  <c r="X703" i="4"/>
  <c r="M703" i="4"/>
  <c r="L703" i="4"/>
  <c r="X701" i="4"/>
  <c r="M701" i="4"/>
  <c r="L701" i="4"/>
  <c r="X700" i="4"/>
  <c r="M700" i="4"/>
  <c r="L700" i="4"/>
  <c r="X699" i="4"/>
  <c r="M699" i="4"/>
  <c r="L699" i="4"/>
  <c r="X698" i="4"/>
  <c r="M698" i="4"/>
  <c r="L698" i="4"/>
  <c r="X697" i="4"/>
  <c r="M697" i="4"/>
  <c r="L697" i="4"/>
  <c r="X693" i="4"/>
  <c r="M693" i="4"/>
  <c r="L693" i="4"/>
  <c r="X692" i="4"/>
  <c r="M692" i="4"/>
  <c r="L692" i="4"/>
  <c r="X691" i="4"/>
  <c r="M691" i="4"/>
  <c r="L691" i="4"/>
  <c r="X690" i="4"/>
  <c r="M690" i="4"/>
  <c r="L690" i="4"/>
  <c r="X689" i="4"/>
  <c r="M689" i="4"/>
  <c r="L689" i="4"/>
  <c r="X688" i="4"/>
  <c r="M688" i="4"/>
  <c r="L688" i="4"/>
  <c r="X687" i="4"/>
  <c r="M687" i="4"/>
  <c r="L687" i="4"/>
  <c r="X686" i="4"/>
  <c r="M686" i="4"/>
  <c r="L686" i="4"/>
  <c r="X684" i="4"/>
  <c r="M684" i="4"/>
  <c r="L684" i="4"/>
  <c r="X683" i="4"/>
  <c r="M683" i="4"/>
  <c r="L683" i="4"/>
  <c r="X682" i="4"/>
  <c r="M682" i="4"/>
  <c r="L682" i="4"/>
  <c r="X680" i="4"/>
  <c r="M680" i="4"/>
  <c r="L680" i="4"/>
  <c r="X679" i="4"/>
  <c r="M679" i="4"/>
  <c r="L679" i="4"/>
  <c r="X678" i="4"/>
  <c r="M678" i="4"/>
  <c r="L678" i="4"/>
  <c r="X439" i="4"/>
  <c r="M439" i="4"/>
  <c r="L439" i="4"/>
  <c r="X239" i="4"/>
  <c r="M239" i="4"/>
  <c r="L239" i="4"/>
  <c r="X238" i="4"/>
  <c r="M238" i="4"/>
  <c r="L238" i="4"/>
  <c r="X438" i="4"/>
  <c r="M438" i="4"/>
  <c r="L438" i="4"/>
  <c r="X399" i="4"/>
  <c r="M399" i="4"/>
  <c r="L399" i="4"/>
  <c r="X393" i="4"/>
  <c r="M393" i="4"/>
  <c r="L393" i="4"/>
  <c r="X359" i="4"/>
  <c r="M359" i="4"/>
  <c r="L359" i="4"/>
  <c r="X377" i="4"/>
  <c r="M377" i="4"/>
  <c r="L377" i="4"/>
  <c r="X376" i="4"/>
  <c r="M376" i="4"/>
  <c r="L376" i="4"/>
  <c r="X332" i="4"/>
  <c r="M332" i="4"/>
  <c r="L332" i="4"/>
  <c r="X263" i="4"/>
  <c r="M263" i="4"/>
  <c r="L263" i="4"/>
  <c r="X230" i="4"/>
  <c r="M230" i="4"/>
  <c r="L230" i="4"/>
  <c r="X229" i="4"/>
  <c r="M229" i="4"/>
  <c r="L229" i="4"/>
  <c r="X152" i="4"/>
  <c r="M152" i="4"/>
  <c r="L152" i="4"/>
  <c r="X162" i="4"/>
  <c r="M162" i="4"/>
  <c r="L162" i="4"/>
  <c r="X181" i="4"/>
  <c r="M181" i="4"/>
  <c r="L181" i="4"/>
  <c r="X113" i="4"/>
  <c r="M113" i="4"/>
  <c r="L113" i="4"/>
  <c r="X120" i="4"/>
  <c r="M120" i="4"/>
  <c r="L120" i="4"/>
  <c r="X119" i="4"/>
  <c r="M119" i="4"/>
  <c r="L119" i="4"/>
  <c r="L115" i="4"/>
  <c r="M115" i="4"/>
  <c r="N115" i="4"/>
  <c r="X115" i="4"/>
  <c r="X106" i="4"/>
  <c r="M106" i="4"/>
  <c r="L106" i="4"/>
  <c r="X35" i="4"/>
  <c r="M35" i="4"/>
  <c r="L35" i="4"/>
  <c r="H131" i="14"/>
  <c r="H132" i="14"/>
  <c r="H113" i="14"/>
  <c r="H116" i="14"/>
  <c r="H117" i="14"/>
  <c r="H118" i="14"/>
  <c r="H108" i="14"/>
  <c r="H111" i="14"/>
  <c r="H112" i="14"/>
  <c r="H107" i="14"/>
  <c r="H26" i="15"/>
  <c r="K69" i="6"/>
  <c r="E69" i="6"/>
  <c r="E42" i="1" s="1"/>
  <c r="K68" i="6"/>
  <c r="H68" i="6"/>
  <c r="K67" i="6"/>
  <c r="I67" i="6"/>
  <c r="H67" i="6"/>
  <c r="G67" i="6"/>
  <c r="F67" i="6"/>
  <c r="K66" i="6"/>
  <c r="I66" i="6"/>
  <c r="H66" i="6"/>
  <c r="G66" i="6"/>
  <c r="F66" i="6"/>
  <c r="K65" i="6"/>
  <c r="I65" i="6"/>
  <c r="H65" i="6"/>
  <c r="G65" i="6"/>
  <c r="F65" i="6"/>
  <c r="K64" i="6"/>
  <c r="I64" i="6"/>
  <c r="H64" i="6"/>
  <c r="G64" i="6"/>
  <c r="F64" i="6"/>
  <c r="K63" i="6"/>
  <c r="I63" i="6"/>
  <c r="H63" i="6"/>
  <c r="G63" i="6"/>
  <c r="F63" i="6"/>
  <c r="K62" i="6"/>
  <c r="I62" i="6"/>
  <c r="H62" i="6"/>
  <c r="G62" i="6"/>
  <c r="F62" i="6"/>
  <c r="K61" i="6"/>
  <c r="I61" i="6"/>
  <c r="H61" i="6"/>
  <c r="G61" i="6"/>
  <c r="F61" i="6"/>
  <c r="K60" i="6"/>
  <c r="I60" i="6"/>
  <c r="H60" i="6"/>
  <c r="G60" i="6"/>
  <c r="F60" i="6"/>
  <c r="K59" i="6"/>
  <c r="I59" i="6"/>
  <c r="H59" i="6"/>
  <c r="G59" i="6"/>
  <c r="F59" i="6"/>
  <c r="K58" i="6"/>
  <c r="H58" i="6"/>
  <c r="G58" i="6"/>
  <c r="F58" i="6"/>
  <c r="I58" i="6" s="1"/>
  <c r="K57" i="6"/>
  <c r="K53" i="6"/>
  <c r="E53" i="6"/>
  <c r="E41" i="1" s="1"/>
  <c r="K52" i="6"/>
  <c r="H52" i="6"/>
  <c r="K51" i="6"/>
  <c r="I51" i="6"/>
  <c r="H51" i="6"/>
  <c r="G51" i="6"/>
  <c r="F51" i="6"/>
  <c r="K50" i="6"/>
  <c r="I50" i="6"/>
  <c r="H50" i="6"/>
  <c r="G50" i="6"/>
  <c r="F50" i="6"/>
  <c r="K49" i="6"/>
  <c r="I49" i="6"/>
  <c r="H49" i="6"/>
  <c r="G49" i="6"/>
  <c r="F49" i="6"/>
  <c r="K48" i="6"/>
  <c r="I48" i="6"/>
  <c r="H48" i="6"/>
  <c r="G48" i="6"/>
  <c r="F48" i="6"/>
  <c r="K47" i="6"/>
  <c r="I47" i="6"/>
  <c r="H47" i="6"/>
  <c r="G47" i="6"/>
  <c r="F47" i="6"/>
  <c r="K46" i="6"/>
  <c r="I46" i="6"/>
  <c r="H46" i="6"/>
  <c r="G46" i="6"/>
  <c r="F46" i="6"/>
  <c r="K45" i="6"/>
  <c r="I45" i="6"/>
  <c r="H45" i="6"/>
  <c r="G45" i="6"/>
  <c r="F45" i="6"/>
  <c r="K44" i="6"/>
  <c r="I44" i="6"/>
  <c r="H44" i="6"/>
  <c r="G44" i="6"/>
  <c r="F44" i="6"/>
  <c r="K43" i="6"/>
  <c r="I43" i="6"/>
  <c r="H43" i="6"/>
  <c r="G43" i="6"/>
  <c r="F43" i="6"/>
  <c r="K42" i="6"/>
  <c r="K41" i="6"/>
  <c r="K37" i="6"/>
  <c r="E37" i="6"/>
  <c r="E40" i="1" s="1"/>
  <c r="K36" i="6"/>
  <c r="H36" i="6"/>
  <c r="K35" i="6"/>
  <c r="I35" i="6"/>
  <c r="H35" i="6"/>
  <c r="G35" i="6"/>
  <c r="F35" i="6"/>
  <c r="K34" i="6"/>
  <c r="I34" i="6"/>
  <c r="H34" i="6"/>
  <c r="G34" i="6"/>
  <c r="F34" i="6"/>
  <c r="K33" i="6"/>
  <c r="I33" i="6"/>
  <c r="H33" i="6"/>
  <c r="G33" i="6"/>
  <c r="F33" i="6"/>
  <c r="K32" i="6"/>
  <c r="I32" i="6"/>
  <c r="H32" i="6"/>
  <c r="G32" i="6"/>
  <c r="F32" i="6"/>
  <c r="K31" i="6"/>
  <c r="H31" i="6"/>
  <c r="G31" i="6"/>
  <c r="F31" i="6"/>
  <c r="I31" i="6" s="1"/>
  <c r="K30" i="6"/>
  <c r="H30" i="6"/>
  <c r="G30" i="6"/>
  <c r="F30" i="6"/>
  <c r="I30" i="6" s="1"/>
  <c r="K29" i="6"/>
  <c r="H29" i="6"/>
  <c r="G29" i="6"/>
  <c r="F29" i="6"/>
  <c r="I29" i="6" s="1"/>
  <c r="K28" i="6"/>
  <c r="H28" i="6"/>
  <c r="G28" i="6"/>
  <c r="F28" i="6"/>
  <c r="I28" i="6" s="1"/>
  <c r="K27" i="6"/>
  <c r="K26" i="6"/>
  <c r="K25" i="6"/>
  <c r="N706" i="4" l="1"/>
  <c r="O706" i="4" s="1"/>
  <c r="N707" i="4"/>
  <c r="O707" i="4" s="1"/>
  <c r="N695" i="4"/>
  <c r="N685" i="4"/>
  <c r="N669" i="4"/>
  <c r="N668" i="4"/>
  <c r="N659" i="4"/>
  <c r="N660" i="4"/>
  <c r="N694" i="4"/>
  <c r="N643" i="4"/>
  <c r="O643" i="4" s="1"/>
  <c r="N2070" i="4"/>
  <c r="O2070" i="4" s="1"/>
  <c r="N2071" i="4"/>
  <c r="O2071" i="4" s="1"/>
  <c r="N2072" i="4"/>
  <c r="O2072" i="4" s="1"/>
  <c r="N2073" i="4"/>
  <c r="O2073" i="4" s="1"/>
  <c r="N2074" i="4"/>
  <c r="O2074" i="4" s="1"/>
  <c r="N2075" i="4"/>
  <c r="O2075" i="4" s="1"/>
  <c r="N2076" i="4"/>
  <c r="O2076" i="4" s="1"/>
  <c r="N2077" i="4"/>
  <c r="O2077" i="4" s="1"/>
  <c r="N2078" i="4"/>
  <c r="O2078" i="4" s="1"/>
  <c r="N2079" i="4"/>
  <c r="O2079" i="4" s="1"/>
  <c r="N2080" i="4"/>
  <c r="O2080" i="4" s="1"/>
  <c r="N2081" i="4"/>
  <c r="O2081" i="4" s="1"/>
  <c r="N2082" i="4"/>
  <c r="O2082" i="4" s="1"/>
  <c r="N2083" i="4"/>
  <c r="O2083" i="4" s="1"/>
  <c r="N2057" i="4"/>
  <c r="O2057" i="4" s="1"/>
  <c r="N2058" i="4"/>
  <c r="O2058" i="4" s="1"/>
  <c r="N2059" i="4"/>
  <c r="O2059" i="4" s="1"/>
  <c r="N2060" i="4"/>
  <c r="O2060" i="4" s="1"/>
  <c r="N2061" i="4"/>
  <c r="O2061" i="4" s="1"/>
  <c r="N2062" i="4"/>
  <c r="O2062" i="4" s="1"/>
  <c r="N2063" i="4"/>
  <c r="O2063" i="4" s="1"/>
  <c r="N2064" i="4"/>
  <c r="O2064" i="4" s="1"/>
  <c r="N2065" i="4"/>
  <c r="O2065" i="4" s="1"/>
  <c r="N2066" i="4"/>
  <c r="O2066" i="4" s="1"/>
  <c r="N2067" i="4"/>
  <c r="O2067" i="4" s="1"/>
  <c r="N2068" i="4"/>
  <c r="O2068" i="4" s="1"/>
  <c r="N2069" i="4"/>
  <c r="O2069" i="4" s="1"/>
  <c r="N2049" i="4"/>
  <c r="O2049" i="4" s="1"/>
  <c r="N2050" i="4"/>
  <c r="O2050" i="4" s="1"/>
  <c r="N2051" i="4"/>
  <c r="O2051" i="4" s="1"/>
  <c r="N2052" i="4"/>
  <c r="O2052" i="4" s="1"/>
  <c r="N2053" i="4"/>
  <c r="O2053" i="4" s="1"/>
  <c r="N2054" i="4"/>
  <c r="O2054" i="4" s="1"/>
  <c r="N2055" i="4"/>
  <c r="O2055" i="4" s="1"/>
  <c r="N2056" i="4"/>
  <c r="O2056" i="4" s="1"/>
  <c r="N789" i="4"/>
  <c r="N776" i="4"/>
  <c r="N777" i="4"/>
  <c r="N778" i="4"/>
  <c r="N779" i="4"/>
  <c r="N780" i="4"/>
  <c r="O780" i="4" s="1"/>
  <c r="N781" i="4"/>
  <c r="O781" i="4" s="1"/>
  <c r="N782" i="4"/>
  <c r="O782" i="4" s="1"/>
  <c r="N783" i="4"/>
  <c r="N784" i="4"/>
  <c r="O784" i="4" s="1"/>
  <c r="N785" i="4"/>
  <c r="O785" i="4" s="1"/>
  <c r="N786" i="4"/>
  <c r="O786" i="4" s="1"/>
  <c r="N787" i="4"/>
  <c r="N751" i="4"/>
  <c r="N752" i="4"/>
  <c r="N754" i="4"/>
  <c r="N755" i="4"/>
  <c r="N756" i="4"/>
  <c r="N757" i="4"/>
  <c r="N758" i="4"/>
  <c r="N759" i="4"/>
  <c r="N760" i="4"/>
  <c r="N762" i="4"/>
  <c r="N763" i="4"/>
  <c r="N764" i="4"/>
  <c r="N765" i="4"/>
  <c r="N766" i="4"/>
  <c r="N736" i="4"/>
  <c r="O736" i="4" s="1"/>
  <c r="N737" i="4"/>
  <c r="O737" i="4" s="1"/>
  <c r="N738" i="4"/>
  <c r="N739" i="4"/>
  <c r="O739" i="4" s="1"/>
  <c r="N741" i="4"/>
  <c r="N743" i="4"/>
  <c r="N745" i="4"/>
  <c r="N746" i="4"/>
  <c r="N747" i="4"/>
  <c r="N748" i="4"/>
  <c r="N749" i="4"/>
  <c r="N750" i="4"/>
  <c r="N718" i="4"/>
  <c r="O718" i="4" s="1"/>
  <c r="N719" i="4"/>
  <c r="N720" i="4"/>
  <c r="O720" i="4" s="1"/>
  <c r="N721" i="4"/>
  <c r="N722" i="4"/>
  <c r="N723" i="4"/>
  <c r="N724" i="4"/>
  <c r="N725" i="4"/>
  <c r="N729" i="4"/>
  <c r="N730" i="4"/>
  <c r="O730" i="4" s="1"/>
  <c r="N732" i="4"/>
  <c r="O732" i="4" s="1"/>
  <c r="N733" i="4"/>
  <c r="O733" i="4" s="1"/>
  <c r="N734" i="4"/>
  <c r="O734" i="4" s="1"/>
  <c r="N735" i="4"/>
  <c r="O735" i="4" s="1"/>
  <c r="N2084" i="4"/>
  <c r="O2084" i="4" s="1"/>
  <c r="N2085" i="4"/>
  <c r="O2085" i="4" s="1"/>
  <c r="N2086" i="4"/>
  <c r="O2086" i="4" s="1"/>
  <c r="N2087" i="4"/>
  <c r="O2087" i="4" s="1"/>
  <c r="N2088" i="4"/>
  <c r="O2088" i="4" s="1"/>
  <c r="N2089" i="4"/>
  <c r="O2089" i="4" s="1"/>
  <c r="N2090" i="4"/>
  <c r="O2090" i="4" s="1"/>
  <c r="N2091" i="4"/>
  <c r="O2091" i="4" s="1"/>
  <c r="N2092" i="4"/>
  <c r="O2092" i="4" s="1"/>
  <c r="N2093" i="4"/>
  <c r="O2093" i="4" s="1"/>
  <c r="N2094" i="4"/>
  <c r="O2094" i="4" s="1"/>
  <c r="N2095" i="4"/>
  <c r="O2095" i="4" s="1"/>
  <c r="N2096" i="4"/>
  <c r="O2096" i="4" s="1"/>
  <c r="N603" i="4"/>
  <c r="N548" i="4"/>
  <c r="O548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O537" i="4" s="1"/>
  <c r="N538" i="4"/>
  <c r="O538" i="4" s="1"/>
  <c r="N539" i="4"/>
  <c r="O539" i="4" s="1"/>
  <c r="N540" i="4"/>
  <c r="N541" i="4"/>
  <c r="O541" i="4" s="1"/>
  <c r="N542" i="4"/>
  <c r="O542" i="4" s="1"/>
  <c r="N543" i="4"/>
  <c r="N544" i="4"/>
  <c r="O544" i="4" s="1"/>
  <c r="N545" i="4"/>
  <c r="O545" i="4" s="1"/>
  <c r="N546" i="4"/>
  <c r="N547" i="4"/>
  <c r="N549" i="4"/>
  <c r="O549" i="4" s="1"/>
  <c r="N550" i="4"/>
  <c r="O550" i="4" s="1"/>
  <c r="N551" i="4"/>
  <c r="N552" i="4"/>
  <c r="O552" i="4" s="1"/>
  <c r="N553" i="4"/>
  <c r="N554" i="4"/>
  <c r="N555" i="4"/>
  <c r="N556" i="4"/>
  <c r="N557" i="4"/>
  <c r="N558" i="4"/>
  <c r="O558" i="4" s="1"/>
  <c r="N559" i="4"/>
  <c r="O559" i="4" s="1"/>
  <c r="N560" i="4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N567" i="4"/>
  <c r="O567" i="4" s="1"/>
  <c r="N568" i="4"/>
  <c r="O568" i="4" s="1"/>
  <c r="N569" i="4"/>
  <c r="N570" i="4"/>
  <c r="O570" i="4" s="1"/>
  <c r="N571" i="4"/>
  <c r="O571" i="4" s="1"/>
  <c r="N572" i="4"/>
  <c r="O572" i="4" s="1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4" i="4"/>
  <c r="O604" i="4" s="1"/>
  <c r="N605" i="4"/>
  <c r="O605" i="4" s="1"/>
  <c r="N606" i="4"/>
  <c r="O606" i="4" s="1"/>
  <c r="N607" i="4"/>
  <c r="N608" i="4"/>
  <c r="O608" i="4" s="1"/>
  <c r="N609" i="4"/>
  <c r="O609" i="4" s="1"/>
  <c r="N610" i="4"/>
  <c r="O610" i="4" s="1"/>
  <c r="N611" i="4"/>
  <c r="N639" i="4"/>
  <c r="N640" i="4"/>
  <c r="O640" i="4" s="1"/>
  <c r="N641" i="4"/>
  <c r="O641" i="4" s="1"/>
  <c r="N642" i="4"/>
  <c r="O642" i="4" s="1"/>
  <c r="N644" i="4"/>
  <c r="O644" i="4" s="1"/>
  <c r="N645" i="4"/>
  <c r="O645" i="4" s="1"/>
  <c r="N646" i="4"/>
  <c r="N647" i="4"/>
  <c r="O647" i="4" s="1"/>
  <c r="N648" i="4"/>
  <c r="O648" i="4" s="1"/>
  <c r="N649" i="4"/>
  <c r="N650" i="4"/>
  <c r="O650" i="4" s="1"/>
  <c r="N651" i="4"/>
  <c r="N652" i="4"/>
  <c r="N653" i="4"/>
  <c r="N654" i="4"/>
  <c r="N655" i="4"/>
  <c r="N656" i="4"/>
  <c r="N657" i="4"/>
  <c r="N658" i="4"/>
  <c r="N661" i="4"/>
  <c r="N662" i="4"/>
  <c r="N663" i="4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N622" i="4"/>
  <c r="O622" i="4" s="1"/>
  <c r="N623" i="4"/>
  <c r="O623" i="4" s="1"/>
  <c r="N624" i="4"/>
  <c r="N625" i="4"/>
  <c r="O625" i="4" s="1"/>
  <c r="N626" i="4"/>
  <c r="O626" i="4" s="1"/>
  <c r="N627" i="4"/>
  <c r="N628" i="4"/>
  <c r="N629" i="4"/>
  <c r="O629" i="4" s="1"/>
  <c r="N630" i="4"/>
  <c r="O630" i="4" s="1"/>
  <c r="N631" i="4"/>
  <c r="O631" i="4" s="1"/>
  <c r="N632" i="4"/>
  <c r="N633" i="4"/>
  <c r="O633" i="4" s="1"/>
  <c r="N634" i="4"/>
  <c r="N635" i="4"/>
  <c r="N636" i="4"/>
  <c r="N637" i="4"/>
  <c r="N638" i="4"/>
  <c r="N518" i="4"/>
  <c r="N498" i="4"/>
  <c r="N497" i="4"/>
  <c r="N495" i="4"/>
  <c r="N528" i="4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N452" i="4"/>
  <c r="O452" i="4" s="1"/>
  <c r="N453" i="4"/>
  <c r="O453" i="4" s="1"/>
  <c r="N454" i="4"/>
  <c r="N455" i="4"/>
  <c r="O455" i="4" s="1"/>
  <c r="N456" i="4"/>
  <c r="O456" i="4" s="1"/>
  <c r="N457" i="4"/>
  <c r="N458" i="4"/>
  <c r="N459" i="4"/>
  <c r="O459" i="4" s="1"/>
  <c r="N460" i="4"/>
  <c r="O460" i="4" s="1"/>
  <c r="N461" i="4"/>
  <c r="N462" i="4"/>
  <c r="N463" i="4"/>
  <c r="O463" i="4" s="1"/>
  <c r="N464" i="4"/>
  <c r="O464" i="4" s="1"/>
  <c r="N465" i="4"/>
  <c r="N466" i="4"/>
  <c r="N467" i="4"/>
  <c r="N468" i="4"/>
  <c r="N469" i="4"/>
  <c r="N470" i="4"/>
  <c r="N471" i="4"/>
  <c r="O471" i="4" s="1"/>
  <c r="N472" i="4"/>
  <c r="O472" i="4" s="1"/>
  <c r="N473" i="4"/>
  <c r="N474" i="4"/>
  <c r="O474" i="4" s="1"/>
  <c r="N475" i="4"/>
  <c r="O475" i="4" s="1"/>
  <c r="N476" i="4"/>
  <c r="O476" i="4" s="1"/>
  <c r="N477" i="4"/>
  <c r="O477" i="4" s="1"/>
  <c r="N478" i="4"/>
  <c r="O478" i="4" s="1"/>
  <c r="N479" i="4"/>
  <c r="N480" i="4"/>
  <c r="O480" i="4" s="1"/>
  <c r="N481" i="4"/>
  <c r="O481" i="4" s="1"/>
  <c r="N482" i="4"/>
  <c r="N483" i="4"/>
  <c r="O483" i="4" s="1"/>
  <c r="N484" i="4"/>
  <c r="O484" i="4" s="1"/>
  <c r="N485" i="4"/>
  <c r="O485" i="4" s="1"/>
  <c r="N486" i="4"/>
  <c r="N487" i="4"/>
  <c r="N488" i="4"/>
  <c r="N489" i="4"/>
  <c r="N490" i="4"/>
  <c r="N491" i="4"/>
  <c r="N492" i="4"/>
  <c r="N493" i="4"/>
  <c r="N494" i="4"/>
  <c r="N496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9" i="4"/>
  <c r="N520" i="4"/>
  <c r="O520" i="4" s="1"/>
  <c r="N521" i="4"/>
  <c r="O521" i="4" s="1"/>
  <c r="N522" i="4"/>
  <c r="O522" i="4" s="1"/>
  <c r="N774" i="4"/>
  <c r="N775" i="4"/>
  <c r="N2097" i="4"/>
  <c r="O2097" i="4" s="1"/>
  <c r="N2098" i="4"/>
  <c r="O2098" i="4" s="1"/>
  <c r="N667" i="4"/>
  <c r="N670" i="4"/>
  <c r="N671" i="4"/>
  <c r="N672" i="4"/>
  <c r="N673" i="4"/>
  <c r="N674" i="4"/>
  <c r="N675" i="4"/>
  <c r="N676" i="4"/>
  <c r="N677" i="4"/>
  <c r="N664" i="4"/>
  <c r="N665" i="4"/>
  <c r="N666" i="4"/>
  <c r="N523" i="4"/>
  <c r="N524" i="4"/>
  <c r="O524" i="4" s="1"/>
  <c r="N525" i="4"/>
  <c r="O525" i="4" s="1"/>
  <c r="N526" i="4"/>
  <c r="O526" i="4" s="1"/>
  <c r="N527" i="4"/>
  <c r="N678" i="4"/>
  <c r="N679" i="4"/>
  <c r="N680" i="4"/>
  <c r="N682" i="4"/>
  <c r="N683" i="4"/>
  <c r="N684" i="4"/>
  <c r="N686" i="4"/>
  <c r="O686" i="4" s="1"/>
  <c r="N687" i="4"/>
  <c r="O687" i="4" s="1"/>
  <c r="N688" i="4"/>
  <c r="O688" i="4" s="1"/>
  <c r="N689" i="4"/>
  <c r="N690" i="4"/>
  <c r="O690" i="4" s="1"/>
  <c r="N691" i="4"/>
  <c r="O691" i="4" s="1"/>
  <c r="N692" i="4"/>
  <c r="O692" i="4" s="1"/>
  <c r="N693" i="4"/>
  <c r="N697" i="4"/>
  <c r="O697" i="4" s="1"/>
  <c r="N698" i="4"/>
  <c r="O698" i="4" s="1"/>
  <c r="N699" i="4"/>
  <c r="O699" i="4" s="1"/>
  <c r="N700" i="4"/>
  <c r="O700" i="4" s="1"/>
  <c r="N701" i="4"/>
  <c r="O701" i="4" s="1"/>
  <c r="N703" i="4"/>
  <c r="O703" i="4" s="1"/>
  <c r="N704" i="4"/>
  <c r="O704" i="4" s="1"/>
  <c r="N705" i="4"/>
  <c r="O705" i="4" s="1"/>
  <c r="N708" i="4"/>
  <c r="N709" i="4"/>
  <c r="O709" i="4" s="1"/>
  <c r="N710" i="4"/>
  <c r="O710" i="4" s="1"/>
  <c r="N711" i="4"/>
  <c r="N712" i="4"/>
  <c r="O712" i="4" s="1"/>
  <c r="N713" i="4"/>
  <c r="O713" i="4" s="1"/>
  <c r="N714" i="4"/>
  <c r="N715" i="4"/>
  <c r="N716" i="4"/>
  <c r="O716" i="4" s="1"/>
  <c r="N717" i="4"/>
  <c r="O717" i="4" s="1"/>
  <c r="N439" i="4"/>
  <c r="N239" i="4"/>
  <c r="N238" i="4"/>
  <c r="N438" i="4"/>
  <c r="N399" i="4"/>
  <c r="N393" i="4"/>
  <c r="O393" i="4" s="1"/>
  <c r="N359" i="4"/>
  <c r="O359" i="4" s="1"/>
  <c r="N377" i="4"/>
  <c r="O377" i="4" s="1"/>
  <c r="N376" i="4"/>
  <c r="N332" i="4"/>
  <c r="N263" i="4"/>
  <c r="N229" i="4"/>
  <c r="O229" i="4" s="1"/>
  <c r="N230" i="4"/>
  <c r="O230" i="4" s="1"/>
  <c r="N152" i="4"/>
  <c r="N162" i="4"/>
  <c r="N181" i="4"/>
  <c r="N113" i="4"/>
  <c r="O113" i="4" s="1"/>
  <c r="N120" i="4"/>
  <c r="N119" i="4"/>
  <c r="N106" i="4"/>
  <c r="O106" i="4" s="1"/>
  <c r="N35" i="4"/>
  <c r="H138" i="15"/>
  <c r="H61" i="15"/>
  <c r="H54" i="15"/>
  <c r="B278" i="13" l="1"/>
  <c r="B277" i="13"/>
  <c r="B276" i="13"/>
  <c r="B275" i="13"/>
  <c r="B274" i="13"/>
  <c r="B273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C166" i="13" s="1"/>
  <c r="G166" i="13" s="1"/>
  <c r="B165" i="13"/>
  <c r="B164" i="13"/>
  <c r="C164" i="13" s="1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C131" i="13" s="1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C116" i="13" s="1"/>
  <c r="B115" i="13"/>
  <c r="B114" i="13"/>
  <c r="B113" i="13"/>
  <c r="B112" i="13"/>
  <c r="B111" i="13"/>
  <c r="C111" i="13" s="1"/>
  <c r="B110" i="13"/>
  <c r="B109" i="13"/>
  <c r="B108" i="13"/>
  <c r="C108" i="13" s="1"/>
  <c r="B107" i="13"/>
  <c r="B106" i="13"/>
  <c r="B105" i="13"/>
  <c r="B104" i="13"/>
  <c r="B103" i="13"/>
  <c r="B102" i="13"/>
  <c r="B101" i="13"/>
  <c r="B100" i="13"/>
  <c r="B99" i="13"/>
  <c r="B97" i="13"/>
  <c r="B96" i="13"/>
  <c r="B95" i="13"/>
  <c r="B94" i="13"/>
  <c r="B93" i="13"/>
  <c r="C93" i="13" s="1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C49" i="13" s="1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C31" i="13" s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H275" i="1"/>
  <c r="H274" i="1"/>
  <c r="H273" i="1"/>
  <c r="H272" i="1"/>
  <c r="H271" i="1"/>
  <c r="H270" i="1"/>
  <c r="H269" i="1"/>
  <c r="H267" i="1"/>
  <c r="B150" i="15" s="1"/>
  <c r="B150" i="19" s="1"/>
  <c r="H266" i="1"/>
  <c r="B149" i="15" s="1"/>
  <c r="B149" i="19" s="1"/>
  <c r="H265" i="1"/>
  <c r="B148" i="15" s="1"/>
  <c r="B148" i="19" s="1"/>
  <c r="H264" i="1"/>
  <c r="B147" i="15" s="1"/>
  <c r="B147" i="19" s="1"/>
  <c r="H263" i="1"/>
  <c r="B146" i="15" s="1"/>
  <c r="B146" i="19" s="1"/>
  <c r="H262" i="1"/>
  <c r="B145" i="15" s="1"/>
  <c r="B145" i="19" s="1"/>
  <c r="H261" i="1"/>
  <c r="B144" i="15" s="1"/>
  <c r="B144" i="19" s="1"/>
  <c r="H260" i="1"/>
  <c r="H259" i="1"/>
  <c r="B141" i="15" s="1"/>
  <c r="B141" i="19" s="1"/>
  <c r="H258" i="1"/>
  <c r="B140" i="15" s="1"/>
  <c r="B140" i="19" s="1"/>
  <c r="H257" i="1"/>
  <c r="B139" i="15" s="1"/>
  <c r="B139" i="19" s="1"/>
  <c r="H256" i="1"/>
  <c r="H255" i="1"/>
  <c r="B136" i="15" s="1"/>
  <c r="B136" i="19" s="1"/>
  <c r="H254" i="1"/>
  <c r="B135" i="15" s="1"/>
  <c r="B135" i="19" s="1"/>
  <c r="H253" i="1"/>
  <c r="H252" i="1"/>
  <c r="H251" i="1"/>
  <c r="B132" i="15" s="1"/>
  <c r="B132" i="19" s="1"/>
  <c r="H250" i="1"/>
  <c r="H249" i="1"/>
  <c r="B130" i="15" s="1"/>
  <c r="B130" i="19" s="1"/>
  <c r="H248" i="1"/>
  <c r="B129" i="15" s="1"/>
  <c r="B129" i="19" s="1"/>
  <c r="H247" i="1"/>
  <c r="B128" i="15" s="1"/>
  <c r="B128" i="19" s="1"/>
  <c r="H246" i="1"/>
  <c r="B127" i="15" s="1"/>
  <c r="B127" i="19" s="1"/>
  <c r="H245" i="1"/>
  <c r="B126" i="15" s="1"/>
  <c r="B126" i="19" s="1"/>
  <c r="H244" i="1"/>
  <c r="B125" i="15" s="1"/>
  <c r="B125" i="19" s="1"/>
  <c r="H243" i="1"/>
  <c r="B124" i="15" s="1"/>
  <c r="B124" i="19" s="1"/>
  <c r="H242" i="1"/>
  <c r="B123" i="15" s="1"/>
  <c r="B123" i="19" s="1"/>
  <c r="H241" i="1"/>
  <c r="B122" i="15" s="1"/>
  <c r="B122" i="19" s="1"/>
  <c r="H240" i="1"/>
  <c r="B121" i="15" s="1"/>
  <c r="B121" i="19" s="1"/>
  <c r="H239" i="1"/>
  <c r="B120" i="15" s="1"/>
  <c r="B120" i="19" s="1"/>
  <c r="H238" i="1"/>
  <c r="B119" i="15" s="1"/>
  <c r="B119" i="19" s="1"/>
  <c r="H237" i="1"/>
  <c r="B118" i="15" s="1"/>
  <c r="B118" i="19" s="1"/>
  <c r="H236" i="1"/>
  <c r="B117" i="15" s="1"/>
  <c r="B117" i="19" s="1"/>
  <c r="H235" i="1"/>
  <c r="B116" i="15" s="1"/>
  <c r="B116" i="19" s="1"/>
  <c r="H234" i="1"/>
  <c r="B115" i="15" s="1"/>
  <c r="B115" i="19" s="1"/>
  <c r="H233" i="1"/>
  <c r="B114" i="15" s="1"/>
  <c r="B114" i="19" s="1"/>
  <c r="H232" i="1"/>
  <c r="B113" i="15" s="1"/>
  <c r="B113" i="19" s="1"/>
  <c r="H231" i="1"/>
  <c r="B112" i="15" s="1"/>
  <c r="B112" i="19" s="1"/>
  <c r="H230" i="1"/>
  <c r="B111" i="15" s="1"/>
  <c r="B111" i="19" s="1"/>
  <c r="H229" i="1"/>
  <c r="B110" i="15" s="1"/>
  <c r="B110" i="19" s="1"/>
  <c r="H228" i="1"/>
  <c r="B109" i="15" s="1"/>
  <c r="B109" i="19" s="1"/>
  <c r="H227" i="1"/>
  <c r="B108" i="15" s="1"/>
  <c r="B108" i="19" s="1"/>
  <c r="H226" i="1"/>
  <c r="B107" i="15" s="1"/>
  <c r="B107" i="19" s="1"/>
  <c r="H225" i="1"/>
  <c r="B106" i="15" s="1"/>
  <c r="B106" i="19" s="1"/>
  <c r="H224" i="1"/>
  <c r="B105" i="15" s="1"/>
  <c r="B105" i="19" s="1"/>
  <c r="H223" i="1"/>
  <c r="B104" i="15" s="1"/>
  <c r="B104" i="19" s="1"/>
  <c r="H222" i="1"/>
  <c r="B103" i="15" s="1"/>
  <c r="B103" i="19" s="1"/>
  <c r="H221" i="1"/>
  <c r="B102" i="15" s="1"/>
  <c r="B102" i="19" s="1"/>
  <c r="H220" i="1"/>
  <c r="B101" i="15" s="1"/>
  <c r="B101" i="19" s="1"/>
  <c r="H219" i="1"/>
  <c r="B100" i="15" s="1"/>
  <c r="B100" i="19" s="1"/>
  <c r="H218" i="1"/>
  <c r="B99" i="15" s="1"/>
  <c r="B99" i="19" s="1"/>
  <c r="H217" i="1"/>
  <c r="B98" i="15" s="1"/>
  <c r="B98" i="19" s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B60" i="15" s="1"/>
  <c r="B60" i="19" s="1"/>
  <c r="H182" i="1"/>
  <c r="B59" i="15" s="1"/>
  <c r="B59" i="19" s="1"/>
  <c r="H181" i="1"/>
  <c r="B58" i="15" s="1"/>
  <c r="B58" i="19" s="1"/>
  <c r="H180" i="1"/>
  <c r="B57" i="15" s="1"/>
  <c r="B57" i="19" s="1"/>
  <c r="H179" i="1"/>
  <c r="H178" i="1"/>
  <c r="H177" i="1"/>
  <c r="B53" i="15" s="1"/>
  <c r="B53" i="19" s="1"/>
  <c r="H176" i="1"/>
  <c r="B52" i="15" s="1"/>
  <c r="B52" i="19" s="1"/>
  <c r="H175" i="1"/>
  <c r="B51" i="15" s="1"/>
  <c r="B51" i="19" s="1"/>
  <c r="H174" i="1"/>
  <c r="B50" i="15" s="1"/>
  <c r="B50" i="19" s="1"/>
  <c r="H173" i="1"/>
  <c r="B49" i="15" s="1"/>
  <c r="B49" i="19" s="1"/>
  <c r="H172" i="1"/>
  <c r="B48" i="15" s="1"/>
  <c r="B48" i="19" s="1"/>
  <c r="H171" i="1"/>
  <c r="B47" i="15" s="1"/>
  <c r="B47" i="19" s="1"/>
  <c r="H170" i="1"/>
  <c r="B46" i="15" s="1"/>
  <c r="B46" i="19" s="1"/>
  <c r="H169" i="1"/>
  <c r="B45" i="15" s="1"/>
  <c r="B45" i="19" s="1"/>
  <c r="H168" i="1"/>
  <c r="B44" i="15" s="1"/>
  <c r="B44" i="19" s="1"/>
  <c r="H167" i="1"/>
  <c r="B43" i="15" s="1"/>
  <c r="B43" i="19" s="1"/>
  <c r="H166" i="1"/>
  <c r="B42" i="15" s="1"/>
  <c r="B42" i="19" s="1"/>
  <c r="H165" i="1"/>
  <c r="B41" i="15" s="1"/>
  <c r="B41" i="19" s="1"/>
  <c r="H164" i="1"/>
  <c r="B40" i="15" s="1"/>
  <c r="B40" i="19" s="1"/>
  <c r="H163" i="1"/>
  <c r="B39" i="15" s="1"/>
  <c r="B39" i="19" s="1"/>
  <c r="H162" i="1"/>
  <c r="B38" i="15" s="1"/>
  <c r="B38" i="19" s="1"/>
  <c r="H161" i="1"/>
  <c r="B37" i="15" s="1"/>
  <c r="B37" i="19" s="1"/>
  <c r="H160" i="1"/>
  <c r="B36" i="15" s="1"/>
  <c r="B36" i="19" s="1"/>
  <c r="H159" i="1"/>
  <c r="B35" i="15" s="1"/>
  <c r="B35" i="19" s="1"/>
  <c r="H158" i="1"/>
  <c r="B34" i="15" s="1"/>
  <c r="B34" i="19" s="1"/>
  <c r="H157" i="1"/>
  <c r="B33" i="15" s="1"/>
  <c r="B33" i="19" s="1"/>
  <c r="H156" i="1"/>
  <c r="B32" i="15" s="1"/>
  <c r="B32" i="19" s="1"/>
  <c r="H155" i="1"/>
  <c r="H154" i="1"/>
  <c r="H153" i="1"/>
  <c r="H152" i="1"/>
  <c r="B25" i="15" s="1"/>
  <c r="B25" i="19" s="1"/>
  <c r="H151" i="1"/>
  <c r="B24" i="15" s="1"/>
  <c r="B24" i="19" s="1"/>
  <c r="H150" i="1"/>
  <c r="B23" i="15" s="1"/>
  <c r="B23" i="19" s="1"/>
  <c r="H149" i="1"/>
  <c r="B22" i="15" s="1"/>
  <c r="B22" i="19" s="1"/>
  <c r="H148" i="1"/>
  <c r="B21" i="15" s="1"/>
  <c r="B21" i="19" s="1"/>
  <c r="H147" i="1"/>
  <c r="B20" i="15" s="1"/>
  <c r="B20" i="19" s="1"/>
  <c r="H146" i="1"/>
  <c r="B19" i="15" s="1"/>
  <c r="H145" i="1"/>
  <c r="H144" i="1"/>
  <c r="B16" i="15" s="1"/>
  <c r="H143" i="1"/>
  <c r="B15" i="15" s="1"/>
  <c r="H142" i="1"/>
  <c r="B14" i="15" s="1"/>
  <c r="H141" i="1"/>
  <c r="B13" i="15" s="1"/>
  <c r="H140" i="1"/>
  <c r="B12" i="15" s="1"/>
  <c r="H139" i="1"/>
  <c r="H138" i="1"/>
  <c r="H137" i="1"/>
  <c r="H136" i="1"/>
  <c r="H135" i="1"/>
  <c r="B155" i="14" s="1"/>
  <c r="H134" i="1"/>
  <c r="H133" i="1"/>
  <c r="H132" i="1"/>
  <c r="B152" i="14" s="1"/>
  <c r="H131" i="1"/>
  <c r="B151" i="14" s="1"/>
  <c r="H130" i="1"/>
  <c r="B150" i="14" s="1"/>
  <c r="H129" i="1"/>
  <c r="B149" i="14" s="1"/>
  <c r="H128" i="1"/>
  <c r="B148" i="14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B130" i="14" s="1"/>
  <c r="B128" i="18" s="1"/>
  <c r="H112" i="1"/>
  <c r="B129" i="14" s="1"/>
  <c r="B127" i="18" s="1"/>
  <c r="H111" i="1"/>
  <c r="B128" i="14" s="1"/>
  <c r="B126" i="18" s="1"/>
  <c r="H110" i="1"/>
  <c r="B127" i="14" s="1"/>
  <c r="B125" i="18" s="1"/>
  <c r="H109" i="1"/>
  <c r="B126" i="14" s="1"/>
  <c r="B124" i="18" s="1"/>
  <c r="H108" i="1"/>
  <c r="B125" i="14" s="1"/>
  <c r="B123" i="18" s="1"/>
  <c r="H107" i="1"/>
  <c r="B124" i="14" s="1"/>
  <c r="B122" i="18" s="1"/>
  <c r="H106" i="1"/>
  <c r="B123" i="14" s="1"/>
  <c r="B121" i="18" s="1"/>
  <c r="H105" i="1"/>
  <c r="H104" i="1"/>
  <c r="H103" i="1"/>
  <c r="H102" i="1"/>
  <c r="B115" i="14" s="1"/>
  <c r="B113" i="18" s="1"/>
  <c r="H101" i="1"/>
  <c r="B114" i="14" s="1"/>
  <c r="B112" i="18" s="1"/>
  <c r="H100" i="1"/>
  <c r="H99" i="1"/>
  <c r="B111" i="14" s="1"/>
  <c r="B109" i="18" s="1"/>
  <c r="H98" i="1"/>
  <c r="B110" i="14" s="1"/>
  <c r="B108" i="18" s="1"/>
  <c r="H97" i="1"/>
  <c r="B109" i="14" s="1"/>
  <c r="B107" i="18" s="1"/>
  <c r="H96" i="1"/>
  <c r="H94" i="1"/>
  <c r="B104" i="14" s="1"/>
  <c r="B104" i="18" s="1"/>
  <c r="H93" i="1"/>
  <c r="B103" i="14" s="1"/>
  <c r="B103" i="18" s="1"/>
  <c r="H92" i="1"/>
  <c r="B102" i="14" s="1"/>
  <c r="B102" i="18" s="1"/>
  <c r="H91" i="1"/>
  <c r="B101" i="14" s="1"/>
  <c r="B101" i="18" s="1"/>
  <c r="H90" i="1"/>
  <c r="B100" i="14" s="1"/>
  <c r="B100" i="18" s="1"/>
  <c r="H89" i="1"/>
  <c r="B99" i="14" s="1"/>
  <c r="B99" i="18" s="1"/>
  <c r="H88" i="1"/>
  <c r="B98" i="14" s="1"/>
  <c r="B98" i="18" s="1"/>
  <c r="H87" i="1"/>
  <c r="B97" i="14" s="1"/>
  <c r="B97" i="18" s="1"/>
  <c r="H86" i="1"/>
  <c r="B96" i="14" s="1"/>
  <c r="B96" i="18" s="1"/>
  <c r="H85" i="1"/>
  <c r="B95" i="14" s="1"/>
  <c r="B95" i="18" s="1"/>
  <c r="H84" i="1"/>
  <c r="B94" i="14" s="1"/>
  <c r="B94" i="18" s="1"/>
  <c r="H83" i="1"/>
  <c r="B93" i="14" s="1"/>
  <c r="B93" i="18" s="1"/>
  <c r="H82" i="1"/>
  <c r="B92" i="14" s="1"/>
  <c r="B92" i="18" s="1"/>
  <c r="H81" i="1"/>
  <c r="B91" i="14" s="1"/>
  <c r="B91" i="18" s="1"/>
  <c r="H80" i="1"/>
  <c r="B90" i="14" s="1"/>
  <c r="B90" i="18" s="1"/>
  <c r="H79" i="1"/>
  <c r="B89" i="14" s="1"/>
  <c r="B89" i="18" s="1"/>
  <c r="H78" i="1"/>
  <c r="B88" i="14" s="1"/>
  <c r="B88" i="18" s="1"/>
  <c r="H77" i="1"/>
  <c r="B87" i="14" s="1"/>
  <c r="B87" i="18" s="1"/>
  <c r="H76" i="1"/>
  <c r="H75" i="1"/>
  <c r="H74" i="1"/>
  <c r="B85" i="14" s="1"/>
  <c r="B85" i="18" s="1"/>
  <c r="H73" i="1"/>
  <c r="H72" i="1"/>
  <c r="H70" i="1"/>
  <c r="H69" i="1"/>
  <c r="H68" i="1"/>
  <c r="H67" i="1"/>
  <c r="H66" i="1"/>
  <c r="H65" i="1"/>
  <c r="B77" i="14" s="1"/>
  <c r="B77" i="18" s="1"/>
  <c r="H64" i="1"/>
  <c r="B76" i="14" s="1"/>
  <c r="B76" i="18" s="1"/>
  <c r="H63" i="1"/>
  <c r="B75" i="14" s="1"/>
  <c r="B75" i="18" s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B48" i="14" s="1"/>
  <c r="B48" i="18" s="1"/>
  <c r="H41" i="1"/>
  <c r="B47" i="14" s="1"/>
  <c r="B47" i="18" s="1"/>
  <c r="H40" i="1"/>
  <c r="B46" i="14" s="1"/>
  <c r="B46" i="18" s="1"/>
  <c r="H39" i="1"/>
  <c r="H38" i="1"/>
  <c r="H37" i="1"/>
  <c r="B42" i="14" s="1"/>
  <c r="B42" i="18" s="1"/>
  <c r="H36" i="1"/>
  <c r="B41" i="14" s="1"/>
  <c r="B41" i="18" s="1"/>
  <c r="H35" i="1"/>
  <c r="B40" i="14" s="1"/>
  <c r="B40" i="18" s="1"/>
  <c r="H34" i="1"/>
  <c r="H33" i="1"/>
  <c r="H32" i="1"/>
  <c r="H31" i="1"/>
  <c r="H30" i="1"/>
  <c r="H29" i="1"/>
  <c r="B32" i="14" s="1"/>
  <c r="B32" i="18" s="1"/>
  <c r="H28" i="1"/>
  <c r="B31" i="14" s="1"/>
  <c r="B31" i="18" s="1"/>
  <c r="H27" i="1"/>
  <c r="B30" i="14" s="1"/>
  <c r="B30" i="18" s="1"/>
  <c r="H26" i="1"/>
  <c r="B29" i="14" s="1"/>
  <c r="B29" i="18" s="1"/>
  <c r="H25" i="1"/>
  <c r="B28" i="14" s="1"/>
  <c r="B28" i="18" s="1"/>
  <c r="H24" i="1"/>
  <c r="B27" i="14" s="1"/>
  <c r="B27" i="18" s="1"/>
  <c r="H23" i="1"/>
  <c r="B26" i="14" s="1"/>
  <c r="B26" i="18" s="1"/>
  <c r="H22" i="1"/>
  <c r="B25" i="14" s="1"/>
  <c r="B25" i="18" s="1"/>
  <c r="H21" i="1"/>
  <c r="B24" i="14" s="1"/>
  <c r="B24" i="18" s="1"/>
  <c r="H20" i="1"/>
  <c r="B23" i="14" s="1"/>
  <c r="B23" i="18" s="1"/>
  <c r="H19" i="1"/>
  <c r="B22" i="14" s="1"/>
  <c r="B22" i="18" s="1"/>
  <c r="H18" i="1"/>
  <c r="B21" i="14" s="1"/>
  <c r="B21" i="18" s="1"/>
  <c r="H17" i="1"/>
  <c r="H16" i="1"/>
  <c r="H15" i="1"/>
  <c r="H14" i="1"/>
  <c r="H13" i="1"/>
  <c r="H12" i="1"/>
  <c r="H11" i="1"/>
  <c r="H10" i="1"/>
  <c r="H9" i="1"/>
  <c r="F84" i="6"/>
  <c r="F83" i="6"/>
  <c r="F82" i="6"/>
  <c r="F81" i="6"/>
  <c r="F80" i="6"/>
  <c r="F79" i="6"/>
  <c r="F78" i="6"/>
  <c r="F77" i="6"/>
  <c r="F76" i="6"/>
  <c r="B12" i="19" l="1"/>
  <c r="B12" i="24"/>
  <c r="B13" i="19"/>
  <c r="B14" i="19"/>
  <c r="B15" i="25"/>
  <c r="B15" i="19"/>
  <c r="B16" i="25"/>
  <c r="B16" i="19"/>
  <c r="B19" i="25"/>
  <c r="B19" i="19"/>
  <c r="B12" i="12"/>
  <c r="B146" i="18"/>
  <c r="B13" i="12"/>
  <c r="B147" i="18"/>
  <c r="B14" i="12"/>
  <c r="B148" i="18"/>
  <c r="B15" i="12"/>
  <c r="B149" i="18"/>
  <c r="B16" i="12"/>
  <c r="B150" i="18"/>
  <c r="B134" i="15"/>
  <c r="B134" i="19" s="1"/>
  <c r="B74" i="14"/>
  <c r="B74" i="18" s="1"/>
  <c r="B133" i="15"/>
  <c r="B133" i="19" s="1"/>
  <c r="B131" i="15"/>
  <c r="B131" i="19" s="1"/>
  <c r="B56" i="15"/>
  <c r="B56" i="19" s="1"/>
  <c r="B86" i="14"/>
  <c r="B86" i="18" s="1"/>
  <c r="B49" i="14"/>
  <c r="B49" i="18" s="1"/>
  <c r="B43" i="14"/>
  <c r="B43" i="18" s="1"/>
  <c r="C42" i="13"/>
  <c r="C103" i="13"/>
  <c r="G103" i="13" s="1"/>
  <c r="C118" i="13"/>
  <c r="C179" i="13"/>
  <c r="G179" i="13" s="1"/>
  <c r="C182" i="13"/>
  <c r="G182" i="13" s="1"/>
  <c r="C195" i="13"/>
  <c r="C213" i="13"/>
  <c r="C223" i="13"/>
  <c r="C227" i="13"/>
  <c r="F227" i="13" s="1"/>
  <c r="C230" i="13"/>
  <c r="C233" i="13"/>
  <c r="C234" i="13"/>
  <c r="C237" i="13"/>
  <c r="C238" i="13"/>
  <c r="C244" i="13"/>
  <c r="C254" i="13"/>
  <c r="C261" i="13"/>
  <c r="C266" i="13"/>
  <c r="C267" i="13"/>
  <c r="G267" i="13" s="1"/>
  <c r="C268" i="13"/>
  <c r="C269" i="13"/>
  <c r="C277" i="13"/>
  <c r="F267" i="13"/>
  <c r="F266" i="13"/>
  <c r="G233" i="13"/>
  <c r="G269" i="13"/>
  <c r="C211" i="13"/>
  <c r="G211" i="13" s="1"/>
  <c r="C249" i="13"/>
  <c r="F261" i="13"/>
  <c r="C262" i="13"/>
  <c r="G266" i="13"/>
  <c r="G261" i="13"/>
  <c r="C255" i="13"/>
  <c r="F255" i="13" s="1"/>
  <c r="C265" i="13"/>
  <c r="F265" i="13" s="1"/>
  <c r="C245" i="13"/>
  <c r="C260" i="13"/>
  <c r="C278" i="13"/>
  <c r="G278" i="13" s="1"/>
  <c r="C239" i="13"/>
  <c r="C246" i="13"/>
  <c r="G239" i="13"/>
  <c r="C253" i="13"/>
  <c r="F269" i="13"/>
  <c r="C275" i="13"/>
  <c r="F275" i="13" s="1"/>
  <c r="F245" i="13"/>
  <c r="C251" i="13"/>
  <c r="G245" i="13"/>
  <c r="F234" i="13"/>
  <c r="C242" i="13"/>
  <c r="F242" i="13" s="1"/>
  <c r="C250" i="13"/>
  <c r="C273" i="13"/>
  <c r="C231" i="13"/>
  <c r="F237" i="13"/>
  <c r="F238" i="13"/>
  <c r="C258" i="13"/>
  <c r="F230" i="13"/>
  <c r="G237" i="13"/>
  <c r="C276" i="13"/>
  <c r="C236" i="13"/>
  <c r="G236" i="13" s="1"/>
  <c r="G230" i="13"/>
  <c r="C235" i="13"/>
  <c r="C243" i="13"/>
  <c r="F243" i="13"/>
  <c r="F244" i="13"/>
  <c r="C263" i="13"/>
  <c r="F263" i="13" s="1"/>
  <c r="G263" i="13"/>
  <c r="C240" i="13"/>
  <c r="F240" i="13"/>
  <c r="C247" i="13"/>
  <c r="G231" i="13"/>
  <c r="G234" i="13"/>
  <c r="G238" i="13"/>
  <c r="C252" i="13"/>
  <c r="F254" i="13"/>
  <c r="G254" i="13"/>
  <c r="C256" i="13"/>
  <c r="G256" i="13"/>
  <c r="F256" i="13"/>
  <c r="G244" i="13"/>
  <c r="G260" i="13"/>
  <c r="G268" i="13"/>
  <c r="F233" i="13"/>
  <c r="F249" i="13"/>
  <c r="G265" i="13"/>
  <c r="G277" i="13"/>
  <c r="F260" i="13"/>
  <c r="G262" i="13"/>
  <c r="F268" i="13"/>
  <c r="C274" i="13"/>
  <c r="F277" i="13"/>
  <c r="G249" i="13"/>
  <c r="C259" i="13"/>
  <c r="C232" i="13"/>
  <c r="C241" i="13"/>
  <c r="C248" i="13"/>
  <c r="C257" i="13"/>
  <c r="F257" i="13" s="1"/>
  <c r="C264" i="13"/>
  <c r="C27" i="13"/>
  <c r="G27" i="13" s="1"/>
  <c r="C83" i="13"/>
  <c r="C215" i="13"/>
  <c r="C219" i="13"/>
  <c r="G219" i="13" s="1"/>
  <c r="C221" i="13"/>
  <c r="F223" i="13"/>
  <c r="C192" i="13"/>
  <c r="C71" i="13"/>
  <c r="G71" i="13" s="1"/>
  <c r="C160" i="13"/>
  <c r="G195" i="13"/>
  <c r="C154" i="13"/>
  <c r="F154" i="13" s="1"/>
  <c r="C199" i="13"/>
  <c r="C203" i="13"/>
  <c r="G203" i="13" s="1"/>
  <c r="C207" i="13"/>
  <c r="G223" i="13"/>
  <c r="G227" i="13"/>
  <c r="C229" i="13"/>
  <c r="F229" i="13" s="1"/>
  <c r="F213" i="13"/>
  <c r="G207" i="13"/>
  <c r="C208" i="13"/>
  <c r="C216" i="13"/>
  <c r="C224" i="13"/>
  <c r="C200" i="13"/>
  <c r="C205" i="13"/>
  <c r="G205" i="13" s="1"/>
  <c r="C202" i="13"/>
  <c r="F203" i="13"/>
  <c r="C210" i="13"/>
  <c r="G210" i="13" s="1"/>
  <c r="F211" i="13"/>
  <c r="C218" i="13"/>
  <c r="F218" i="13" s="1"/>
  <c r="C226" i="13"/>
  <c r="F226" i="13" s="1"/>
  <c r="F208" i="13"/>
  <c r="F216" i="13"/>
  <c r="C228" i="13"/>
  <c r="F228" i="13" s="1"/>
  <c r="C201" i="13"/>
  <c r="F202" i="13"/>
  <c r="C209" i="13"/>
  <c r="C217" i="13"/>
  <c r="G221" i="13"/>
  <c r="C225" i="13"/>
  <c r="C204" i="13"/>
  <c r="F204" i="13" s="1"/>
  <c r="G208" i="13"/>
  <c r="C212" i="13"/>
  <c r="F212" i="13" s="1"/>
  <c r="C220" i="13"/>
  <c r="F220" i="13" s="1"/>
  <c r="G213" i="13"/>
  <c r="C206" i="13"/>
  <c r="C214" i="13"/>
  <c r="G214" i="13" s="1"/>
  <c r="C222" i="13"/>
  <c r="C51" i="13"/>
  <c r="C141" i="13"/>
  <c r="G141" i="13" s="1"/>
  <c r="C158" i="13"/>
  <c r="C127" i="13"/>
  <c r="F127" i="13" s="1"/>
  <c r="C70" i="13"/>
  <c r="F70" i="13" s="1"/>
  <c r="C100" i="13"/>
  <c r="F100" i="13" s="1"/>
  <c r="C133" i="13"/>
  <c r="G133" i="13" s="1"/>
  <c r="C159" i="13"/>
  <c r="G159" i="13" s="1"/>
  <c r="C17" i="13"/>
  <c r="C36" i="13"/>
  <c r="C117" i="13"/>
  <c r="F117" i="13" s="1"/>
  <c r="C174" i="13"/>
  <c r="C175" i="13"/>
  <c r="G175" i="13" s="1"/>
  <c r="C104" i="13"/>
  <c r="F104" i="13" s="1"/>
  <c r="C125" i="13"/>
  <c r="C101" i="13"/>
  <c r="C110" i="13"/>
  <c r="G110" i="13" s="1"/>
  <c r="C150" i="13"/>
  <c r="F150" i="13" s="1"/>
  <c r="F179" i="13"/>
  <c r="C190" i="13"/>
  <c r="F190" i="13" s="1"/>
  <c r="F192" i="13"/>
  <c r="C157" i="13"/>
  <c r="C171" i="13"/>
  <c r="G171" i="13" s="1"/>
  <c r="C194" i="13"/>
  <c r="C115" i="13"/>
  <c r="F182" i="13"/>
  <c r="C187" i="13"/>
  <c r="G187" i="13" s="1"/>
  <c r="F195" i="13"/>
  <c r="C155" i="13"/>
  <c r="C148" i="13"/>
  <c r="G148" i="13" s="1"/>
  <c r="C178" i="13"/>
  <c r="G178" i="13" s="1"/>
  <c r="C172" i="13"/>
  <c r="C161" i="13"/>
  <c r="C152" i="13"/>
  <c r="C168" i="13"/>
  <c r="C180" i="13"/>
  <c r="C181" i="13"/>
  <c r="G181" i="13" s="1"/>
  <c r="C188" i="13"/>
  <c r="C189" i="13"/>
  <c r="C197" i="13"/>
  <c r="F171" i="13"/>
  <c r="C176" i="13"/>
  <c r="F176" i="13" s="1"/>
  <c r="C153" i="13"/>
  <c r="C162" i="13"/>
  <c r="F162" i="13" s="1"/>
  <c r="C169" i="13"/>
  <c r="C173" i="13"/>
  <c r="G192" i="13"/>
  <c r="F194" i="13"/>
  <c r="F166" i="13"/>
  <c r="C184" i="13"/>
  <c r="F184" i="13" s="1"/>
  <c r="C165" i="13"/>
  <c r="G165" i="13" s="1"/>
  <c r="C183" i="13"/>
  <c r="F183" i="13" s="1"/>
  <c r="C191" i="13"/>
  <c r="F191" i="13" s="1"/>
  <c r="C196" i="13"/>
  <c r="F196" i="13"/>
  <c r="F164" i="13"/>
  <c r="C149" i="13"/>
  <c r="G149" i="13" s="1"/>
  <c r="C151" i="13"/>
  <c r="F151" i="13" s="1"/>
  <c r="G164" i="13"/>
  <c r="C167" i="13"/>
  <c r="G167" i="13" s="1"/>
  <c r="C156" i="13"/>
  <c r="G156" i="13" s="1"/>
  <c r="C163" i="13"/>
  <c r="C170" i="13"/>
  <c r="C186" i="13"/>
  <c r="C177" i="13"/>
  <c r="C185" i="13"/>
  <c r="C193" i="13"/>
  <c r="C198" i="13"/>
  <c r="C132" i="13"/>
  <c r="F132" i="13" s="1"/>
  <c r="C62" i="13"/>
  <c r="C57" i="13"/>
  <c r="C60" i="13"/>
  <c r="C76" i="13"/>
  <c r="G76" i="13" s="1"/>
  <c r="G42" i="13"/>
  <c r="F42" i="13"/>
  <c r="C44" i="13"/>
  <c r="C69" i="13"/>
  <c r="F69" i="13" s="1"/>
  <c r="C91" i="13"/>
  <c r="C109" i="13"/>
  <c r="C79" i="13"/>
  <c r="F79" i="13" s="1"/>
  <c r="C84" i="13"/>
  <c r="C28" i="13"/>
  <c r="C46" i="13"/>
  <c r="C59" i="13"/>
  <c r="C75" i="13"/>
  <c r="G83" i="13"/>
  <c r="C87" i="13"/>
  <c r="C29" i="13"/>
  <c r="F29" i="13" s="1"/>
  <c r="C52" i="13"/>
  <c r="G52" i="13" s="1"/>
  <c r="C107" i="13"/>
  <c r="F107" i="13" s="1"/>
  <c r="F110" i="13"/>
  <c r="C67" i="13"/>
  <c r="C89" i="13"/>
  <c r="C147" i="13"/>
  <c r="G147" i="13" s="1"/>
  <c r="C95" i="13"/>
  <c r="C96" i="13"/>
  <c r="G96" i="13" s="1"/>
  <c r="C97" i="13"/>
  <c r="C99" i="13"/>
  <c r="C123" i="13"/>
  <c r="C124" i="13"/>
  <c r="G124" i="13" s="1"/>
  <c r="C134" i="13"/>
  <c r="C135" i="13"/>
  <c r="C142" i="13"/>
  <c r="F142" i="13" s="1"/>
  <c r="C21" i="13"/>
  <c r="C26" i="13"/>
  <c r="C34" i="13"/>
  <c r="C37" i="13"/>
  <c r="C50" i="13"/>
  <c r="C58" i="13"/>
  <c r="F58" i="13" s="1"/>
  <c r="C68" i="13"/>
  <c r="C102" i="13"/>
  <c r="C119" i="13"/>
  <c r="F119" i="13" s="1"/>
  <c r="C139" i="13"/>
  <c r="G139" i="13" s="1"/>
  <c r="C143" i="13"/>
  <c r="C126" i="13"/>
  <c r="C94" i="13"/>
  <c r="G51" i="13"/>
  <c r="C53" i="13"/>
  <c r="G53" i="13" s="1"/>
  <c r="C15" i="13"/>
  <c r="F15" i="13" s="1"/>
  <c r="C24" i="13"/>
  <c r="F24" i="13" s="1"/>
  <c r="F27" i="13"/>
  <c r="C65" i="13"/>
  <c r="G65" i="13" s="1"/>
  <c r="C77" i="13"/>
  <c r="F77" i="13" s="1"/>
  <c r="C86" i="13"/>
  <c r="C72" i="13"/>
  <c r="C92" i="13"/>
  <c r="G92" i="13"/>
  <c r="F92" i="13"/>
  <c r="G49" i="13"/>
  <c r="F49" i="13"/>
  <c r="C48" i="13"/>
  <c r="C25" i="13"/>
  <c r="C56" i="13"/>
  <c r="F56" i="13" s="1"/>
  <c r="C64" i="13"/>
  <c r="C43" i="13"/>
  <c r="G43" i="13" s="1"/>
  <c r="G31" i="13"/>
  <c r="C16" i="13"/>
  <c r="G16" i="13" s="1"/>
  <c r="C47" i="13"/>
  <c r="F47" i="13" s="1"/>
  <c r="G48" i="13"/>
  <c r="C55" i="13"/>
  <c r="F55" i="13" s="1"/>
  <c r="G93" i="13"/>
  <c r="F93" i="13"/>
  <c r="C35" i="13"/>
  <c r="F35" i="13" s="1"/>
  <c r="C18" i="13"/>
  <c r="C39" i="13"/>
  <c r="C30" i="13"/>
  <c r="G30" i="13" s="1"/>
  <c r="C22" i="13"/>
  <c r="G22" i="13" s="1"/>
  <c r="C33" i="13"/>
  <c r="G33" i="13" s="1"/>
  <c r="C41" i="13"/>
  <c r="F64" i="13"/>
  <c r="F76" i="13"/>
  <c r="C80" i="13"/>
  <c r="C38" i="13"/>
  <c r="G38" i="13" s="1"/>
  <c r="C14" i="13"/>
  <c r="C19" i="13"/>
  <c r="G19" i="13" s="1"/>
  <c r="F17" i="13"/>
  <c r="C20" i="13"/>
  <c r="C23" i="13"/>
  <c r="F31" i="13"/>
  <c r="G36" i="13"/>
  <c r="F36" i="13"/>
  <c r="C63" i="13"/>
  <c r="F63" i="13" s="1"/>
  <c r="F108" i="13"/>
  <c r="F111" i="13"/>
  <c r="G111" i="13"/>
  <c r="G118" i="13"/>
  <c r="C105" i="13"/>
  <c r="G108" i="13"/>
  <c r="C113" i="13"/>
  <c r="F118" i="13"/>
  <c r="C121" i="13"/>
  <c r="F44" i="13"/>
  <c r="C32" i="13"/>
  <c r="C40" i="13"/>
  <c r="G44" i="13"/>
  <c r="C45" i="13"/>
  <c r="C54" i="13"/>
  <c r="C61" i="13"/>
  <c r="C66" i="13"/>
  <c r="G66" i="13" s="1"/>
  <c r="C73" i="13"/>
  <c r="C78" i="13"/>
  <c r="C81" i="13"/>
  <c r="F81" i="13" s="1"/>
  <c r="C82" i="13"/>
  <c r="F82" i="13"/>
  <c r="G104" i="13"/>
  <c r="G107" i="13"/>
  <c r="G116" i="13"/>
  <c r="F75" i="13"/>
  <c r="C88" i="13"/>
  <c r="G99" i="13"/>
  <c r="C90" i="13"/>
  <c r="F116" i="13"/>
  <c r="F68" i="13"/>
  <c r="G91" i="13"/>
  <c r="F101" i="13"/>
  <c r="C112" i="13"/>
  <c r="F112" i="13" s="1"/>
  <c r="C129" i="13"/>
  <c r="F129" i="13"/>
  <c r="C120" i="13"/>
  <c r="C130" i="13"/>
  <c r="C85" i="13"/>
  <c r="C106" i="13"/>
  <c r="G106" i="13" s="1"/>
  <c r="F103" i="13"/>
  <c r="F125" i="13"/>
  <c r="C128" i="13"/>
  <c r="G134" i="13"/>
  <c r="C137" i="13"/>
  <c r="F137" i="13" s="1"/>
  <c r="C138" i="13"/>
  <c r="G138" i="13" s="1"/>
  <c r="C140" i="13"/>
  <c r="C145" i="13"/>
  <c r="F145" i="13" s="1"/>
  <c r="F83" i="13"/>
  <c r="C114" i="13"/>
  <c r="F115" i="13"/>
  <c r="G115" i="13"/>
  <c r="C122" i="13"/>
  <c r="F123" i="13"/>
  <c r="G123" i="13"/>
  <c r="C136" i="13"/>
  <c r="G142" i="13"/>
  <c r="C144" i="13"/>
  <c r="G143" i="13"/>
  <c r="G131" i="13"/>
  <c r="C146" i="13"/>
  <c r="F146" i="13" s="1"/>
  <c r="G117" i="13"/>
  <c r="G125" i="13"/>
  <c r="F131" i="13"/>
  <c r="F147" i="13"/>
  <c r="G247" i="13" l="1"/>
  <c r="F276" i="13"/>
  <c r="G194" i="13"/>
  <c r="F200" i="13"/>
  <c r="G255" i="13"/>
  <c r="F273" i="13"/>
  <c r="G15" i="13"/>
  <c r="F71" i="13"/>
  <c r="F141" i="13"/>
  <c r="F252" i="13"/>
  <c r="F236" i="13"/>
  <c r="F91" i="13"/>
  <c r="F178" i="13"/>
  <c r="F253" i="13"/>
  <c r="F247" i="13"/>
  <c r="F246" i="13"/>
  <c r="F134" i="13"/>
  <c r="F99" i="13"/>
  <c r="G28" i="13"/>
  <c r="G75" i="13"/>
  <c r="G172" i="13"/>
  <c r="F172" i="13"/>
  <c r="F160" i="13"/>
  <c r="G199" i="13"/>
  <c r="G161" i="13"/>
  <c r="G246" i="13"/>
  <c r="G250" i="13"/>
  <c r="F62" i="13"/>
  <c r="G57" i="13"/>
  <c r="G157" i="13"/>
  <c r="G216" i="13"/>
  <c r="F250" i="13"/>
  <c r="F57" i="13"/>
  <c r="F133" i="13"/>
  <c r="F95" i="13"/>
  <c r="G39" i="13"/>
  <c r="G58" i="13"/>
  <c r="F51" i="13"/>
  <c r="F157" i="13"/>
  <c r="G229" i="13"/>
  <c r="G235" i="13"/>
  <c r="G253" i="13"/>
  <c r="G121" i="13"/>
  <c r="F274" i="13"/>
  <c r="F239" i="13"/>
  <c r="G275" i="13"/>
  <c r="F84" i="13"/>
  <c r="G145" i="13"/>
  <c r="F139" i="13"/>
  <c r="G109" i="13"/>
  <c r="F53" i="13"/>
  <c r="G160" i="13"/>
  <c r="F235" i="13"/>
  <c r="F278" i="13"/>
  <c r="G84" i="13"/>
  <c r="G17" i="13"/>
  <c r="G196" i="13"/>
  <c r="G176" i="13"/>
  <c r="F168" i="13"/>
  <c r="F219" i="13"/>
  <c r="F207" i="13"/>
  <c r="G252" i="13"/>
  <c r="F262" i="13"/>
  <c r="F264" i="13"/>
  <c r="G264" i="13"/>
  <c r="F259" i="13"/>
  <c r="G259" i="13"/>
  <c r="G240" i="13"/>
  <c r="G273" i="13"/>
  <c r="G251" i="13"/>
  <c r="F232" i="13"/>
  <c r="G232" i="13"/>
  <c r="G274" i="13"/>
  <c r="G276" i="13"/>
  <c r="F248" i="13"/>
  <c r="G248" i="13"/>
  <c r="G242" i="13"/>
  <c r="F231" i="13"/>
  <c r="F251" i="13"/>
  <c r="F258" i="13"/>
  <c r="G243" i="13"/>
  <c r="G257" i="13"/>
  <c r="G258" i="13"/>
  <c r="G241" i="13"/>
  <c r="F241" i="13"/>
  <c r="G25" i="13"/>
  <c r="G150" i="13"/>
  <c r="G29" i="13"/>
  <c r="G86" i="13"/>
  <c r="G215" i="13"/>
  <c r="F138" i="13"/>
  <c r="F120" i="13"/>
  <c r="G119" i="13"/>
  <c r="F18" i="13"/>
  <c r="G70" i="13"/>
  <c r="F210" i="13"/>
  <c r="G154" i="13"/>
  <c r="F199" i="13"/>
  <c r="F221" i="13"/>
  <c r="F215" i="13"/>
  <c r="F222" i="13"/>
  <c r="G209" i="13"/>
  <c r="G228" i="13"/>
  <c r="G204" i="13"/>
  <c r="F209" i="13"/>
  <c r="F206" i="13"/>
  <c r="G225" i="13"/>
  <c r="F217" i="13"/>
  <c r="G200" i="13"/>
  <c r="G206" i="13"/>
  <c r="G217" i="13"/>
  <c r="F201" i="13"/>
  <c r="F225" i="13"/>
  <c r="F205" i="13"/>
  <c r="G218" i="13"/>
  <c r="G222" i="13"/>
  <c r="G202" i="13"/>
  <c r="G224" i="13"/>
  <c r="F224" i="13"/>
  <c r="G201" i="13"/>
  <c r="G212" i="13"/>
  <c r="F214" i="13"/>
  <c r="G220" i="13"/>
  <c r="G226" i="13"/>
  <c r="G127" i="13"/>
  <c r="G158" i="13"/>
  <c r="G24" i="13"/>
  <c r="G191" i="13"/>
  <c r="F197" i="13"/>
  <c r="G174" i="13"/>
  <c r="F52" i="13"/>
  <c r="G197" i="13"/>
  <c r="F60" i="13"/>
  <c r="F96" i="13"/>
  <c r="F165" i="13"/>
  <c r="G151" i="13"/>
  <c r="F124" i="13"/>
  <c r="G64" i="13"/>
  <c r="F72" i="13"/>
  <c r="G77" i="13"/>
  <c r="G60" i="13"/>
  <c r="F158" i="13"/>
  <c r="F187" i="13"/>
  <c r="G113" i="13"/>
  <c r="G101" i="13"/>
  <c r="G100" i="13"/>
  <c r="G62" i="13"/>
  <c r="F39" i="13"/>
  <c r="G162" i="13"/>
  <c r="G190" i="13"/>
  <c r="G81" i="13"/>
  <c r="F28" i="13"/>
  <c r="F16" i="13"/>
  <c r="G80" i="13"/>
  <c r="G59" i="13"/>
  <c r="F86" i="13"/>
  <c r="G95" i="13"/>
  <c r="G186" i="13"/>
  <c r="F159" i="13"/>
  <c r="F175" i="13"/>
  <c r="F174" i="13"/>
  <c r="F167" i="13"/>
  <c r="G189" i="13"/>
  <c r="F155" i="13"/>
  <c r="G152" i="13"/>
  <c r="G155" i="13"/>
  <c r="F149" i="13"/>
  <c r="F181" i="13"/>
  <c r="G185" i="13"/>
  <c r="F185" i="13"/>
  <c r="G177" i="13"/>
  <c r="F177" i="13"/>
  <c r="F153" i="13"/>
  <c r="G153" i="13"/>
  <c r="F173" i="13"/>
  <c r="G188" i="13"/>
  <c r="F188" i="13"/>
  <c r="F156" i="13"/>
  <c r="F148" i="13"/>
  <c r="F169" i="13"/>
  <c r="G169" i="13"/>
  <c r="F180" i="13"/>
  <c r="G180" i="13"/>
  <c r="G170" i="13"/>
  <c r="G183" i="13"/>
  <c r="F170" i="13"/>
  <c r="G173" i="13"/>
  <c r="G168" i="13"/>
  <c r="G163" i="13"/>
  <c r="F163" i="13"/>
  <c r="G198" i="13"/>
  <c r="F198" i="13"/>
  <c r="G193" i="13"/>
  <c r="F193" i="13"/>
  <c r="F186" i="13"/>
  <c r="G184" i="13"/>
  <c r="F152" i="13"/>
  <c r="F161" i="13"/>
  <c r="F189" i="13"/>
  <c r="G102" i="13"/>
  <c r="F102" i="13"/>
  <c r="G37" i="13"/>
  <c r="F37" i="13"/>
  <c r="F54" i="13"/>
  <c r="G35" i="13"/>
  <c r="G34" i="13"/>
  <c r="F34" i="13"/>
  <c r="G87" i="13"/>
  <c r="G46" i="13"/>
  <c r="F38" i="13"/>
  <c r="G126" i="13"/>
  <c r="F26" i="13"/>
  <c r="G26" i="13"/>
  <c r="F135" i="13"/>
  <c r="G135" i="13"/>
  <c r="G89" i="13"/>
  <c r="F126" i="13"/>
  <c r="G129" i="13"/>
  <c r="F78" i="13"/>
  <c r="G47" i="13"/>
  <c r="G72" i="13"/>
  <c r="G68" i="13"/>
  <c r="F89" i="13"/>
  <c r="F143" i="13"/>
  <c r="F21" i="13"/>
  <c r="G21" i="13"/>
  <c r="F59" i="13"/>
  <c r="G79" i="13"/>
  <c r="G140" i="13"/>
  <c r="G132" i="13"/>
  <c r="G69" i="13"/>
  <c r="F109" i="13"/>
  <c r="F46" i="13"/>
  <c r="F105" i="13"/>
  <c r="F43" i="13"/>
  <c r="F97" i="13"/>
  <c r="G97" i="13"/>
  <c r="G67" i="13"/>
  <c r="F67" i="13"/>
  <c r="F65" i="13"/>
  <c r="G50" i="13"/>
  <c r="F50" i="13"/>
  <c r="F87" i="13"/>
  <c r="F80" i="13"/>
  <c r="F20" i="13"/>
  <c r="F14" i="13"/>
  <c r="G14" i="13"/>
  <c r="F140" i="13"/>
  <c r="G146" i="13"/>
  <c r="G128" i="13"/>
  <c r="F128" i="13"/>
  <c r="G130" i="13"/>
  <c r="F113" i="13"/>
  <c r="F66" i="13"/>
  <c r="F121" i="13"/>
  <c r="G78" i="13"/>
  <c r="G63" i="13"/>
  <c r="F19" i="13"/>
  <c r="G20" i="13"/>
  <c r="G94" i="13"/>
  <c r="F88" i="13"/>
  <c r="G88" i="13"/>
  <c r="F130" i="13"/>
  <c r="G54" i="13"/>
  <c r="G105" i="13"/>
  <c r="G18" i="13"/>
  <c r="F41" i="13"/>
  <c r="F94" i="13"/>
  <c r="F40" i="13"/>
  <c r="G40" i="13"/>
  <c r="G41" i="13"/>
  <c r="F22" i="13"/>
  <c r="G137" i="13"/>
  <c r="G122" i="13"/>
  <c r="F23" i="13"/>
  <c r="G23" i="13"/>
  <c r="G120" i="13"/>
  <c r="F106" i="13"/>
  <c r="G82" i="13"/>
  <c r="G73" i="13"/>
  <c r="F73" i="13"/>
  <c r="F45" i="13"/>
  <c r="G45" i="13"/>
  <c r="F32" i="13"/>
  <c r="G32" i="13"/>
  <c r="G56" i="13"/>
  <c r="F33" i="13"/>
  <c r="F48" i="13"/>
  <c r="F30" i="13"/>
  <c r="G114" i="13"/>
  <c r="G144" i="13"/>
  <c r="F144" i="13"/>
  <c r="G136" i="13"/>
  <c r="F136" i="13"/>
  <c r="F122" i="13"/>
  <c r="F114" i="13"/>
  <c r="G85" i="13"/>
  <c r="F85" i="13"/>
  <c r="G112" i="13"/>
  <c r="G90" i="13"/>
  <c r="F90" i="13"/>
  <c r="F61" i="13"/>
  <c r="G61" i="13"/>
  <c r="F25" i="13"/>
  <c r="G55" i="13"/>
  <c r="H65" i="15"/>
  <c r="H64" i="15"/>
  <c r="H63" i="15"/>
  <c r="H62" i="15"/>
  <c r="H27" i="15"/>
  <c r="R64" i="24"/>
  <c r="R63" i="24"/>
  <c r="R56" i="24"/>
  <c r="R24" i="24"/>
  <c r="R23" i="24"/>
  <c r="R15" i="24"/>
  <c r="S7" i="18"/>
  <c r="S56" i="18"/>
  <c r="S35" i="18"/>
  <c r="H163" i="14"/>
  <c r="H159" i="14"/>
  <c r="H158" i="14"/>
  <c r="H157" i="14"/>
  <c r="H156" i="14"/>
  <c r="H145" i="14"/>
  <c r="H144" i="14"/>
  <c r="H143" i="14"/>
  <c r="H140" i="14"/>
  <c r="H139" i="14"/>
  <c r="H120" i="14"/>
  <c r="H119" i="14"/>
  <c r="H84" i="14"/>
  <c r="H83" i="14"/>
  <c r="H68" i="14"/>
  <c r="H67" i="14"/>
  <c r="H66" i="14"/>
  <c r="H65" i="14"/>
  <c r="H56" i="14"/>
  <c r="H55" i="14"/>
  <c r="H52" i="14"/>
  <c r="H51" i="14"/>
  <c r="H35" i="14"/>
  <c r="H34" i="14"/>
  <c r="H33" i="14"/>
  <c r="H17" i="14"/>
  <c r="H16" i="14"/>
  <c r="H10" i="14"/>
  <c r="B56" i="24" l="1"/>
  <c r="B24" i="24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Q8" i="18" l="1"/>
  <c r="P8" i="18"/>
  <c r="O8" i="18"/>
  <c r="N8" i="18"/>
  <c r="M8" i="18"/>
  <c r="L8" i="18"/>
  <c r="K8" i="18"/>
  <c r="J8" i="18"/>
  <c r="I8" i="18"/>
  <c r="H8" i="18"/>
  <c r="G8" i="18"/>
  <c r="F8" i="18"/>
  <c r="B16" i="18"/>
  <c r="B17" i="18"/>
  <c r="B33" i="18"/>
  <c r="B11" i="18"/>
  <c r="B13" i="13"/>
  <c r="B12" i="13"/>
  <c r="H8" i="1"/>
  <c r="B97" i="15"/>
  <c r="B97" i="19" s="1"/>
  <c r="D97" i="19" s="1"/>
  <c r="B96" i="15"/>
  <c r="B96" i="19" s="1"/>
  <c r="D96" i="19" s="1"/>
  <c r="B95" i="15"/>
  <c r="B95" i="19" s="1"/>
  <c r="D95" i="19" s="1"/>
  <c r="B92" i="15"/>
  <c r="B92" i="19" s="1"/>
  <c r="D92" i="19" s="1"/>
  <c r="B91" i="15"/>
  <c r="B91" i="19" s="1"/>
  <c r="D91" i="19" s="1"/>
  <c r="B90" i="15"/>
  <c r="B90" i="19" s="1"/>
  <c r="D90" i="19" s="1"/>
  <c r="B89" i="15"/>
  <c r="B89" i="19" s="1"/>
  <c r="D89" i="19" s="1"/>
  <c r="B88" i="15"/>
  <c r="B88" i="19" s="1"/>
  <c r="D88" i="19" s="1"/>
  <c r="B87" i="15"/>
  <c r="B87" i="19" s="1"/>
  <c r="D87" i="19" s="1"/>
  <c r="B86" i="15"/>
  <c r="B86" i="19" s="1"/>
  <c r="D86" i="19" s="1"/>
  <c r="B85" i="15"/>
  <c r="B85" i="19" s="1"/>
  <c r="D85" i="19" s="1"/>
  <c r="B84" i="15"/>
  <c r="B84" i="19" s="1"/>
  <c r="D84" i="19" s="1"/>
  <c r="B83" i="15"/>
  <c r="B83" i="19" s="1"/>
  <c r="D83" i="19" s="1"/>
  <c r="B82" i="15"/>
  <c r="B82" i="19" s="1"/>
  <c r="D82" i="19" s="1"/>
  <c r="B81" i="15"/>
  <c r="B81" i="19" s="1"/>
  <c r="D81" i="19" s="1"/>
  <c r="B80" i="15"/>
  <c r="B80" i="19" s="1"/>
  <c r="D80" i="19" s="1"/>
  <c r="B79" i="15"/>
  <c r="B79" i="19" s="1"/>
  <c r="D79" i="19" s="1"/>
  <c r="B78" i="15"/>
  <c r="B78" i="19" s="1"/>
  <c r="D78" i="19" s="1"/>
  <c r="B77" i="15"/>
  <c r="B77" i="19" s="1"/>
  <c r="D77" i="19" s="1"/>
  <c r="B76" i="15"/>
  <c r="B76" i="19" s="1"/>
  <c r="D76" i="19" s="1"/>
  <c r="B75" i="15"/>
  <c r="B75" i="19" s="1"/>
  <c r="D75" i="19" s="1"/>
  <c r="B74" i="15"/>
  <c r="B74" i="19" s="1"/>
  <c r="D74" i="19" s="1"/>
  <c r="B73" i="15"/>
  <c r="B73" i="19" s="1"/>
  <c r="D73" i="19" s="1"/>
  <c r="B72" i="15"/>
  <c r="B72" i="19" s="1"/>
  <c r="D72" i="19" s="1"/>
  <c r="B71" i="15"/>
  <c r="B71" i="19" s="1"/>
  <c r="D71" i="19" s="1"/>
  <c r="B70" i="15"/>
  <c r="B70" i="19" s="1"/>
  <c r="D70" i="19" s="1"/>
  <c r="B68" i="15"/>
  <c r="B68" i="19" s="1"/>
  <c r="D68" i="19" s="1"/>
  <c r="B67" i="15"/>
  <c r="B67" i="19" s="1"/>
  <c r="D67" i="19" s="1"/>
  <c r="B66" i="15"/>
  <c r="B66" i="19" s="1"/>
  <c r="D66" i="19" s="1"/>
  <c r="B31" i="15"/>
  <c r="B31" i="19" s="1"/>
  <c r="D31" i="19" s="1"/>
  <c r="B30" i="15"/>
  <c r="B30" i="19" s="1"/>
  <c r="D30" i="19" s="1"/>
  <c r="B11" i="15"/>
  <c r="B10" i="15"/>
  <c r="B147" i="14"/>
  <c r="B145" i="18" s="1"/>
  <c r="B142" i="14"/>
  <c r="B140" i="18" s="1"/>
  <c r="B141" i="14"/>
  <c r="B139" i="18" s="1"/>
  <c r="B64" i="14"/>
  <c r="B64" i="18" s="1"/>
  <c r="B63" i="14"/>
  <c r="B63" i="18" s="1"/>
  <c r="B62" i="14"/>
  <c r="B62" i="18" s="1"/>
  <c r="B61" i="14"/>
  <c r="B61" i="18" s="1"/>
  <c r="B60" i="14"/>
  <c r="B60" i="18" s="1"/>
  <c r="B59" i="14"/>
  <c r="B59" i="18" s="1"/>
  <c r="B58" i="14"/>
  <c r="B58" i="18" s="1"/>
  <c r="B57" i="14"/>
  <c r="B57" i="18" s="1"/>
  <c r="B54" i="14"/>
  <c r="B54" i="18" s="1"/>
  <c r="B53" i="14"/>
  <c r="B53" i="18" s="1"/>
  <c r="B39" i="14"/>
  <c r="B39" i="18" s="1"/>
  <c r="B38" i="14"/>
  <c r="B38" i="18" s="1"/>
  <c r="B37" i="14"/>
  <c r="B37" i="18" s="1"/>
  <c r="B36" i="14"/>
  <c r="B36" i="18" s="1"/>
  <c r="B20" i="14"/>
  <c r="B20" i="18" s="1"/>
  <c r="D20" i="18" s="1"/>
  <c r="B19" i="14"/>
  <c r="B19" i="18" s="1"/>
  <c r="D19" i="18" s="1"/>
  <c r="B18" i="14"/>
  <c r="B18" i="18" s="1"/>
  <c r="D18" i="18" s="1"/>
  <c r="B15" i="14"/>
  <c r="B15" i="18" s="1"/>
  <c r="B14" i="14"/>
  <c r="B14" i="18" s="1"/>
  <c r="B13" i="14"/>
  <c r="B13" i="18" s="1"/>
  <c r="S1069" i="4" l="1"/>
  <c r="R1069" i="4"/>
  <c r="Q1069" i="4"/>
  <c r="P1069" i="4"/>
  <c r="S1068" i="4"/>
  <c r="R1068" i="4"/>
  <c r="Q1068" i="4"/>
  <c r="P1068" i="4"/>
  <c r="S696" i="4"/>
  <c r="R696" i="4"/>
  <c r="Q696" i="4"/>
  <c r="P696" i="4"/>
  <c r="S612" i="4"/>
  <c r="R612" i="4"/>
  <c r="Q612" i="4"/>
  <c r="P612" i="4"/>
  <c r="S529" i="4"/>
  <c r="R529" i="4"/>
  <c r="Q529" i="4"/>
  <c r="P529" i="4"/>
  <c r="S440" i="4"/>
  <c r="R440" i="4"/>
  <c r="Q440" i="4"/>
  <c r="P440" i="4"/>
  <c r="S353" i="4"/>
  <c r="R353" i="4"/>
  <c r="Q353" i="4"/>
  <c r="P353" i="4"/>
  <c r="S681" i="4"/>
  <c r="R681" i="4"/>
  <c r="Q681" i="4"/>
  <c r="P681" i="4"/>
  <c r="S260" i="4"/>
  <c r="R260" i="4"/>
  <c r="Q260" i="4"/>
  <c r="P260" i="4"/>
  <c r="S259" i="4"/>
  <c r="R259" i="4"/>
  <c r="Q259" i="4"/>
  <c r="P259" i="4"/>
  <c r="S1063" i="4"/>
  <c r="R1063" i="4"/>
  <c r="Q1063" i="4"/>
  <c r="P1063" i="4"/>
  <c r="E98" i="13"/>
  <c r="D98" i="13"/>
  <c r="B9" i="25"/>
  <c r="B10" i="19"/>
  <c r="D10" i="19" s="1"/>
  <c r="B10" i="24"/>
  <c r="B11" i="19"/>
  <c r="D11" i="19" s="1"/>
  <c r="S1057" i="4"/>
  <c r="R1057" i="4"/>
  <c r="Q1057" i="4"/>
  <c r="P1057" i="4"/>
  <c r="D154" i="19"/>
  <c r="D155" i="19"/>
  <c r="D156" i="19"/>
  <c r="D160" i="19"/>
  <c r="D163" i="19"/>
  <c r="D164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30" i="19"/>
  <c r="D132" i="19"/>
  <c r="D135" i="19"/>
  <c r="D136" i="19"/>
  <c r="D137" i="19"/>
  <c r="D138" i="19"/>
  <c r="D139" i="19"/>
  <c r="D140" i="19"/>
  <c r="D141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94" i="19"/>
  <c r="D98" i="19"/>
  <c r="D99" i="19"/>
  <c r="D100" i="19"/>
  <c r="D101" i="19"/>
  <c r="D102" i="19"/>
  <c r="D103" i="19"/>
  <c r="D104" i="19"/>
  <c r="D105" i="19"/>
  <c r="D93" i="19"/>
  <c r="D58" i="19"/>
  <c r="D59" i="19"/>
  <c r="D60" i="19"/>
  <c r="D61" i="19"/>
  <c r="D62" i="19"/>
  <c r="D63" i="19"/>
  <c r="D64" i="19"/>
  <c r="D65" i="19"/>
  <c r="D46" i="19"/>
  <c r="D47" i="19"/>
  <c r="D48" i="19"/>
  <c r="D49" i="19"/>
  <c r="D50" i="19"/>
  <c r="D51" i="19"/>
  <c r="D52" i="19"/>
  <c r="D53" i="19"/>
  <c r="D54" i="19"/>
  <c r="D55" i="19"/>
  <c r="D57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22" i="19"/>
  <c r="D23" i="19"/>
  <c r="D24" i="19"/>
  <c r="D25" i="19"/>
  <c r="D26" i="19"/>
  <c r="D27" i="19"/>
  <c r="D28" i="19"/>
  <c r="D29" i="19"/>
  <c r="D32" i="19"/>
  <c r="D33" i="19"/>
  <c r="D20" i="19"/>
  <c r="D21" i="19"/>
  <c r="D18" i="19"/>
  <c r="D19" i="19"/>
  <c r="D16" i="19"/>
  <c r="D17" i="19"/>
  <c r="D14" i="19"/>
  <c r="D15" i="19"/>
  <c r="D12" i="19"/>
  <c r="D13" i="19"/>
  <c r="D9" i="19"/>
  <c r="O9" i="24"/>
  <c r="N9" i="24"/>
  <c r="M9" i="24"/>
  <c r="L9" i="24"/>
  <c r="K9" i="24"/>
  <c r="J9" i="24"/>
  <c r="I9" i="24"/>
  <c r="H9" i="24"/>
  <c r="G9" i="24"/>
  <c r="F9" i="24"/>
  <c r="E9" i="24"/>
  <c r="D9" i="24"/>
  <c r="P9" i="24" s="1"/>
  <c r="R9" i="24" s="1"/>
  <c r="D154" i="18"/>
  <c r="D153" i="18"/>
  <c r="D143" i="18"/>
  <c r="D142" i="18"/>
  <c r="D141" i="18"/>
  <c r="D138" i="18"/>
  <c r="D137" i="18"/>
  <c r="D130" i="18"/>
  <c r="D129" i="18"/>
  <c r="D272" i="13"/>
  <c r="E272" i="13"/>
  <c r="D120" i="18"/>
  <c r="D119" i="18"/>
  <c r="D118" i="18"/>
  <c r="D116" i="18"/>
  <c r="D115" i="18"/>
  <c r="D114" i="18"/>
  <c r="D110" i="18"/>
  <c r="D106" i="18"/>
  <c r="D105" i="18"/>
  <c r="D84" i="18"/>
  <c r="D83" i="18"/>
  <c r="D82" i="18"/>
  <c r="E74" i="13"/>
  <c r="D74" i="13"/>
  <c r="E271" i="13"/>
  <c r="D271" i="13"/>
  <c r="E270" i="13"/>
  <c r="D270" i="13"/>
  <c r="D85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7" i="18"/>
  <c r="D108" i="18"/>
  <c r="D109" i="18"/>
  <c r="D112" i="18"/>
  <c r="D113" i="18"/>
  <c r="D121" i="18"/>
  <c r="D122" i="18"/>
  <c r="D123" i="18"/>
  <c r="D124" i="18"/>
  <c r="D125" i="18"/>
  <c r="D126" i="18"/>
  <c r="D127" i="18"/>
  <c r="D128" i="18"/>
  <c r="D56" i="19"/>
  <c r="D131" i="19"/>
  <c r="D133" i="19"/>
  <c r="D134" i="19"/>
  <c r="D86" i="18"/>
  <c r="D150" i="18"/>
  <c r="D149" i="18"/>
  <c r="D148" i="18"/>
  <c r="D147" i="18"/>
  <c r="D146" i="18"/>
  <c r="D139" i="18"/>
  <c r="D140" i="18"/>
  <c r="D145" i="18"/>
  <c r="D53" i="18"/>
  <c r="D54" i="18"/>
  <c r="D68" i="18"/>
  <c r="D67" i="18"/>
  <c r="D66" i="18"/>
  <c r="D65" i="18"/>
  <c r="D52" i="18"/>
  <c r="D51" i="18"/>
  <c r="D50" i="18"/>
  <c r="D47" i="18"/>
  <c r="D48" i="18"/>
  <c r="D75" i="18"/>
  <c r="D76" i="18"/>
  <c r="D77" i="18"/>
  <c r="D49" i="18"/>
  <c r="D74" i="18"/>
  <c r="D36" i="18"/>
  <c r="D38" i="18"/>
  <c r="D39" i="18"/>
  <c r="S991" i="4"/>
  <c r="S990" i="4"/>
  <c r="S1045" i="4"/>
  <c r="R1045" i="4"/>
  <c r="Q1045" i="4"/>
  <c r="P1045" i="4"/>
  <c r="S1016" i="4"/>
  <c r="R1016" i="4"/>
  <c r="Q1016" i="4"/>
  <c r="P1016" i="4"/>
  <c r="S995" i="4"/>
  <c r="R995" i="4"/>
  <c r="Q995" i="4"/>
  <c r="P995" i="4"/>
  <c r="S984" i="4"/>
  <c r="R984" i="4"/>
  <c r="Q984" i="4"/>
  <c r="P984" i="4"/>
  <c r="S964" i="4"/>
  <c r="S934" i="4"/>
  <c r="S933" i="4"/>
  <c r="S915" i="4"/>
  <c r="R915" i="4"/>
  <c r="Q915" i="4"/>
  <c r="P915" i="4"/>
  <c r="S908" i="4"/>
  <c r="R908" i="4"/>
  <c r="Q908" i="4"/>
  <c r="P908" i="4"/>
  <c r="S817" i="4"/>
  <c r="S816" i="4"/>
  <c r="S815" i="4"/>
  <c r="S814" i="4"/>
  <c r="S813" i="4"/>
  <c r="R813" i="4"/>
  <c r="Q813" i="4"/>
  <c r="P813" i="4"/>
  <c r="S820" i="4"/>
  <c r="S791" i="4"/>
  <c r="S790" i="4"/>
  <c r="R790" i="4"/>
  <c r="Q790" i="4"/>
  <c r="P790" i="4"/>
  <c r="S826" i="4"/>
  <c r="R825" i="4"/>
  <c r="R879" i="4"/>
  <c r="S879" i="4"/>
  <c r="S852" i="4"/>
  <c r="S844" i="4"/>
  <c r="S812" i="4"/>
  <c r="R812" i="4"/>
  <c r="Q812" i="4"/>
  <c r="P812" i="4"/>
  <c r="S811" i="4"/>
  <c r="R811" i="4"/>
  <c r="Q811" i="4"/>
  <c r="P811" i="4"/>
  <c r="S839" i="4"/>
  <c r="R839" i="4"/>
  <c r="Q839" i="4"/>
  <c r="P839" i="4"/>
  <c r="S928" i="4"/>
  <c r="S927" i="4"/>
  <c r="S926" i="4"/>
  <c r="R926" i="4"/>
  <c r="Q926" i="4"/>
  <c r="P926" i="4"/>
  <c r="S925" i="4"/>
  <c r="R925" i="4"/>
  <c r="Q925" i="4"/>
  <c r="P925" i="4"/>
  <c r="S924" i="4"/>
  <c r="R924" i="4"/>
  <c r="Q924" i="4"/>
  <c r="P924" i="4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S919" i="4"/>
  <c r="R919" i="4"/>
  <c r="S918" i="4"/>
  <c r="R918" i="4"/>
  <c r="S917" i="4"/>
  <c r="R917" i="4"/>
  <c r="S916" i="4"/>
  <c r="R916" i="4"/>
  <c r="S914" i="4"/>
  <c r="R914" i="4"/>
  <c r="S913" i="4"/>
  <c r="R913" i="4"/>
  <c r="S912" i="4"/>
  <c r="R912" i="4"/>
  <c r="Q912" i="4"/>
  <c r="P912" i="4"/>
  <c r="S911" i="4"/>
  <c r="R911" i="4"/>
  <c r="Q911" i="4"/>
  <c r="P911" i="4"/>
  <c r="S910" i="4"/>
  <c r="R910" i="4"/>
  <c r="Q910" i="4"/>
  <c r="P910" i="4"/>
  <c r="S909" i="4"/>
  <c r="R909" i="4"/>
  <c r="Q909" i="4"/>
  <c r="P909" i="4"/>
  <c r="S907" i="4"/>
  <c r="R907" i="4"/>
  <c r="S906" i="4"/>
  <c r="R906" i="4"/>
  <c r="S905" i="4"/>
  <c r="R905" i="4"/>
  <c r="S904" i="4"/>
  <c r="R904" i="4"/>
  <c r="S903" i="4"/>
  <c r="R903" i="4"/>
  <c r="S902" i="4"/>
  <c r="R902" i="4"/>
  <c r="S901" i="4"/>
  <c r="R901" i="4"/>
  <c r="Q901" i="4"/>
  <c r="P901" i="4"/>
  <c r="S900" i="4"/>
  <c r="R900" i="4"/>
  <c r="S899" i="4"/>
  <c r="R899" i="4"/>
  <c r="S898" i="4"/>
  <c r="R898" i="4"/>
  <c r="S897" i="4"/>
  <c r="R897" i="4"/>
  <c r="S896" i="4"/>
  <c r="R896" i="4"/>
  <c r="S895" i="4"/>
  <c r="R895" i="4"/>
  <c r="S894" i="4"/>
  <c r="R894" i="4"/>
  <c r="S893" i="4"/>
  <c r="R893" i="4"/>
  <c r="S892" i="4"/>
  <c r="R892" i="4"/>
  <c r="S891" i="4"/>
  <c r="R891" i="4"/>
  <c r="Q891" i="4"/>
  <c r="P891" i="4"/>
  <c r="S890" i="4"/>
  <c r="R890" i="4"/>
  <c r="S889" i="4"/>
  <c r="R889" i="4"/>
  <c r="S888" i="4"/>
  <c r="R888" i="4"/>
  <c r="S887" i="4"/>
  <c r="R887" i="4"/>
  <c r="S886" i="4"/>
  <c r="R886" i="4"/>
  <c r="S885" i="4"/>
  <c r="R885" i="4"/>
  <c r="S884" i="4"/>
  <c r="R884" i="4"/>
  <c r="S883" i="4"/>
  <c r="R883" i="4"/>
  <c r="S882" i="4"/>
  <c r="R882" i="4"/>
  <c r="S881" i="4"/>
  <c r="R881" i="4"/>
  <c r="S880" i="4"/>
  <c r="R880" i="4"/>
  <c r="S878" i="4"/>
  <c r="R878" i="4"/>
  <c r="S877" i="4"/>
  <c r="R877" i="4"/>
  <c r="S876" i="4"/>
  <c r="R876" i="4"/>
  <c r="S875" i="4"/>
  <c r="R875" i="4"/>
  <c r="S874" i="4"/>
  <c r="R874" i="4"/>
  <c r="S873" i="4"/>
  <c r="R873" i="4"/>
  <c r="S872" i="4"/>
  <c r="R872" i="4"/>
  <c r="S871" i="4"/>
  <c r="R871" i="4"/>
  <c r="S870" i="4"/>
  <c r="R870" i="4"/>
  <c r="S869" i="4"/>
  <c r="R869" i="4"/>
  <c r="S868" i="4"/>
  <c r="R868" i="4"/>
  <c r="S867" i="4"/>
  <c r="R867" i="4"/>
  <c r="S866" i="4"/>
  <c r="R866" i="4"/>
  <c r="S865" i="4"/>
  <c r="R865" i="4"/>
  <c r="S864" i="4"/>
  <c r="R864" i="4"/>
  <c r="S863" i="4"/>
  <c r="R863" i="4"/>
  <c r="S862" i="4"/>
  <c r="R862" i="4"/>
  <c r="S861" i="4"/>
  <c r="R861" i="4"/>
  <c r="S860" i="4"/>
  <c r="R860" i="4"/>
  <c r="S859" i="4"/>
  <c r="R859" i="4"/>
  <c r="S858" i="4"/>
  <c r="R858" i="4"/>
  <c r="S857" i="4"/>
  <c r="R857" i="4"/>
  <c r="S856" i="4"/>
  <c r="R856" i="4"/>
  <c r="S855" i="4"/>
  <c r="R855" i="4"/>
  <c r="S854" i="4"/>
  <c r="R854" i="4"/>
  <c r="S853" i="4"/>
  <c r="R853" i="4"/>
  <c r="S851" i="4"/>
  <c r="R851" i="4"/>
  <c r="S850" i="4"/>
  <c r="R850" i="4"/>
  <c r="S849" i="4"/>
  <c r="R849" i="4"/>
  <c r="S848" i="4"/>
  <c r="R848" i="4"/>
  <c r="S847" i="4"/>
  <c r="R847" i="4"/>
  <c r="S846" i="4"/>
  <c r="R846" i="4"/>
  <c r="S845" i="4"/>
  <c r="R845" i="4"/>
  <c r="Q845" i="4"/>
  <c r="P845" i="4"/>
  <c r="S843" i="4"/>
  <c r="R843" i="4"/>
  <c r="Q843" i="4"/>
  <c r="P843" i="4"/>
  <c r="S842" i="4"/>
  <c r="R842" i="4"/>
  <c r="Q842" i="4"/>
  <c r="P842" i="4"/>
  <c r="S841" i="4"/>
  <c r="R841" i="4"/>
  <c r="S840" i="4"/>
  <c r="R840" i="4"/>
  <c r="Q840" i="4"/>
  <c r="P840" i="4"/>
  <c r="S838" i="4"/>
  <c r="R838" i="4"/>
  <c r="S837" i="4"/>
  <c r="R837" i="4"/>
  <c r="S836" i="4"/>
  <c r="R836" i="4"/>
  <c r="S835" i="4"/>
  <c r="R835" i="4"/>
  <c r="Q835" i="4"/>
  <c r="P835" i="4"/>
  <c r="S834" i="4"/>
  <c r="R834" i="4"/>
  <c r="Q834" i="4"/>
  <c r="P834" i="4"/>
  <c r="S833" i="4"/>
  <c r="R833" i="4"/>
  <c r="Q833" i="4"/>
  <c r="P833" i="4"/>
  <c r="S832" i="4"/>
  <c r="R832" i="4"/>
  <c r="Q832" i="4"/>
  <c r="P832" i="4"/>
  <c r="S831" i="4"/>
  <c r="R831" i="4"/>
  <c r="Q831" i="4"/>
  <c r="P831" i="4"/>
  <c r="S830" i="4"/>
  <c r="R830" i="4"/>
  <c r="S829" i="4"/>
  <c r="R829" i="4"/>
  <c r="S828" i="4"/>
  <c r="R828" i="4"/>
  <c r="S827" i="4"/>
  <c r="R827" i="4"/>
  <c r="S824" i="4"/>
  <c r="R824" i="4"/>
  <c r="Q824" i="4"/>
  <c r="P824" i="4"/>
  <c r="S823" i="4"/>
  <c r="R823" i="4"/>
  <c r="S822" i="4"/>
  <c r="R822" i="4"/>
  <c r="Q822" i="4"/>
  <c r="P822" i="4"/>
  <c r="S821" i="4"/>
  <c r="R821" i="4"/>
  <c r="Q821" i="4"/>
  <c r="P821" i="4"/>
  <c r="S819" i="4"/>
  <c r="R819" i="4"/>
  <c r="S818" i="4"/>
  <c r="R818" i="4"/>
  <c r="Q818" i="4"/>
  <c r="P818" i="4"/>
  <c r="S810" i="4"/>
  <c r="R810" i="4"/>
  <c r="Q810" i="4"/>
  <c r="P810" i="4"/>
  <c r="S809" i="4"/>
  <c r="R809" i="4"/>
  <c r="Q809" i="4"/>
  <c r="P809" i="4"/>
  <c r="S808" i="4"/>
  <c r="R808" i="4"/>
  <c r="S807" i="4"/>
  <c r="R807" i="4"/>
  <c r="S806" i="4"/>
  <c r="R806" i="4"/>
  <c r="S805" i="4"/>
  <c r="R805" i="4"/>
  <c r="S804" i="4"/>
  <c r="R804" i="4"/>
  <c r="S803" i="4"/>
  <c r="R803" i="4"/>
  <c r="S802" i="4"/>
  <c r="R802" i="4"/>
  <c r="S801" i="4"/>
  <c r="R801" i="4"/>
  <c r="Q801" i="4"/>
  <c r="P801" i="4"/>
  <c r="S800" i="4"/>
  <c r="R800" i="4"/>
  <c r="Q800" i="4"/>
  <c r="P800" i="4"/>
  <c r="S799" i="4"/>
  <c r="R799" i="4"/>
  <c r="S798" i="4"/>
  <c r="R798" i="4"/>
  <c r="S797" i="4"/>
  <c r="R797" i="4"/>
  <c r="S796" i="4"/>
  <c r="R796" i="4"/>
  <c r="S795" i="4"/>
  <c r="R795" i="4"/>
  <c r="S794" i="4"/>
  <c r="R794" i="4"/>
  <c r="S793" i="4"/>
  <c r="R793" i="4"/>
  <c r="S792" i="4"/>
  <c r="R792" i="4"/>
  <c r="S1056" i="4"/>
  <c r="S1047" i="4"/>
  <c r="S1046" i="4"/>
  <c r="S1044" i="4"/>
  <c r="S1043" i="4"/>
  <c r="S1042" i="4"/>
  <c r="S1041" i="4"/>
  <c r="S1040" i="4"/>
  <c r="S1039" i="4"/>
  <c r="S1038" i="4"/>
  <c r="S1037" i="4"/>
  <c r="S1036" i="4"/>
  <c r="S1035" i="4"/>
  <c r="S1034" i="4"/>
  <c r="S1033" i="4"/>
  <c r="S1032" i="4"/>
  <c r="S1031" i="4"/>
  <c r="S1030" i="4"/>
  <c r="S1029" i="4"/>
  <c r="S1028" i="4"/>
  <c r="S1027" i="4"/>
  <c r="S1026" i="4"/>
  <c r="S1025" i="4"/>
  <c r="S1024" i="4"/>
  <c r="S1023" i="4"/>
  <c r="S1022" i="4"/>
  <c r="S1021" i="4"/>
  <c r="S1020" i="4"/>
  <c r="S1019" i="4"/>
  <c r="S1018" i="4"/>
  <c r="S1017" i="4"/>
  <c r="S1015" i="4"/>
  <c r="S1014" i="4"/>
  <c r="S1013" i="4"/>
  <c r="S1012" i="4"/>
  <c r="S1011" i="4"/>
  <c r="S1010" i="4"/>
  <c r="S1009" i="4"/>
  <c r="R1009" i="4"/>
  <c r="Q1009" i="4"/>
  <c r="P1009" i="4"/>
  <c r="S1008" i="4"/>
  <c r="S1007" i="4"/>
  <c r="R1007" i="4"/>
  <c r="Q1007" i="4"/>
  <c r="P1007" i="4"/>
  <c r="S1006" i="4"/>
  <c r="R1006" i="4"/>
  <c r="Q1006" i="4"/>
  <c r="P1006" i="4"/>
  <c r="S1005" i="4"/>
  <c r="R1005" i="4"/>
  <c r="Q1005" i="4"/>
  <c r="P1005" i="4"/>
  <c r="S1004" i="4"/>
  <c r="R1004" i="4"/>
  <c r="Q1004" i="4"/>
  <c r="P1004" i="4"/>
  <c r="S1003" i="4"/>
  <c r="R1003" i="4"/>
  <c r="Q1003" i="4"/>
  <c r="P1003" i="4"/>
  <c r="S1002" i="4"/>
  <c r="R1001" i="4"/>
  <c r="S1000" i="4"/>
  <c r="S999" i="4"/>
  <c r="R998" i="4"/>
  <c r="S997" i="4"/>
  <c r="S996" i="4"/>
  <c r="R996" i="4"/>
  <c r="Q996" i="4"/>
  <c r="P996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89" i="4"/>
  <c r="S988" i="4"/>
  <c r="S987" i="4"/>
  <c r="R986" i="4"/>
  <c r="S985" i="4"/>
  <c r="R983" i="4"/>
  <c r="S982" i="4"/>
  <c r="R982" i="4"/>
  <c r="Q982" i="4"/>
  <c r="P982" i="4"/>
  <c r="S981" i="4"/>
  <c r="S980" i="4"/>
  <c r="R979" i="4"/>
  <c r="R978" i="4"/>
  <c r="R977" i="4"/>
  <c r="R976" i="4"/>
  <c r="R975" i="4"/>
  <c r="R974" i="4"/>
  <c r="S973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2" i="4"/>
  <c r="S931" i="4"/>
  <c r="S930" i="4"/>
  <c r="S929" i="4"/>
  <c r="S788" i="4"/>
  <c r="R788" i="4"/>
  <c r="S769" i="4"/>
  <c r="S761" i="4"/>
  <c r="S753" i="4"/>
  <c r="S744" i="4"/>
  <c r="R744" i="4"/>
  <c r="Q744" i="4"/>
  <c r="P744" i="4"/>
  <c r="R702" i="4"/>
  <c r="S742" i="4"/>
  <c r="R740" i="4"/>
  <c r="S731" i="4"/>
  <c r="R731" i="4"/>
  <c r="Q731" i="4"/>
  <c r="P731" i="4"/>
  <c r="R728" i="4"/>
  <c r="S727" i="4"/>
  <c r="S726" i="4"/>
  <c r="R726" i="4"/>
  <c r="Q726" i="4"/>
  <c r="P726" i="4"/>
  <c r="S707" i="4"/>
  <c r="R706" i="4"/>
  <c r="S695" i="4"/>
  <c r="S685" i="4"/>
  <c r="S669" i="4"/>
  <c r="S668" i="4"/>
  <c r="S660" i="4"/>
  <c r="S659" i="4"/>
  <c r="S694" i="4"/>
  <c r="S643" i="4"/>
  <c r="R643" i="4"/>
  <c r="Q643" i="4"/>
  <c r="P643" i="4"/>
  <c r="S789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66" i="4"/>
  <c r="S765" i="4"/>
  <c r="S764" i="4"/>
  <c r="S763" i="4"/>
  <c r="S762" i="4"/>
  <c r="S760" i="4"/>
  <c r="S759" i="4"/>
  <c r="S758" i="4"/>
  <c r="S757" i="4"/>
  <c r="S756" i="4"/>
  <c r="S755" i="4"/>
  <c r="S754" i="4"/>
  <c r="S752" i="4"/>
  <c r="S751" i="4"/>
  <c r="S750" i="4"/>
  <c r="S749" i="4"/>
  <c r="S748" i="4"/>
  <c r="S747" i="4"/>
  <c r="S745" i="4"/>
  <c r="S743" i="4"/>
  <c r="S741" i="4"/>
  <c r="R739" i="4"/>
  <c r="S738" i="4"/>
  <c r="S737" i="4"/>
  <c r="R736" i="4"/>
  <c r="S735" i="4"/>
  <c r="R735" i="4"/>
  <c r="Q735" i="4"/>
  <c r="P735" i="4"/>
  <c r="S734" i="4"/>
  <c r="S733" i="4"/>
  <c r="R732" i="4"/>
  <c r="S730" i="4"/>
  <c r="S729" i="4"/>
  <c r="S724" i="4"/>
  <c r="R723" i="4"/>
  <c r="S722" i="4"/>
  <c r="R722" i="4"/>
  <c r="Q722" i="4"/>
  <c r="P722" i="4"/>
  <c r="S721" i="4"/>
  <c r="R720" i="4"/>
  <c r="S719" i="4"/>
  <c r="R718" i="4"/>
  <c r="S603" i="4"/>
  <c r="R548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R574" i="4"/>
  <c r="Q574" i="4"/>
  <c r="P574" i="4"/>
  <c r="S573" i="4"/>
  <c r="S572" i="4"/>
  <c r="R571" i="4"/>
  <c r="S570" i="4"/>
  <c r="R570" i="4"/>
  <c r="Q570" i="4"/>
  <c r="P570" i="4"/>
  <c r="S569" i="4"/>
  <c r="S568" i="4"/>
  <c r="R567" i="4"/>
  <c r="S566" i="4"/>
  <c r="R566" i="4"/>
  <c r="Q566" i="4"/>
  <c r="P566" i="4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S560" i="4"/>
  <c r="S559" i="4"/>
  <c r="R558" i="4"/>
  <c r="S557" i="4"/>
  <c r="S556" i="4"/>
  <c r="R555" i="4"/>
  <c r="S554" i="4"/>
  <c r="R554" i="4"/>
  <c r="Q554" i="4"/>
  <c r="P554" i="4"/>
  <c r="S553" i="4"/>
  <c r="R553" i="4"/>
  <c r="Q553" i="4"/>
  <c r="P553" i="4"/>
  <c r="S552" i="4"/>
  <c r="R552" i="4"/>
  <c r="Q552" i="4"/>
  <c r="P552" i="4"/>
  <c r="S551" i="4"/>
  <c r="R550" i="4"/>
  <c r="S549" i="4"/>
  <c r="R549" i="4"/>
  <c r="Q549" i="4"/>
  <c r="P549" i="4"/>
  <c r="S547" i="4"/>
  <c r="S546" i="4"/>
  <c r="S545" i="4"/>
  <c r="R544" i="4"/>
  <c r="S543" i="4"/>
  <c r="R542" i="4"/>
  <c r="S541" i="4"/>
  <c r="R541" i="4"/>
  <c r="Q541" i="4"/>
  <c r="P541" i="4"/>
  <c r="S540" i="4"/>
  <c r="S539" i="4"/>
  <c r="R538" i="4"/>
  <c r="S537" i="4"/>
  <c r="R537" i="4"/>
  <c r="Q537" i="4"/>
  <c r="P537" i="4"/>
  <c r="S536" i="4"/>
  <c r="S535" i="4"/>
  <c r="R534" i="4"/>
  <c r="R533" i="4"/>
  <c r="R532" i="4"/>
  <c r="R531" i="4"/>
  <c r="R530" i="4"/>
  <c r="S663" i="4"/>
  <c r="S662" i="4"/>
  <c r="S661" i="4"/>
  <c r="S658" i="4"/>
  <c r="S657" i="4"/>
  <c r="S656" i="4"/>
  <c r="S655" i="4"/>
  <c r="S654" i="4"/>
  <c r="S653" i="4"/>
  <c r="S652" i="4"/>
  <c r="R652" i="4"/>
  <c r="Q652" i="4"/>
  <c r="P652" i="4"/>
  <c r="S651" i="4"/>
  <c r="S650" i="4"/>
  <c r="R650" i="4"/>
  <c r="Q650" i="4"/>
  <c r="P650" i="4"/>
  <c r="S649" i="4"/>
  <c r="S648" i="4"/>
  <c r="R647" i="4"/>
  <c r="S646" i="4"/>
  <c r="R646" i="4"/>
  <c r="Q646" i="4"/>
  <c r="P646" i="4"/>
  <c r="S645" i="4"/>
  <c r="R645" i="4"/>
  <c r="Q645" i="4"/>
  <c r="P645" i="4"/>
  <c r="S644" i="4"/>
  <c r="R644" i="4"/>
  <c r="Q644" i="4"/>
  <c r="P644" i="4"/>
  <c r="S642" i="4"/>
  <c r="R642" i="4"/>
  <c r="Q642" i="4"/>
  <c r="P642" i="4"/>
  <c r="S641" i="4"/>
  <c r="R641" i="4"/>
  <c r="Q641" i="4"/>
  <c r="P641" i="4"/>
  <c r="S640" i="4"/>
  <c r="R640" i="4"/>
  <c r="Q640" i="4"/>
  <c r="P640" i="4"/>
  <c r="S639" i="4"/>
  <c r="S638" i="4"/>
  <c r="S637" i="4"/>
  <c r="R636" i="4"/>
  <c r="S635" i="4"/>
  <c r="R635" i="4"/>
  <c r="Q635" i="4"/>
  <c r="P635" i="4"/>
  <c r="S634" i="4"/>
  <c r="R634" i="4"/>
  <c r="Q634" i="4"/>
  <c r="P634" i="4"/>
  <c r="S633" i="4"/>
  <c r="R633" i="4"/>
  <c r="Q633" i="4"/>
  <c r="P633" i="4"/>
  <c r="S632" i="4"/>
  <c r="R631" i="4"/>
  <c r="S630" i="4"/>
  <c r="R630" i="4"/>
  <c r="Q630" i="4"/>
  <c r="P630" i="4"/>
  <c r="S629" i="4"/>
  <c r="R629" i="4"/>
  <c r="Q629" i="4"/>
  <c r="P629" i="4"/>
  <c r="S628" i="4"/>
  <c r="S627" i="4"/>
  <c r="S626" i="4"/>
  <c r="R625" i="4"/>
  <c r="S624" i="4"/>
  <c r="R623" i="4"/>
  <c r="S622" i="4"/>
  <c r="R622" i="4"/>
  <c r="Q622" i="4"/>
  <c r="P622" i="4"/>
  <c r="S621" i="4"/>
  <c r="S620" i="4"/>
  <c r="R620" i="4"/>
  <c r="Q620" i="4"/>
  <c r="P620" i="4"/>
  <c r="S619" i="4"/>
  <c r="S618" i="4"/>
  <c r="R617" i="4"/>
  <c r="R616" i="4"/>
  <c r="R615" i="4"/>
  <c r="R614" i="4"/>
  <c r="R613" i="4"/>
  <c r="S518" i="4"/>
  <c r="R498" i="4"/>
  <c r="S497" i="4"/>
  <c r="S495" i="4"/>
  <c r="S528" i="4"/>
  <c r="S519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6" i="4"/>
  <c r="S494" i="4"/>
  <c r="S493" i="4"/>
  <c r="S492" i="4"/>
  <c r="S491" i="4"/>
  <c r="S490" i="4"/>
  <c r="S489" i="4"/>
  <c r="S488" i="4"/>
  <c r="S487" i="4"/>
  <c r="R487" i="4"/>
  <c r="Q487" i="4"/>
  <c r="P487" i="4"/>
  <c r="S486" i="4"/>
  <c r="S485" i="4"/>
  <c r="R484" i="4"/>
  <c r="S483" i="4"/>
  <c r="R483" i="4"/>
  <c r="Q483" i="4"/>
  <c r="P483" i="4"/>
  <c r="S482" i="4"/>
  <c r="S481" i="4"/>
  <c r="R480" i="4"/>
  <c r="S479" i="4"/>
  <c r="R479" i="4"/>
  <c r="Q479" i="4"/>
  <c r="P479" i="4"/>
  <c r="S478" i="4"/>
  <c r="R478" i="4"/>
  <c r="Q478" i="4"/>
  <c r="P478" i="4"/>
  <c r="S477" i="4"/>
  <c r="R477" i="4"/>
  <c r="Q477" i="4"/>
  <c r="P477" i="4"/>
  <c r="S476" i="4"/>
  <c r="R476" i="4"/>
  <c r="Q476" i="4"/>
  <c r="P476" i="4"/>
  <c r="S475" i="4"/>
  <c r="R475" i="4"/>
  <c r="Q475" i="4"/>
  <c r="P475" i="4"/>
  <c r="S474" i="4"/>
  <c r="R474" i="4"/>
  <c r="Q474" i="4"/>
  <c r="P474" i="4"/>
  <c r="S473" i="4"/>
  <c r="S472" i="4"/>
  <c r="R471" i="4"/>
  <c r="S470" i="4"/>
  <c r="S469" i="4"/>
  <c r="R468" i="4"/>
  <c r="S467" i="4"/>
  <c r="R467" i="4"/>
  <c r="Q467" i="4"/>
  <c r="P467" i="4"/>
  <c r="S466" i="4"/>
  <c r="R466" i="4"/>
  <c r="Q466" i="4"/>
  <c r="P466" i="4"/>
  <c r="S465" i="4"/>
  <c r="R465" i="4"/>
  <c r="Q465" i="4"/>
  <c r="P465" i="4"/>
  <c r="S464" i="4"/>
  <c r="R464" i="4"/>
  <c r="Q464" i="4"/>
  <c r="P464" i="4"/>
  <c r="S463" i="4"/>
  <c r="R463" i="4"/>
  <c r="Q463" i="4"/>
  <c r="P463" i="4"/>
  <c r="S462" i="4"/>
  <c r="S461" i="4"/>
  <c r="R460" i="4"/>
  <c r="S459" i="4"/>
  <c r="R459" i="4"/>
  <c r="Q459" i="4"/>
  <c r="P459" i="4"/>
  <c r="S458" i="4"/>
  <c r="S457" i="4"/>
  <c r="S456" i="4"/>
  <c r="R455" i="4"/>
  <c r="S454" i="4"/>
  <c r="R453" i="4"/>
  <c r="S452" i="4"/>
  <c r="R452" i="4"/>
  <c r="Q452" i="4"/>
  <c r="P452" i="4"/>
  <c r="S451" i="4"/>
  <c r="S450" i="4"/>
  <c r="R449" i="4"/>
  <c r="S448" i="4"/>
  <c r="R448" i="4"/>
  <c r="Q448" i="4"/>
  <c r="P448" i="4"/>
  <c r="S447" i="4"/>
  <c r="S446" i="4"/>
  <c r="R445" i="4"/>
  <c r="R444" i="4"/>
  <c r="R443" i="4"/>
  <c r="R442" i="4"/>
  <c r="R441" i="4"/>
  <c r="S775" i="4"/>
  <c r="S774" i="4"/>
  <c r="S677" i="4"/>
  <c r="S676" i="4"/>
  <c r="S675" i="4"/>
  <c r="S674" i="4"/>
  <c r="S673" i="4"/>
  <c r="S672" i="4"/>
  <c r="S671" i="4"/>
  <c r="S670" i="4"/>
  <c r="S667" i="4"/>
  <c r="S666" i="4"/>
  <c r="S665" i="4"/>
  <c r="S664" i="4"/>
  <c r="S717" i="4"/>
  <c r="S716" i="4"/>
  <c r="S715" i="4"/>
  <c r="S713" i="4"/>
  <c r="R712" i="4"/>
  <c r="S711" i="4"/>
  <c r="S709" i="4"/>
  <c r="S705" i="4"/>
  <c r="R705" i="4"/>
  <c r="Q705" i="4"/>
  <c r="P705" i="4"/>
  <c r="S704" i="4"/>
  <c r="S703" i="4"/>
  <c r="R701" i="4"/>
  <c r="R700" i="4"/>
  <c r="R699" i="4"/>
  <c r="R698" i="4"/>
  <c r="R697" i="4"/>
  <c r="S684" i="4"/>
  <c r="S683" i="4"/>
  <c r="S682" i="4"/>
  <c r="S680" i="4"/>
  <c r="S679" i="4"/>
  <c r="S678" i="4"/>
  <c r="S439" i="4"/>
  <c r="R239" i="4"/>
  <c r="R238" i="4"/>
  <c r="S399" i="4"/>
  <c r="R399" i="4"/>
  <c r="Q399" i="4"/>
  <c r="P399" i="4"/>
  <c r="S393" i="4"/>
  <c r="R393" i="4"/>
  <c r="Q393" i="4"/>
  <c r="P393" i="4"/>
  <c r="R359" i="4"/>
  <c r="S377" i="4"/>
  <c r="R377" i="4"/>
  <c r="Q377" i="4"/>
  <c r="P377" i="4"/>
  <c r="S376" i="4"/>
  <c r="S332" i="4"/>
  <c r="S263" i="4"/>
  <c r="S152" i="4"/>
  <c r="S162" i="4"/>
  <c r="S181" i="4"/>
  <c r="S113" i="4"/>
  <c r="R113" i="4"/>
  <c r="Q113" i="4"/>
  <c r="P113" i="4"/>
  <c r="S120" i="4"/>
  <c r="R120" i="4"/>
  <c r="Q120" i="4"/>
  <c r="P120" i="4"/>
  <c r="S119" i="4"/>
  <c r="R119" i="4"/>
  <c r="Q119" i="4"/>
  <c r="P119" i="4"/>
  <c r="S115" i="4"/>
  <c r="R106" i="4"/>
  <c r="S35" i="4"/>
  <c r="D21" i="18"/>
  <c r="D22" i="18"/>
  <c r="D23" i="18"/>
  <c r="D24" i="18"/>
  <c r="D25" i="18"/>
  <c r="D26" i="18"/>
  <c r="D27" i="18"/>
  <c r="D28" i="18"/>
  <c r="D29" i="18"/>
  <c r="D30" i="18"/>
  <c r="D31" i="18"/>
  <c r="D32" i="18"/>
  <c r="D40" i="18"/>
  <c r="D41" i="18"/>
  <c r="D42" i="18"/>
  <c r="D46" i="18"/>
  <c r="R991" i="4"/>
  <c r="Q991" i="4"/>
  <c r="P991" i="4"/>
  <c r="R990" i="4"/>
  <c r="Q990" i="4"/>
  <c r="P990" i="4"/>
  <c r="R964" i="4"/>
  <c r="Q964" i="4"/>
  <c r="P964" i="4"/>
  <c r="R934" i="4"/>
  <c r="Q934" i="4"/>
  <c r="P934" i="4"/>
  <c r="R933" i="4"/>
  <c r="Q933" i="4"/>
  <c r="P933" i="4"/>
  <c r="P879" i="4"/>
  <c r="Q879" i="4"/>
  <c r="R852" i="4"/>
  <c r="Q852" i="4"/>
  <c r="P852" i="4"/>
  <c r="R844" i="4"/>
  <c r="Q844" i="4"/>
  <c r="P844" i="4"/>
  <c r="R928" i="4"/>
  <c r="Q928" i="4"/>
  <c r="P928" i="4"/>
  <c r="R927" i="4"/>
  <c r="Q927" i="4"/>
  <c r="P927" i="4"/>
  <c r="Q900" i="4"/>
  <c r="P900" i="4"/>
  <c r="Q899" i="4"/>
  <c r="P899" i="4"/>
  <c r="Q898" i="4"/>
  <c r="P898" i="4"/>
  <c r="Q897" i="4"/>
  <c r="P897" i="4"/>
  <c r="Q896" i="4"/>
  <c r="P896" i="4"/>
  <c r="Q895" i="4"/>
  <c r="P895" i="4"/>
  <c r="Q894" i="4"/>
  <c r="P894" i="4"/>
  <c r="Q893" i="4"/>
  <c r="P893" i="4"/>
  <c r="Q881" i="4"/>
  <c r="P881" i="4"/>
  <c r="Q880" i="4"/>
  <c r="P880" i="4"/>
  <c r="Q878" i="4"/>
  <c r="P878" i="4"/>
  <c r="Q877" i="4"/>
  <c r="P877" i="4"/>
  <c r="Q876" i="4"/>
  <c r="P876" i="4"/>
  <c r="Q875" i="4"/>
  <c r="P875" i="4"/>
  <c r="Q874" i="4"/>
  <c r="P874" i="4"/>
  <c r="Q873" i="4"/>
  <c r="P873" i="4"/>
  <c r="Q872" i="4"/>
  <c r="P872" i="4"/>
  <c r="Q871" i="4"/>
  <c r="P871" i="4"/>
  <c r="Q870" i="4"/>
  <c r="P870" i="4"/>
  <c r="Q869" i="4"/>
  <c r="P869" i="4"/>
  <c r="Q868" i="4"/>
  <c r="P868" i="4"/>
  <c r="Q867" i="4"/>
  <c r="P867" i="4"/>
  <c r="Q866" i="4"/>
  <c r="P866" i="4"/>
  <c r="Q865" i="4"/>
  <c r="P865" i="4"/>
  <c r="Q864" i="4"/>
  <c r="P864" i="4"/>
  <c r="Q863" i="4"/>
  <c r="P863" i="4"/>
  <c r="Q862" i="4"/>
  <c r="P862" i="4"/>
  <c r="Q861" i="4"/>
  <c r="P861" i="4"/>
  <c r="Q860" i="4"/>
  <c r="P860" i="4"/>
  <c r="Q859" i="4"/>
  <c r="P859" i="4"/>
  <c r="Q858" i="4"/>
  <c r="P858" i="4"/>
  <c r="Q857" i="4"/>
  <c r="P857" i="4"/>
  <c r="Q856" i="4"/>
  <c r="P856" i="4"/>
  <c r="Q855" i="4"/>
  <c r="P855" i="4"/>
  <c r="Q854" i="4"/>
  <c r="P854" i="4"/>
  <c r="Q853" i="4"/>
  <c r="P853" i="4"/>
  <c r="Q851" i="4"/>
  <c r="P851" i="4"/>
  <c r="Q850" i="4"/>
  <c r="P850" i="4"/>
  <c r="Q849" i="4"/>
  <c r="P849" i="4"/>
  <c r="Q848" i="4"/>
  <c r="P848" i="4"/>
  <c r="Q847" i="4"/>
  <c r="P847" i="4"/>
  <c r="Q846" i="4"/>
  <c r="P846" i="4"/>
  <c r="Q799" i="4"/>
  <c r="P799" i="4"/>
  <c r="Q798" i="4"/>
  <c r="P798" i="4"/>
  <c r="Q797" i="4"/>
  <c r="P797" i="4"/>
  <c r="Q796" i="4"/>
  <c r="P796" i="4"/>
  <c r="Q795" i="4"/>
  <c r="P795" i="4"/>
  <c r="Q794" i="4"/>
  <c r="P794" i="4"/>
  <c r="Q793" i="4"/>
  <c r="P793" i="4"/>
  <c r="Q792" i="4"/>
  <c r="P792" i="4"/>
  <c r="S1055" i="4"/>
  <c r="S1054" i="4"/>
  <c r="S1053" i="4"/>
  <c r="S1052" i="4"/>
  <c r="S1051" i="4"/>
  <c r="S1050" i="4"/>
  <c r="S1049" i="4"/>
  <c r="S1048" i="4"/>
  <c r="R1047" i="4"/>
  <c r="Q1047" i="4"/>
  <c r="P1047" i="4"/>
  <c r="R1046" i="4"/>
  <c r="Q1046" i="4"/>
  <c r="P1046" i="4"/>
  <c r="R1044" i="4"/>
  <c r="Q1044" i="4"/>
  <c r="P1044" i="4"/>
  <c r="R1043" i="4"/>
  <c r="Q1043" i="4"/>
  <c r="P1043" i="4"/>
  <c r="R1042" i="4"/>
  <c r="Q1042" i="4"/>
  <c r="P1042" i="4"/>
  <c r="R1041" i="4"/>
  <c r="Q1041" i="4"/>
  <c r="P1041" i="4"/>
  <c r="R1040" i="4"/>
  <c r="Q1040" i="4"/>
  <c r="P1040" i="4"/>
  <c r="R1039" i="4"/>
  <c r="Q1039" i="4"/>
  <c r="P1039" i="4"/>
  <c r="R1038" i="4"/>
  <c r="Q1038" i="4"/>
  <c r="P1038" i="4"/>
  <c r="R1037" i="4"/>
  <c r="Q1037" i="4"/>
  <c r="P1037" i="4"/>
  <c r="R1036" i="4"/>
  <c r="Q1036" i="4"/>
  <c r="P1036" i="4"/>
  <c r="R1035" i="4"/>
  <c r="Q1035" i="4"/>
  <c r="P1035" i="4"/>
  <c r="R1034" i="4"/>
  <c r="Q1034" i="4"/>
  <c r="P1034" i="4"/>
  <c r="R1033" i="4"/>
  <c r="Q1033" i="4"/>
  <c r="P1033" i="4"/>
  <c r="R1032" i="4"/>
  <c r="Q1032" i="4"/>
  <c r="P1032" i="4"/>
  <c r="R1031" i="4"/>
  <c r="Q1031" i="4"/>
  <c r="P1031" i="4"/>
  <c r="R1030" i="4"/>
  <c r="Q1030" i="4"/>
  <c r="P1030" i="4"/>
  <c r="R1029" i="4"/>
  <c r="Q1029" i="4"/>
  <c r="P1029" i="4"/>
  <c r="R1028" i="4"/>
  <c r="Q1028" i="4"/>
  <c r="P1028" i="4"/>
  <c r="R1027" i="4"/>
  <c r="Q1027" i="4"/>
  <c r="P1027" i="4"/>
  <c r="R1026" i="4"/>
  <c r="Q1026" i="4"/>
  <c r="P1026" i="4"/>
  <c r="R1025" i="4"/>
  <c r="Q1025" i="4"/>
  <c r="P1025" i="4"/>
  <c r="R1024" i="4"/>
  <c r="Q1024" i="4"/>
  <c r="P1024" i="4"/>
  <c r="R1023" i="4"/>
  <c r="Q1023" i="4"/>
  <c r="P1023" i="4"/>
  <c r="R1022" i="4"/>
  <c r="Q1022" i="4"/>
  <c r="P1022" i="4"/>
  <c r="R1021" i="4"/>
  <c r="Q1021" i="4"/>
  <c r="P1021" i="4"/>
  <c r="R1020" i="4"/>
  <c r="Q1020" i="4"/>
  <c r="P1020" i="4"/>
  <c r="R1019" i="4"/>
  <c r="Q1019" i="4"/>
  <c r="P1019" i="4"/>
  <c r="R1018" i="4"/>
  <c r="Q1018" i="4"/>
  <c r="P1018" i="4"/>
  <c r="R1017" i="4"/>
  <c r="Q1017" i="4"/>
  <c r="P1017" i="4"/>
  <c r="R1015" i="4"/>
  <c r="Q1015" i="4"/>
  <c r="P1015" i="4"/>
  <c r="R1014" i="4"/>
  <c r="Q1014" i="4"/>
  <c r="P1014" i="4"/>
  <c r="R1013" i="4"/>
  <c r="Q1013" i="4"/>
  <c r="P1013" i="4"/>
  <c r="R1012" i="4"/>
  <c r="Q1012" i="4"/>
  <c r="P1012" i="4"/>
  <c r="R1011" i="4"/>
  <c r="Q1011" i="4"/>
  <c r="P1011" i="4"/>
  <c r="R1010" i="4"/>
  <c r="Q1010" i="4"/>
  <c r="P1010" i="4"/>
  <c r="R1008" i="4"/>
  <c r="Q1008" i="4"/>
  <c r="P1008" i="4"/>
  <c r="R981" i="4"/>
  <c r="Q981" i="4"/>
  <c r="P981" i="4"/>
  <c r="R980" i="4"/>
  <c r="Q980" i="4"/>
  <c r="P980" i="4"/>
  <c r="S979" i="4"/>
  <c r="Q979" i="4"/>
  <c r="P979" i="4"/>
  <c r="S978" i="4"/>
  <c r="Q978" i="4"/>
  <c r="P978" i="4"/>
  <c r="S977" i="4"/>
  <c r="Q977" i="4"/>
  <c r="P977" i="4"/>
  <c r="S976" i="4"/>
  <c r="Q976" i="4"/>
  <c r="P976" i="4"/>
  <c r="S975" i="4"/>
  <c r="Q975" i="4"/>
  <c r="P975" i="4"/>
  <c r="S974" i="4"/>
  <c r="Q974" i="4"/>
  <c r="P974" i="4"/>
  <c r="S972" i="4"/>
  <c r="S971" i="4"/>
  <c r="S970" i="4"/>
  <c r="S969" i="4"/>
  <c r="S968" i="4"/>
  <c r="S967" i="4"/>
  <c r="S966" i="4"/>
  <c r="S965" i="4"/>
  <c r="R962" i="4"/>
  <c r="Q962" i="4"/>
  <c r="P962" i="4"/>
  <c r="R961" i="4"/>
  <c r="Q961" i="4"/>
  <c r="P961" i="4"/>
  <c r="R960" i="4"/>
  <c r="Q960" i="4"/>
  <c r="P960" i="4"/>
  <c r="R959" i="4"/>
  <c r="Q959" i="4"/>
  <c r="P959" i="4"/>
  <c r="R958" i="4"/>
  <c r="Q958" i="4"/>
  <c r="P958" i="4"/>
  <c r="R957" i="4"/>
  <c r="Q957" i="4"/>
  <c r="P957" i="4"/>
  <c r="R956" i="4"/>
  <c r="Q956" i="4"/>
  <c r="P956" i="4"/>
  <c r="R955" i="4"/>
  <c r="Q955" i="4"/>
  <c r="P955" i="4"/>
  <c r="R954" i="4"/>
  <c r="Q954" i="4"/>
  <c r="P954" i="4"/>
  <c r="R953" i="4"/>
  <c r="Q953" i="4"/>
  <c r="P953" i="4"/>
  <c r="R952" i="4"/>
  <c r="Q952" i="4"/>
  <c r="P952" i="4"/>
  <c r="R951" i="4"/>
  <c r="Q951" i="4"/>
  <c r="P951" i="4"/>
  <c r="R950" i="4"/>
  <c r="Q950" i="4"/>
  <c r="P950" i="4"/>
  <c r="R949" i="4"/>
  <c r="Q949" i="4"/>
  <c r="P949" i="4"/>
  <c r="R948" i="4"/>
  <c r="Q948" i="4"/>
  <c r="P948" i="4"/>
  <c r="R947" i="4"/>
  <c r="Q947" i="4"/>
  <c r="P947" i="4"/>
  <c r="R946" i="4"/>
  <c r="Q946" i="4"/>
  <c r="P946" i="4"/>
  <c r="R945" i="4"/>
  <c r="Q945" i="4"/>
  <c r="P945" i="4"/>
  <c r="R944" i="4"/>
  <c r="Q944" i="4"/>
  <c r="P944" i="4"/>
  <c r="R943" i="4"/>
  <c r="Q943" i="4"/>
  <c r="P943" i="4"/>
  <c r="R942" i="4"/>
  <c r="Q942" i="4"/>
  <c r="P942" i="4"/>
  <c r="R941" i="4"/>
  <c r="Q941" i="4"/>
  <c r="P941" i="4"/>
  <c r="R940" i="4"/>
  <c r="Q940" i="4"/>
  <c r="P940" i="4"/>
  <c r="R939" i="4"/>
  <c r="Q939" i="4"/>
  <c r="P939" i="4"/>
  <c r="R938" i="4"/>
  <c r="Q938" i="4"/>
  <c r="P938" i="4"/>
  <c r="R937" i="4"/>
  <c r="Q937" i="4"/>
  <c r="P937" i="4"/>
  <c r="R936" i="4"/>
  <c r="Q936" i="4"/>
  <c r="P936" i="4"/>
  <c r="R935" i="4"/>
  <c r="Q935" i="4"/>
  <c r="P935" i="4"/>
  <c r="R932" i="4"/>
  <c r="Q932" i="4"/>
  <c r="P932" i="4"/>
  <c r="R931" i="4"/>
  <c r="Q931" i="4"/>
  <c r="P931" i="4"/>
  <c r="R930" i="4"/>
  <c r="Q930" i="4"/>
  <c r="P930" i="4"/>
  <c r="R929" i="4"/>
  <c r="Q929" i="4"/>
  <c r="P929" i="4"/>
  <c r="R769" i="4"/>
  <c r="Q769" i="4"/>
  <c r="P769" i="4"/>
  <c r="R761" i="4"/>
  <c r="Q761" i="4"/>
  <c r="P761" i="4"/>
  <c r="R753" i="4"/>
  <c r="Q753" i="4"/>
  <c r="P753" i="4"/>
  <c r="S702" i="4"/>
  <c r="Q702" i="4"/>
  <c r="P702" i="4"/>
  <c r="R660" i="4"/>
  <c r="Q660" i="4"/>
  <c r="P660" i="4"/>
  <c r="R659" i="4"/>
  <c r="Q659" i="4"/>
  <c r="P659" i="4"/>
  <c r="R694" i="4"/>
  <c r="Q694" i="4"/>
  <c r="P694" i="4"/>
  <c r="R758" i="4"/>
  <c r="Q758" i="4"/>
  <c r="P758" i="4"/>
  <c r="R757" i="4"/>
  <c r="Q757" i="4"/>
  <c r="P757" i="4"/>
  <c r="R756" i="4"/>
  <c r="Q756" i="4"/>
  <c r="P756" i="4"/>
  <c r="R755" i="4"/>
  <c r="Q755" i="4"/>
  <c r="P755" i="4"/>
  <c r="R754" i="4"/>
  <c r="Q754" i="4"/>
  <c r="P754" i="4"/>
  <c r="R752" i="4"/>
  <c r="Q752" i="4"/>
  <c r="P752" i="4"/>
  <c r="R751" i="4"/>
  <c r="Q751" i="4"/>
  <c r="P751" i="4"/>
  <c r="R750" i="4"/>
  <c r="Q750" i="4"/>
  <c r="P750" i="4"/>
  <c r="R749" i="4"/>
  <c r="Q749" i="4"/>
  <c r="P749" i="4"/>
  <c r="R745" i="4"/>
  <c r="Q745" i="4"/>
  <c r="P745" i="4"/>
  <c r="S611" i="4"/>
  <c r="S610" i="4"/>
  <c r="S609" i="4"/>
  <c r="S608" i="4"/>
  <c r="S607" i="4"/>
  <c r="S606" i="4"/>
  <c r="S605" i="4"/>
  <c r="S604" i="4"/>
  <c r="R582" i="4"/>
  <c r="Q582" i="4"/>
  <c r="P582" i="4"/>
  <c r="R581" i="4"/>
  <c r="Q581" i="4"/>
  <c r="P581" i="4"/>
  <c r="R580" i="4"/>
  <c r="Q580" i="4"/>
  <c r="P580" i="4"/>
  <c r="R579" i="4"/>
  <c r="Q579" i="4"/>
  <c r="P579" i="4"/>
  <c r="R578" i="4"/>
  <c r="Q578" i="4"/>
  <c r="P578" i="4"/>
  <c r="R577" i="4"/>
  <c r="Q577" i="4"/>
  <c r="P577" i="4"/>
  <c r="R576" i="4"/>
  <c r="Q576" i="4"/>
  <c r="P576" i="4"/>
  <c r="R575" i="4"/>
  <c r="Q575" i="4"/>
  <c r="P575" i="4"/>
  <c r="R536" i="4"/>
  <c r="Q536" i="4"/>
  <c r="P536" i="4"/>
  <c r="R535" i="4"/>
  <c r="Q535" i="4"/>
  <c r="P535" i="4"/>
  <c r="S534" i="4"/>
  <c r="Q534" i="4"/>
  <c r="P534" i="4"/>
  <c r="S533" i="4"/>
  <c r="Q533" i="4"/>
  <c r="P533" i="4"/>
  <c r="S532" i="4"/>
  <c r="Q532" i="4"/>
  <c r="P532" i="4"/>
  <c r="S531" i="4"/>
  <c r="Q531" i="4"/>
  <c r="P531" i="4"/>
  <c r="S530" i="4"/>
  <c r="Q530" i="4"/>
  <c r="P530" i="4"/>
  <c r="R662" i="4"/>
  <c r="Q662" i="4"/>
  <c r="P662" i="4"/>
  <c r="R661" i="4"/>
  <c r="Q661" i="4"/>
  <c r="P661" i="4"/>
  <c r="R658" i="4"/>
  <c r="Q658" i="4"/>
  <c r="P658" i="4"/>
  <c r="R657" i="4"/>
  <c r="Q657" i="4"/>
  <c r="P657" i="4"/>
  <c r="R656" i="4"/>
  <c r="Q656" i="4"/>
  <c r="P656" i="4"/>
  <c r="R655" i="4"/>
  <c r="Q655" i="4"/>
  <c r="P655" i="4"/>
  <c r="R653" i="4"/>
  <c r="Q653" i="4"/>
  <c r="P653" i="4"/>
  <c r="R619" i="4"/>
  <c r="Q619" i="4"/>
  <c r="P619" i="4"/>
  <c r="R618" i="4"/>
  <c r="Q618" i="4"/>
  <c r="P618" i="4"/>
  <c r="S617" i="4"/>
  <c r="Q617" i="4"/>
  <c r="P617" i="4"/>
  <c r="S616" i="4"/>
  <c r="Q616" i="4"/>
  <c r="P616" i="4"/>
  <c r="S615" i="4"/>
  <c r="Q615" i="4"/>
  <c r="P615" i="4"/>
  <c r="S614" i="4"/>
  <c r="Q614" i="4"/>
  <c r="P614" i="4"/>
  <c r="S613" i="4"/>
  <c r="Q613" i="4"/>
  <c r="P613" i="4"/>
  <c r="S498" i="4"/>
  <c r="Q498" i="4"/>
  <c r="P498" i="4"/>
  <c r="R497" i="4"/>
  <c r="Q497" i="4"/>
  <c r="P497" i="4"/>
  <c r="R495" i="4"/>
  <c r="Q495" i="4"/>
  <c r="P495" i="4"/>
  <c r="R528" i="4"/>
  <c r="Q528" i="4"/>
  <c r="P528" i="4"/>
  <c r="S522" i="4"/>
  <c r="S521" i="4"/>
  <c r="S520" i="4"/>
  <c r="R499" i="4"/>
  <c r="Q499" i="4"/>
  <c r="P499" i="4"/>
  <c r="R496" i="4"/>
  <c r="Q496" i="4"/>
  <c r="P496" i="4"/>
  <c r="R494" i="4"/>
  <c r="Q494" i="4"/>
  <c r="P494" i="4"/>
  <c r="R493" i="4"/>
  <c r="Q493" i="4"/>
  <c r="P493" i="4"/>
  <c r="R492" i="4"/>
  <c r="Q492" i="4"/>
  <c r="P492" i="4"/>
  <c r="R491" i="4"/>
  <c r="Q491" i="4"/>
  <c r="P491" i="4"/>
  <c r="R490" i="4"/>
  <c r="Q490" i="4"/>
  <c r="P490" i="4"/>
  <c r="R489" i="4"/>
  <c r="Q489" i="4"/>
  <c r="P489" i="4"/>
  <c r="R488" i="4"/>
  <c r="Q488" i="4"/>
  <c r="P488" i="4"/>
  <c r="R447" i="4"/>
  <c r="Q447" i="4"/>
  <c r="P447" i="4"/>
  <c r="R446" i="4"/>
  <c r="Q446" i="4"/>
  <c r="P446" i="4"/>
  <c r="S445" i="4"/>
  <c r="Q445" i="4"/>
  <c r="P445" i="4"/>
  <c r="S444" i="4"/>
  <c r="Q444" i="4"/>
  <c r="P444" i="4"/>
  <c r="S443" i="4"/>
  <c r="Q443" i="4"/>
  <c r="P443" i="4"/>
  <c r="S442" i="4"/>
  <c r="Q442" i="4"/>
  <c r="P442" i="4"/>
  <c r="S441" i="4"/>
  <c r="Q441" i="4"/>
  <c r="P441" i="4"/>
  <c r="S527" i="4"/>
  <c r="S526" i="4"/>
  <c r="S525" i="4"/>
  <c r="S524" i="4"/>
  <c r="S523" i="4"/>
  <c r="R704" i="4"/>
  <c r="Q704" i="4"/>
  <c r="P704" i="4"/>
  <c r="R703" i="4"/>
  <c r="Q703" i="4"/>
  <c r="P703" i="4"/>
  <c r="S701" i="4"/>
  <c r="Q701" i="4"/>
  <c r="P701" i="4"/>
  <c r="S700" i="4"/>
  <c r="Q700" i="4"/>
  <c r="P700" i="4"/>
  <c r="S699" i="4"/>
  <c r="Q699" i="4"/>
  <c r="P699" i="4"/>
  <c r="S698" i="4"/>
  <c r="Q698" i="4"/>
  <c r="P698" i="4"/>
  <c r="S697" i="4"/>
  <c r="Q697" i="4"/>
  <c r="P697" i="4"/>
  <c r="S693" i="4"/>
  <c r="S692" i="4"/>
  <c r="S691" i="4"/>
  <c r="S690" i="4"/>
  <c r="S689" i="4"/>
  <c r="S688" i="4"/>
  <c r="S687" i="4"/>
  <c r="S686" i="4"/>
  <c r="S239" i="4"/>
  <c r="Q239" i="4"/>
  <c r="P239" i="4"/>
  <c r="S238" i="4"/>
  <c r="Q238" i="4"/>
  <c r="P238" i="4"/>
  <c r="S438" i="4"/>
  <c r="R963" i="4"/>
  <c r="Q963" i="4"/>
  <c r="P963" i="4"/>
  <c r="R817" i="4"/>
  <c r="Q817" i="4"/>
  <c r="P817" i="4"/>
  <c r="R816" i="4"/>
  <c r="Q816" i="4"/>
  <c r="P816" i="4"/>
  <c r="R815" i="4"/>
  <c r="Q815" i="4"/>
  <c r="P815" i="4"/>
  <c r="R814" i="4"/>
  <c r="Q814" i="4"/>
  <c r="P814" i="4"/>
  <c r="R820" i="4"/>
  <c r="Q820" i="4"/>
  <c r="P820" i="4"/>
  <c r="R791" i="4"/>
  <c r="Q791" i="4"/>
  <c r="P791" i="4"/>
  <c r="R826" i="4"/>
  <c r="Q826" i="4"/>
  <c r="P826" i="4"/>
  <c r="S825" i="4"/>
  <c r="Q825" i="4"/>
  <c r="P825" i="4"/>
  <c r="S45" i="18"/>
  <c r="D45" i="18"/>
  <c r="Q920" i="4"/>
  <c r="P920" i="4"/>
  <c r="Q919" i="4"/>
  <c r="P919" i="4"/>
  <c r="Q918" i="4"/>
  <c r="P918" i="4"/>
  <c r="Q917" i="4"/>
  <c r="P917" i="4"/>
  <c r="Q916" i="4"/>
  <c r="P916" i="4"/>
  <c r="Q914" i="4"/>
  <c r="P914" i="4"/>
  <c r="Q913" i="4"/>
  <c r="P913" i="4"/>
  <c r="Q907" i="4"/>
  <c r="P907" i="4"/>
  <c r="Q906" i="4"/>
  <c r="P906" i="4"/>
  <c r="Q905" i="4"/>
  <c r="P905" i="4"/>
  <c r="Q904" i="4"/>
  <c r="P904" i="4"/>
  <c r="Q903" i="4"/>
  <c r="P903" i="4"/>
  <c r="Q902" i="4"/>
  <c r="P902" i="4"/>
  <c r="Q892" i="4"/>
  <c r="P892" i="4"/>
  <c r="Q890" i="4"/>
  <c r="P890" i="4"/>
  <c r="Q889" i="4"/>
  <c r="P889" i="4"/>
  <c r="Q888" i="4"/>
  <c r="P888" i="4"/>
  <c r="Q887" i="4"/>
  <c r="P887" i="4"/>
  <c r="Q886" i="4"/>
  <c r="P886" i="4"/>
  <c r="Q885" i="4"/>
  <c r="P885" i="4"/>
  <c r="Q884" i="4"/>
  <c r="P884" i="4"/>
  <c r="Q883" i="4"/>
  <c r="P883" i="4"/>
  <c r="Q882" i="4"/>
  <c r="P882" i="4"/>
  <c r="Q841" i="4"/>
  <c r="P841" i="4"/>
  <c r="Q838" i="4"/>
  <c r="P838" i="4"/>
  <c r="Q837" i="4"/>
  <c r="P837" i="4"/>
  <c r="Q836" i="4"/>
  <c r="P836" i="4"/>
  <c r="Q830" i="4"/>
  <c r="P830" i="4"/>
  <c r="Q829" i="4"/>
  <c r="P829" i="4"/>
  <c r="Q828" i="4"/>
  <c r="P828" i="4"/>
  <c r="Q827" i="4"/>
  <c r="P827" i="4"/>
  <c r="Q823" i="4"/>
  <c r="P823" i="4"/>
  <c r="Q819" i="4"/>
  <c r="P819" i="4"/>
  <c r="Q808" i="4"/>
  <c r="P808" i="4"/>
  <c r="Q807" i="4"/>
  <c r="P807" i="4"/>
  <c r="Q806" i="4"/>
  <c r="P806" i="4"/>
  <c r="Q805" i="4"/>
  <c r="P805" i="4"/>
  <c r="Q804" i="4"/>
  <c r="P804" i="4"/>
  <c r="Q803" i="4"/>
  <c r="P803" i="4"/>
  <c r="Q802" i="4"/>
  <c r="P802" i="4"/>
  <c r="S1344" i="4"/>
  <c r="R1344" i="4"/>
  <c r="Q1344" i="4"/>
  <c r="P1344" i="4"/>
  <c r="S1343" i="4"/>
  <c r="R1343" i="4"/>
  <c r="Q1343" i="4"/>
  <c r="P1343" i="4"/>
  <c r="S1342" i="4"/>
  <c r="R1342" i="4"/>
  <c r="Q1342" i="4"/>
  <c r="P1342" i="4"/>
  <c r="S1341" i="4"/>
  <c r="R1341" i="4"/>
  <c r="Q1341" i="4"/>
  <c r="P1341" i="4"/>
  <c r="S1340" i="4"/>
  <c r="R1340" i="4"/>
  <c r="Q1340" i="4"/>
  <c r="P1340" i="4"/>
  <c r="S1339" i="4"/>
  <c r="R1339" i="4"/>
  <c r="Q1339" i="4"/>
  <c r="P1339" i="4"/>
  <c r="S1338" i="4"/>
  <c r="R1338" i="4"/>
  <c r="Q1338" i="4"/>
  <c r="P1338" i="4"/>
  <c r="S1337" i="4"/>
  <c r="R1337" i="4"/>
  <c r="Q1337" i="4"/>
  <c r="P1337" i="4"/>
  <c r="S1336" i="4"/>
  <c r="R1336" i="4"/>
  <c r="Q1336" i="4"/>
  <c r="P1336" i="4"/>
  <c r="S1335" i="4"/>
  <c r="R1335" i="4"/>
  <c r="Q1335" i="4"/>
  <c r="P1335" i="4"/>
  <c r="S1334" i="4"/>
  <c r="R1334" i="4"/>
  <c r="Q1334" i="4"/>
  <c r="P1334" i="4"/>
  <c r="S1333" i="4"/>
  <c r="R1333" i="4"/>
  <c r="Q1333" i="4"/>
  <c r="P1333" i="4"/>
  <c r="S1332" i="4"/>
  <c r="R1332" i="4"/>
  <c r="Q1332" i="4"/>
  <c r="P1332" i="4"/>
  <c r="S1331" i="4"/>
  <c r="R1331" i="4"/>
  <c r="Q1331" i="4"/>
  <c r="P1331" i="4"/>
  <c r="S1330" i="4"/>
  <c r="R1330" i="4"/>
  <c r="Q1330" i="4"/>
  <c r="P1330" i="4"/>
  <c r="S1329" i="4"/>
  <c r="R1329" i="4"/>
  <c r="Q1329" i="4"/>
  <c r="P1329" i="4"/>
  <c r="S1328" i="4"/>
  <c r="R1328" i="4"/>
  <c r="Q1328" i="4"/>
  <c r="P1328" i="4"/>
  <c r="S1327" i="4"/>
  <c r="R1327" i="4"/>
  <c r="Q1327" i="4"/>
  <c r="P1327" i="4"/>
  <c r="S1326" i="4"/>
  <c r="R1326" i="4"/>
  <c r="Q1326" i="4"/>
  <c r="P1326" i="4"/>
  <c r="S1325" i="4"/>
  <c r="R1325" i="4"/>
  <c r="Q1325" i="4"/>
  <c r="P1325" i="4"/>
  <c r="S1324" i="4"/>
  <c r="R1324" i="4"/>
  <c r="Q1324" i="4"/>
  <c r="P1324" i="4"/>
  <c r="S1323" i="4"/>
  <c r="R1323" i="4"/>
  <c r="Q1323" i="4"/>
  <c r="P1323" i="4"/>
  <c r="S1322" i="4"/>
  <c r="R1322" i="4"/>
  <c r="Q1322" i="4"/>
  <c r="P1322" i="4"/>
  <c r="S1321" i="4"/>
  <c r="R1321" i="4"/>
  <c r="Q1321" i="4"/>
  <c r="P1321" i="4"/>
  <c r="S1320" i="4"/>
  <c r="R1320" i="4"/>
  <c r="Q1320" i="4"/>
  <c r="P1320" i="4"/>
  <c r="S1319" i="4"/>
  <c r="R1319" i="4"/>
  <c r="Q1319" i="4"/>
  <c r="P1319" i="4"/>
  <c r="S1318" i="4"/>
  <c r="R1318" i="4"/>
  <c r="Q1318" i="4"/>
  <c r="P1318" i="4"/>
  <c r="S1317" i="4"/>
  <c r="R1317" i="4"/>
  <c r="Q1317" i="4"/>
  <c r="P1317" i="4"/>
  <c r="S1316" i="4"/>
  <c r="R1316" i="4"/>
  <c r="Q1316" i="4"/>
  <c r="P1316" i="4"/>
  <c r="S1315" i="4"/>
  <c r="R1315" i="4"/>
  <c r="Q1315" i="4"/>
  <c r="P1315" i="4"/>
  <c r="S1314" i="4"/>
  <c r="R1314" i="4"/>
  <c r="Q1314" i="4"/>
  <c r="P1314" i="4"/>
  <c r="S1313" i="4"/>
  <c r="R1313" i="4"/>
  <c r="Q1313" i="4"/>
  <c r="P1313" i="4"/>
  <c r="S1312" i="4"/>
  <c r="R1312" i="4"/>
  <c r="Q1312" i="4"/>
  <c r="P1312" i="4"/>
  <c r="S1311" i="4"/>
  <c r="R1311" i="4"/>
  <c r="Q1311" i="4"/>
  <c r="P1311" i="4"/>
  <c r="S1310" i="4"/>
  <c r="R1310" i="4"/>
  <c r="Q1310" i="4"/>
  <c r="P1310" i="4"/>
  <c r="S1309" i="4"/>
  <c r="R1309" i="4"/>
  <c r="Q1309" i="4"/>
  <c r="P1309" i="4"/>
  <c r="S1308" i="4"/>
  <c r="R1308" i="4"/>
  <c r="Q1308" i="4"/>
  <c r="P1308" i="4"/>
  <c r="S1307" i="4"/>
  <c r="R1307" i="4"/>
  <c r="Q1307" i="4"/>
  <c r="P1307" i="4"/>
  <c r="S1306" i="4"/>
  <c r="R1306" i="4"/>
  <c r="Q1306" i="4"/>
  <c r="P1306" i="4"/>
  <c r="S1305" i="4"/>
  <c r="R1305" i="4"/>
  <c r="Q1305" i="4"/>
  <c r="P1305" i="4"/>
  <c r="S1304" i="4"/>
  <c r="R1304" i="4"/>
  <c r="Q1304" i="4"/>
  <c r="P1304" i="4"/>
  <c r="S1303" i="4"/>
  <c r="R1303" i="4"/>
  <c r="Q1303" i="4"/>
  <c r="P1303" i="4"/>
  <c r="S1302" i="4"/>
  <c r="R1302" i="4"/>
  <c r="Q1302" i="4"/>
  <c r="P1302" i="4"/>
  <c r="S1301" i="4"/>
  <c r="R1301" i="4"/>
  <c r="Q1301" i="4"/>
  <c r="P1301" i="4"/>
  <c r="S1300" i="4"/>
  <c r="R1300" i="4"/>
  <c r="Q1300" i="4"/>
  <c r="P1300" i="4"/>
  <c r="S1299" i="4"/>
  <c r="R1299" i="4"/>
  <c r="Q1299" i="4"/>
  <c r="P1299" i="4"/>
  <c r="S1298" i="4"/>
  <c r="R1298" i="4"/>
  <c r="Q1298" i="4"/>
  <c r="P1298" i="4"/>
  <c r="S1297" i="4"/>
  <c r="R1297" i="4"/>
  <c r="Q1297" i="4"/>
  <c r="P1297" i="4"/>
  <c r="S1296" i="4"/>
  <c r="R1296" i="4"/>
  <c r="Q1296" i="4"/>
  <c r="P1296" i="4"/>
  <c r="S1295" i="4"/>
  <c r="R1295" i="4"/>
  <c r="Q1295" i="4"/>
  <c r="P1295" i="4"/>
  <c r="S1294" i="4"/>
  <c r="R1294" i="4"/>
  <c r="Q1294" i="4"/>
  <c r="P1294" i="4"/>
  <c r="S1293" i="4"/>
  <c r="R1293" i="4"/>
  <c r="Q1293" i="4"/>
  <c r="P1293" i="4"/>
  <c r="S1292" i="4"/>
  <c r="R1292" i="4"/>
  <c r="Q1292" i="4"/>
  <c r="P1292" i="4"/>
  <c r="S1291" i="4"/>
  <c r="R1291" i="4"/>
  <c r="Q1291" i="4"/>
  <c r="P1291" i="4"/>
  <c r="S1290" i="4"/>
  <c r="R1290" i="4"/>
  <c r="Q1290" i="4"/>
  <c r="P1290" i="4"/>
  <c r="S1289" i="4"/>
  <c r="R1289" i="4"/>
  <c r="Q1289" i="4"/>
  <c r="P1289" i="4"/>
  <c r="S1288" i="4"/>
  <c r="R1288" i="4"/>
  <c r="Q1288" i="4"/>
  <c r="P1288" i="4"/>
  <c r="S1287" i="4"/>
  <c r="R1287" i="4"/>
  <c r="Q1287" i="4"/>
  <c r="P1287" i="4"/>
  <c r="S1286" i="4"/>
  <c r="R1286" i="4"/>
  <c r="Q1286" i="4"/>
  <c r="P1286" i="4"/>
  <c r="S1285" i="4"/>
  <c r="R1285" i="4"/>
  <c r="Q1285" i="4"/>
  <c r="P1285" i="4"/>
  <c r="S1284" i="4"/>
  <c r="R1284" i="4"/>
  <c r="Q1284" i="4"/>
  <c r="P1284" i="4"/>
  <c r="S1283" i="4"/>
  <c r="R1283" i="4"/>
  <c r="Q1283" i="4"/>
  <c r="P1283" i="4"/>
  <c r="S1282" i="4"/>
  <c r="R1282" i="4"/>
  <c r="Q1282" i="4"/>
  <c r="P1282" i="4"/>
  <c r="S1281" i="4"/>
  <c r="R1281" i="4"/>
  <c r="Q1281" i="4"/>
  <c r="P1281" i="4"/>
  <c r="S1280" i="4"/>
  <c r="R1280" i="4"/>
  <c r="Q1280" i="4"/>
  <c r="P1280" i="4"/>
  <c r="S1279" i="4"/>
  <c r="R1279" i="4"/>
  <c r="Q1279" i="4"/>
  <c r="P1279" i="4"/>
  <c r="S1278" i="4"/>
  <c r="R1278" i="4"/>
  <c r="Q1278" i="4"/>
  <c r="P1278" i="4"/>
  <c r="S1277" i="4"/>
  <c r="R1277" i="4"/>
  <c r="Q1277" i="4"/>
  <c r="P1277" i="4"/>
  <c r="S1276" i="4"/>
  <c r="R1276" i="4"/>
  <c r="Q1276" i="4"/>
  <c r="P1276" i="4"/>
  <c r="S1275" i="4"/>
  <c r="R1275" i="4"/>
  <c r="Q1275" i="4"/>
  <c r="P1275" i="4"/>
  <c r="S1274" i="4"/>
  <c r="R1274" i="4"/>
  <c r="Q1274" i="4"/>
  <c r="P1274" i="4"/>
  <c r="S1273" i="4"/>
  <c r="R1273" i="4"/>
  <c r="Q1273" i="4"/>
  <c r="P1273" i="4"/>
  <c r="S1272" i="4"/>
  <c r="R1272" i="4"/>
  <c r="Q1272" i="4"/>
  <c r="P1272" i="4"/>
  <c r="S1271" i="4"/>
  <c r="R1271" i="4"/>
  <c r="Q1271" i="4"/>
  <c r="P1271" i="4"/>
  <c r="S1270" i="4"/>
  <c r="R1270" i="4"/>
  <c r="Q1270" i="4"/>
  <c r="P1270" i="4"/>
  <c r="S1269" i="4"/>
  <c r="R1269" i="4"/>
  <c r="Q1269" i="4"/>
  <c r="P1269" i="4"/>
  <c r="S1268" i="4"/>
  <c r="R1268" i="4"/>
  <c r="Q1268" i="4"/>
  <c r="P1268" i="4"/>
  <c r="S1267" i="4"/>
  <c r="R1267" i="4"/>
  <c r="Q1267" i="4"/>
  <c r="P1267" i="4"/>
  <c r="S1266" i="4"/>
  <c r="R1266" i="4"/>
  <c r="Q1266" i="4"/>
  <c r="P1266" i="4"/>
  <c r="S1265" i="4"/>
  <c r="R1265" i="4"/>
  <c r="Q1265" i="4"/>
  <c r="P1265" i="4"/>
  <c r="S1264" i="4"/>
  <c r="R1264" i="4"/>
  <c r="Q1264" i="4"/>
  <c r="P1264" i="4"/>
  <c r="S1263" i="4"/>
  <c r="R1263" i="4"/>
  <c r="Q1263" i="4"/>
  <c r="P1263" i="4"/>
  <c r="S1262" i="4"/>
  <c r="R1262" i="4"/>
  <c r="Q1262" i="4"/>
  <c r="P1262" i="4"/>
  <c r="S1261" i="4"/>
  <c r="R1261" i="4"/>
  <c r="Q1261" i="4"/>
  <c r="P1261" i="4"/>
  <c r="S1260" i="4"/>
  <c r="R1260" i="4"/>
  <c r="Q1260" i="4"/>
  <c r="P1260" i="4"/>
  <c r="S1259" i="4"/>
  <c r="R1259" i="4"/>
  <c r="Q1259" i="4"/>
  <c r="P1259" i="4"/>
  <c r="S1258" i="4"/>
  <c r="R1258" i="4"/>
  <c r="Q1258" i="4"/>
  <c r="P1258" i="4"/>
  <c r="S1257" i="4"/>
  <c r="R1257" i="4"/>
  <c r="Q1257" i="4"/>
  <c r="P1257" i="4"/>
  <c r="S1256" i="4"/>
  <c r="R1256" i="4"/>
  <c r="Q1256" i="4"/>
  <c r="P1256" i="4"/>
  <c r="S1255" i="4"/>
  <c r="R1255" i="4"/>
  <c r="Q1255" i="4"/>
  <c r="P1255" i="4"/>
  <c r="S1254" i="4"/>
  <c r="R1254" i="4"/>
  <c r="Q1254" i="4"/>
  <c r="P1254" i="4"/>
  <c r="S1253" i="4"/>
  <c r="R1253" i="4"/>
  <c r="Q1253" i="4"/>
  <c r="P1253" i="4"/>
  <c r="S1252" i="4"/>
  <c r="R1252" i="4"/>
  <c r="Q1252" i="4"/>
  <c r="P1252" i="4"/>
  <c r="S1251" i="4"/>
  <c r="R1251" i="4"/>
  <c r="Q1251" i="4"/>
  <c r="P1251" i="4"/>
  <c r="S1250" i="4"/>
  <c r="R1250" i="4"/>
  <c r="Q1250" i="4"/>
  <c r="P1250" i="4"/>
  <c r="S1249" i="4"/>
  <c r="R1249" i="4"/>
  <c r="Q1249" i="4"/>
  <c r="P1249" i="4"/>
  <c r="S1248" i="4"/>
  <c r="R1248" i="4"/>
  <c r="Q1248" i="4"/>
  <c r="P1248" i="4"/>
  <c r="S1247" i="4"/>
  <c r="R1247" i="4"/>
  <c r="Q1247" i="4"/>
  <c r="P1247" i="4"/>
  <c r="S1246" i="4"/>
  <c r="R1246" i="4"/>
  <c r="Q1246" i="4"/>
  <c r="P1246" i="4"/>
  <c r="S1245" i="4"/>
  <c r="R1245" i="4"/>
  <c r="Q1245" i="4"/>
  <c r="P1245" i="4"/>
  <c r="S1244" i="4"/>
  <c r="R1244" i="4"/>
  <c r="Q1244" i="4"/>
  <c r="P1244" i="4"/>
  <c r="S1243" i="4"/>
  <c r="R1243" i="4"/>
  <c r="Q1243" i="4"/>
  <c r="P1243" i="4"/>
  <c r="S1242" i="4"/>
  <c r="R1242" i="4"/>
  <c r="Q1242" i="4"/>
  <c r="P1242" i="4"/>
  <c r="S1241" i="4"/>
  <c r="R1241" i="4"/>
  <c r="Q1241" i="4"/>
  <c r="P1241" i="4"/>
  <c r="S1240" i="4"/>
  <c r="R1240" i="4"/>
  <c r="Q1240" i="4"/>
  <c r="P1240" i="4"/>
  <c r="S1239" i="4"/>
  <c r="R1239" i="4"/>
  <c r="Q1239" i="4"/>
  <c r="P1239" i="4"/>
  <c r="S1238" i="4"/>
  <c r="R1238" i="4"/>
  <c r="Q1238" i="4"/>
  <c r="P1238" i="4"/>
  <c r="S1237" i="4"/>
  <c r="R1237" i="4"/>
  <c r="Q1237" i="4"/>
  <c r="P1237" i="4"/>
  <c r="S1236" i="4"/>
  <c r="R1236" i="4"/>
  <c r="Q1236" i="4"/>
  <c r="P1236" i="4"/>
  <c r="S1235" i="4"/>
  <c r="R1235" i="4"/>
  <c r="Q1235" i="4"/>
  <c r="P1235" i="4"/>
  <c r="S1234" i="4"/>
  <c r="R1234" i="4"/>
  <c r="Q1234" i="4"/>
  <c r="P1234" i="4"/>
  <c r="S1233" i="4"/>
  <c r="R1233" i="4"/>
  <c r="Q1233" i="4"/>
  <c r="P1233" i="4"/>
  <c r="S1232" i="4"/>
  <c r="R1232" i="4"/>
  <c r="Q1232" i="4"/>
  <c r="P1232" i="4"/>
  <c r="S1231" i="4"/>
  <c r="R1231" i="4"/>
  <c r="Q1231" i="4"/>
  <c r="P1231" i="4"/>
  <c r="S1230" i="4"/>
  <c r="R1230" i="4"/>
  <c r="Q1230" i="4"/>
  <c r="P1230" i="4"/>
  <c r="S1229" i="4"/>
  <c r="R1229" i="4"/>
  <c r="Q1229" i="4"/>
  <c r="P1229" i="4"/>
  <c r="S1228" i="4"/>
  <c r="R1228" i="4"/>
  <c r="Q1228" i="4"/>
  <c r="P1228" i="4"/>
  <c r="S1227" i="4"/>
  <c r="R1227" i="4"/>
  <c r="Q1227" i="4"/>
  <c r="P1227" i="4"/>
  <c r="S1226" i="4"/>
  <c r="R1226" i="4"/>
  <c r="Q1226" i="4"/>
  <c r="P1226" i="4"/>
  <c r="S1225" i="4"/>
  <c r="R1225" i="4"/>
  <c r="Q1225" i="4"/>
  <c r="P1225" i="4"/>
  <c r="S1224" i="4"/>
  <c r="R1224" i="4"/>
  <c r="Q1224" i="4"/>
  <c r="P1224" i="4"/>
  <c r="S1223" i="4"/>
  <c r="R1223" i="4"/>
  <c r="Q1223" i="4"/>
  <c r="P1223" i="4"/>
  <c r="S1222" i="4"/>
  <c r="R1222" i="4"/>
  <c r="Q1222" i="4"/>
  <c r="P1222" i="4"/>
  <c r="S1221" i="4"/>
  <c r="R1221" i="4"/>
  <c r="Q1221" i="4"/>
  <c r="P1221" i="4"/>
  <c r="S1220" i="4"/>
  <c r="R1220" i="4"/>
  <c r="Q1220" i="4"/>
  <c r="P1220" i="4"/>
  <c r="S1219" i="4"/>
  <c r="R1219" i="4"/>
  <c r="Q1219" i="4"/>
  <c r="P1219" i="4"/>
  <c r="S1218" i="4"/>
  <c r="R1218" i="4"/>
  <c r="Q1218" i="4"/>
  <c r="P1218" i="4"/>
  <c r="S1217" i="4"/>
  <c r="R1217" i="4"/>
  <c r="Q1217" i="4"/>
  <c r="P1217" i="4"/>
  <c r="S1216" i="4"/>
  <c r="R1216" i="4"/>
  <c r="Q1216" i="4"/>
  <c r="P1216" i="4"/>
  <c r="S1215" i="4"/>
  <c r="R1215" i="4"/>
  <c r="Q1215" i="4"/>
  <c r="P1215" i="4"/>
  <c r="S1214" i="4"/>
  <c r="R1214" i="4"/>
  <c r="Q1214" i="4"/>
  <c r="P1214" i="4"/>
  <c r="S1213" i="4"/>
  <c r="R1213" i="4"/>
  <c r="Q1213" i="4"/>
  <c r="P1213" i="4"/>
  <c r="S1212" i="4"/>
  <c r="R1212" i="4"/>
  <c r="Q1212" i="4"/>
  <c r="P1212" i="4"/>
  <c r="S1211" i="4"/>
  <c r="R1211" i="4"/>
  <c r="Q1211" i="4"/>
  <c r="P1211" i="4"/>
  <c r="S1210" i="4"/>
  <c r="R1210" i="4"/>
  <c r="Q1210" i="4"/>
  <c r="P1210" i="4"/>
  <c r="S1209" i="4"/>
  <c r="R1209" i="4"/>
  <c r="Q1209" i="4"/>
  <c r="P1209" i="4"/>
  <c r="S1208" i="4"/>
  <c r="R1208" i="4"/>
  <c r="Q1208" i="4"/>
  <c r="P1208" i="4"/>
  <c r="S1207" i="4"/>
  <c r="R1207" i="4"/>
  <c r="Q1207" i="4"/>
  <c r="P1207" i="4"/>
  <c r="S1206" i="4"/>
  <c r="R1206" i="4"/>
  <c r="Q1206" i="4"/>
  <c r="P1206" i="4"/>
  <c r="S1205" i="4"/>
  <c r="R1205" i="4"/>
  <c r="Q1205" i="4"/>
  <c r="P1205" i="4"/>
  <c r="S1204" i="4"/>
  <c r="R1204" i="4"/>
  <c r="Q1204" i="4"/>
  <c r="P1204" i="4"/>
  <c r="S1203" i="4"/>
  <c r="R1203" i="4"/>
  <c r="Q1203" i="4"/>
  <c r="P1203" i="4"/>
  <c r="S1202" i="4"/>
  <c r="R1202" i="4"/>
  <c r="Q1202" i="4"/>
  <c r="P1202" i="4"/>
  <c r="S1201" i="4"/>
  <c r="R1201" i="4"/>
  <c r="Q1201" i="4"/>
  <c r="P1201" i="4"/>
  <c r="S1200" i="4"/>
  <c r="R1200" i="4"/>
  <c r="Q1200" i="4"/>
  <c r="P1200" i="4"/>
  <c r="S1199" i="4"/>
  <c r="R1199" i="4"/>
  <c r="Q1199" i="4"/>
  <c r="P1199" i="4"/>
  <c r="S1198" i="4"/>
  <c r="R1198" i="4"/>
  <c r="Q1198" i="4"/>
  <c r="P1198" i="4"/>
  <c r="S1197" i="4"/>
  <c r="R1197" i="4"/>
  <c r="Q1197" i="4"/>
  <c r="P1197" i="4"/>
  <c r="S1196" i="4"/>
  <c r="R1196" i="4"/>
  <c r="Q1196" i="4"/>
  <c r="P1196" i="4"/>
  <c r="S1195" i="4"/>
  <c r="R1195" i="4"/>
  <c r="Q1195" i="4"/>
  <c r="P1195" i="4"/>
  <c r="S1194" i="4"/>
  <c r="R1194" i="4"/>
  <c r="Q1194" i="4"/>
  <c r="P1194" i="4"/>
  <c r="S1193" i="4"/>
  <c r="R1193" i="4"/>
  <c r="Q1193" i="4"/>
  <c r="P1193" i="4"/>
  <c r="S1192" i="4"/>
  <c r="R1192" i="4"/>
  <c r="Q1192" i="4"/>
  <c r="P1192" i="4"/>
  <c r="S1191" i="4"/>
  <c r="R1191" i="4"/>
  <c r="Q1191" i="4"/>
  <c r="P1191" i="4"/>
  <c r="S1190" i="4"/>
  <c r="R1190" i="4"/>
  <c r="Q1190" i="4"/>
  <c r="P1190" i="4"/>
  <c r="S1189" i="4"/>
  <c r="R1189" i="4"/>
  <c r="Q1189" i="4"/>
  <c r="P1189" i="4"/>
  <c r="S1188" i="4"/>
  <c r="R1188" i="4"/>
  <c r="Q1188" i="4"/>
  <c r="P1188" i="4"/>
  <c r="S1187" i="4"/>
  <c r="R1187" i="4"/>
  <c r="Q1187" i="4"/>
  <c r="P1187" i="4"/>
  <c r="S1186" i="4"/>
  <c r="R1186" i="4"/>
  <c r="Q1186" i="4"/>
  <c r="P1186" i="4"/>
  <c r="S1185" i="4"/>
  <c r="R1185" i="4"/>
  <c r="Q1185" i="4"/>
  <c r="P1185" i="4"/>
  <c r="S1184" i="4"/>
  <c r="R1184" i="4"/>
  <c r="Q1184" i="4"/>
  <c r="P1184" i="4"/>
  <c r="S1183" i="4"/>
  <c r="R1183" i="4"/>
  <c r="Q1183" i="4"/>
  <c r="P1183" i="4"/>
  <c r="S1182" i="4"/>
  <c r="R1182" i="4"/>
  <c r="Q1182" i="4"/>
  <c r="P1182" i="4"/>
  <c r="S1181" i="4"/>
  <c r="R1181" i="4"/>
  <c r="Q1181" i="4"/>
  <c r="P1181" i="4"/>
  <c r="S1180" i="4"/>
  <c r="R1180" i="4"/>
  <c r="Q1180" i="4"/>
  <c r="P1180" i="4"/>
  <c r="S1179" i="4"/>
  <c r="R1179" i="4"/>
  <c r="Q1179" i="4"/>
  <c r="P1179" i="4"/>
  <c r="S1178" i="4"/>
  <c r="R1178" i="4"/>
  <c r="Q1178" i="4"/>
  <c r="P1178" i="4"/>
  <c r="S1177" i="4"/>
  <c r="R1177" i="4"/>
  <c r="Q1177" i="4"/>
  <c r="P1177" i="4"/>
  <c r="S1176" i="4"/>
  <c r="R1176" i="4"/>
  <c r="Q1176" i="4"/>
  <c r="P1176" i="4"/>
  <c r="S1175" i="4"/>
  <c r="R1175" i="4"/>
  <c r="Q1175" i="4"/>
  <c r="P1175" i="4"/>
  <c r="S1174" i="4"/>
  <c r="R1174" i="4"/>
  <c r="Q1174" i="4"/>
  <c r="P1174" i="4"/>
  <c r="S1173" i="4"/>
  <c r="R1173" i="4"/>
  <c r="Q1173" i="4"/>
  <c r="P1173" i="4"/>
  <c r="S1172" i="4"/>
  <c r="R1172" i="4"/>
  <c r="Q1172" i="4"/>
  <c r="P1172" i="4"/>
  <c r="S1171" i="4"/>
  <c r="R1171" i="4"/>
  <c r="Q1171" i="4"/>
  <c r="P1171" i="4"/>
  <c r="S1170" i="4"/>
  <c r="R1170" i="4"/>
  <c r="Q1170" i="4"/>
  <c r="P1170" i="4"/>
  <c r="S1169" i="4"/>
  <c r="R1169" i="4"/>
  <c r="Q1169" i="4"/>
  <c r="P1169" i="4"/>
  <c r="S1168" i="4"/>
  <c r="R1168" i="4"/>
  <c r="Q1168" i="4"/>
  <c r="P1168" i="4"/>
  <c r="S1167" i="4"/>
  <c r="R1167" i="4"/>
  <c r="Q1167" i="4"/>
  <c r="P1167" i="4"/>
  <c r="S1166" i="4"/>
  <c r="R1166" i="4"/>
  <c r="Q1166" i="4"/>
  <c r="P1166" i="4"/>
  <c r="S1165" i="4"/>
  <c r="R1165" i="4"/>
  <c r="Q1165" i="4"/>
  <c r="P1165" i="4"/>
  <c r="S1164" i="4"/>
  <c r="R1164" i="4"/>
  <c r="Q1164" i="4"/>
  <c r="P1164" i="4"/>
  <c r="S1163" i="4"/>
  <c r="R1163" i="4"/>
  <c r="Q1163" i="4"/>
  <c r="P1163" i="4"/>
  <c r="S1162" i="4"/>
  <c r="R1162" i="4"/>
  <c r="Q1162" i="4"/>
  <c r="P1162" i="4"/>
  <c r="S1161" i="4"/>
  <c r="R1161" i="4"/>
  <c r="Q1161" i="4"/>
  <c r="P1161" i="4"/>
  <c r="S1160" i="4"/>
  <c r="R1160" i="4"/>
  <c r="Q1160" i="4"/>
  <c r="P1160" i="4"/>
  <c r="S1159" i="4"/>
  <c r="R1159" i="4"/>
  <c r="Q1159" i="4"/>
  <c r="P1159" i="4"/>
  <c r="S1158" i="4"/>
  <c r="R1158" i="4"/>
  <c r="Q1158" i="4"/>
  <c r="P1158" i="4"/>
  <c r="S1157" i="4"/>
  <c r="R1157" i="4"/>
  <c r="Q1157" i="4"/>
  <c r="P1157" i="4"/>
  <c r="S1156" i="4"/>
  <c r="R1156" i="4"/>
  <c r="Q1156" i="4"/>
  <c r="P1156" i="4"/>
  <c r="S1155" i="4"/>
  <c r="R1155" i="4"/>
  <c r="Q1155" i="4"/>
  <c r="P1155" i="4"/>
  <c r="S1154" i="4"/>
  <c r="R1154" i="4"/>
  <c r="Q1154" i="4"/>
  <c r="P1154" i="4"/>
  <c r="S1153" i="4"/>
  <c r="R1153" i="4"/>
  <c r="Q1153" i="4"/>
  <c r="P1153" i="4"/>
  <c r="S1152" i="4"/>
  <c r="R1152" i="4"/>
  <c r="Q1152" i="4"/>
  <c r="P1152" i="4"/>
  <c r="S1151" i="4"/>
  <c r="R1151" i="4"/>
  <c r="Q1151" i="4"/>
  <c r="P1151" i="4"/>
  <c r="S1150" i="4"/>
  <c r="R1150" i="4"/>
  <c r="Q1150" i="4"/>
  <c r="P1150" i="4"/>
  <c r="S1149" i="4"/>
  <c r="R1149" i="4"/>
  <c r="Q1149" i="4"/>
  <c r="P1149" i="4"/>
  <c r="S1148" i="4"/>
  <c r="R1148" i="4"/>
  <c r="Q1148" i="4"/>
  <c r="P1148" i="4"/>
  <c r="S1147" i="4"/>
  <c r="R1147" i="4"/>
  <c r="Q1147" i="4"/>
  <c r="P1147" i="4"/>
  <c r="S1146" i="4"/>
  <c r="R1146" i="4"/>
  <c r="Q1146" i="4"/>
  <c r="P1146" i="4"/>
  <c r="S1145" i="4"/>
  <c r="R1145" i="4"/>
  <c r="Q1145" i="4"/>
  <c r="P1145" i="4"/>
  <c r="S1144" i="4"/>
  <c r="R1144" i="4"/>
  <c r="Q1144" i="4"/>
  <c r="P1144" i="4"/>
  <c r="S1143" i="4"/>
  <c r="R1143" i="4"/>
  <c r="Q1143" i="4"/>
  <c r="P1143" i="4"/>
  <c r="S1142" i="4"/>
  <c r="R1142" i="4"/>
  <c r="Q1142" i="4"/>
  <c r="P1142" i="4"/>
  <c r="S1141" i="4"/>
  <c r="R1141" i="4"/>
  <c r="Q1141" i="4"/>
  <c r="P1141" i="4"/>
  <c r="S1140" i="4"/>
  <c r="R1140" i="4"/>
  <c r="Q1140" i="4"/>
  <c r="P1140" i="4"/>
  <c r="S1139" i="4"/>
  <c r="R1139" i="4"/>
  <c r="Q1139" i="4"/>
  <c r="P1139" i="4"/>
  <c r="S1138" i="4"/>
  <c r="R1138" i="4"/>
  <c r="Q1138" i="4"/>
  <c r="P1138" i="4"/>
  <c r="S1137" i="4"/>
  <c r="R1137" i="4"/>
  <c r="Q1137" i="4"/>
  <c r="P1137" i="4"/>
  <c r="S1136" i="4"/>
  <c r="R1136" i="4"/>
  <c r="Q1136" i="4"/>
  <c r="P1136" i="4"/>
  <c r="S1135" i="4"/>
  <c r="R1135" i="4"/>
  <c r="Q1135" i="4"/>
  <c r="P1135" i="4"/>
  <c r="S1134" i="4"/>
  <c r="R1134" i="4"/>
  <c r="Q1134" i="4"/>
  <c r="P1134" i="4"/>
  <c r="S1133" i="4"/>
  <c r="R1133" i="4"/>
  <c r="Q1133" i="4"/>
  <c r="P1133" i="4"/>
  <c r="S1132" i="4"/>
  <c r="R1132" i="4"/>
  <c r="Q1132" i="4"/>
  <c r="P1132" i="4"/>
  <c r="S1131" i="4"/>
  <c r="R1131" i="4"/>
  <c r="Q1131" i="4"/>
  <c r="P1131" i="4"/>
  <c r="S1130" i="4"/>
  <c r="R1130" i="4"/>
  <c r="Q1130" i="4"/>
  <c r="P1130" i="4"/>
  <c r="S1129" i="4"/>
  <c r="R1129" i="4"/>
  <c r="Q1129" i="4"/>
  <c r="P1129" i="4"/>
  <c r="S1128" i="4"/>
  <c r="R1128" i="4"/>
  <c r="Q1128" i="4"/>
  <c r="P1128" i="4"/>
  <c r="S1127" i="4"/>
  <c r="R1127" i="4"/>
  <c r="Q1127" i="4"/>
  <c r="P1127" i="4"/>
  <c r="S1126" i="4"/>
  <c r="R1126" i="4"/>
  <c r="Q1126" i="4"/>
  <c r="P1126" i="4"/>
  <c r="S1125" i="4"/>
  <c r="R1125" i="4"/>
  <c r="Q1125" i="4"/>
  <c r="P1125" i="4"/>
  <c r="S1124" i="4"/>
  <c r="R1124" i="4"/>
  <c r="Q1124" i="4"/>
  <c r="P1124" i="4"/>
  <c r="S1123" i="4"/>
  <c r="R1123" i="4"/>
  <c r="Q1123" i="4"/>
  <c r="P1123" i="4"/>
  <c r="S1122" i="4"/>
  <c r="R1122" i="4"/>
  <c r="Q1122" i="4"/>
  <c r="P1122" i="4"/>
  <c r="S1121" i="4"/>
  <c r="R1121" i="4"/>
  <c r="Q1121" i="4"/>
  <c r="P1121" i="4"/>
  <c r="S1120" i="4"/>
  <c r="R1120" i="4"/>
  <c r="Q1120" i="4"/>
  <c r="P1120" i="4"/>
  <c r="S1119" i="4"/>
  <c r="R1119" i="4"/>
  <c r="Q1119" i="4"/>
  <c r="P1119" i="4"/>
  <c r="S1118" i="4"/>
  <c r="R1118" i="4"/>
  <c r="Q1118" i="4"/>
  <c r="P1118" i="4"/>
  <c r="S1117" i="4"/>
  <c r="R1117" i="4"/>
  <c r="Q1117" i="4"/>
  <c r="P1117" i="4"/>
  <c r="S1116" i="4"/>
  <c r="R1116" i="4"/>
  <c r="Q1116" i="4"/>
  <c r="P1116" i="4"/>
  <c r="S1115" i="4"/>
  <c r="R1115" i="4"/>
  <c r="Q1115" i="4"/>
  <c r="P1115" i="4"/>
  <c r="S1114" i="4"/>
  <c r="R1114" i="4"/>
  <c r="Q1114" i="4"/>
  <c r="P1114" i="4"/>
  <c r="S1113" i="4"/>
  <c r="R1113" i="4"/>
  <c r="Q1113" i="4"/>
  <c r="P1113" i="4"/>
  <c r="S1112" i="4"/>
  <c r="R1112" i="4"/>
  <c r="Q1112" i="4"/>
  <c r="P1112" i="4"/>
  <c r="S1111" i="4"/>
  <c r="R1111" i="4"/>
  <c r="Q1111" i="4"/>
  <c r="P1111" i="4"/>
  <c r="S1110" i="4"/>
  <c r="R1110" i="4"/>
  <c r="Q1110" i="4"/>
  <c r="P1110" i="4"/>
  <c r="S1109" i="4"/>
  <c r="R1109" i="4"/>
  <c r="Q1109" i="4"/>
  <c r="P1109" i="4"/>
  <c r="S1108" i="4"/>
  <c r="R1108" i="4"/>
  <c r="Q1108" i="4"/>
  <c r="P1108" i="4"/>
  <c r="S1107" i="4"/>
  <c r="R1107" i="4"/>
  <c r="Q1107" i="4"/>
  <c r="P1107" i="4"/>
  <c r="S1106" i="4"/>
  <c r="R1106" i="4"/>
  <c r="Q1106" i="4"/>
  <c r="P1106" i="4"/>
  <c r="S1105" i="4"/>
  <c r="R1105" i="4"/>
  <c r="Q1105" i="4"/>
  <c r="P1105" i="4"/>
  <c r="S1104" i="4"/>
  <c r="R1104" i="4"/>
  <c r="Q1104" i="4"/>
  <c r="P1104" i="4"/>
  <c r="S1103" i="4"/>
  <c r="R1103" i="4"/>
  <c r="Q1103" i="4"/>
  <c r="P1103" i="4"/>
  <c r="S1102" i="4"/>
  <c r="R1102" i="4"/>
  <c r="Q1102" i="4"/>
  <c r="P1102" i="4"/>
  <c r="S1101" i="4"/>
  <c r="R1101" i="4"/>
  <c r="Q1101" i="4"/>
  <c r="P1101" i="4"/>
  <c r="S1100" i="4"/>
  <c r="R1100" i="4"/>
  <c r="Q1100" i="4"/>
  <c r="P1100" i="4"/>
  <c r="S1099" i="4"/>
  <c r="R1099" i="4"/>
  <c r="Q1099" i="4"/>
  <c r="P1099" i="4"/>
  <c r="S1098" i="4"/>
  <c r="R1098" i="4"/>
  <c r="Q1098" i="4"/>
  <c r="P1098" i="4"/>
  <c r="S1097" i="4"/>
  <c r="R1097" i="4"/>
  <c r="Q1097" i="4"/>
  <c r="P1097" i="4"/>
  <c r="S1096" i="4"/>
  <c r="R1096" i="4"/>
  <c r="Q1096" i="4"/>
  <c r="P1096" i="4"/>
  <c r="S1095" i="4"/>
  <c r="R1095" i="4"/>
  <c r="Q1095" i="4"/>
  <c r="P1095" i="4"/>
  <c r="S1094" i="4"/>
  <c r="R1094" i="4"/>
  <c r="Q1094" i="4"/>
  <c r="P1094" i="4"/>
  <c r="S1093" i="4"/>
  <c r="R1093" i="4"/>
  <c r="Q1093" i="4"/>
  <c r="P1093" i="4"/>
  <c r="S1092" i="4"/>
  <c r="R1092" i="4"/>
  <c r="Q1092" i="4"/>
  <c r="P1092" i="4"/>
  <c r="S1091" i="4"/>
  <c r="R1091" i="4"/>
  <c r="Q1091" i="4"/>
  <c r="P1091" i="4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S1083" i="4"/>
  <c r="R1083" i="4"/>
  <c r="Q1083" i="4"/>
  <c r="P1083" i="4"/>
  <c r="S1082" i="4"/>
  <c r="R1082" i="4"/>
  <c r="Q1082" i="4"/>
  <c r="P1082" i="4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S1077" i="4"/>
  <c r="R1077" i="4"/>
  <c r="Q1077" i="4"/>
  <c r="P1077" i="4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2" i="4"/>
  <c r="R1062" i="4"/>
  <c r="Q1062" i="4"/>
  <c r="P1062" i="4"/>
  <c r="S1061" i="4"/>
  <c r="R1061" i="4"/>
  <c r="V1061" i="4" s="1"/>
  <c r="Q1061" i="4"/>
  <c r="P1061" i="4"/>
  <c r="S1060" i="4"/>
  <c r="R1060" i="4"/>
  <c r="Q1060" i="4"/>
  <c r="P1060" i="4"/>
  <c r="S1059" i="4"/>
  <c r="R1059" i="4"/>
  <c r="Q1059" i="4"/>
  <c r="P1059" i="4"/>
  <c r="S1058" i="4"/>
  <c r="R1058" i="4"/>
  <c r="Q1058" i="4"/>
  <c r="P1058" i="4"/>
  <c r="R1056" i="4"/>
  <c r="Q1056" i="4"/>
  <c r="P1056" i="4"/>
  <c r="R1055" i="4"/>
  <c r="Q1055" i="4"/>
  <c r="P1055" i="4"/>
  <c r="R1054" i="4"/>
  <c r="Q1054" i="4"/>
  <c r="P1054" i="4"/>
  <c r="R1053" i="4"/>
  <c r="Q1053" i="4"/>
  <c r="P1053" i="4"/>
  <c r="R1052" i="4"/>
  <c r="Q1052" i="4"/>
  <c r="P1052" i="4"/>
  <c r="R1051" i="4"/>
  <c r="Q1051" i="4"/>
  <c r="P1051" i="4"/>
  <c r="R1050" i="4"/>
  <c r="Q1050" i="4"/>
  <c r="P1050" i="4"/>
  <c r="R1049" i="4"/>
  <c r="Q1049" i="4"/>
  <c r="P1049" i="4"/>
  <c r="R1048" i="4"/>
  <c r="Q1048" i="4"/>
  <c r="P1048" i="4"/>
  <c r="R1002" i="4"/>
  <c r="Q1002" i="4"/>
  <c r="P1002" i="4"/>
  <c r="S1001" i="4"/>
  <c r="Q1001" i="4"/>
  <c r="P1001" i="4"/>
  <c r="R1000" i="4"/>
  <c r="Q1000" i="4"/>
  <c r="P1000" i="4"/>
  <c r="R999" i="4"/>
  <c r="Q999" i="4"/>
  <c r="P999" i="4"/>
  <c r="S998" i="4"/>
  <c r="Q998" i="4"/>
  <c r="P998" i="4"/>
  <c r="R997" i="4"/>
  <c r="Q997" i="4"/>
  <c r="P997" i="4"/>
  <c r="R989" i="4"/>
  <c r="Q989" i="4"/>
  <c r="P989" i="4"/>
  <c r="R988" i="4"/>
  <c r="Q988" i="4"/>
  <c r="P988" i="4"/>
  <c r="R987" i="4"/>
  <c r="Q987" i="4"/>
  <c r="P987" i="4"/>
  <c r="S986" i="4"/>
  <c r="Q986" i="4"/>
  <c r="P986" i="4"/>
  <c r="R985" i="4"/>
  <c r="Q985" i="4"/>
  <c r="P985" i="4"/>
  <c r="S983" i="4"/>
  <c r="Q983" i="4"/>
  <c r="P983" i="4"/>
  <c r="R973" i="4"/>
  <c r="Q973" i="4"/>
  <c r="P973" i="4"/>
  <c r="R972" i="4"/>
  <c r="Q972" i="4"/>
  <c r="P972" i="4"/>
  <c r="R971" i="4"/>
  <c r="Q971" i="4"/>
  <c r="P971" i="4"/>
  <c r="R970" i="4"/>
  <c r="Q970" i="4"/>
  <c r="P970" i="4"/>
  <c r="R969" i="4"/>
  <c r="Q969" i="4"/>
  <c r="P969" i="4"/>
  <c r="R968" i="4"/>
  <c r="Q968" i="4"/>
  <c r="P968" i="4"/>
  <c r="R967" i="4"/>
  <c r="Q967" i="4"/>
  <c r="P967" i="4"/>
  <c r="R966" i="4"/>
  <c r="Q966" i="4"/>
  <c r="P966" i="4"/>
  <c r="R965" i="4"/>
  <c r="Q965" i="4"/>
  <c r="P965" i="4"/>
  <c r="S1522" i="4"/>
  <c r="R1522" i="4"/>
  <c r="Q1522" i="4"/>
  <c r="P1522" i="4"/>
  <c r="S1521" i="4"/>
  <c r="R1521" i="4"/>
  <c r="Q1521" i="4"/>
  <c r="P1521" i="4"/>
  <c r="S1520" i="4"/>
  <c r="R1520" i="4"/>
  <c r="Q1520" i="4"/>
  <c r="P1520" i="4"/>
  <c r="S1519" i="4"/>
  <c r="R1519" i="4"/>
  <c r="Q1519" i="4"/>
  <c r="P1519" i="4"/>
  <c r="S1518" i="4"/>
  <c r="R1518" i="4"/>
  <c r="Q1518" i="4"/>
  <c r="P1518" i="4"/>
  <c r="S1517" i="4"/>
  <c r="R1517" i="4"/>
  <c r="Q1517" i="4"/>
  <c r="P1517" i="4"/>
  <c r="S1516" i="4"/>
  <c r="R1516" i="4"/>
  <c r="Q1516" i="4"/>
  <c r="P1516" i="4"/>
  <c r="S1515" i="4"/>
  <c r="R1515" i="4"/>
  <c r="Q1515" i="4"/>
  <c r="P1515" i="4"/>
  <c r="S1514" i="4"/>
  <c r="R1514" i="4"/>
  <c r="Q1514" i="4"/>
  <c r="P1514" i="4"/>
  <c r="S1513" i="4"/>
  <c r="R1513" i="4"/>
  <c r="Q1513" i="4"/>
  <c r="P1513" i="4"/>
  <c r="S1512" i="4"/>
  <c r="R1512" i="4"/>
  <c r="Q1512" i="4"/>
  <c r="P1512" i="4"/>
  <c r="S1511" i="4"/>
  <c r="R1511" i="4"/>
  <c r="Q1511" i="4"/>
  <c r="P1511" i="4"/>
  <c r="S1510" i="4"/>
  <c r="R1510" i="4"/>
  <c r="Q1510" i="4"/>
  <c r="P1510" i="4"/>
  <c r="S1509" i="4"/>
  <c r="R1509" i="4"/>
  <c r="Q1509" i="4"/>
  <c r="P1509" i="4"/>
  <c r="S1508" i="4"/>
  <c r="R1508" i="4"/>
  <c r="Q1508" i="4"/>
  <c r="P1508" i="4"/>
  <c r="S1507" i="4"/>
  <c r="R1507" i="4"/>
  <c r="Q1507" i="4"/>
  <c r="P1507" i="4"/>
  <c r="S1506" i="4"/>
  <c r="R1506" i="4"/>
  <c r="Q1506" i="4"/>
  <c r="P1506" i="4"/>
  <c r="S1505" i="4"/>
  <c r="R1505" i="4"/>
  <c r="Q1505" i="4"/>
  <c r="P1505" i="4"/>
  <c r="S1504" i="4"/>
  <c r="R1504" i="4"/>
  <c r="Q1504" i="4"/>
  <c r="P1504" i="4"/>
  <c r="S1503" i="4"/>
  <c r="R1503" i="4"/>
  <c r="Q1503" i="4"/>
  <c r="P1503" i="4"/>
  <c r="S1502" i="4"/>
  <c r="R1502" i="4"/>
  <c r="Q1502" i="4"/>
  <c r="P1502" i="4"/>
  <c r="S1501" i="4"/>
  <c r="R1501" i="4"/>
  <c r="Q1501" i="4"/>
  <c r="P1501" i="4"/>
  <c r="S1500" i="4"/>
  <c r="R1500" i="4"/>
  <c r="Q1500" i="4"/>
  <c r="P1500" i="4"/>
  <c r="S1499" i="4"/>
  <c r="R1499" i="4"/>
  <c r="Q1499" i="4"/>
  <c r="P1499" i="4"/>
  <c r="S1498" i="4"/>
  <c r="R1498" i="4"/>
  <c r="Q1498" i="4"/>
  <c r="P1498" i="4"/>
  <c r="S1497" i="4"/>
  <c r="R1497" i="4"/>
  <c r="Q1497" i="4"/>
  <c r="P1497" i="4"/>
  <c r="S1496" i="4"/>
  <c r="R1496" i="4"/>
  <c r="Q1496" i="4"/>
  <c r="P1496" i="4"/>
  <c r="S1495" i="4"/>
  <c r="R1495" i="4"/>
  <c r="Q1495" i="4"/>
  <c r="P1495" i="4"/>
  <c r="S1494" i="4"/>
  <c r="R1494" i="4"/>
  <c r="Q1494" i="4"/>
  <c r="P1494" i="4"/>
  <c r="S1493" i="4"/>
  <c r="R1493" i="4"/>
  <c r="Q1493" i="4"/>
  <c r="P1493" i="4"/>
  <c r="S1492" i="4"/>
  <c r="R1492" i="4"/>
  <c r="Q1492" i="4"/>
  <c r="P1492" i="4"/>
  <c r="S1491" i="4"/>
  <c r="R1491" i="4"/>
  <c r="Q1491" i="4"/>
  <c r="P1491" i="4"/>
  <c r="S1490" i="4"/>
  <c r="R1490" i="4"/>
  <c r="Q1490" i="4"/>
  <c r="P1490" i="4"/>
  <c r="S1489" i="4"/>
  <c r="R1489" i="4"/>
  <c r="Q1489" i="4"/>
  <c r="P1489" i="4"/>
  <c r="S1488" i="4"/>
  <c r="R1488" i="4"/>
  <c r="Q1488" i="4"/>
  <c r="P1488" i="4"/>
  <c r="S1487" i="4"/>
  <c r="R1487" i="4"/>
  <c r="Q1487" i="4"/>
  <c r="P1487" i="4"/>
  <c r="S1486" i="4"/>
  <c r="R1486" i="4"/>
  <c r="Q1486" i="4"/>
  <c r="P1486" i="4"/>
  <c r="S1485" i="4"/>
  <c r="R1485" i="4"/>
  <c r="Q1485" i="4"/>
  <c r="P1485" i="4"/>
  <c r="S1484" i="4"/>
  <c r="R1484" i="4"/>
  <c r="Q1484" i="4"/>
  <c r="P1484" i="4"/>
  <c r="S1483" i="4"/>
  <c r="R1483" i="4"/>
  <c r="Q1483" i="4"/>
  <c r="P1483" i="4"/>
  <c r="S1482" i="4"/>
  <c r="R1482" i="4"/>
  <c r="Q1482" i="4"/>
  <c r="P1482" i="4"/>
  <c r="S1481" i="4"/>
  <c r="R1481" i="4"/>
  <c r="Q1481" i="4"/>
  <c r="P1481" i="4"/>
  <c r="S1480" i="4"/>
  <c r="R1480" i="4"/>
  <c r="Q1480" i="4"/>
  <c r="P1480" i="4"/>
  <c r="S1479" i="4"/>
  <c r="R1479" i="4"/>
  <c r="Q1479" i="4"/>
  <c r="P1479" i="4"/>
  <c r="S1478" i="4"/>
  <c r="R1478" i="4"/>
  <c r="Q1478" i="4"/>
  <c r="P1478" i="4"/>
  <c r="S1477" i="4"/>
  <c r="R1477" i="4"/>
  <c r="Q1477" i="4"/>
  <c r="P1477" i="4"/>
  <c r="S1476" i="4"/>
  <c r="R1476" i="4"/>
  <c r="Q1476" i="4"/>
  <c r="P1476" i="4"/>
  <c r="S1475" i="4"/>
  <c r="R1475" i="4"/>
  <c r="Q1475" i="4"/>
  <c r="P1475" i="4"/>
  <c r="S1474" i="4"/>
  <c r="R1474" i="4"/>
  <c r="Q1474" i="4"/>
  <c r="P1474" i="4"/>
  <c r="S1473" i="4"/>
  <c r="R1473" i="4"/>
  <c r="Q1473" i="4"/>
  <c r="P1473" i="4"/>
  <c r="S1472" i="4"/>
  <c r="R1472" i="4"/>
  <c r="Q1472" i="4"/>
  <c r="P1472" i="4"/>
  <c r="S1471" i="4"/>
  <c r="R1471" i="4"/>
  <c r="Q1471" i="4"/>
  <c r="P1471" i="4"/>
  <c r="S1470" i="4"/>
  <c r="R1470" i="4"/>
  <c r="Q1470" i="4"/>
  <c r="P1470" i="4"/>
  <c r="S1469" i="4"/>
  <c r="R1469" i="4"/>
  <c r="Q1469" i="4"/>
  <c r="P1469" i="4"/>
  <c r="S1468" i="4"/>
  <c r="R1468" i="4"/>
  <c r="Q1468" i="4"/>
  <c r="P1468" i="4"/>
  <c r="S1467" i="4"/>
  <c r="R1467" i="4"/>
  <c r="Q1467" i="4"/>
  <c r="P1467" i="4"/>
  <c r="S1466" i="4"/>
  <c r="R1466" i="4"/>
  <c r="Q1466" i="4"/>
  <c r="P1466" i="4"/>
  <c r="S1465" i="4"/>
  <c r="R1465" i="4"/>
  <c r="Q1465" i="4"/>
  <c r="P1465" i="4"/>
  <c r="S1464" i="4"/>
  <c r="R1464" i="4"/>
  <c r="Q1464" i="4"/>
  <c r="P1464" i="4"/>
  <c r="S1463" i="4"/>
  <c r="R1463" i="4"/>
  <c r="Q1463" i="4"/>
  <c r="P1463" i="4"/>
  <c r="S1462" i="4"/>
  <c r="R1462" i="4"/>
  <c r="Q1462" i="4"/>
  <c r="P1462" i="4"/>
  <c r="S1461" i="4"/>
  <c r="R1461" i="4"/>
  <c r="Q1461" i="4"/>
  <c r="P1461" i="4"/>
  <c r="S1460" i="4"/>
  <c r="R1460" i="4"/>
  <c r="Q1460" i="4"/>
  <c r="P1460" i="4"/>
  <c r="S1459" i="4"/>
  <c r="R1459" i="4"/>
  <c r="Q1459" i="4"/>
  <c r="P1459" i="4"/>
  <c r="S1458" i="4"/>
  <c r="R1458" i="4"/>
  <c r="Q1458" i="4"/>
  <c r="P1458" i="4"/>
  <c r="S1457" i="4"/>
  <c r="R1457" i="4"/>
  <c r="Q1457" i="4"/>
  <c r="P1457" i="4"/>
  <c r="S1456" i="4"/>
  <c r="R1456" i="4"/>
  <c r="Q1456" i="4"/>
  <c r="P1456" i="4"/>
  <c r="S1455" i="4"/>
  <c r="R1455" i="4"/>
  <c r="Q1455" i="4"/>
  <c r="P1455" i="4"/>
  <c r="S1454" i="4"/>
  <c r="R1454" i="4"/>
  <c r="Q1454" i="4"/>
  <c r="P1454" i="4"/>
  <c r="S1453" i="4"/>
  <c r="R1453" i="4"/>
  <c r="Q1453" i="4"/>
  <c r="P1453" i="4"/>
  <c r="S1452" i="4"/>
  <c r="R1452" i="4"/>
  <c r="Q1452" i="4"/>
  <c r="P1452" i="4"/>
  <c r="S1451" i="4"/>
  <c r="R1451" i="4"/>
  <c r="Q1451" i="4"/>
  <c r="P1451" i="4"/>
  <c r="S1450" i="4"/>
  <c r="R1450" i="4"/>
  <c r="Q1450" i="4"/>
  <c r="P1450" i="4"/>
  <c r="S1449" i="4"/>
  <c r="R1449" i="4"/>
  <c r="Q1449" i="4"/>
  <c r="P1449" i="4"/>
  <c r="S1448" i="4"/>
  <c r="R1448" i="4"/>
  <c r="Q1448" i="4"/>
  <c r="P1448" i="4"/>
  <c r="S1447" i="4"/>
  <c r="R1447" i="4"/>
  <c r="Q1447" i="4"/>
  <c r="P1447" i="4"/>
  <c r="S1446" i="4"/>
  <c r="R1446" i="4"/>
  <c r="Q1446" i="4"/>
  <c r="P1446" i="4"/>
  <c r="S1445" i="4"/>
  <c r="R1445" i="4"/>
  <c r="Q1445" i="4"/>
  <c r="P1445" i="4"/>
  <c r="S1444" i="4"/>
  <c r="R1444" i="4"/>
  <c r="Q1444" i="4"/>
  <c r="P1444" i="4"/>
  <c r="S1443" i="4"/>
  <c r="R1443" i="4"/>
  <c r="Q1443" i="4"/>
  <c r="P1443" i="4"/>
  <c r="S1442" i="4"/>
  <c r="R1442" i="4"/>
  <c r="Q1442" i="4"/>
  <c r="P1442" i="4"/>
  <c r="S1441" i="4"/>
  <c r="R1441" i="4"/>
  <c r="Q1441" i="4"/>
  <c r="P1441" i="4"/>
  <c r="S1440" i="4"/>
  <c r="R1440" i="4"/>
  <c r="Q1440" i="4"/>
  <c r="P1440" i="4"/>
  <c r="S1439" i="4"/>
  <c r="R1439" i="4"/>
  <c r="Q1439" i="4"/>
  <c r="P1439" i="4"/>
  <c r="S1438" i="4"/>
  <c r="R1438" i="4"/>
  <c r="Q1438" i="4"/>
  <c r="P1438" i="4"/>
  <c r="S1437" i="4"/>
  <c r="R1437" i="4"/>
  <c r="Q1437" i="4"/>
  <c r="P1437" i="4"/>
  <c r="S1436" i="4"/>
  <c r="R1436" i="4"/>
  <c r="Q1436" i="4"/>
  <c r="P1436" i="4"/>
  <c r="S1435" i="4"/>
  <c r="R1435" i="4"/>
  <c r="Q1435" i="4"/>
  <c r="P1435" i="4"/>
  <c r="S1434" i="4"/>
  <c r="R1434" i="4"/>
  <c r="Q1434" i="4"/>
  <c r="P1434" i="4"/>
  <c r="S1433" i="4"/>
  <c r="R1433" i="4"/>
  <c r="Q1433" i="4"/>
  <c r="P1433" i="4"/>
  <c r="S1432" i="4"/>
  <c r="R1432" i="4"/>
  <c r="Q1432" i="4"/>
  <c r="P1432" i="4"/>
  <c r="S1431" i="4"/>
  <c r="R1431" i="4"/>
  <c r="Q1431" i="4"/>
  <c r="P1431" i="4"/>
  <c r="S1430" i="4"/>
  <c r="R1430" i="4"/>
  <c r="Q1430" i="4"/>
  <c r="P1430" i="4"/>
  <c r="S1429" i="4"/>
  <c r="R1429" i="4"/>
  <c r="Q1429" i="4"/>
  <c r="P1429" i="4"/>
  <c r="S1428" i="4"/>
  <c r="R1428" i="4"/>
  <c r="Q1428" i="4"/>
  <c r="P1428" i="4"/>
  <c r="S1427" i="4"/>
  <c r="R1427" i="4"/>
  <c r="Q1427" i="4"/>
  <c r="P1427" i="4"/>
  <c r="S1426" i="4"/>
  <c r="R1426" i="4"/>
  <c r="Q1426" i="4"/>
  <c r="P1426" i="4"/>
  <c r="S1425" i="4"/>
  <c r="R1425" i="4"/>
  <c r="Q1425" i="4"/>
  <c r="P1425" i="4"/>
  <c r="S1424" i="4"/>
  <c r="R1424" i="4"/>
  <c r="Q1424" i="4"/>
  <c r="P1424" i="4"/>
  <c r="S1423" i="4"/>
  <c r="R1423" i="4"/>
  <c r="Q1423" i="4"/>
  <c r="P1423" i="4"/>
  <c r="S1422" i="4"/>
  <c r="R1422" i="4"/>
  <c r="Q1422" i="4"/>
  <c r="P1422" i="4"/>
  <c r="S1421" i="4"/>
  <c r="R1421" i="4"/>
  <c r="Q1421" i="4"/>
  <c r="P1421" i="4"/>
  <c r="S1420" i="4"/>
  <c r="R1420" i="4"/>
  <c r="Q1420" i="4"/>
  <c r="P1420" i="4"/>
  <c r="S1419" i="4"/>
  <c r="R1419" i="4"/>
  <c r="Q1419" i="4"/>
  <c r="P1419" i="4"/>
  <c r="S1418" i="4"/>
  <c r="R1418" i="4"/>
  <c r="Q1418" i="4"/>
  <c r="P1418" i="4"/>
  <c r="S1417" i="4"/>
  <c r="R1417" i="4"/>
  <c r="Q1417" i="4"/>
  <c r="P1417" i="4"/>
  <c r="S1416" i="4"/>
  <c r="R1416" i="4"/>
  <c r="Q1416" i="4"/>
  <c r="P1416" i="4"/>
  <c r="S1415" i="4"/>
  <c r="R1415" i="4"/>
  <c r="Q1415" i="4"/>
  <c r="P1415" i="4"/>
  <c r="S1414" i="4"/>
  <c r="R1414" i="4"/>
  <c r="Q1414" i="4"/>
  <c r="P1414" i="4"/>
  <c r="S1413" i="4"/>
  <c r="R1413" i="4"/>
  <c r="Q1413" i="4"/>
  <c r="P1413" i="4"/>
  <c r="S1412" i="4"/>
  <c r="R1412" i="4"/>
  <c r="Q1412" i="4"/>
  <c r="P1412" i="4"/>
  <c r="S1411" i="4"/>
  <c r="R1411" i="4"/>
  <c r="Q1411" i="4"/>
  <c r="P1411" i="4"/>
  <c r="S1410" i="4"/>
  <c r="R1410" i="4"/>
  <c r="Q1410" i="4"/>
  <c r="P1410" i="4"/>
  <c r="S1409" i="4"/>
  <c r="R1409" i="4"/>
  <c r="Q1409" i="4"/>
  <c r="P1409" i="4"/>
  <c r="S1408" i="4"/>
  <c r="R1408" i="4"/>
  <c r="Q1408" i="4"/>
  <c r="P1408" i="4"/>
  <c r="S1407" i="4"/>
  <c r="R1407" i="4"/>
  <c r="Q1407" i="4"/>
  <c r="P1407" i="4"/>
  <c r="S1406" i="4"/>
  <c r="R1406" i="4"/>
  <c r="Q1406" i="4"/>
  <c r="P1406" i="4"/>
  <c r="S1405" i="4"/>
  <c r="R1405" i="4"/>
  <c r="Q1405" i="4"/>
  <c r="P1405" i="4"/>
  <c r="S1404" i="4"/>
  <c r="R1404" i="4"/>
  <c r="Q1404" i="4"/>
  <c r="P1404" i="4"/>
  <c r="S1403" i="4"/>
  <c r="R1403" i="4"/>
  <c r="Q1403" i="4"/>
  <c r="P1403" i="4"/>
  <c r="S1402" i="4"/>
  <c r="R1402" i="4"/>
  <c r="Q1402" i="4"/>
  <c r="P1402" i="4"/>
  <c r="S1401" i="4"/>
  <c r="R1401" i="4"/>
  <c r="Q1401" i="4"/>
  <c r="P1401" i="4"/>
  <c r="S1400" i="4"/>
  <c r="R1400" i="4"/>
  <c r="Q1400" i="4"/>
  <c r="P1400" i="4"/>
  <c r="S1399" i="4"/>
  <c r="R1399" i="4"/>
  <c r="Q1399" i="4"/>
  <c r="P1399" i="4"/>
  <c r="S1398" i="4"/>
  <c r="R1398" i="4"/>
  <c r="Q1398" i="4"/>
  <c r="P1398" i="4"/>
  <c r="S1397" i="4"/>
  <c r="R1397" i="4"/>
  <c r="Q1397" i="4"/>
  <c r="P1397" i="4"/>
  <c r="S1396" i="4"/>
  <c r="R1396" i="4"/>
  <c r="Q1396" i="4"/>
  <c r="P1396" i="4"/>
  <c r="S1395" i="4"/>
  <c r="R1395" i="4"/>
  <c r="Q1395" i="4"/>
  <c r="P1395" i="4"/>
  <c r="S1394" i="4"/>
  <c r="R1394" i="4"/>
  <c r="Q1394" i="4"/>
  <c r="P1394" i="4"/>
  <c r="S1393" i="4"/>
  <c r="R1393" i="4"/>
  <c r="Q1393" i="4"/>
  <c r="P1393" i="4"/>
  <c r="S1392" i="4"/>
  <c r="R1392" i="4"/>
  <c r="Q1392" i="4"/>
  <c r="P1392" i="4"/>
  <c r="S1391" i="4"/>
  <c r="R1391" i="4"/>
  <c r="Q1391" i="4"/>
  <c r="P1391" i="4"/>
  <c r="S1390" i="4"/>
  <c r="R1390" i="4"/>
  <c r="Q1390" i="4"/>
  <c r="P1390" i="4"/>
  <c r="S1389" i="4"/>
  <c r="R1389" i="4"/>
  <c r="Q1389" i="4"/>
  <c r="P1389" i="4"/>
  <c r="S1388" i="4"/>
  <c r="R1388" i="4"/>
  <c r="Q1388" i="4"/>
  <c r="P1388" i="4"/>
  <c r="S1387" i="4"/>
  <c r="R1387" i="4"/>
  <c r="Q1387" i="4"/>
  <c r="P1387" i="4"/>
  <c r="S1386" i="4"/>
  <c r="R1386" i="4"/>
  <c r="Q1386" i="4"/>
  <c r="P1386" i="4"/>
  <c r="S1385" i="4"/>
  <c r="R1385" i="4"/>
  <c r="Q1385" i="4"/>
  <c r="P1385" i="4"/>
  <c r="S1384" i="4"/>
  <c r="R1384" i="4"/>
  <c r="Q1384" i="4"/>
  <c r="P1384" i="4"/>
  <c r="S1383" i="4"/>
  <c r="R1383" i="4"/>
  <c r="Q1383" i="4"/>
  <c r="P1383" i="4"/>
  <c r="S1382" i="4"/>
  <c r="R1382" i="4"/>
  <c r="Q1382" i="4"/>
  <c r="P1382" i="4"/>
  <c r="S1381" i="4"/>
  <c r="R1381" i="4"/>
  <c r="Q1381" i="4"/>
  <c r="P1381" i="4"/>
  <c r="S1380" i="4"/>
  <c r="R1380" i="4"/>
  <c r="Q1380" i="4"/>
  <c r="P1380" i="4"/>
  <c r="S1379" i="4"/>
  <c r="R1379" i="4"/>
  <c r="Q1379" i="4"/>
  <c r="P1379" i="4"/>
  <c r="S1378" i="4"/>
  <c r="R1378" i="4"/>
  <c r="Q1378" i="4"/>
  <c r="P1378" i="4"/>
  <c r="S1377" i="4"/>
  <c r="R1377" i="4"/>
  <c r="Q1377" i="4"/>
  <c r="P1377" i="4"/>
  <c r="S1376" i="4"/>
  <c r="R1376" i="4"/>
  <c r="Q1376" i="4"/>
  <c r="P1376" i="4"/>
  <c r="S1375" i="4"/>
  <c r="R1375" i="4"/>
  <c r="Q1375" i="4"/>
  <c r="P1375" i="4"/>
  <c r="S1374" i="4"/>
  <c r="R1374" i="4"/>
  <c r="Q1374" i="4"/>
  <c r="P1374" i="4"/>
  <c r="S1373" i="4"/>
  <c r="R1373" i="4"/>
  <c r="Q1373" i="4"/>
  <c r="P1373" i="4"/>
  <c r="S1372" i="4"/>
  <c r="R1372" i="4"/>
  <c r="Q1372" i="4"/>
  <c r="P1372" i="4"/>
  <c r="S1371" i="4"/>
  <c r="R1371" i="4"/>
  <c r="Q1371" i="4"/>
  <c r="P1371" i="4"/>
  <c r="S1370" i="4"/>
  <c r="R1370" i="4"/>
  <c r="Q1370" i="4"/>
  <c r="P1370" i="4"/>
  <c r="S1369" i="4"/>
  <c r="R1369" i="4"/>
  <c r="Q1369" i="4"/>
  <c r="P1369" i="4"/>
  <c r="S1368" i="4"/>
  <c r="R1368" i="4"/>
  <c r="Q1368" i="4"/>
  <c r="P1368" i="4"/>
  <c r="S1367" i="4"/>
  <c r="R1367" i="4"/>
  <c r="Q1367" i="4"/>
  <c r="P1367" i="4"/>
  <c r="S1366" i="4"/>
  <c r="R1366" i="4"/>
  <c r="Q1366" i="4"/>
  <c r="P1366" i="4"/>
  <c r="S1365" i="4"/>
  <c r="R1365" i="4"/>
  <c r="Q1365" i="4"/>
  <c r="P1365" i="4"/>
  <c r="S1364" i="4"/>
  <c r="R1364" i="4"/>
  <c r="Q1364" i="4"/>
  <c r="P1364" i="4"/>
  <c r="S1363" i="4"/>
  <c r="R1363" i="4"/>
  <c r="Q1363" i="4"/>
  <c r="P1363" i="4"/>
  <c r="S1362" i="4"/>
  <c r="R1362" i="4"/>
  <c r="Q1362" i="4"/>
  <c r="P1362" i="4"/>
  <c r="S1361" i="4"/>
  <c r="R1361" i="4"/>
  <c r="Q1361" i="4"/>
  <c r="P1361" i="4"/>
  <c r="S1360" i="4"/>
  <c r="R1360" i="4"/>
  <c r="Q1360" i="4"/>
  <c r="P1360" i="4"/>
  <c r="S1359" i="4"/>
  <c r="R1359" i="4"/>
  <c r="Q1359" i="4"/>
  <c r="P1359" i="4"/>
  <c r="S1358" i="4"/>
  <c r="R1358" i="4"/>
  <c r="Q1358" i="4"/>
  <c r="P1358" i="4"/>
  <c r="S1357" i="4"/>
  <c r="R1357" i="4"/>
  <c r="Q1357" i="4"/>
  <c r="P1357" i="4"/>
  <c r="S1356" i="4"/>
  <c r="R1356" i="4"/>
  <c r="Q1356" i="4"/>
  <c r="P1356" i="4"/>
  <c r="S1355" i="4"/>
  <c r="R1355" i="4"/>
  <c r="Q1355" i="4"/>
  <c r="P1355" i="4"/>
  <c r="S1354" i="4"/>
  <c r="R1354" i="4"/>
  <c r="Q1354" i="4"/>
  <c r="P1354" i="4"/>
  <c r="S1353" i="4"/>
  <c r="R1353" i="4"/>
  <c r="Q1353" i="4"/>
  <c r="P1353" i="4"/>
  <c r="S1352" i="4"/>
  <c r="R1352" i="4"/>
  <c r="Q1352" i="4"/>
  <c r="P1352" i="4"/>
  <c r="S1351" i="4"/>
  <c r="R1351" i="4"/>
  <c r="Q1351" i="4"/>
  <c r="P1351" i="4"/>
  <c r="S1350" i="4"/>
  <c r="R1350" i="4"/>
  <c r="Q1350" i="4"/>
  <c r="P1350" i="4"/>
  <c r="S1349" i="4"/>
  <c r="R1349" i="4"/>
  <c r="Q1349" i="4"/>
  <c r="P1349" i="4"/>
  <c r="S1348" i="4"/>
  <c r="R1348" i="4"/>
  <c r="Q1348" i="4"/>
  <c r="P1348" i="4"/>
  <c r="S1347" i="4"/>
  <c r="R1347" i="4"/>
  <c r="Q1347" i="4"/>
  <c r="P1347" i="4"/>
  <c r="S1346" i="4"/>
  <c r="R1346" i="4"/>
  <c r="Q1346" i="4"/>
  <c r="P1346" i="4"/>
  <c r="S1345" i="4"/>
  <c r="R1345" i="4"/>
  <c r="Q1345" i="4"/>
  <c r="P1345" i="4"/>
  <c r="S1683" i="4"/>
  <c r="R1683" i="4"/>
  <c r="Q1683" i="4"/>
  <c r="P1683" i="4"/>
  <c r="S1682" i="4"/>
  <c r="R1682" i="4"/>
  <c r="Q1682" i="4"/>
  <c r="P1682" i="4"/>
  <c r="S1681" i="4"/>
  <c r="R1681" i="4"/>
  <c r="Q1681" i="4"/>
  <c r="P1681" i="4"/>
  <c r="S1680" i="4"/>
  <c r="R1680" i="4"/>
  <c r="Q1680" i="4"/>
  <c r="P1680" i="4"/>
  <c r="S1679" i="4"/>
  <c r="R1679" i="4"/>
  <c r="Q1679" i="4"/>
  <c r="P1679" i="4"/>
  <c r="S1678" i="4"/>
  <c r="R1678" i="4"/>
  <c r="Q1678" i="4"/>
  <c r="P1678" i="4"/>
  <c r="S1677" i="4"/>
  <c r="R1677" i="4"/>
  <c r="Q1677" i="4"/>
  <c r="P1677" i="4"/>
  <c r="S1676" i="4"/>
  <c r="R1676" i="4"/>
  <c r="Q1676" i="4"/>
  <c r="P1676" i="4"/>
  <c r="S1675" i="4"/>
  <c r="R1675" i="4"/>
  <c r="Q1675" i="4"/>
  <c r="P1675" i="4"/>
  <c r="S1674" i="4"/>
  <c r="R1674" i="4"/>
  <c r="Q1674" i="4"/>
  <c r="P1674" i="4"/>
  <c r="S1673" i="4"/>
  <c r="R1673" i="4"/>
  <c r="Q1673" i="4"/>
  <c r="P1673" i="4"/>
  <c r="S1672" i="4"/>
  <c r="R1672" i="4"/>
  <c r="Q1672" i="4"/>
  <c r="P1672" i="4"/>
  <c r="S1671" i="4"/>
  <c r="R1671" i="4"/>
  <c r="Q1671" i="4"/>
  <c r="P1671" i="4"/>
  <c r="S1670" i="4"/>
  <c r="R1670" i="4"/>
  <c r="Q1670" i="4"/>
  <c r="P1670" i="4"/>
  <c r="S1669" i="4"/>
  <c r="R1669" i="4"/>
  <c r="Q1669" i="4"/>
  <c r="P1669" i="4"/>
  <c r="S1668" i="4"/>
  <c r="R1668" i="4"/>
  <c r="Q1668" i="4"/>
  <c r="P1668" i="4"/>
  <c r="S1667" i="4"/>
  <c r="R1667" i="4"/>
  <c r="Q1667" i="4"/>
  <c r="P1667" i="4"/>
  <c r="S1666" i="4"/>
  <c r="R1666" i="4"/>
  <c r="Q1666" i="4"/>
  <c r="P1666" i="4"/>
  <c r="S1665" i="4"/>
  <c r="R1665" i="4"/>
  <c r="Q1665" i="4"/>
  <c r="P1665" i="4"/>
  <c r="S1664" i="4"/>
  <c r="R1664" i="4"/>
  <c r="Q1664" i="4"/>
  <c r="P1664" i="4"/>
  <c r="S1663" i="4"/>
  <c r="R1663" i="4"/>
  <c r="Q1663" i="4"/>
  <c r="P1663" i="4"/>
  <c r="S1662" i="4"/>
  <c r="R1662" i="4"/>
  <c r="Q1662" i="4"/>
  <c r="P1662" i="4"/>
  <c r="S1661" i="4"/>
  <c r="R1661" i="4"/>
  <c r="Q1661" i="4"/>
  <c r="P1661" i="4"/>
  <c r="S1660" i="4"/>
  <c r="R1660" i="4"/>
  <c r="Q1660" i="4"/>
  <c r="P1660" i="4"/>
  <c r="S1659" i="4"/>
  <c r="R1659" i="4"/>
  <c r="Q1659" i="4"/>
  <c r="P1659" i="4"/>
  <c r="S1658" i="4"/>
  <c r="R1658" i="4"/>
  <c r="Q1658" i="4"/>
  <c r="P1658" i="4"/>
  <c r="S1657" i="4"/>
  <c r="R1657" i="4"/>
  <c r="Q1657" i="4"/>
  <c r="P1657" i="4"/>
  <c r="S1656" i="4"/>
  <c r="R1656" i="4"/>
  <c r="Q1656" i="4"/>
  <c r="P1656" i="4"/>
  <c r="S1655" i="4"/>
  <c r="R1655" i="4"/>
  <c r="Q1655" i="4"/>
  <c r="P1655" i="4"/>
  <c r="S1654" i="4"/>
  <c r="R1654" i="4"/>
  <c r="Q1654" i="4"/>
  <c r="P1654" i="4"/>
  <c r="S1653" i="4"/>
  <c r="R1653" i="4"/>
  <c r="Q1653" i="4"/>
  <c r="P1653" i="4"/>
  <c r="S1652" i="4"/>
  <c r="R1652" i="4"/>
  <c r="Q1652" i="4"/>
  <c r="P1652" i="4"/>
  <c r="S1651" i="4"/>
  <c r="R1651" i="4"/>
  <c r="Q1651" i="4"/>
  <c r="P1651" i="4"/>
  <c r="S1650" i="4"/>
  <c r="R1650" i="4"/>
  <c r="Q1650" i="4"/>
  <c r="P1650" i="4"/>
  <c r="S1649" i="4"/>
  <c r="R1649" i="4"/>
  <c r="Q1649" i="4"/>
  <c r="P1649" i="4"/>
  <c r="S1648" i="4"/>
  <c r="R1648" i="4"/>
  <c r="Q1648" i="4"/>
  <c r="P1648" i="4"/>
  <c r="S1647" i="4"/>
  <c r="R1647" i="4"/>
  <c r="Q1647" i="4"/>
  <c r="P1647" i="4"/>
  <c r="S1646" i="4"/>
  <c r="R1646" i="4"/>
  <c r="Q1646" i="4"/>
  <c r="P1646" i="4"/>
  <c r="S1645" i="4"/>
  <c r="R1645" i="4"/>
  <c r="Q1645" i="4"/>
  <c r="P1645" i="4"/>
  <c r="S1644" i="4"/>
  <c r="R1644" i="4"/>
  <c r="Q1644" i="4"/>
  <c r="P1644" i="4"/>
  <c r="S1643" i="4"/>
  <c r="R1643" i="4"/>
  <c r="Q1643" i="4"/>
  <c r="P1643" i="4"/>
  <c r="S1642" i="4"/>
  <c r="R1642" i="4"/>
  <c r="Q1642" i="4"/>
  <c r="P1642" i="4"/>
  <c r="S1641" i="4"/>
  <c r="R1641" i="4"/>
  <c r="Q1641" i="4"/>
  <c r="P1641" i="4"/>
  <c r="S1640" i="4"/>
  <c r="R1640" i="4"/>
  <c r="Q1640" i="4"/>
  <c r="P1640" i="4"/>
  <c r="S1639" i="4"/>
  <c r="R1639" i="4"/>
  <c r="Q1639" i="4"/>
  <c r="P1639" i="4"/>
  <c r="S1638" i="4"/>
  <c r="R1638" i="4"/>
  <c r="Q1638" i="4"/>
  <c r="P1638" i="4"/>
  <c r="S1637" i="4"/>
  <c r="R1637" i="4"/>
  <c r="Q1637" i="4"/>
  <c r="P1637" i="4"/>
  <c r="S1636" i="4"/>
  <c r="R1636" i="4"/>
  <c r="Q1636" i="4"/>
  <c r="P1636" i="4"/>
  <c r="S1635" i="4"/>
  <c r="R1635" i="4"/>
  <c r="Q1635" i="4"/>
  <c r="P1635" i="4"/>
  <c r="S1634" i="4"/>
  <c r="R1634" i="4"/>
  <c r="Q1634" i="4"/>
  <c r="P1634" i="4"/>
  <c r="S1633" i="4"/>
  <c r="R1633" i="4"/>
  <c r="Q1633" i="4"/>
  <c r="P1633" i="4"/>
  <c r="S1632" i="4"/>
  <c r="R1632" i="4"/>
  <c r="Q1632" i="4"/>
  <c r="P1632" i="4"/>
  <c r="S1631" i="4"/>
  <c r="R1631" i="4"/>
  <c r="Q1631" i="4"/>
  <c r="P1631" i="4"/>
  <c r="S1630" i="4"/>
  <c r="R1630" i="4"/>
  <c r="Q1630" i="4"/>
  <c r="P1630" i="4"/>
  <c r="S1629" i="4"/>
  <c r="R1629" i="4"/>
  <c r="Q1629" i="4"/>
  <c r="P1629" i="4"/>
  <c r="S1628" i="4"/>
  <c r="R1628" i="4"/>
  <c r="Q1628" i="4"/>
  <c r="P1628" i="4"/>
  <c r="S1627" i="4"/>
  <c r="R1627" i="4"/>
  <c r="Q1627" i="4"/>
  <c r="P1627" i="4"/>
  <c r="S1626" i="4"/>
  <c r="R1626" i="4"/>
  <c r="Q1626" i="4"/>
  <c r="P1626" i="4"/>
  <c r="S1625" i="4"/>
  <c r="R1625" i="4"/>
  <c r="Q1625" i="4"/>
  <c r="P1625" i="4"/>
  <c r="S1624" i="4"/>
  <c r="R1624" i="4"/>
  <c r="Q1624" i="4"/>
  <c r="P1624" i="4"/>
  <c r="S1623" i="4"/>
  <c r="R1623" i="4"/>
  <c r="Q1623" i="4"/>
  <c r="P1623" i="4"/>
  <c r="S1622" i="4"/>
  <c r="R1622" i="4"/>
  <c r="Q1622" i="4"/>
  <c r="P1622" i="4"/>
  <c r="S1621" i="4"/>
  <c r="R1621" i="4"/>
  <c r="Q1621" i="4"/>
  <c r="P1621" i="4"/>
  <c r="S1620" i="4"/>
  <c r="R1620" i="4"/>
  <c r="Q1620" i="4"/>
  <c r="P1620" i="4"/>
  <c r="S1619" i="4"/>
  <c r="R1619" i="4"/>
  <c r="Q1619" i="4"/>
  <c r="P1619" i="4"/>
  <c r="S1618" i="4"/>
  <c r="R1618" i="4"/>
  <c r="Q1618" i="4"/>
  <c r="P1618" i="4"/>
  <c r="S1617" i="4"/>
  <c r="R1617" i="4"/>
  <c r="Q1617" i="4"/>
  <c r="P1617" i="4"/>
  <c r="S1616" i="4"/>
  <c r="R1616" i="4"/>
  <c r="Q1616" i="4"/>
  <c r="P1616" i="4"/>
  <c r="S1615" i="4"/>
  <c r="R1615" i="4"/>
  <c r="Q1615" i="4"/>
  <c r="P1615" i="4"/>
  <c r="S1614" i="4"/>
  <c r="R1614" i="4"/>
  <c r="Q1614" i="4"/>
  <c r="P1614" i="4"/>
  <c r="S1613" i="4"/>
  <c r="R1613" i="4"/>
  <c r="Q1613" i="4"/>
  <c r="P1613" i="4"/>
  <c r="S1612" i="4"/>
  <c r="R1612" i="4"/>
  <c r="Q1612" i="4"/>
  <c r="P1612" i="4"/>
  <c r="S1611" i="4"/>
  <c r="R1611" i="4"/>
  <c r="Q1611" i="4"/>
  <c r="P1611" i="4"/>
  <c r="S1610" i="4"/>
  <c r="R1610" i="4"/>
  <c r="Q1610" i="4"/>
  <c r="P1610" i="4"/>
  <c r="S1609" i="4"/>
  <c r="R1609" i="4"/>
  <c r="Q1609" i="4"/>
  <c r="P1609" i="4"/>
  <c r="S1608" i="4"/>
  <c r="R1608" i="4"/>
  <c r="Q1608" i="4"/>
  <c r="P1608" i="4"/>
  <c r="S1607" i="4"/>
  <c r="R1607" i="4"/>
  <c r="Q1607" i="4"/>
  <c r="P1607" i="4"/>
  <c r="S1606" i="4"/>
  <c r="R1606" i="4"/>
  <c r="Q1606" i="4"/>
  <c r="P1606" i="4"/>
  <c r="S1605" i="4"/>
  <c r="R1605" i="4"/>
  <c r="Q1605" i="4"/>
  <c r="P1605" i="4"/>
  <c r="S1604" i="4"/>
  <c r="R1604" i="4"/>
  <c r="Q1604" i="4"/>
  <c r="P1604" i="4"/>
  <c r="S1603" i="4"/>
  <c r="R1603" i="4"/>
  <c r="Q1603" i="4"/>
  <c r="P1603" i="4"/>
  <c r="S1602" i="4"/>
  <c r="R1602" i="4"/>
  <c r="Q1602" i="4"/>
  <c r="P1602" i="4"/>
  <c r="S1601" i="4"/>
  <c r="R1601" i="4"/>
  <c r="Q1601" i="4"/>
  <c r="P1601" i="4"/>
  <c r="S1600" i="4"/>
  <c r="R1600" i="4"/>
  <c r="Q1600" i="4"/>
  <c r="P1600" i="4"/>
  <c r="S1599" i="4"/>
  <c r="R1599" i="4"/>
  <c r="Q1599" i="4"/>
  <c r="P1599" i="4"/>
  <c r="S1598" i="4"/>
  <c r="R1598" i="4"/>
  <c r="Q1598" i="4"/>
  <c r="P1598" i="4"/>
  <c r="S1597" i="4"/>
  <c r="R1597" i="4"/>
  <c r="Q1597" i="4"/>
  <c r="P1597" i="4"/>
  <c r="S1596" i="4"/>
  <c r="R1596" i="4"/>
  <c r="Q1596" i="4"/>
  <c r="P1596" i="4"/>
  <c r="S1595" i="4"/>
  <c r="R1595" i="4"/>
  <c r="Q1595" i="4"/>
  <c r="P1595" i="4"/>
  <c r="S1594" i="4"/>
  <c r="R1594" i="4"/>
  <c r="Q1594" i="4"/>
  <c r="P1594" i="4"/>
  <c r="S1593" i="4"/>
  <c r="R1593" i="4"/>
  <c r="Q1593" i="4"/>
  <c r="P1593" i="4"/>
  <c r="S1592" i="4"/>
  <c r="R1592" i="4"/>
  <c r="Q1592" i="4"/>
  <c r="P1592" i="4"/>
  <c r="S1591" i="4"/>
  <c r="R1591" i="4"/>
  <c r="Q1591" i="4"/>
  <c r="P1591" i="4"/>
  <c r="S1590" i="4"/>
  <c r="R1590" i="4"/>
  <c r="Q1590" i="4"/>
  <c r="P1590" i="4"/>
  <c r="S1589" i="4"/>
  <c r="R1589" i="4"/>
  <c r="Q1589" i="4"/>
  <c r="P1589" i="4"/>
  <c r="S1588" i="4"/>
  <c r="R1588" i="4"/>
  <c r="Q1588" i="4"/>
  <c r="P1588" i="4"/>
  <c r="S1587" i="4"/>
  <c r="R1587" i="4"/>
  <c r="Q1587" i="4"/>
  <c r="P1587" i="4"/>
  <c r="S1586" i="4"/>
  <c r="R1586" i="4"/>
  <c r="Q1586" i="4"/>
  <c r="P1586" i="4"/>
  <c r="S1585" i="4"/>
  <c r="R1585" i="4"/>
  <c r="Q1585" i="4"/>
  <c r="P1585" i="4"/>
  <c r="S1584" i="4"/>
  <c r="R1584" i="4"/>
  <c r="Q1584" i="4"/>
  <c r="P1584" i="4"/>
  <c r="S1583" i="4"/>
  <c r="R1583" i="4"/>
  <c r="Q1583" i="4"/>
  <c r="P1583" i="4"/>
  <c r="S1582" i="4"/>
  <c r="R1582" i="4"/>
  <c r="Q1582" i="4"/>
  <c r="P1582" i="4"/>
  <c r="S1581" i="4"/>
  <c r="R1581" i="4"/>
  <c r="Q1581" i="4"/>
  <c r="P1581" i="4"/>
  <c r="S1580" i="4"/>
  <c r="R1580" i="4"/>
  <c r="Q1580" i="4"/>
  <c r="P1580" i="4"/>
  <c r="S1579" i="4"/>
  <c r="R1579" i="4"/>
  <c r="Q1579" i="4"/>
  <c r="P1579" i="4"/>
  <c r="S1578" i="4"/>
  <c r="R1578" i="4"/>
  <c r="Q1578" i="4"/>
  <c r="P1578" i="4"/>
  <c r="S1577" i="4"/>
  <c r="R1577" i="4"/>
  <c r="Q1577" i="4"/>
  <c r="P1577" i="4"/>
  <c r="S1576" i="4"/>
  <c r="R1576" i="4"/>
  <c r="Q1576" i="4"/>
  <c r="P1576" i="4"/>
  <c r="S1575" i="4"/>
  <c r="R1575" i="4"/>
  <c r="Q1575" i="4"/>
  <c r="P1575" i="4"/>
  <c r="S1574" i="4"/>
  <c r="R1574" i="4"/>
  <c r="Q1574" i="4"/>
  <c r="P1574" i="4"/>
  <c r="S1573" i="4"/>
  <c r="R1573" i="4"/>
  <c r="Q1573" i="4"/>
  <c r="P1573" i="4"/>
  <c r="S1572" i="4"/>
  <c r="R1572" i="4"/>
  <c r="Q1572" i="4"/>
  <c r="P1572" i="4"/>
  <c r="S1571" i="4"/>
  <c r="R1571" i="4"/>
  <c r="Q1571" i="4"/>
  <c r="P1571" i="4"/>
  <c r="S1570" i="4"/>
  <c r="R1570" i="4"/>
  <c r="Q1570" i="4"/>
  <c r="P1570" i="4"/>
  <c r="S1569" i="4"/>
  <c r="R1569" i="4"/>
  <c r="Q1569" i="4"/>
  <c r="P1569" i="4"/>
  <c r="S1568" i="4"/>
  <c r="R1568" i="4"/>
  <c r="Q1568" i="4"/>
  <c r="P1568" i="4"/>
  <c r="S1567" i="4"/>
  <c r="R1567" i="4"/>
  <c r="Q1567" i="4"/>
  <c r="P1567" i="4"/>
  <c r="S1566" i="4"/>
  <c r="R1566" i="4"/>
  <c r="Q1566" i="4"/>
  <c r="P1566" i="4"/>
  <c r="S1565" i="4"/>
  <c r="R1565" i="4"/>
  <c r="Q1565" i="4"/>
  <c r="P1565" i="4"/>
  <c r="S1564" i="4"/>
  <c r="R1564" i="4"/>
  <c r="Q1564" i="4"/>
  <c r="P1564" i="4"/>
  <c r="S1563" i="4"/>
  <c r="R1563" i="4"/>
  <c r="Q1563" i="4"/>
  <c r="P1563" i="4"/>
  <c r="S1562" i="4"/>
  <c r="R1562" i="4"/>
  <c r="Q1562" i="4"/>
  <c r="P1562" i="4"/>
  <c r="S1561" i="4"/>
  <c r="R1561" i="4"/>
  <c r="Q1561" i="4"/>
  <c r="P1561" i="4"/>
  <c r="S1560" i="4"/>
  <c r="R1560" i="4"/>
  <c r="Q1560" i="4"/>
  <c r="P1560" i="4"/>
  <c r="S1559" i="4"/>
  <c r="R1559" i="4"/>
  <c r="Q1559" i="4"/>
  <c r="P1559" i="4"/>
  <c r="S1558" i="4"/>
  <c r="R1558" i="4"/>
  <c r="Q1558" i="4"/>
  <c r="P1558" i="4"/>
  <c r="S1557" i="4"/>
  <c r="R1557" i="4"/>
  <c r="Q1557" i="4"/>
  <c r="P1557" i="4"/>
  <c r="S1556" i="4"/>
  <c r="R1556" i="4"/>
  <c r="Q1556" i="4"/>
  <c r="P1556" i="4"/>
  <c r="S1555" i="4"/>
  <c r="R1555" i="4"/>
  <c r="Q1555" i="4"/>
  <c r="P1555" i="4"/>
  <c r="S1554" i="4"/>
  <c r="R1554" i="4"/>
  <c r="Q1554" i="4"/>
  <c r="P1554" i="4"/>
  <c r="S1553" i="4"/>
  <c r="R1553" i="4"/>
  <c r="Q1553" i="4"/>
  <c r="P1553" i="4"/>
  <c r="S1552" i="4"/>
  <c r="R1552" i="4"/>
  <c r="Q1552" i="4"/>
  <c r="P1552" i="4"/>
  <c r="S1551" i="4"/>
  <c r="R1551" i="4"/>
  <c r="Q1551" i="4"/>
  <c r="P1551" i="4"/>
  <c r="S1550" i="4"/>
  <c r="R1550" i="4"/>
  <c r="Q1550" i="4"/>
  <c r="P1550" i="4"/>
  <c r="S1549" i="4"/>
  <c r="R1549" i="4"/>
  <c r="Q1549" i="4"/>
  <c r="P1549" i="4"/>
  <c r="S1548" i="4"/>
  <c r="R1548" i="4"/>
  <c r="Q1548" i="4"/>
  <c r="P1548" i="4"/>
  <c r="S1547" i="4"/>
  <c r="R1547" i="4"/>
  <c r="Q1547" i="4"/>
  <c r="P1547" i="4"/>
  <c r="S1546" i="4"/>
  <c r="R1546" i="4"/>
  <c r="Q1546" i="4"/>
  <c r="P1546" i="4"/>
  <c r="S1545" i="4"/>
  <c r="R1545" i="4"/>
  <c r="Q1545" i="4"/>
  <c r="P1545" i="4"/>
  <c r="S1544" i="4"/>
  <c r="R1544" i="4"/>
  <c r="Q1544" i="4"/>
  <c r="P1544" i="4"/>
  <c r="S1543" i="4"/>
  <c r="R1543" i="4"/>
  <c r="Q1543" i="4"/>
  <c r="P1543" i="4"/>
  <c r="S1542" i="4"/>
  <c r="R1542" i="4"/>
  <c r="Q1542" i="4"/>
  <c r="P1542" i="4"/>
  <c r="S1541" i="4"/>
  <c r="R1541" i="4"/>
  <c r="Q1541" i="4"/>
  <c r="P1541" i="4"/>
  <c r="S1540" i="4"/>
  <c r="R1540" i="4"/>
  <c r="Q1540" i="4"/>
  <c r="P1540" i="4"/>
  <c r="S1539" i="4"/>
  <c r="R1539" i="4"/>
  <c r="Q1539" i="4"/>
  <c r="P1539" i="4"/>
  <c r="S1538" i="4"/>
  <c r="R1538" i="4"/>
  <c r="Q1538" i="4"/>
  <c r="P1538" i="4"/>
  <c r="S1537" i="4"/>
  <c r="R1537" i="4"/>
  <c r="Q1537" i="4"/>
  <c r="P1537" i="4"/>
  <c r="S1536" i="4"/>
  <c r="R1536" i="4"/>
  <c r="Q1536" i="4"/>
  <c r="P1536" i="4"/>
  <c r="S1535" i="4"/>
  <c r="R1535" i="4"/>
  <c r="Q1535" i="4"/>
  <c r="P1535" i="4"/>
  <c r="S1534" i="4"/>
  <c r="R1534" i="4"/>
  <c r="Q1534" i="4"/>
  <c r="P1534" i="4"/>
  <c r="S1533" i="4"/>
  <c r="R1533" i="4"/>
  <c r="Q1533" i="4"/>
  <c r="P1533" i="4"/>
  <c r="S1532" i="4"/>
  <c r="R1532" i="4"/>
  <c r="Q1532" i="4"/>
  <c r="P1532" i="4"/>
  <c r="S1531" i="4"/>
  <c r="R1531" i="4"/>
  <c r="Q1531" i="4"/>
  <c r="P1531" i="4"/>
  <c r="S1530" i="4"/>
  <c r="R1530" i="4"/>
  <c r="Q1530" i="4"/>
  <c r="P1530" i="4"/>
  <c r="S1529" i="4"/>
  <c r="R1529" i="4"/>
  <c r="Q1529" i="4"/>
  <c r="P1529" i="4"/>
  <c r="S1528" i="4"/>
  <c r="R1528" i="4"/>
  <c r="Q1528" i="4"/>
  <c r="P1528" i="4"/>
  <c r="S1527" i="4"/>
  <c r="R1527" i="4"/>
  <c r="Q1527" i="4"/>
  <c r="P1527" i="4"/>
  <c r="S1526" i="4"/>
  <c r="R1526" i="4"/>
  <c r="Q1526" i="4"/>
  <c r="P1526" i="4"/>
  <c r="S1525" i="4"/>
  <c r="R1525" i="4"/>
  <c r="Q1525" i="4"/>
  <c r="P1525" i="4"/>
  <c r="S1524" i="4"/>
  <c r="R1524" i="4"/>
  <c r="Q1524" i="4"/>
  <c r="P1524" i="4"/>
  <c r="S1523" i="4"/>
  <c r="R1523" i="4"/>
  <c r="Q1523" i="4"/>
  <c r="P1523" i="4"/>
  <c r="S1724" i="4"/>
  <c r="R1724" i="4"/>
  <c r="Q1724" i="4"/>
  <c r="P1724" i="4"/>
  <c r="S1723" i="4"/>
  <c r="R1723" i="4"/>
  <c r="Q1723" i="4"/>
  <c r="P1723" i="4"/>
  <c r="S1722" i="4"/>
  <c r="R1722" i="4"/>
  <c r="Q1722" i="4"/>
  <c r="P1722" i="4"/>
  <c r="S1721" i="4"/>
  <c r="R1721" i="4"/>
  <c r="Q1721" i="4"/>
  <c r="P1721" i="4"/>
  <c r="S1720" i="4"/>
  <c r="R1720" i="4"/>
  <c r="Q1720" i="4"/>
  <c r="P1720" i="4"/>
  <c r="S1719" i="4"/>
  <c r="R1719" i="4"/>
  <c r="Q1719" i="4"/>
  <c r="P1719" i="4"/>
  <c r="S1718" i="4"/>
  <c r="R1718" i="4"/>
  <c r="Q1718" i="4"/>
  <c r="P1718" i="4"/>
  <c r="S1717" i="4"/>
  <c r="R1717" i="4"/>
  <c r="Q1717" i="4"/>
  <c r="P1717" i="4"/>
  <c r="S1716" i="4"/>
  <c r="R1716" i="4"/>
  <c r="Q1716" i="4"/>
  <c r="P1716" i="4"/>
  <c r="S1715" i="4"/>
  <c r="R1715" i="4"/>
  <c r="Q1715" i="4"/>
  <c r="P1715" i="4"/>
  <c r="S1714" i="4"/>
  <c r="R1714" i="4"/>
  <c r="Q1714" i="4"/>
  <c r="P1714" i="4"/>
  <c r="S1713" i="4"/>
  <c r="R1713" i="4"/>
  <c r="Q1713" i="4"/>
  <c r="P1713" i="4"/>
  <c r="S1712" i="4"/>
  <c r="R1712" i="4"/>
  <c r="Q1712" i="4"/>
  <c r="P1712" i="4"/>
  <c r="S1711" i="4"/>
  <c r="R1711" i="4"/>
  <c r="Q1711" i="4"/>
  <c r="P1711" i="4"/>
  <c r="S1710" i="4"/>
  <c r="R1710" i="4"/>
  <c r="Q1710" i="4"/>
  <c r="P1710" i="4"/>
  <c r="S1709" i="4"/>
  <c r="R1709" i="4"/>
  <c r="Q1709" i="4"/>
  <c r="P1709" i="4"/>
  <c r="S1708" i="4"/>
  <c r="R1708" i="4"/>
  <c r="Q1708" i="4"/>
  <c r="P1708" i="4"/>
  <c r="S1707" i="4"/>
  <c r="R1707" i="4"/>
  <c r="Q1707" i="4"/>
  <c r="P1707" i="4"/>
  <c r="S1706" i="4"/>
  <c r="R1706" i="4"/>
  <c r="Q1706" i="4"/>
  <c r="P1706" i="4"/>
  <c r="S1705" i="4"/>
  <c r="R1705" i="4"/>
  <c r="Q1705" i="4"/>
  <c r="P1705" i="4"/>
  <c r="S1704" i="4"/>
  <c r="R1704" i="4"/>
  <c r="Q1704" i="4"/>
  <c r="P1704" i="4"/>
  <c r="S1703" i="4"/>
  <c r="R1703" i="4"/>
  <c r="Q1703" i="4"/>
  <c r="P1703" i="4"/>
  <c r="S1702" i="4"/>
  <c r="R1702" i="4"/>
  <c r="Q1702" i="4"/>
  <c r="P1702" i="4"/>
  <c r="S1701" i="4"/>
  <c r="R1701" i="4"/>
  <c r="Q1701" i="4"/>
  <c r="P1701" i="4"/>
  <c r="S1700" i="4"/>
  <c r="R1700" i="4"/>
  <c r="Q1700" i="4"/>
  <c r="P1700" i="4"/>
  <c r="S1699" i="4"/>
  <c r="R1699" i="4"/>
  <c r="Q1699" i="4"/>
  <c r="P1699" i="4"/>
  <c r="S1698" i="4"/>
  <c r="R1698" i="4"/>
  <c r="Q1698" i="4"/>
  <c r="P1698" i="4"/>
  <c r="S1697" i="4"/>
  <c r="R1697" i="4"/>
  <c r="Q1697" i="4"/>
  <c r="P1697" i="4"/>
  <c r="S1696" i="4"/>
  <c r="R1696" i="4"/>
  <c r="Q1696" i="4"/>
  <c r="P1696" i="4"/>
  <c r="S1695" i="4"/>
  <c r="R1695" i="4"/>
  <c r="Q1695" i="4"/>
  <c r="P1695" i="4"/>
  <c r="S1694" i="4"/>
  <c r="R1694" i="4"/>
  <c r="Q1694" i="4"/>
  <c r="P1694" i="4"/>
  <c r="S1693" i="4"/>
  <c r="R1693" i="4"/>
  <c r="Q1693" i="4"/>
  <c r="P1693" i="4"/>
  <c r="S1692" i="4"/>
  <c r="R1692" i="4"/>
  <c r="Q1692" i="4"/>
  <c r="P1692" i="4"/>
  <c r="S1691" i="4"/>
  <c r="R1691" i="4"/>
  <c r="Q1691" i="4"/>
  <c r="P1691" i="4"/>
  <c r="S1690" i="4"/>
  <c r="R1690" i="4"/>
  <c r="Q1690" i="4"/>
  <c r="P1690" i="4"/>
  <c r="S1689" i="4"/>
  <c r="R1689" i="4"/>
  <c r="Q1689" i="4"/>
  <c r="P1689" i="4"/>
  <c r="S1688" i="4"/>
  <c r="R1688" i="4"/>
  <c r="Q1688" i="4"/>
  <c r="P1688" i="4"/>
  <c r="S1687" i="4"/>
  <c r="R1687" i="4"/>
  <c r="Q1687" i="4"/>
  <c r="P1687" i="4"/>
  <c r="S1686" i="4"/>
  <c r="R1686" i="4"/>
  <c r="Q1686" i="4"/>
  <c r="P1686" i="4"/>
  <c r="S1685" i="4"/>
  <c r="R1685" i="4"/>
  <c r="Q1685" i="4"/>
  <c r="P1685" i="4"/>
  <c r="S1684" i="4"/>
  <c r="R1684" i="4"/>
  <c r="Q1684" i="4"/>
  <c r="P1684" i="4"/>
  <c r="S1760" i="4"/>
  <c r="R1760" i="4"/>
  <c r="Q1760" i="4"/>
  <c r="P1760" i="4"/>
  <c r="S1759" i="4"/>
  <c r="R1759" i="4"/>
  <c r="Q1759" i="4"/>
  <c r="P1759" i="4"/>
  <c r="S1758" i="4"/>
  <c r="R1758" i="4"/>
  <c r="Q1758" i="4"/>
  <c r="P1758" i="4"/>
  <c r="S1757" i="4"/>
  <c r="R1757" i="4"/>
  <c r="Q1757" i="4"/>
  <c r="P1757" i="4"/>
  <c r="S1756" i="4"/>
  <c r="R1756" i="4"/>
  <c r="Q1756" i="4"/>
  <c r="P1756" i="4"/>
  <c r="S1755" i="4"/>
  <c r="R1755" i="4"/>
  <c r="Q1755" i="4"/>
  <c r="P1755" i="4"/>
  <c r="S1754" i="4"/>
  <c r="R1754" i="4"/>
  <c r="Q1754" i="4"/>
  <c r="P1754" i="4"/>
  <c r="S1753" i="4"/>
  <c r="R1753" i="4"/>
  <c r="Q1753" i="4"/>
  <c r="P1753" i="4"/>
  <c r="S1752" i="4"/>
  <c r="R1752" i="4"/>
  <c r="Q1752" i="4"/>
  <c r="P1752" i="4"/>
  <c r="S1751" i="4"/>
  <c r="R1751" i="4"/>
  <c r="Q1751" i="4"/>
  <c r="P1751" i="4"/>
  <c r="S1750" i="4"/>
  <c r="R1750" i="4"/>
  <c r="Q1750" i="4"/>
  <c r="P1750" i="4"/>
  <c r="S1749" i="4"/>
  <c r="R1749" i="4"/>
  <c r="Q1749" i="4"/>
  <c r="P1749" i="4"/>
  <c r="S1748" i="4"/>
  <c r="R1748" i="4"/>
  <c r="Q1748" i="4"/>
  <c r="P1748" i="4"/>
  <c r="S1747" i="4"/>
  <c r="R1747" i="4"/>
  <c r="Q1747" i="4"/>
  <c r="P1747" i="4"/>
  <c r="S1746" i="4"/>
  <c r="R1746" i="4"/>
  <c r="Q1746" i="4"/>
  <c r="P1746" i="4"/>
  <c r="S1745" i="4"/>
  <c r="R1745" i="4"/>
  <c r="Q1745" i="4"/>
  <c r="P1745" i="4"/>
  <c r="S1744" i="4"/>
  <c r="R1744" i="4"/>
  <c r="Q1744" i="4"/>
  <c r="P1744" i="4"/>
  <c r="S1743" i="4"/>
  <c r="R1743" i="4"/>
  <c r="Q1743" i="4"/>
  <c r="P1743" i="4"/>
  <c r="S1742" i="4"/>
  <c r="R1742" i="4"/>
  <c r="Q1742" i="4"/>
  <c r="P1742" i="4"/>
  <c r="S1741" i="4"/>
  <c r="R1741" i="4"/>
  <c r="Q1741" i="4"/>
  <c r="P1741" i="4"/>
  <c r="S1740" i="4"/>
  <c r="R1740" i="4"/>
  <c r="Q1740" i="4"/>
  <c r="P1740" i="4"/>
  <c r="S1739" i="4"/>
  <c r="R1739" i="4"/>
  <c r="Q1739" i="4"/>
  <c r="P1739" i="4"/>
  <c r="S1738" i="4"/>
  <c r="R1738" i="4"/>
  <c r="Q1738" i="4"/>
  <c r="P1738" i="4"/>
  <c r="S1737" i="4"/>
  <c r="R1737" i="4"/>
  <c r="Q1737" i="4"/>
  <c r="P1737" i="4"/>
  <c r="S1736" i="4"/>
  <c r="R1736" i="4"/>
  <c r="Q1736" i="4"/>
  <c r="P1736" i="4"/>
  <c r="S1735" i="4"/>
  <c r="R1735" i="4"/>
  <c r="Q1735" i="4"/>
  <c r="P1735" i="4"/>
  <c r="S1734" i="4"/>
  <c r="R1734" i="4"/>
  <c r="Q1734" i="4"/>
  <c r="P1734" i="4"/>
  <c r="S1733" i="4"/>
  <c r="R1733" i="4"/>
  <c r="Q1733" i="4"/>
  <c r="P1733" i="4"/>
  <c r="S1732" i="4"/>
  <c r="R1732" i="4"/>
  <c r="Q1732" i="4"/>
  <c r="P1732" i="4"/>
  <c r="S1731" i="4"/>
  <c r="R1731" i="4"/>
  <c r="Q1731" i="4"/>
  <c r="P1731" i="4"/>
  <c r="S1730" i="4"/>
  <c r="R1730" i="4"/>
  <c r="Q1730" i="4"/>
  <c r="P1730" i="4"/>
  <c r="S1729" i="4"/>
  <c r="R1729" i="4"/>
  <c r="Q1729" i="4"/>
  <c r="P1729" i="4"/>
  <c r="S1728" i="4"/>
  <c r="R1728" i="4"/>
  <c r="Q1728" i="4"/>
  <c r="P1728" i="4"/>
  <c r="S1727" i="4"/>
  <c r="R1727" i="4"/>
  <c r="Q1727" i="4"/>
  <c r="P1727" i="4"/>
  <c r="S1726" i="4"/>
  <c r="R1726" i="4"/>
  <c r="Q1726" i="4"/>
  <c r="P1726" i="4"/>
  <c r="S1725" i="4"/>
  <c r="R1725" i="4"/>
  <c r="Q1725" i="4"/>
  <c r="P1725" i="4"/>
  <c r="S1810" i="4"/>
  <c r="R1810" i="4"/>
  <c r="Q1810" i="4"/>
  <c r="P1810" i="4"/>
  <c r="S1809" i="4"/>
  <c r="R1809" i="4"/>
  <c r="Q1809" i="4"/>
  <c r="P1809" i="4"/>
  <c r="S1808" i="4"/>
  <c r="R1808" i="4"/>
  <c r="Q1808" i="4"/>
  <c r="P1808" i="4"/>
  <c r="S1807" i="4"/>
  <c r="R1807" i="4"/>
  <c r="Q1807" i="4"/>
  <c r="P1807" i="4"/>
  <c r="S1806" i="4"/>
  <c r="R1806" i="4"/>
  <c r="Q1806" i="4"/>
  <c r="P1806" i="4"/>
  <c r="S1805" i="4"/>
  <c r="R1805" i="4"/>
  <c r="Q1805" i="4"/>
  <c r="P1805" i="4"/>
  <c r="S1804" i="4"/>
  <c r="R1804" i="4"/>
  <c r="Q1804" i="4"/>
  <c r="P1804" i="4"/>
  <c r="S1803" i="4"/>
  <c r="R1803" i="4"/>
  <c r="Q1803" i="4"/>
  <c r="P1803" i="4"/>
  <c r="S1802" i="4"/>
  <c r="R1802" i="4"/>
  <c r="Q1802" i="4"/>
  <c r="P1802" i="4"/>
  <c r="S1801" i="4"/>
  <c r="R1801" i="4"/>
  <c r="Q1801" i="4"/>
  <c r="P1801" i="4"/>
  <c r="S1800" i="4"/>
  <c r="R1800" i="4"/>
  <c r="Q1800" i="4"/>
  <c r="P1800" i="4"/>
  <c r="S1799" i="4"/>
  <c r="R1799" i="4"/>
  <c r="Q1799" i="4"/>
  <c r="P1799" i="4"/>
  <c r="S1798" i="4"/>
  <c r="R1798" i="4"/>
  <c r="Q1798" i="4"/>
  <c r="P1798" i="4"/>
  <c r="S1797" i="4"/>
  <c r="R1797" i="4"/>
  <c r="Q1797" i="4"/>
  <c r="P1797" i="4"/>
  <c r="S1796" i="4"/>
  <c r="R1796" i="4"/>
  <c r="Q1796" i="4"/>
  <c r="P1796" i="4"/>
  <c r="S1795" i="4"/>
  <c r="R1795" i="4"/>
  <c r="Q1795" i="4"/>
  <c r="P1795" i="4"/>
  <c r="S1794" i="4"/>
  <c r="R1794" i="4"/>
  <c r="Q1794" i="4"/>
  <c r="P1794" i="4"/>
  <c r="S1793" i="4"/>
  <c r="R1793" i="4"/>
  <c r="Q1793" i="4"/>
  <c r="P1793" i="4"/>
  <c r="S1792" i="4"/>
  <c r="R1792" i="4"/>
  <c r="Q1792" i="4"/>
  <c r="P1792" i="4"/>
  <c r="S1791" i="4"/>
  <c r="R1791" i="4"/>
  <c r="Q1791" i="4"/>
  <c r="P1791" i="4"/>
  <c r="S1790" i="4"/>
  <c r="R1790" i="4"/>
  <c r="Q1790" i="4"/>
  <c r="P1790" i="4"/>
  <c r="S1789" i="4"/>
  <c r="R1789" i="4"/>
  <c r="Q1789" i="4"/>
  <c r="P1789" i="4"/>
  <c r="S1788" i="4"/>
  <c r="R1788" i="4"/>
  <c r="Q1788" i="4"/>
  <c r="P1788" i="4"/>
  <c r="S1787" i="4"/>
  <c r="R1787" i="4"/>
  <c r="Q1787" i="4"/>
  <c r="P1787" i="4"/>
  <c r="S1786" i="4"/>
  <c r="R1786" i="4"/>
  <c r="Q1786" i="4"/>
  <c r="P1786" i="4"/>
  <c r="S1785" i="4"/>
  <c r="R1785" i="4"/>
  <c r="Q1785" i="4"/>
  <c r="P1785" i="4"/>
  <c r="S1784" i="4"/>
  <c r="R1784" i="4"/>
  <c r="Q1784" i="4"/>
  <c r="P1784" i="4"/>
  <c r="S1783" i="4"/>
  <c r="R1783" i="4"/>
  <c r="Q1783" i="4"/>
  <c r="P1783" i="4"/>
  <c r="S1782" i="4"/>
  <c r="R1782" i="4"/>
  <c r="Q1782" i="4"/>
  <c r="P1782" i="4"/>
  <c r="S1781" i="4"/>
  <c r="R1781" i="4"/>
  <c r="Q1781" i="4"/>
  <c r="P1781" i="4"/>
  <c r="S1780" i="4"/>
  <c r="R1780" i="4"/>
  <c r="Q1780" i="4"/>
  <c r="P1780" i="4"/>
  <c r="S1779" i="4"/>
  <c r="R1779" i="4"/>
  <c r="Q1779" i="4"/>
  <c r="P1779" i="4"/>
  <c r="S1778" i="4"/>
  <c r="R1778" i="4"/>
  <c r="Q1778" i="4"/>
  <c r="P1778" i="4"/>
  <c r="S1777" i="4"/>
  <c r="R1777" i="4"/>
  <c r="Q1777" i="4"/>
  <c r="P1777" i="4"/>
  <c r="S1776" i="4"/>
  <c r="R1776" i="4"/>
  <c r="Q1776" i="4"/>
  <c r="P1776" i="4"/>
  <c r="S1775" i="4"/>
  <c r="R1775" i="4"/>
  <c r="Q1775" i="4"/>
  <c r="P1775" i="4"/>
  <c r="S1774" i="4"/>
  <c r="R1774" i="4"/>
  <c r="Q1774" i="4"/>
  <c r="P1774" i="4"/>
  <c r="S1773" i="4"/>
  <c r="R1773" i="4"/>
  <c r="Q1773" i="4"/>
  <c r="P1773" i="4"/>
  <c r="S1772" i="4"/>
  <c r="R1772" i="4"/>
  <c r="Q1772" i="4"/>
  <c r="P1772" i="4"/>
  <c r="S1771" i="4"/>
  <c r="R1771" i="4"/>
  <c r="Q1771" i="4"/>
  <c r="P1771" i="4"/>
  <c r="S1770" i="4"/>
  <c r="R1770" i="4"/>
  <c r="Q1770" i="4"/>
  <c r="P1770" i="4"/>
  <c r="S1769" i="4"/>
  <c r="R1769" i="4"/>
  <c r="Q1769" i="4"/>
  <c r="P1769" i="4"/>
  <c r="S1768" i="4"/>
  <c r="R1768" i="4"/>
  <c r="Q1768" i="4"/>
  <c r="P1768" i="4"/>
  <c r="S1767" i="4"/>
  <c r="R1767" i="4"/>
  <c r="Q1767" i="4"/>
  <c r="P1767" i="4"/>
  <c r="S1766" i="4"/>
  <c r="R1766" i="4"/>
  <c r="Q1766" i="4"/>
  <c r="P1766" i="4"/>
  <c r="S1765" i="4"/>
  <c r="R1765" i="4"/>
  <c r="Q1765" i="4"/>
  <c r="P1765" i="4"/>
  <c r="S1764" i="4"/>
  <c r="R1764" i="4"/>
  <c r="Q1764" i="4"/>
  <c r="P1764" i="4"/>
  <c r="S1763" i="4"/>
  <c r="R1763" i="4"/>
  <c r="Q1763" i="4"/>
  <c r="P1763" i="4"/>
  <c r="S1762" i="4"/>
  <c r="R1762" i="4"/>
  <c r="Q1762" i="4"/>
  <c r="P1762" i="4"/>
  <c r="S1761" i="4"/>
  <c r="R1761" i="4"/>
  <c r="Q1761" i="4"/>
  <c r="P1761" i="4"/>
  <c r="S1898" i="4"/>
  <c r="R1898" i="4"/>
  <c r="Q1898" i="4"/>
  <c r="P1898" i="4"/>
  <c r="S1897" i="4"/>
  <c r="R1897" i="4"/>
  <c r="Q1897" i="4"/>
  <c r="P1897" i="4"/>
  <c r="S1896" i="4"/>
  <c r="R1896" i="4"/>
  <c r="Q1896" i="4"/>
  <c r="P1896" i="4"/>
  <c r="S1895" i="4"/>
  <c r="R1895" i="4"/>
  <c r="Q1895" i="4"/>
  <c r="P1895" i="4"/>
  <c r="S1894" i="4"/>
  <c r="R1894" i="4"/>
  <c r="Q1894" i="4"/>
  <c r="P1894" i="4"/>
  <c r="S1893" i="4"/>
  <c r="R1893" i="4"/>
  <c r="Q1893" i="4"/>
  <c r="P1893" i="4"/>
  <c r="S1892" i="4"/>
  <c r="R1892" i="4"/>
  <c r="Q1892" i="4"/>
  <c r="P1892" i="4"/>
  <c r="S1891" i="4"/>
  <c r="R1891" i="4"/>
  <c r="Q1891" i="4"/>
  <c r="P1891" i="4"/>
  <c r="S1890" i="4"/>
  <c r="R1890" i="4"/>
  <c r="Q1890" i="4"/>
  <c r="P1890" i="4"/>
  <c r="S1889" i="4"/>
  <c r="R1889" i="4"/>
  <c r="Q1889" i="4"/>
  <c r="P1889" i="4"/>
  <c r="S1888" i="4"/>
  <c r="R1888" i="4"/>
  <c r="Q1888" i="4"/>
  <c r="P1888" i="4"/>
  <c r="S1887" i="4"/>
  <c r="R1887" i="4"/>
  <c r="Q1887" i="4"/>
  <c r="P1887" i="4"/>
  <c r="S1886" i="4"/>
  <c r="R1886" i="4"/>
  <c r="Q1886" i="4"/>
  <c r="P1886" i="4"/>
  <c r="S1885" i="4"/>
  <c r="R1885" i="4"/>
  <c r="Q1885" i="4"/>
  <c r="P1885" i="4"/>
  <c r="S1884" i="4"/>
  <c r="R1884" i="4"/>
  <c r="Q1884" i="4"/>
  <c r="P1884" i="4"/>
  <c r="S1883" i="4"/>
  <c r="R1883" i="4"/>
  <c r="Q1883" i="4"/>
  <c r="P1883" i="4"/>
  <c r="S1882" i="4"/>
  <c r="R1882" i="4"/>
  <c r="Q1882" i="4"/>
  <c r="P1882" i="4"/>
  <c r="S1881" i="4"/>
  <c r="R1881" i="4"/>
  <c r="Q1881" i="4"/>
  <c r="P1881" i="4"/>
  <c r="S1880" i="4"/>
  <c r="R1880" i="4"/>
  <c r="Q1880" i="4"/>
  <c r="P1880" i="4"/>
  <c r="S1879" i="4"/>
  <c r="R1879" i="4"/>
  <c r="Q1879" i="4"/>
  <c r="P1879" i="4"/>
  <c r="S1878" i="4"/>
  <c r="R1878" i="4"/>
  <c r="Q1878" i="4"/>
  <c r="P1878" i="4"/>
  <c r="S1877" i="4"/>
  <c r="R1877" i="4"/>
  <c r="Q1877" i="4"/>
  <c r="P1877" i="4"/>
  <c r="S1876" i="4"/>
  <c r="R1876" i="4"/>
  <c r="Q1876" i="4"/>
  <c r="P1876" i="4"/>
  <c r="S1875" i="4"/>
  <c r="R1875" i="4"/>
  <c r="Q1875" i="4"/>
  <c r="P1875" i="4"/>
  <c r="S1874" i="4"/>
  <c r="R1874" i="4"/>
  <c r="Q1874" i="4"/>
  <c r="P1874" i="4"/>
  <c r="S1873" i="4"/>
  <c r="R1873" i="4"/>
  <c r="Q1873" i="4"/>
  <c r="P1873" i="4"/>
  <c r="S1872" i="4"/>
  <c r="R1872" i="4"/>
  <c r="Q1872" i="4"/>
  <c r="P1872" i="4"/>
  <c r="S1871" i="4"/>
  <c r="R1871" i="4"/>
  <c r="Q1871" i="4"/>
  <c r="P1871" i="4"/>
  <c r="S1870" i="4"/>
  <c r="R1870" i="4"/>
  <c r="Q1870" i="4"/>
  <c r="P1870" i="4"/>
  <c r="S1869" i="4"/>
  <c r="R1869" i="4"/>
  <c r="Q1869" i="4"/>
  <c r="P1869" i="4"/>
  <c r="S1868" i="4"/>
  <c r="R1868" i="4"/>
  <c r="Q1868" i="4"/>
  <c r="P1868" i="4"/>
  <c r="S1867" i="4"/>
  <c r="R1867" i="4"/>
  <c r="Q1867" i="4"/>
  <c r="P1867" i="4"/>
  <c r="S1866" i="4"/>
  <c r="R1866" i="4"/>
  <c r="Q1866" i="4"/>
  <c r="P1866" i="4"/>
  <c r="S1865" i="4"/>
  <c r="R1865" i="4"/>
  <c r="Q1865" i="4"/>
  <c r="P1865" i="4"/>
  <c r="S1864" i="4"/>
  <c r="R1864" i="4"/>
  <c r="Q1864" i="4"/>
  <c r="P1864" i="4"/>
  <c r="S1863" i="4"/>
  <c r="R1863" i="4"/>
  <c r="Q1863" i="4"/>
  <c r="P1863" i="4"/>
  <c r="S1862" i="4"/>
  <c r="R1862" i="4"/>
  <c r="Q1862" i="4"/>
  <c r="P1862" i="4"/>
  <c r="S1861" i="4"/>
  <c r="R1861" i="4"/>
  <c r="Q1861" i="4"/>
  <c r="P1861" i="4"/>
  <c r="S1860" i="4"/>
  <c r="R1860" i="4"/>
  <c r="Q1860" i="4"/>
  <c r="P1860" i="4"/>
  <c r="S1859" i="4"/>
  <c r="R1859" i="4"/>
  <c r="Q1859" i="4"/>
  <c r="P1859" i="4"/>
  <c r="S1858" i="4"/>
  <c r="R1858" i="4"/>
  <c r="Q1858" i="4"/>
  <c r="P1858" i="4"/>
  <c r="S1857" i="4"/>
  <c r="R1857" i="4"/>
  <c r="Q1857" i="4"/>
  <c r="P1857" i="4"/>
  <c r="S1856" i="4"/>
  <c r="R1856" i="4"/>
  <c r="Q1856" i="4"/>
  <c r="P1856" i="4"/>
  <c r="S1855" i="4"/>
  <c r="R1855" i="4"/>
  <c r="Q1855" i="4"/>
  <c r="P1855" i="4"/>
  <c r="S1854" i="4"/>
  <c r="R1854" i="4"/>
  <c r="Q1854" i="4"/>
  <c r="P1854" i="4"/>
  <c r="S1853" i="4"/>
  <c r="R1853" i="4"/>
  <c r="Q1853" i="4"/>
  <c r="P1853" i="4"/>
  <c r="S1852" i="4"/>
  <c r="R1852" i="4"/>
  <c r="Q1852" i="4"/>
  <c r="P1852" i="4"/>
  <c r="S1851" i="4"/>
  <c r="R1851" i="4"/>
  <c r="Q1851" i="4"/>
  <c r="P1851" i="4"/>
  <c r="S1850" i="4"/>
  <c r="R1850" i="4"/>
  <c r="Q1850" i="4"/>
  <c r="P1850" i="4"/>
  <c r="S1849" i="4"/>
  <c r="R1849" i="4"/>
  <c r="Q1849" i="4"/>
  <c r="P1849" i="4"/>
  <c r="S1848" i="4"/>
  <c r="R1848" i="4"/>
  <c r="Q1848" i="4"/>
  <c r="P1848" i="4"/>
  <c r="S1847" i="4"/>
  <c r="R1847" i="4"/>
  <c r="Q1847" i="4"/>
  <c r="P1847" i="4"/>
  <c r="S1846" i="4"/>
  <c r="R1846" i="4"/>
  <c r="Q1846" i="4"/>
  <c r="P1846" i="4"/>
  <c r="S1845" i="4"/>
  <c r="R1845" i="4"/>
  <c r="Q1845" i="4"/>
  <c r="P1845" i="4"/>
  <c r="S1844" i="4"/>
  <c r="R1844" i="4"/>
  <c r="Q1844" i="4"/>
  <c r="P1844" i="4"/>
  <c r="S1843" i="4"/>
  <c r="R1843" i="4"/>
  <c r="Q1843" i="4"/>
  <c r="P1843" i="4"/>
  <c r="S1842" i="4"/>
  <c r="R1842" i="4"/>
  <c r="Q1842" i="4"/>
  <c r="P1842" i="4"/>
  <c r="S1841" i="4"/>
  <c r="R1841" i="4"/>
  <c r="Q1841" i="4"/>
  <c r="P1841" i="4"/>
  <c r="S1840" i="4"/>
  <c r="R1840" i="4"/>
  <c r="Q1840" i="4"/>
  <c r="P1840" i="4"/>
  <c r="S1839" i="4"/>
  <c r="R1839" i="4"/>
  <c r="Q1839" i="4"/>
  <c r="P1839" i="4"/>
  <c r="S1838" i="4"/>
  <c r="R1838" i="4"/>
  <c r="Q1838" i="4"/>
  <c r="P1838" i="4"/>
  <c r="S1837" i="4"/>
  <c r="R1837" i="4"/>
  <c r="Q1837" i="4"/>
  <c r="P1837" i="4"/>
  <c r="S1836" i="4"/>
  <c r="R1836" i="4"/>
  <c r="Q1836" i="4"/>
  <c r="P1836" i="4"/>
  <c r="S1835" i="4"/>
  <c r="R1835" i="4"/>
  <c r="Q1835" i="4"/>
  <c r="P1835" i="4"/>
  <c r="S1834" i="4"/>
  <c r="R1834" i="4"/>
  <c r="Q1834" i="4"/>
  <c r="P1834" i="4"/>
  <c r="S1833" i="4"/>
  <c r="R1833" i="4"/>
  <c r="Q1833" i="4"/>
  <c r="P1833" i="4"/>
  <c r="S1832" i="4"/>
  <c r="R1832" i="4"/>
  <c r="Q1832" i="4"/>
  <c r="P1832" i="4"/>
  <c r="S1831" i="4"/>
  <c r="R1831" i="4"/>
  <c r="Q1831" i="4"/>
  <c r="P1831" i="4"/>
  <c r="S1830" i="4"/>
  <c r="R1830" i="4"/>
  <c r="Q1830" i="4"/>
  <c r="P1830" i="4"/>
  <c r="S1829" i="4"/>
  <c r="R1829" i="4"/>
  <c r="Q1829" i="4"/>
  <c r="P1829" i="4"/>
  <c r="S1828" i="4"/>
  <c r="R1828" i="4"/>
  <c r="Q1828" i="4"/>
  <c r="P1828" i="4"/>
  <c r="S1827" i="4"/>
  <c r="R1827" i="4"/>
  <c r="Q1827" i="4"/>
  <c r="P1827" i="4"/>
  <c r="S1826" i="4"/>
  <c r="R1826" i="4"/>
  <c r="Q1826" i="4"/>
  <c r="P1826" i="4"/>
  <c r="S1825" i="4"/>
  <c r="R1825" i="4"/>
  <c r="Q1825" i="4"/>
  <c r="P1825" i="4"/>
  <c r="S1824" i="4"/>
  <c r="R1824" i="4"/>
  <c r="Q1824" i="4"/>
  <c r="P1824" i="4"/>
  <c r="S1823" i="4"/>
  <c r="R1823" i="4"/>
  <c r="Q1823" i="4"/>
  <c r="P1823" i="4"/>
  <c r="S1822" i="4"/>
  <c r="R1822" i="4"/>
  <c r="Q1822" i="4"/>
  <c r="P1822" i="4"/>
  <c r="S1821" i="4"/>
  <c r="R1821" i="4"/>
  <c r="Q1821" i="4"/>
  <c r="P1821" i="4"/>
  <c r="S1820" i="4"/>
  <c r="R1820" i="4"/>
  <c r="Q1820" i="4"/>
  <c r="P1820" i="4"/>
  <c r="S1819" i="4"/>
  <c r="R1819" i="4"/>
  <c r="Q1819" i="4"/>
  <c r="P1819" i="4"/>
  <c r="S1818" i="4"/>
  <c r="R1818" i="4"/>
  <c r="Q1818" i="4"/>
  <c r="P1818" i="4"/>
  <c r="S1817" i="4"/>
  <c r="R1817" i="4"/>
  <c r="Q1817" i="4"/>
  <c r="P1817" i="4"/>
  <c r="S1816" i="4"/>
  <c r="R1816" i="4"/>
  <c r="Q1816" i="4"/>
  <c r="P1816" i="4"/>
  <c r="S1815" i="4"/>
  <c r="R1815" i="4"/>
  <c r="Q1815" i="4"/>
  <c r="P1815" i="4"/>
  <c r="S1814" i="4"/>
  <c r="R1814" i="4"/>
  <c r="Q1814" i="4"/>
  <c r="P1814" i="4"/>
  <c r="S1813" i="4"/>
  <c r="R1813" i="4"/>
  <c r="Q1813" i="4"/>
  <c r="P1813" i="4"/>
  <c r="S1812" i="4"/>
  <c r="R1812" i="4"/>
  <c r="Q1812" i="4"/>
  <c r="P1812" i="4"/>
  <c r="S1811" i="4"/>
  <c r="R1811" i="4"/>
  <c r="Q1811" i="4"/>
  <c r="P1811" i="4"/>
  <c r="S1902" i="4"/>
  <c r="R1902" i="4"/>
  <c r="Q1902" i="4"/>
  <c r="P1902" i="4"/>
  <c r="S1901" i="4"/>
  <c r="R1901" i="4"/>
  <c r="Q1901" i="4"/>
  <c r="P1901" i="4"/>
  <c r="S1900" i="4"/>
  <c r="R1900" i="4"/>
  <c r="Q1900" i="4"/>
  <c r="P1900" i="4"/>
  <c r="S1899" i="4"/>
  <c r="R1899" i="4"/>
  <c r="Q1899" i="4"/>
  <c r="P1899" i="4"/>
  <c r="S1911" i="4"/>
  <c r="R1911" i="4"/>
  <c r="Q1911" i="4"/>
  <c r="P1911" i="4"/>
  <c r="S1910" i="4"/>
  <c r="R1910" i="4"/>
  <c r="Q1910" i="4"/>
  <c r="P1910" i="4"/>
  <c r="S1909" i="4"/>
  <c r="R1909" i="4"/>
  <c r="Q1909" i="4"/>
  <c r="P1909" i="4"/>
  <c r="S1908" i="4"/>
  <c r="R1908" i="4"/>
  <c r="Q1908" i="4"/>
  <c r="P1908" i="4"/>
  <c r="S1907" i="4"/>
  <c r="R1907" i="4"/>
  <c r="Q1907" i="4"/>
  <c r="P1907" i="4"/>
  <c r="S1906" i="4"/>
  <c r="R1906" i="4"/>
  <c r="Q1906" i="4"/>
  <c r="P1906" i="4"/>
  <c r="S1905" i="4"/>
  <c r="R1905" i="4"/>
  <c r="Q1905" i="4"/>
  <c r="P1905" i="4"/>
  <c r="S1904" i="4"/>
  <c r="R1904" i="4"/>
  <c r="Q1904" i="4"/>
  <c r="P1904" i="4"/>
  <c r="S1903" i="4"/>
  <c r="R1903" i="4"/>
  <c r="Q1903" i="4"/>
  <c r="P1903" i="4"/>
  <c r="S1953" i="4"/>
  <c r="R1953" i="4"/>
  <c r="Q1953" i="4"/>
  <c r="P1953" i="4"/>
  <c r="S1952" i="4"/>
  <c r="R1952" i="4"/>
  <c r="Q1952" i="4"/>
  <c r="P1952" i="4"/>
  <c r="S1951" i="4"/>
  <c r="R1951" i="4"/>
  <c r="Q1951" i="4"/>
  <c r="P1951" i="4"/>
  <c r="S1950" i="4"/>
  <c r="R1950" i="4"/>
  <c r="Q1950" i="4"/>
  <c r="P1950" i="4"/>
  <c r="S1949" i="4"/>
  <c r="R1949" i="4"/>
  <c r="Q1949" i="4"/>
  <c r="P1949" i="4"/>
  <c r="S1948" i="4"/>
  <c r="R1948" i="4"/>
  <c r="Q1948" i="4"/>
  <c r="P1948" i="4"/>
  <c r="S1947" i="4"/>
  <c r="R1947" i="4"/>
  <c r="Q1947" i="4"/>
  <c r="P1947" i="4"/>
  <c r="S1946" i="4"/>
  <c r="R1946" i="4"/>
  <c r="Q1946" i="4"/>
  <c r="P1946" i="4"/>
  <c r="S1945" i="4"/>
  <c r="R1945" i="4"/>
  <c r="Q1945" i="4"/>
  <c r="P1945" i="4"/>
  <c r="S1944" i="4"/>
  <c r="R1944" i="4"/>
  <c r="Q1944" i="4"/>
  <c r="P1944" i="4"/>
  <c r="S1943" i="4"/>
  <c r="R1943" i="4"/>
  <c r="Q1943" i="4"/>
  <c r="P1943" i="4"/>
  <c r="S1942" i="4"/>
  <c r="R1942" i="4"/>
  <c r="Q1942" i="4"/>
  <c r="P1942" i="4"/>
  <c r="S1941" i="4"/>
  <c r="R1941" i="4"/>
  <c r="Q1941" i="4"/>
  <c r="P1941" i="4"/>
  <c r="S1940" i="4"/>
  <c r="R1940" i="4"/>
  <c r="Q1940" i="4"/>
  <c r="P1940" i="4"/>
  <c r="S1939" i="4"/>
  <c r="R1939" i="4"/>
  <c r="Q1939" i="4"/>
  <c r="P1939" i="4"/>
  <c r="S1938" i="4"/>
  <c r="R1938" i="4"/>
  <c r="Q1938" i="4"/>
  <c r="P1938" i="4"/>
  <c r="S1937" i="4"/>
  <c r="R1937" i="4"/>
  <c r="Q1937" i="4"/>
  <c r="P1937" i="4"/>
  <c r="S1936" i="4"/>
  <c r="R1936" i="4"/>
  <c r="Q1936" i="4"/>
  <c r="P1936" i="4"/>
  <c r="S1935" i="4"/>
  <c r="R1935" i="4"/>
  <c r="Q1935" i="4"/>
  <c r="P1935" i="4"/>
  <c r="S1934" i="4"/>
  <c r="R1934" i="4"/>
  <c r="Q1934" i="4"/>
  <c r="P1934" i="4"/>
  <c r="S1933" i="4"/>
  <c r="R1933" i="4"/>
  <c r="Q1933" i="4"/>
  <c r="P1933" i="4"/>
  <c r="S1932" i="4"/>
  <c r="R1932" i="4"/>
  <c r="Q1932" i="4"/>
  <c r="P1932" i="4"/>
  <c r="S1931" i="4"/>
  <c r="R1931" i="4"/>
  <c r="Q1931" i="4"/>
  <c r="P1931" i="4"/>
  <c r="S1930" i="4"/>
  <c r="R1930" i="4"/>
  <c r="Q1930" i="4"/>
  <c r="P1930" i="4"/>
  <c r="S1929" i="4"/>
  <c r="R1929" i="4"/>
  <c r="Q1929" i="4"/>
  <c r="P1929" i="4"/>
  <c r="S1928" i="4"/>
  <c r="R1928" i="4"/>
  <c r="Q1928" i="4"/>
  <c r="P1928" i="4"/>
  <c r="S1927" i="4"/>
  <c r="R1927" i="4"/>
  <c r="Q1927" i="4"/>
  <c r="P1927" i="4"/>
  <c r="S1926" i="4"/>
  <c r="R1926" i="4"/>
  <c r="Q1926" i="4"/>
  <c r="P1926" i="4"/>
  <c r="S1925" i="4"/>
  <c r="R1925" i="4"/>
  <c r="Q1925" i="4"/>
  <c r="P1925" i="4"/>
  <c r="S1924" i="4"/>
  <c r="R1924" i="4"/>
  <c r="Q1924" i="4"/>
  <c r="P1924" i="4"/>
  <c r="S1923" i="4"/>
  <c r="R1923" i="4"/>
  <c r="Q1923" i="4"/>
  <c r="P1923" i="4"/>
  <c r="S1922" i="4"/>
  <c r="R1922" i="4"/>
  <c r="Q1922" i="4"/>
  <c r="P1922" i="4"/>
  <c r="S1921" i="4"/>
  <c r="R1921" i="4"/>
  <c r="Q1921" i="4"/>
  <c r="P1921" i="4"/>
  <c r="S1920" i="4"/>
  <c r="R1920" i="4"/>
  <c r="Q1920" i="4"/>
  <c r="P1920" i="4"/>
  <c r="S1919" i="4"/>
  <c r="R1919" i="4"/>
  <c r="Q1919" i="4"/>
  <c r="P1919" i="4"/>
  <c r="S1918" i="4"/>
  <c r="R1918" i="4"/>
  <c r="Q1918" i="4"/>
  <c r="P1918" i="4"/>
  <c r="S1917" i="4"/>
  <c r="R1917" i="4"/>
  <c r="Q1917" i="4"/>
  <c r="P1917" i="4"/>
  <c r="S1916" i="4"/>
  <c r="R1916" i="4"/>
  <c r="Q1916" i="4"/>
  <c r="P1916" i="4"/>
  <c r="S1915" i="4"/>
  <c r="R1915" i="4"/>
  <c r="Q1915" i="4"/>
  <c r="P1915" i="4"/>
  <c r="S1914" i="4"/>
  <c r="R1914" i="4"/>
  <c r="Q1914" i="4"/>
  <c r="P1914" i="4"/>
  <c r="S1913" i="4"/>
  <c r="R1913" i="4"/>
  <c r="Q1913" i="4"/>
  <c r="P1913" i="4"/>
  <c r="S1912" i="4"/>
  <c r="R1912" i="4"/>
  <c r="Q1912" i="4"/>
  <c r="P1912" i="4"/>
  <c r="S2048" i="4"/>
  <c r="R2048" i="4"/>
  <c r="Q2048" i="4"/>
  <c r="P2048" i="4"/>
  <c r="S2047" i="4"/>
  <c r="R2047" i="4"/>
  <c r="Q2047" i="4"/>
  <c r="P2047" i="4"/>
  <c r="S2046" i="4"/>
  <c r="R2046" i="4"/>
  <c r="Q2046" i="4"/>
  <c r="P2046" i="4"/>
  <c r="S2045" i="4"/>
  <c r="R2045" i="4"/>
  <c r="Q2045" i="4"/>
  <c r="P2045" i="4"/>
  <c r="S2044" i="4"/>
  <c r="R2044" i="4"/>
  <c r="Q2044" i="4"/>
  <c r="P2044" i="4"/>
  <c r="S2043" i="4"/>
  <c r="R2043" i="4"/>
  <c r="Q2043" i="4"/>
  <c r="P2043" i="4"/>
  <c r="S2042" i="4"/>
  <c r="R2042" i="4"/>
  <c r="Q2042" i="4"/>
  <c r="P2042" i="4"/>
  <c r="S2041" i="4"/>
  <c r="R2041" i="4"/>
  <c r="Q2041" i="4"/>
  <c r="P2041" i="4"/>
  <c r="S2040" i="4"/>
  <c r="R2040" i="4"/>
  <c r="Q2040" i="4"/>
  <c r="P2040" i="4"/>
  <c r="S2039" i="4"/>
  <c r="R2039" i="4"/>
  <c r="Q2039" i="4"/>
  <c r="P2039" i="4"/>
  <c r="S2038" i="4"/>
  <c r="R2038" i="4"/>
  <c r="Q2038" i="4"/>
  <c r="P2038" i="4"/>
  <c r="S2037" i="4"/>
  <c r="R2037" i="4"/>
  <c r="Q2037" i="4"/>
  <c r="P2037" i="4"/>
  <c r="S2036" i="4"/>
  <c r="R2036" i="4"/>
  <c r="Q2036" i="4"/>
  <c r="P2036" i="4"/>
  <c r="S2035" i="4"/>
  <c r="R2035" i="4"/>
  <c r="Q2035" i="4"/>
  <c r="P2035" i="4"/>
  <c r="S2034" i="4"/>
  <c r="R2034" i="4"/>
  <c r="Q2034" i="4"/>
  <c r="P2034" i="4"/>
  <c r="S2033" i="4"/>
  <c r="R2033" i="4"/>
  <c r="Q2033" i="4"/>
  <c r="P2033" i="4"/>
  <c r="S2032" i="4"/>
  <c r="R2032" i="4"/>
  <c r="Q2032" i="4"/>
  <c r="P2032" i="4"/>
  <c r="S2031" i="4"/>
  <c r="R2031" i="4"/>
  <c r="Q2031" i="4"/>
  <c r="P2031" i="4"/>
  <c r="S2030" i="4"/>
  <c r="R2030" i="4"/>
  <c r="Q2030" i="4"/>
  <c r="P2030" i="4"/>
  <c r="S2029" i="4"/>
  <c r="R2029" i="4"/>
  <c r="Q2029" i="4"/>
  <c r="P2029" i="4"/>
  <c r="S2028" i="4"/>
  <c r="R2028" i="4"/>
  <c r="Q2028" i="4"/>
  <c r="P2028" i="4"/>
  <c r="S2027" i="4"/>
  <c r="R2027" i="4"/>
  <c r="Q2027" i="4"/>
  <c r="P2027" i="4"/>
  <c r="S2026" i="4"/>
  <c r="R2026" i="4"/>
  <c r="Q2026" i="4"/>
  <c r="P2026" i="4"/>
  <c r="S2025" i="4"/>
  <c r="R2025" i="4"/>
  <c r="Q2025" i="4"/>
  <c r="P2025" i="4"/>
  <c r="S2024" i="4"/>
  <c r="R2024" i="4"/>
  <c r="Q2024" i="4"/>
  <c r="P2024" i="4"/>
  <c r="S2023" i="4"/>
  <c r="R2023" i="4"/>
  <c r="Q2023" i="4"/>
  <c r="P2023" i="4"/>
  <c r="S2022" i="4"/>
  <c r="R2022" i="4"/>
  <c r="Q2022" i="4"/>
  <c r="P2022" i="4"/>
  <c r="S2021" i="4"/>
  <c r="R2021" i="4"/>
  <c r="Q2021" i="4"/>
  <c r="P2021" i="4"/>
  <c r="S2020" i="4"/>
  <c r="R2020" i="4"/>
  <c r="Q2020" i="4"/>
  <c r="P2020" i="4"/>
  <c r="S2019" i="4"/>
  <c r="R2019" i="4"/>
  <c r="Q2019" i="4"/>
  <c r="P2019" i="4"/>
  <c r="S2018" i="4"/>
  <c r="R2018" i="4"/>
  <c r="Q2018" i="4"/>
  <c r="P2018" i="4"/>
  <c r="S2017" i="4"/>
  <c r="R2017" i="4"/>
  <c r="Q2017" i="4"/>
  <c r="P2017" i="4"/>
  <c r="S2016" i="4"/>
  <c r="R2016" i="4"/>
  <c r="Q2016" i="4"/>
  <c r="P2016" i="4"/>
  <c r="S2015" i="4"/>
  <c r="R2015" i="4"/>
  <c r="Q2015" i="4"/>
  <c r="P2015" i="4"/>
  <c r="S2014" i="4"/>
  <c r="R2014" i="4"/>
  <c r="Q2014" i="4"/>
  <c r="P2014" i="4"/>
  <c r="S2013" i="4"/>
  <c r="R2013" i="4"/>
  <c r="Q2013" i="4"/>
  <c r="P2013" i="4"/>
  <c r="S2012" i="4"/>
  <c r="R2012" i="4"/>
  <c r="Q2012" i="4"/>
  <c r="P2012" i="4"/>
  <c r="S2011" i="4"/>
  <c r="R2011" i="4"/>
  <c r="Q2011" i="4"/>
  <c r="P2011" i="4"/>
  <c r="S2010" i="4"/>
  <c r="R2010" i="4"/>
  <c r="Q2010" i="4"/>
  <c r="P2010" i="4"/>
  <c r="S2009" i="4"/>
  <c r="R2009" i="4"/>
  <c r="Q2009" i="4"/>
  <c r="P2009" i="4"/>
  <c r="S2008" i="4"/>
  <c r="R2008" i="4"/>
  <c r="Q2008" i="4"/>
  <c r="P2008" i="4"/>
  <c r="S2007" i="4"/>
  <c r="R2007" i="4"/>
  <c r="Q2007" i="4"/>
  <c r="P2007" i="4"/>
  <c r="S2006" i="4"/>
  <c r="R2006" i="4"/>
  <c r="Q2006" i="4"/>
  <c r="P2006" i="4"/>
  <c r="S2005" i="4"/>
  <c r="R2005" i="4"/>
  <c r="Q2005" i="4"/>
  <c r="P2005" i="4"/>
  <c r="S2004" i="4"/>
  <c r="R2004" i="4"/>
  <c r="Q2004" i="4"/>
  <c r="P2004" i="4"/>
  <c r="S2003" i="4"/>
  <c r="R2003" i="4"/>
  <c r="Q2003" i="4"/>
  <c r="P2003" i="4"/>
  <c r="S2002" i="4"/>
  <c r="R2002" i="4"/>
  <c r="Q2002" i="4"/>
  <c r="P2002" i="4"/>
  <c r="S2001" i="4"/>
  <c r="R2001" i="4"/>
  <c r="Q2001" i="4"/>
  <c r="P2001" i="4"/>
  <c r="S2000" i="4"/>
  <c r="R2000" i="4"/>
  <c r="Q2000" i="4"/>
  <c r="P2000" i="4"/>
  <c r="S1999" i="4"/>
  <c r="R1999" i="4"/>
  <c r="Q1999" i="4"/>
  <c r="P1999" i="4"/>
  <c r="S1998" i="4"/>
  <c r="R1998" i="4"/>
  <c r="Q1998" i="4"/>
  <c r="P1998" i="4"/>
  <c r="S1997" i="4"/>
  <c r="R1997" i="4"/>
  <c r="Q1997" i="4"/>
  <c r="P1997" i="4"/>
  <c r="S1996" i="4"/>
  <c r="R1996" i="4"/>
  <c r="Q1996" i="4"/>
  <c r="P1996" i="4"/>
  <c r="S1995" i="4"/>
  <c r="R1995" i="4"/>
  <c r="Q1995" i="4"/>
  <c r="P1995" i="4"/>
  <c r="S1994" i="4"/>
  <c r="R1994" i="4"/>
  <c r="Q1994" i="4"/>
  <c r="P1994" i="4"/>
  <c r="S1993" i="4"/>
  <c r="R1993" i="4"/>
  <c r="Q1993" i="4"/>
  <c r="P1993" i="4"/>
  <c r="S1992" i="4"/>
  <c r="R1992" i="4"/>
  <c r="Q1992" i="4"/>
  <c r="P1992" i="4"/>
  <c r="S1991" i="4"/>
  <c r="R1991" i="4"/>
  <c r="Q1991" i="4"/>
  <c r="P1991" i="4"/>
  <c r="S1990" i="4"/>
  <c r="R1990" i="4"/>
  <c r="Q1990" i="4"/>
  <c r="P1990" i="4"/>
  <c r="S1989" i="4"/>
  <c r="R1989" i="4"/>
  <c r="Q1989" i="4"/>
  <c r="P1989" i="4"/>
  <c r="S1988" i="4"/>
  <c r="R1988" i="4"/>
  <c r="Q1988" i="4"/>
  <c r="P1988" i="4"/>
  <c r="S1987" i="4"/>
  <c r="R1987" i="4"/>
  <c r="Q1987" i="4"/>
  <c r="P1987" i="4"/>
  <c r="S1986" i="4"/>
  <c r="R1986" i="4"/>
  <c r="Q1986" i="4"/>
  <c r="P1986" i="4"/>
  <c r="S1985" i="4"/>
  <c r="R1985" i="4"/>
  <c r="Q1985" i="4"/>
  <c r="P1985" i="4"/>
  <c r="S1984" i="4"/>
  <c r="R1984" i="4"/>
  <c r="Q1984" i="4"/>
  <c r="P1984" i="4"/>
  <c r="S1983" i="4"/>
  <c r="R1983" i="4"/>
  <c r="Q1983" i="4"/>
  <c r="P1983" i="4"/>
  <c r="S1982" i="4"/>
  <c r="R1982" i="4"/>
  <c r="Q1982" i="4"/>
  <c r="P1982" i="4"/>
  <c r="S1981" i="4"/>
  <c r="R1981" i="4"/>
  <c r="Q1981" i="4"/>
  <c r="P1981" i="4"/>
  <c r="S1980" i="4"/>
  <c r="R1980" i="4"/>
  <c r="Q1980" i="4"/>
  <c r="P1980" i="4"/>
  <c r="S1979" i="4"/>
  <c r="R1979" i="4"/>
  <c r="Q1979" i="4"/>
  <c r="P1979" i="4"/>
  <c r="S1978" i="4"/>
  <c r="R1978" i="4"/>
  <c r="Q1978" i="4"/>
  <c r="P1978" i="4"/>
  <c r="S1977" i="4"/>
  <c r="R1977" i="4"/>
  <c r="Q1977" i="4"/>
  <c r="P1977" i="4"/>
  <c r="S1976" i="4"/>
  <c r="R1976" i="4"/>
  <c r="Q1976" i="4"/>
  <c r="P1976" i="4"/>
  <c r="S1975" i="4"/>
  <c r="R1975" i="4"/>
  <c r="Q1975" i="4"/>
  <c r="P1975" i="4"/>
  <c r="S1974" i="4"/>
  <c r="R1974" i="4"/>
  <c r="Q1974" i="4"/>
  <c r="P1974" i="4"/>
  <c r="S1973" i="4"/>
  <c r="R1973" i="4"/>
  <c r="Q1973" i="4"/>
  <c r="P1973" i="4"/>
  <c r="S1972" i="4"/>
  <c r="R1972" i="4"/>
  <c r="Q1972" i="4"/>
  <c r="P1972" i="4"/>
  <c r="S1971" i="4"/>
  <c r="R1971" i="4"/>
  <c r="Q1971" i="4"/>
  <c r="P1971" i="4"/>
  <c r="S1970" i="4"/>
  <c r="R1970" i="4"/>
  <c r="Q1970" i="4"/>
  <c r="P1970" i="4"/>
  <c r="S1969" i="4"/>
  <c r="R1969" i="4"/>
  <c r="Q1969" i="4"/>
  <c r="P1969" i="4"/>
  <c r="S1968" i="4"/>
  <c r="R1968" i="4"/>
  <c r="Q1968" i="4"/>
  <c r="P1968" i="4"/>
  <c r="S1967" i="4"/>
  <c r="R1967" i="4"/>
  <c r="Q1967" i="4"/>
  <c r="P1967" i="4"/>
  <c r="S1966" i="4"/>
  <c r="R1966" i="4"/>
  <c r="Q1966" i="4"/>
  <c r="P1966" i="4"/>
  <c r="S1965" i="4"/>
  <c r="R1965" i="4"/>
  <c r="Q1965" i="4"/>
  <c r="P1965" i="4"/>
  <c r="S1964" i="4"/>
  <c r="R1964" i="4"/>
  <c r="Q1964" i="4"/>
  <c r="P1964" i="4"/>
  <c r="S1963" i="4"/>
  <c r="R1963" i="4"/>
  <c r="Q1963" i="4"/>
  <c r="P1963" i="4"/>
  <c r="S1962" i="4"/>
  <c r="R1962" i="4"/>
  <c r="Q1962" i="4"/>
  <c r="P1962" i="4"/>
  <c r="S1961" i="4"/>
  <c r="R1961" i="4"/>
  <c r="Q1961" i="4"/>
  <c r="P1961" i="4"/>
  <c r="S1960" i="4"/>
  <c r="R1960" i="4"/>
  <c r="Q1960" i="4"/>
  <c r="P1960" i="4"/>
  <c r="S1959" i="4"/>
  <c r="R1959" i="4"/>
  <c r="Q1959" i="4"/>
  <c r="P1959" i="4"/>
  <c r="S1958" i="4"/>
  <c r="R1958" i="4"/>
  <c r="Q1958" i="4"/>
  <c r="P1958" i="4"/>
  <c r="S1957" i="4"/>
  <c r="R1957" i="4"/>
  <c r="Q1957" i="4"/>
  <c r="P1957" i="4"/>
  <c r="S1956" i="4"/>
  <c r="R1956" i="4"/>
  <c r="Q1956" i="4"/>
  <c r="P1956" i="4"/>
  <c r="S1955" i="4"/>
  <c r="R1955" i="4"/>
  <c r="Q1955" i="4"/>
  <c r="P1955" i="4"/>
  <c r="S1954" i="4"/>
  <c r="R1954" i="4"/>
  <c r="Q1954" i="4"/>
  <c r="P1954" i="4"/>
  <c r="Q788" i="4"/>
  <c r="P788" i="4"/>
  <c r="R742" i="4"/>
  <c r="Q742" i="4"/>
  <c r="P742" i="4"/>
  <c r="S740" i="4"/>
  <c r="Q740" i="4"/>
  <c r="P740" i="4"/>
  <c r="S728" i="4"/>
  <c r="Q728" i="4"/>
  <c r="P728" i="4"/>
  <c r="R727" i="4"/>
  <c r="Q727" i="4"/>
  <c r="P727" i="4"/>
  <c r="R707" i="4"/>
  <c r="Q707" i="4"/>
  <c r="P707" i="4"/>
  <c r="S706" i="4"/>
  <c r="Q706" i="4"/>
  <c r="P706" i="4"/>
  <c r="R695" i="4"/>
  <c r="Q695" i="4"/>
  <c r="P695" i="4"/>
  <c r="R685" i="4"/>
  <c r="Q685" i="4"/>
  <c r="P685" i="4"/>
  <c r="R669" i="4"/>
  <c r="Q669" i="4"/>
  <c r="P669" i="4"/>
  <c r="R668" i="4"/>
  <c r="Q668" i="4"/>
  <c r="P668" i="4"/>
  <c r="R746" i="4"/>
  <c r="R738" i="4"/>
  <c r="Q738" i="4"/>
  <c r="P738" i="4"/>
  <c r="R737" i="4"/>
  <c r="Q737" i="4"/>
  <c r="P737" i="4"/>
  <c r="S736" i="4"/>
  <c r="Q736" i="4"/>
  <c r="P736" i="4"/>
  <c r="R725" i="4"/>
  <c r="R724" i="4"/>
  <c r="Q724" i="4"/>
  <c r="P724" i="4"/>
  <c r="S723" i="4"/>
  <c r="Q723" i="4"/>
  <c r="P723" i="4"/>
  <c r="R719" i="4"/>
  <c r="Q719" i="4"/>
  <c r="P719" i="4"/>
  <c r="R714" i="4"/>
  <c r="R711" i="4"/>
  <c r="Q711" i="4"/>
  <c r="P711" i="4"/>
  <c r="S710" i="4"/>
  <c r="R708" i="4"/>
  <c r="S2083" i="4"/>
  <c r="R2083" i="4"/>
  <c r="Q2083" i="4"/>
  <c r="P2083" i="4"/>
  <c r="S2082" i="4"/>
  <c r="R2082" i="4"/>
  <c r="Q2082" i="4"/>
  <c r="P2082" i="4"/>
  <c r="S2081" i="4"/>
  <c r="R2081" i="4"/>
  <c r="Q2081" i="4"/>
  <c r="P2081" i="4"/>
  <c r="S2080" i="4"/>
  <c r="R2080" i="4"/>
  <c r="Q2080" i="4"/>
  <c r="P2080" i="4"/>
  <c r="S2079" i="4"/>
  <c r="R2079" i="4"/>
  <c r="Q2079" i="4"/>
  <c r="P2079" i="4"/>
  <c r="S2078" i="4"/>
  <c r="R2078" i="4"/>
  <c r="Q2078" i="4"/>
  <c r="P2078" i="4"/>
  <c r="S2077" i="4"/>
  <c r="R2077" i="4"/>
  <c r="Q2077" i="4"/>
  <c r="P2077" i="4"/>
  <c r="S2076" i="4"/>
  <c r="R2076" i="4"/>
  <c r="Q2076" i="4"/>
  <c r="P2076" i="4"/>
  <c r="S2075" i="4"/>
  <c r="R2075" i="4"/>
  <c r="Q2075" i="4"/>
  <c r="P2075" i="4"/>
  <c r="S2074" i="4"/>
  <c r="R2074" i="4"/>
  <c r="Q2074" i="4"/>
  <c r="P2074" i="4"/>
  <c r="S2073" i="4"/>
  <c r="R2073" i="4"/>
  <c r="Q2073" i="4"/>
  <c r="P2073" i="4"/>
  <c r="S2072" i="4"/>
  <c r="R2072" i="4"/>
  <c r="Q2072" i="4"/>
  <c r="P2072" i="4"/>
  <c r="S2071" i="4"/>
  <c r="R2071" i="4"/>
  <c r="Q2071" i="4"/>
  <c r="P2071" i="4"/>
  <c r="S2070" i="4"/>
  <c r="R2070" i="4"/>
  <c r="Q2070" i="4"/>
  <c r="P2070" i="4"/>
  <c r="S2069" i="4"/>
  <c r="R2069" i="4"/>
  <c r="Q2069" i="4"/>
  <c r="P2069" i="4"/>
  <c r="S2068" i="4"/>
  <c r="R2068" i="4"/>
  <c r="Q2068" i="4"/>
  <c r="P2068" i="4"/>
  <c r="S2067" i="4"/>
  <c r="R2067" i="4"/>
  <c r="Q2067" i="4"/>
  <c r="P2067" i="4"/>
  <c r="S2066" i="4"/>
  <c r="R2066" i="4"/>
  <c r="Q2066" i="4"/>
  <c r="P2066" i="4"/>
  <c r="S2065" i="4"/>
  <c r="R2065" i="4"/>
  <c r="Q2065" i="4"/>
  <c r="P2065" i="4"/>
  <c r="S2064" i="4"/>
  <c r="R2064" i="4"/>
  <c r="Q2064" i="4"/>
  <c r="P2064" i="4"/>
  <c r="S2063" i="4"/>
  <c r="R2063" i="4"/>
  <c r="Q2063" i="4"/>
  <c r="P2063" i="4"/>
  <c r="S2062" i="4"/>
  <c r="R2062" i="4"/>
  <c r="Q2062" i="4"/>
  <c r="P2062" i="4"/>
  <c r="S2061" i="4"/>
  <c r="R2061" i="4"/>
  <c r="Q2061" i="4"/>
  <c r="P2061" i="4"/>
  <c r="S2060" i="4"/>
  <c r="R2060" i="4"/>
  <c r="Q2060" i="4"/>
  <c r="P2060" i="4"/>
  <c r="S2059" i="4"/>
  <c r="R2059" i="4"/>
  <c r="Q2059" i="4"/>
  <c r="P2059" i="4"/>
  <c r="S2058" i="4"/>
  <c r="R2058" i="4"/>
  <c r="Q2058" i="4"/>
  <c r="P2058" i="4"/>
  <c r="S2057" i="4"/>
  <c r="R2057" i="4"/>
  <c r="Q2057" i="4"/>
  <c r="P2057" i="4"/>
  <c r="S2056" i="4"/>
  <c r="R2056" i="4"/>
  <c r="Q2056" i="4"/>
  <c r="P2056" i="4"/>
  <c r="S2055" i="4"/>
  <c r="R2055" i="4"/>
  <c r="Q2055" i="4"/>
  <c r="P2055" i="4"/>
  <c r="S2054" i="4"/>
  <c r="R2054" i="4"/>
  <c r="Q2054" i="4"/>
  <c r="P2054" i="4"/>
  <c r="S2053" i="4"/>
  <c r="R2053" i="4"/>
  <c r="Q2053" i="4"/>
  <c r="P2053" i="4"/>
  <c r="S2052" i="4"/>
  <c r="R2052" i="4"/>
  <c r="Q2052" i="4"/>
  <c r="P2052" i="4"/>
  <c r="S2051" i="4"/>
  <c r="R2051" i="4"/>
  <c r="Q2051" i="4"/>
  <c r="P2051" i="4"/>
  <c r="S2050" i="4"/>
  <c r="R2050" i="4"/>
  <c r="Q2050" i="4"/>
  <c r="P2050" i="4"/>
  <c r="S2049" i="4"/>
  <c r="R2049" i="4"/>
  <c r="Q2049" i="4"/>
  <c r="P2049" i="4"/>
  <c r="R789" i="4"/>
  <c r="Q789" i="4"/>
  <c r="P789" i="4"/>
  <c r="R787" i="4"/>
  <c r="Q787" i="4"/>
  <c r="P787" i="4"/>
  <c r="R786" i="4"/>
  <c r="Q786" i="4"/>
  <c r="P786" i="4"/>
  <c r="R785" i="4"/>
  <c r="Q785" i="4"/>
  <c r="P785" i="4"/>
  <c r="R784" i="4"/>
  <c r="Q784" i="4"/>
  <c r="P784" i="4"/>
  <c r="R783" i="4"/>
  <c r="Q783" i="4"/>
  <c r="P783" i="4"/>
  <c r="R782" i="4"/>
  <c r="Q782" i="4"/>
  <c r="P782" i="4"/>
  <c r="R781" i="4"/>
  <c r="Q781" i="4"/>
  <c r="P781" i="4"/>
  <c r="R780" i="4"/>
  <c r="Q780" i="4"/>
  <c r="P780" i="4"/>
  <c r="R779" i="4"/>
  <c r="Q779" i="4"/>
  <c r="P779" i="4"/>
  <c r="R778" i="4"/>
  <c r="Q778" i="4"/>
  <c r="P778" i="4"/>
  <c r="R777" i="4"/>
  <c r="Q777" i="4"/>
  <c r="P777" i="4"/>
  <c r="R776" i="4"/>
  <c r="Q776" i="4"/>
  <c r="P776" i="4"/>
  <c r="R766" i="4"/>
  <c r="Q766" i="4"/>
  <c r="P766" i="4"/>
  <c r="R765" i="4"/>
  <c r="Q765" i="4"/>
  <c r="P765" i="4"/>
  <c r="R764" i="4"/>
  <c r="Q764" i="4"/>
  <c r="P764" i="4"/>
  <c r="R763" i="4"/>
  <c r="Q763" i="4"/>
  <c r="P763" i="4"/>
  <c r="R762" i="4"/>
  <c r="Q762" i="4"/>
  <c r="P762" i="4"/>
  <c r="R760" i="4"/>
  <c r="Q760" i="4"/>
  <c r="P760" i="4"/>
  <c r="R759" i="4"/>
  <c r="Q759" i="4"/>
  <c r="P759" i="4"/>
  <c r="R748" i="4"/>
  <c r="Q748" i="4"/>
  <c r="P748" i="4"/>
  <c r="R747" i="4"/>
  <c r="Q747" i="4"/>
  <c r="P747" i="4"/>
  <c r="S746" i="4"/>
  <c r="Q746" i="4"/>
  <c r="P746" i="4"/>
  <c r="R743" i="4"/>
  <c r="Q743" i="4"/>
  <c r="P743" i="4"/>
  <c r="R741" i="4"/>
  <c r="Q741" i="4"/>
  <c r="P741" i="4"/>
  <c r="S739" i="4"/>
  <c r="Q739" i="4"/>
  <c r="P739" i="4"/>
  <c r="R734" i="4"/>
  <c r="Q734" i="4"/>
  <c r="P734" i="4"/>
  <c r="R733" i="4"/>
  <c r="Q733" i="4"/>
  <c r="P733" i="4"/>
  <c r="S732" i="4"/>
  <c r="Q732" i="4"/>
  <c r="P732" i="4"/>
  <c r="R730" i="4"/>
  <c r="Q730" i="4"/>
  <c r="P730" i="4"/>
  <c r="R729" i="4"/>
  <c r="Q729" i="4"/>
  <c r="P729" i="4"/>
  <c r="S725" i="4"/>
  <c r="Q725" i="4"/>
  <c r="P725" i="4"/>
  <c r="R721" i="4"/>
  <c r="Q721" i="4"/>
  <c r="P721" i="4"/>
  <c r="S720" i="4"/>
  <c r="Q720" i="4"/>
  <c r="P720" i="4"/>
  <c r="S718" i="4"/>
  <c r="Q718" i="4"/>
  <c r="P718" i="4"/>
  <c r="S2096" i="4"/>
  <c r="R2096" i="4"/>
  <c r="Q2096" i="4"/>
  <c r="P2096" i="4"/>
  <c r="S2095" i="4"/>
  <c r="R2095" i="4"/>
  <c r="Q2095" i="4"/>
  <c r="P2095" i="4"/>
  <c r="S2094" i="4"/>
  <c r="R2094" i="4"/>
  <c r="Q2094" i="4"/>
  <c r="P2094" i="4"/>
  <c r="S2093" i="4"/>
  <c r="R2093" i="4"/>
  <c r="Q2093" i="4"/>
  <c r="P2093" i="4"/>
  <c r="S2092" i="4"/>
  <c r="R2092" i="4"/>
  <c r="Q2092" i="4"/>
  <c r="P2092" i="4"/>
  <c r="S2091" i="4"/>
  <c r="R2091" i="4"/>
  <c r="Q2091" i="4"/>
  <c r="P2091" i="4"/>
  <c r="S2090" i="4"/>
  <c r="R2090" i="4"/>
  <c r="Q2090" i="4"/>
  <c r="P2090" i="4"/>
  <c r="S2089" i="4"/>
  <c r="R2089" i="4"/>
  <c r="Q2089" i="4"/>
  <c r="P2089" i="4"/>
  <c r="S2088" i="4"/>
  <c r="R2088" i="4"/>
  <c r="Q2088" i="4"/>
  <c r="P2088" i="4"/>
  <c r="S2087" i="4"/>
  <c r="R2087" i="4"/>
  <c r="Q2087" i="4"/>
  <c r="P2087" i="4"/>
  <c r="S2086" i="4"/>
  <c r="R2086" i="4"/>
  <c r="Q2086" i="4"/>
  <c r="P2086" i="4"/>
  <c r="S2085" i="4"/>
  <c r="R2085" i="4"/>
  <c r="Q2085" i="4"/>
  <c r="P2085" i="4"/>
  <c r="S2084" i="4"/>
  <c r="R2084" i="4"/>
  <c r="Q2084" i="4"/>
  <c r="P2084" i="4"/>
  <c r="R603" i="4"/>
  <c r="Q603" i="4"/>
  <c r="P603" i="4"/>
  <c r="S548" i="4"/>
  <c r="Q548" i="4"/>
  <c r="P548" i="4"/>
  <c r="R611" i="4"/>
  <c r="Q611" i="4"/>
  <c r="P611" i="4"/>
  <c r="R610" i="4"/>
  <c r="Q610" i="4"/>
  <c r="P610" i="4"/>
  <c r="R609" i="4"/>
  <c r="Q609" i="4"/>
  <c r="P609" i="4"/>
  <c r="R608" i="4"/>
  <c r="Q608" i="4"/>
  <c r="P608" i="4"/>
  <c r="R607" i="4"/>
  <c r="Q607" i="4"/>
  <c r="P607" i="4"/>
  <c r="R606" i="4"/>
  <c r="Q606" i="4"/>
  <c r="P606" i="4"/>
  <c r="R605" i="4"/>
  <c r="Q605" i="4"/>
  <c r="P605" i="4"/>
  <c r="R604" i="4"/>
  <c r="Q604" i="4"/>
  <c r="P604" i="4"/>
  <c r="R602" i="4"/>
  <c r="Q602" i="4"/>
  <c r="P602" i="4"/>
  <c r="R601" i="4"/>
  <c r="Q601" i="4"/>
  <c r="P601" i="4"/>
  <c r="R600" i="4"/>
  <c r="Q600" i="4"/>
  <c r="P600" i="4"/>
  <c r="R599" i="4"/>
  <c r="Q599" i="4"/>
  <c r="P599" i="4"/>
  <c r="R598" i="4"/>
  <c r="Q598" i="4"/>
  <c r="P598" i="4"/>
  <c r="R597" i="4"/>
  <c r="Q597" i="4"/>
  <c r="P597" i="4"/>
  <c r="R596" i="4"/>
  <c r="Q596" i="4"/>
  <c r="P596" i="4"/>
  <c r="R595" i="4"/>
  <c r="Q595" i="4"/>
  <c r="P595" i="4"/>
  <c r="R594" i="4"/>
  <c r="Q594" i="4"/>
  <c r="P594" i="4"/>
  <c r="R593" i="4"/>
  <c r="Q593" i="4"/>
  <c r="P593" i="4"/>
  <c r="R592" i="4"/>
  <c r="Q592" i="4"/>
  <c r="P592" i="4"/>
  <c r="R591" i="4"/>
  <c r="Q591" i="4"/>
  <c r="P591" i="4"/>
  <c r="R590" i="4"/>
  <c r="Q590" i="4"/>
  <c r="P590" i="4"/>
  <c r="R589" i="4"/>
  <c r="Q589" i="4"/>
  <c r="P589" i="4"/>
  <c r="R588" i="4"/>
  <c r="Q588" i="4"/>
  <c r="P588" i="4"/>
  <c r="R587" i="4"/>
  <c r="Q587" i="4"/>
  <c r="P587" i="4"/>
  <c r="R586" i="4"/>
  <c r="Q586" i="4"/>
  <c r="P586" i="4"/>
  <c r="R585" i="4"/>
  <c r="Q585" i="4"/>
  <c r="P585" i="4"/>
  <c r="R584" i="4"/>
  <c r="Q584" i="4"/>
  <c r="P584" i="4"/>
  <c r="R583" i="4"/>
  <c r="Q583" i="4"/>
  <c r="P583" i="4"/>
  <c r="R573" i="4"/>
  <c r="Q573" i="4"/>
  <c r="P573" i="4"/>
  <c r="R572" i="4"/>
  <c r="Q572" i="4"/>
  <c r="P572" i="4"/>
  <c r="S571" i="4"/>
  <c r="Q571" i="4"/>
  <c r="P571" i="4"/>
  <c r="R569" i="4"/>
  <c r="Q569" i="4"/>
  <c r="P569" i="4"/>
  <c r="R568" i="4"/>
  <c r="Q568" i="4"/>
  <c r="P568" i="4"/>
  <c r="S567" i="4"/>
  <c r="Q567" i="4"/>
  <c r="P567" i="4"/>
  <c r="R560" i="4"/>
  <c r="Q560" i="4"/>
  <c r="P560" i="4"/>
  <c r="R559" i="4"/>
  <c r="Q559" i="4"/>
  <c r="P559" i="4"/>
  <c r="S558" i="4"/>
  <c r="Q558" i="4"/>
  <c r="P558" i="4"/>
  <c r="R557" i="4"/>
  <c r="Q557" i="4"/>
  <c r="P557" i="4"/>
  <c r="R556" i="4"/>
  <c r="Q556" i="4"/>
  <c r="P556" i="4"/>
  <c r="S555" i="4"/>
  <c r="Q555" i="4"/>
  <c r="P555" i="4"/>
  <c r="R551" i="4"/>
  <c r="Q551" i="4"/>
  <c r="P551" i="4"/>
  <c r="S550" i="4"/>
  <c r="Q550" i="4"/>
  <c r="P550" i="4"/>
  <c r="R547" i="4"/>
  <c r="Q547" i="4"/>
  <c r="P547" i="4"/>
  <c r="R546" i="4"/>
  <c r="Q546" i="4"/>
  <c r="P546" i="4"/>
  <c r="R545" i="4"/>
  <c r="Q545" i="4"/>
  <c r="P545" i="4"/>
  <c r="S544" i="4"/>
  <c r="Q544" i="4"/>
  <c r="P544" i="4"/>
  <c r="R543" i="4"/>
  <c r="Q543" i="4"/>
  <c r="P543" i="4"/>
  <c r="S542" i="4"/>
  <c r="Q542" i="4"/>
  <c r="P542" i="4"/>
  <c r="R540" i="4"/>
  <c r="Q540" i="4"/>
  <c r="P540" i="4"/>
  <c r="R539" i="4"/>
  <c r="Q539" i="4"/>
  <c r="P539" i="4"/>
  <c r="S538" i="4"/>
  <c r="Q538" i="4"/>
  <c r="P538" i="4"/>
  <c r="R663" i="4"/>
  <c r="Q663" i="4"/>
  <c r="P663" i="4"/>
  <c r="R654" i="4"/>
  <c r="Q654" i="4"/>
  <c r="P654" i="4"/>
  <c r="R651" i="4"/>
  <c r="Q651" i="4"/>
  <c r="P651" i="4"/>
  <c r="R649" i="4"/>
  <c r="Q649" i="4"/>
  <c r="P649" i="4"/>
  <c r="R648" i="4"/>
  <c r="Q648" i="4"/>
  <c r="P648" i="4"/>
  <c r="S647" i="4"/>
  <c r="Q647" i="4"/>
  <c r="P647" i="4"/>
  <c r="R639" i="4"/>
  <c r="Q639" i="4"/>
  <c r="P639" i="4"/>
  <c r="R638" i="4"/>
  <c r="Q638" i="4"/>
  <c r="P638" i="4"/>
  <c r="R637" i="4"/>
  <c r="Q637" i="4"/>
  <c r="P637" i="4"/>
  <c r="S636" i="4"/>
  <c r="Q636" i="4"/>
  <c r="P636" i="4"/>
  <c r="R632" i="4"/>
  <c r="Q632" i="4"/>
  <c r="P632" i="4"/>
  <c r="S631" i="4"/>
  <c r="Q631" i="4"/>
  <c r="P631" i="4"/>
  <c r="R628" i="4"/>
  <c r="Q628" i="4"/>
  <c r="P628" i="4"/>
  <c r="R627" i="4"/>
  <c r="Q627" i="4"/>
  <c r="P627" i="4"/>
  <c r="R626" i="4"/>
  <c r="Q626" i="4"/>
  <c r="P626" i="4"/>
  <c r="S625" i="4"/>
  <c r="Q625" i="4"/>
  <c r="P625" i="4"/>
  <c r="R624" i="4"/>
  <c r="Q624" i="4"/>
  <c r="P624" i="4"/>
  <c r="S623" i="4"/>
  <c r="Q623" i="4"/>
  <c r="P623" i="4"/>
  <c r="R621" i="4"/>
  <c r="Q621" i="4"/>
  <c r="P621" i="4"/>
  <c r="R518" i="4"/>
  <c r="Q518" i="4"/>
  <c r="P518" i="4"/>
  <c r="R522" i="4"/>
  <c r="Q522" i="4"/>
  <c r="P522" i="4"/>
  <c r="R521" i="4"/>
  <c r="Q521" i="4"/>
  <c r="P521" i="4"/>
  <c r="R520" i="4"/>
  <c r="Q520" i="4"/>
  <c r="P520" i="4"/>
  <c r="R519" i="4"/>
  <c r="Q519" i="4"/>
  <c r="P519" i="4"/>
  <c r="R517" i="4"/>
  <c r="Q517" i="4"/>
  <c r="P517" i="4"/>
  <c r="R516" i="4"/>
  <c r="Q516" i="4"/>
  <c r="P516" i="4"/>
  <c r="R515" i="4"/>
  <c r="Q515" i="4"/>
  <c r="P515" i="4"/>
  <c r="R514" i="4"/>
  <c r="Q514" i="4"/>
  <c r="P514" i="4"/>
  <c r="R513" i="4"/>
  <c r="Q513" i="4"/>
  <c r="P513" i="4"/>
  <c r="R512" i="4"/>
  <c r="Q512" i="4"/>
  <c r="P512" i="4"/>
  <c r="R511" i="4"/>
  <c r="Q511" i="4"/>
  <c r="P511" i="4"/>
  <c r="R510" i="4"/>
  <c r="Q510" i="4"/>
  <c r="P510" i="4"/>
  <c r="R509" i="4"/>
  <c r="Q509" i="4"/>
  <c r="P509" i="4"/>
  <c r="R508" i="4"/>
  <c r="Q508" i="4"/>
  <c r="P508" i="4"/>
  <c r="R507" i="4"/>
  <c r="Q507" i="4"/>
  <c r="P507" i="4"/>
  <c r="R506" i="4"/>
  <c r="Q506" i="4"/>
  <c r="P506" i="4"/>
  <c r="R505" i="4"/>
  <c r="Q505" i="4"/>
  <c r="P505" i="4"/>
  <c r="R504" i="4"/>
  <c r="Q504" i="4"/>
  <c r="P504" i="4"/>
  <c r="R503" i="4"/>
  <c r="Q503" i="4"/>
  <c r="P503" i="4"/>
  <c r="R502" i="4"/>
  <c r="Q502" i="4"/>
  <c r="P502" i="4"/>
  <c r="R501" i="4"/>
  <c r="Q501" i="4"/>
  <c r="P501" i="4"/>
  <c r="R500" i="4"/>
  <c r="Q500" i="4"/>
  <c r="P500" i="4"/>
  <c r="R486" i="4"/>
  <c r="Q486" i="4"/>
  <c r="P486" i="4"/>
  <c r="R485" i="4"/>
  <c r="Q485" i="4"/>
  <c r="P485" i="4"/>
  <c r="S484" i="4"/>
  <c r="Q484" i="4"/>
  <c r="P484" i="4"/>
  <c r="R482" i="4"/>
  <c r="Q482" i="4"/>
  <c r="P482" i="4"/>
  <c r="R481" i="4"/>
  <c r="Q481" i="4"/>
  <c r="P481" i="4"/>
  <c r="S480" i="4"/>
  <c r="Q480" i="4"/>
  <c r="P480" i="4"/>
  <c r="R473" i="4"/>
  <c r="Q473" i="4"/>
  <c r="P473" i="4"/>
  <c r="R472" i="4"/>
  <c r="Q472" i="4"/>
  <c r="P472" i="4"/>
  <c r="S471" i="4"/>
  <c r="Q471" i="4"/>
  <c r="P471" i="4"/>
  <c r="R470" i="4"/>
  <c r="Q470" i="4"/>
  <c r="P470" i="4"/>
  <c r="R469" i="4"/>
  <c r="Q469" i="4"/>
  <c r="P469" i="4"/>
  <c r="S468" i="4"/>
  <c r="Q468" i="4"/>
  <c r="P468" i="4"/>
  <c r="R462" i="4"/>
  <c r="Q462" i="4"/>
  <c r="P462" i="4"/>
  <c r="R461" i="4"/>
  <c r="Q461" i="4"/>
  <c r="P461" i="4"/>
  <c r="S460" i="4"/>
  <c r="Q460" i="4"/>
  <c r="P460" i="4"/>
  <c r="R458" i="4"/>
  <c r="Q458" i="4"/>
  <c r="P458" i="4"/>
  <c r="R457" i="4"/>
  <c r="Q457" i="4"/>
  <c r="P457" i="4"/>
  <c r="R456" i="4"/>
  <c r="Q456" i="4"/>
  <c r="P456" i="4"/>
  <c r="S455" i="4"/>
  <c r="Q455" i="4"/>
  <c r="P455" i="4"/>
  <c r="R454" i="4"/>
  <c r="Q454" i="4"/>
  <c r="P454" i="4"/>
  <c r="S453" i="4"/>
  <c r="Q453" i="4"/>
  <c r="P453" i="4"/>
  <c r="R451" i="4"/>
  <c r="Q451" i="4"/>
  <c r="P451" i="4"/>
  <c r="R450" i="4"/>
  <c r="Q450" i="4"/>
  <c r="P450" i="4"/>
  <c r="S449" i="4"/>
  <c r="Q449" i="4"/>
  <c r="P449" i="4"/>
  <c r="S2098" i="4"/>
  <c r="R2098" i="4"/>
  <c r="Q2098" i="4"/>
  <c r="P2098" i="4"/>
  <c r="S2097" i="4"/>
  <c r="R2097" i="4"/>
  <c r="Q2097" i="4"/>
  <c r="P2097" i="4"/>
  <c r="R775" i="4"/>
  <c r="Q775" i="4"/>
  <c r="P775" i="4"/>
  <c r="R774" i="4"/>
  <c r="Q774" i="4"/>
  <c r="P774" i="4"/>
  <c r="R677" i="4"/>
  <c r="Q677" i="4"/>
  <c r="P677" i="4"/>
  <c r="R676" i="4"/>
  <c r="Q676" i="4"/>
  <c r="P676" i="4"/>
  <c r="R675" i="4"/>
  <c r="Q675" i="4"/>
  <c r="P675" i="4"/>
  <c r="R674" i="4"/>
  <c r="Q674" i="4"/>
  <c r="P674" i="4"/>
  <c r="R673" i="4"/>
  <c r="Q673" i="4"/>
  <c r="P673" i="4"/>
  <c r="R672" i="4"/>
  <c r="Q672" i="4"/>
  <c r="P672" i="4"/>
  <c r="R671" i="4"/>
  <c r="Q671" i="4"/>
  <c r="P671" i="4"/>
  <c r="R670" i="4"/>
  <c r="Q670" i="4"/>
  <c r="P670" i="4"/>
  <c r="R667" i="4"/>
  <c r="Q667" i="4"/>
  <c r="P667" i="4"/>
  <c r="R666" i="4"/>
  <c r="Q666" i="4"/>
  <c r="P666" i="4"/>
  <c r="R665" i="4"/>
  <c r="Q665" i="4"/>
  <c r="P665" i="4"/>
  <c r="R664" i="4"/>
  <c r="Q664" i="4"/>
  <c r="P664" i="4"/>
  <c r="R527" i="4"/>
  <c r="Q527" i="4"/>
  <c r="P527" i="4"/>
  <c r="R526" i="4"/>
  <c r="Q526" i="4"/>
  <c r="P526" i="4"/>
  <c r="R525" i="4"/>
  <c r="Q525" i="4"/>
  <c r="P525" i="4"/>
  <c r="R524" i="4"/>
  <c r="Q524" i="4"/>
  <c r="P524" i="4"/>
  <c r="R523" i="4"/>
  <c r="Q523" i="4"/>
  <c r="P523" i="4"/>
  <c r="R717" i="4"/>
  <c r="Q717" i="4"/>
  <c r="P717" i="4"/>
  <c r="R716" i="4"/>
  <c r="Q716" i="4"/>
  <c r="P716" i="4"/>
  <c r="R715" i="4"/>
  <c r="Q715" i="4"/>
  <c r="P715" i="4"/>
  <c r="S714" i="4"/>
  <c r="Q714" i="4"/>
  <c r="P714" i="4"/>
  <c r="R713" i="4"/>
  <c r="Q713" i="4"/>
  <c r="P713" i="4"/>
  <c r="S712" i="4"/>
  <c r="Q712" i="4"/>
  <c r="P712" i="4"/>
  <c r="R710" i="4"/>
  <c r="Q710" i="4"/>
  <c r="P710" i="4"/>
  <c r="R709" i="4"/>
  <c r="Q709" i="4"/>
  <c r="P709" i="4"/>
  <c r="S708" i="4"/>
  <c r="Q708" i="4"/>
  <c r="P708" i="4"/>
  <c r="R693" i="4"/>
  <c r="Q693" i="4"/>
  <c r="P693" i="4"/>
  <c r="R692" i="4"/>
  <c r="Q692" i="4"/>
  <c r="P692" i="4"/>
  <c r="R691" i="4"/>
  <c r="Q691" i="4"/>
  <c r="P691" i="4"/>
  <c r="R690" i="4"/>
  <c r="Q690" i="4"/>
  <c r="P690" i="4"/>
  <c r="R689" i="4"/>
  <c r="Q689" i="4"/>
  <c r="P689" i="4"/>
  <c r="R688" i="4"/>
  <c r="Q688" i="4"/>
  <c r="P688" i="4"/>
  <c r="R687" i="4"/>
  <c r="Q687" i="4"/>
  <c r="P687" i="4"/>
  <c r="R686" i="4"/>
  <c r="Q686" i="4"/>
  <c r="P686" i="4"/>
  <c r="R684" i="4"/>
  <c r="Q684" i="4"/>
  <c r="P684" i="4"/>
  <c r="R683" i="4"/>
  <c r="Q683" i="4"/>
  <c r="P683" i="4"/>
  <c r="R682" i="4"/>
  <c r="Q682" i="4"/>
  <c r="P682" i="4"/>
  <c r="R680" i="4"/>
  <c r="Q680" i="4"/>
  <c r="P680" i="4"/>
  <c r="R679" i="4"/>
  <c r="Q679" i="4"/>
  <c r="P679" i="4"/>
  <c r="R678" i="4"/>
  <c r="Q678" i="4"/>
  <c r="P678" i="4"/>
  <c r="R439" i="4"/>
  <c r="Q439" i="4"/>
  <c r="P439" i="4"/>
  <c r="R438" i="4"/>
  <c r="Q438" i="4"/>
  <c r="P438" i="4"/>
  <c r="S359" i="4"/>
  <c r="Q359" i="4"/>
  <c r="P359" i="4"/>
  <c r="R376" i="4"/>
  <c r="Q376" i="4"/>
  <c r="P376" i="4"/>
  <c r="R332" i="4"/>
  <c r="Q332" i="4"/>
  <c r="P332" i="4"/>
  <c r="R263" i="4"/>
  <c r="Q263" i="4"/>
  <c r="P263" i="4"/>
  <c r="S230" i="4"/>
  <c r="R230" i="4"/>
  <c r="Q230" i="4"/>
  <c r="P230" i="4"/>
  <c r="S229" i="4"/>
  <c r="R229" i="4"/>
  <c r="Q229" i="4"/>
  <c r="P229" i="4"/>
  <c r="R152" i="4"/>
  <c r="Q152" i="4"/>
  <c r="P152" i="4"/>
  <c r="R162" i="4"/>
  <c r="Q162" i="4"/>
  <c r="P162" i="4"/>
  <c r="R181" i="4"/>
  <c r="Q181" i="4"/>
  <c r="P181" i="4"/>
  <c r="P115" i="4"/>
  <c r="Q115" i="4"/>
  <c r="R115" i="4"/>
  <c r="S106" i="4"/>
  <c r="Q106" i="4"/>
  <c r="P106" i="4"/>
  <c r="R35" i="4"/>
  <c r="Q35" i="4"/>
  <c r="P35" i="4"/>
  <c r="D43" i="18"/>
  <c r="H143" i="15"/>
  <c r="E261" i="13"/>
  <c r="D268" i="13"/>
  <c r="D195" i="13"/>
  <c r="D238" i="13"/>
  <c r="E269" i="13"/>
  <c r="E266" i="13"/>
  <c r="D42" i="13"/>
  <c r="E234" i="13"/>
  <c r="D237" i="13"/>
  <c r="E223" i="13"/>
  <c r="D244" i="13"/>
  <c r="E233" i="13"/>
  <c r="D233" i="13"/>
  <c r="D269" i="13"/>
  <c r="D255" i="13"/>
  <c r="E255" i="13"/>
  <c r="E245" i="13"/>
  <c r="D245" i="13"/>
  <c r="E244" i="13"/>
  <c r="E237" i="13"/>
  <c r="E268" i="13"/>
  <c r="E238" i="13"/>
  <c r="E230" i="13"/>
  <c r="D230" i="13"/>
  <c r="E242" i="13"/>
  <c r="E236" i="13"/>
  <c r="D249" i="13"/>
  <c r="D234" i="13"/>
  <c r="D239" i="13"/>
  <c r="D240" i="13"/>
  <c r="E254" i="13"/>
  <c r="D254" i="13"/>
  <c r="E246" i="13"/>
  <c r="D265" i="13"/>
  <c r="D277" i="13"/>
  <c r="E277" i="13"/>
  <c r="D266" i="13"/>
  <c r="D261" i="13"/>
  <c r="E267" i="13"/>
  <c r="D267" i="13"/>
  <c r="E213" i="13"/>
  <c r="D211" i="13"/>
  <c r="D227" i="13"/>
  <c r="E227" i="13"/>
  <c r="E208" i="13"/>
  <c r="D213" i="13"/>
  <c r="D221" i="13"/>
  <c r="D223" i="13"/>
  <c r="D207" i="13"/>
  <c r="E179" i="13"/>
  <c r="D182" i="13"/>
  <c r="E182" i="13"/>
  <c r="E195" i="13"/>
  <c r="E171" i="13"/>
  <c r="E150" i="13"/>
  <c r="D166" i="13"/>
  <c r="E158" i="13"/>
  <c r="D171" i="13"/>
  <c r="D178" i="13"/>
  <c r="D179" i="13"/>
  <c r="E172" i="13"/>
  <c r="E164" i="13"/>
  <c r="E166" i="13"/>
  <c r="D164" i="13"/>
  <c r="D160" i="13"/>
  <c r="D192" i="13"/>
  <c r="E141" i="13"/>
  <c r="E42" i="13"/>
  <c r="D51" i="13"/>
  <c r="D71" i="13"/>
  <c r="E49" i="13"/>
  <c r="D49" i="13"/>
  <c r="E36" i="13"/>
  <c r="D76" i="13"/>
  <c r="D93" i="13"/>
  <c r="E93" i="13"/>
  <c r="D31" i="13"/>
  <c r="E31" i="13"/>
  <c r="D27" i="13"/>
  <c r="D108" i="13"/>
  <c r="E108" i="13"/>
  <c r="D111" i="13"/>
  <c r="E118" i="13"/>
  <c r="D118" i="13"/>
  <c r="D104" i="13"/>
  <c r="E117" i="13"/>
  <c r="E104" i="13"/>
  <c r="E107" i="13"/>
  <c r="D116" i="13"/>
  <c r="E116" i="13"/>
  <c r="D100" i="13"/>
  <c r="E76" i="13"/>
  <c r="D115" i="13"/>
  <c r="E71" i="13"/>
  <c r="D119" i="13"/>
  <c r="E131" i="13"/>
  <c r="D131" i="13"/>
  <c r="E103" i="13"/>
  <c r="D103" i="13"/>
  <c r="E101" i="13"/>
  <c r="D127" i="13"/>
  <c r="D142" i="13"/>
  <c r="D132" i="13"/>
  <c r="D117" i="13"/>
  <c r="D125" i="13"/>
  <c r="D133" i="13"/>
  <c r="D141" i="13"/>
  <c r="E111" i="13"/>
  <c r="E127" i="13"/>
  <c r="E143" i="13"/>
  <c r="D144" i="13"/>
  <c r="E136" i="13"/>
  <c r="E140" i="13"/>
  <c r="E128" i="13"/>
  <c r="D85" i="13"/>
  <c r="D130" i="13"/>
  <c r="E120" i="13"/>
  <c r="D129" i="13"/>
  <c r="D90" i="13"/>
  <c r="E78" i="13"/>
  <c r="D73" i="13"/>
  <c r="D54" i="13"/>
  <c r="D40" i="13"/>
  <c r="D32" i="13"/>
  <c r="E121" i="13"/>
  <c r="E113" i="13"/>
  <c r="D105" i="13"/>
  <c r="E80" i="13"/>
  <c r="D80" i="13"/>
  <c r="D41" i="13"/>
  <c r="E39" i="13"/>
  <c r="E18" i="13"/>
  <c r="D64" i="13"/>
  <c r="D25" i="13"/>
  <c r="D48" i="13"/>
  <c r="E92" i="13"/>
  <c r="E72" i="13"/>
  <c r="E86" i="13"/>
  <c r="D94" i="13"/>
  <c r="D68" i="13"/>
  <c r="D26" i="13"/>
  <c r="E135" i="13"/>
  <c r="D134" i="13"/>
  <c r="E123" i="13"/>
  <c r="E99" i="13"/>
  <c r="E95" i="13"/>
  <c r="D67" i="13"/>
  <c r="E87" i="13"/>
  <c r="D75" i="13"/>
  <c r="D59" i="13"/>
  <c r="E46" i="13"/>
  <c r="E28" i="13"/>
  <c r="D84" i="13"/>
  <c r="E109" i="13"/>
  <c r="D91" i="13"/>
  <c r="E44" i="13"/>
  <c r="D60" i="13"/>
  <c r="D57" i="13"/>
  <c r="E62" i="13"/>
  <c r="D193" i="13"/>
  <c r="D185" i="13"/>
  <c r="D186" i="13"/>
  <c r="D170" i="13"/>
  <c r="D163" i="13"/>
  <c r="D196" i="13"/>
  <c r="D197" i="13"/>
  <c r="E189" i="13"/>
  <c r="E188" i="13"/>
  <c r="E180" i="13"/>
  <c r="E168" i="13"/>
  <c r="D161" i="13"/>
  <c r="D172" i="13"/>
  <c r="D155" i="13"/>
  <c r="E115" i="13"/>
  <c r="D194" i="13"/>
  <c r="D157" i="13"/>
  <c r="D101" i="13"/>
  <c r="E125" i="13"/>
  <c r="D174" i="13"/>
  <c r="D36" i="13"/>
  <c r="D17" i="13"/>
  <c r="D158" i="13"/>
  <c r="E51" i="13"/>
  <c r="E225" i="13"/>
  <c r="E217" i="13"/>
  <c r="E209" i="13"/>
  <c r="E201" i="13"/>
  <c r="D200" i="13"/>
  <c r="D224" i="13"/>
  <c r="E216" i="13"/>
  <c r="D208" i="13"/>
  <c r="E207" i="13"/>
  <c r="E199" i="13"/>
  <c r="E160" i="13"/>
  <c r="E192" i="13"/>
  <c r="E221" i="13"/>
  <c r="D215" i="13"/>
  <c r="D83" i="13"/>
  <c r="D259" i="13"/>
  <c r="D274" i="13"/>
  <c r="D252" i="13"/>
  <c r="E247" i="13"/>
  <c r="E240" i="13"/>
  <c r="E243" i="13"/>
  <c r="E235" i="13"/>
  <c r="D276" i="13"/>
  <c r="D231" i="13"/>
  <c r="D273" i="13"/>
  <c r="D250" i="13"/>
  <c r="E251" i="13"/>
  <c r="D253" i="13"/>
  <c r="D246" i="13"/>
  <c r="E239" i="13"/>
  <c r="D260" i="13"/>
  <c r="D262" i="13"/>
  <c r="E249" i="13"/>
  <c r="E200" i="13"/>
  <c r="E253" i="13"/>
  <c r="E91" i="13"/>
  <c r="E27" i="13"/>
  <c r="E15" i="13"/>
  <c r="E178" i="13"/>
  <c r="E190" i="13"/>
  <c r="D201" i="13"/>
  <c r="D235" i="13"/>
  <c r="D275" i="13"/>
  <c r="D28" i="13"/>
  <c r="D99" i="13"/>
  <c r="E83" i="13"/>
  <c r="E194" i="13"/>
  <c r="E260" i="13"/>
  <c r="E119" i="13"/>
  <c r="E134" i="13"/>
  <c r="E278" i="13"/>
  <c r="E105" i="13"/>
  <c r="E17" i="13"/>
  <c r="D77" i="13"/>
  <c r="E219" i="13"/>
  <c r="E203" i="13"/>
  <c r="E70" i="13"/>
  <c r="D175" i="13"/>
  <c r="E133" i="13"/>
  <c r="D109" i="13"/>
  <c r="D124" i="13"/>
  <c r="D154" i="13"/>
  <c r="E228" i="13"/>
  <c r="E262" i="13"/>
  <c r="D229" i="13"/>
  <c r="D216" i="13"/>
  <c r="D203" i="13"/>
  <c r="E265" i="13"/>
  <c r="D236" i="13"/>
  <c r="D278" i="13"/>
  <c r="E165" i="13"/>
  <c r="D15" i="13"/>
  <c r="E84" i="13"/>
  <c r="E66" i="13"/>
  <c r="D95" i="13"/>
  <c r="E55" i="13"/>
  <c r="E220" i="13"/>
  <c r="D199" i="13"/>
  <c r="E211" i="13"/>
  <c r="D219" i="13"/>
  <c r="E252" i="13"/>
  <c r="D70" i="13"/>
  <c r="E196" i="13"/>
  <c r="D247" i="13"/>
  <c r="D243" i="13"/>
  <c r="E273" i="13"/>
  <c r="E250" i="13"/>
  <c r="E275" i="13"/>
  <c r="D264" i="13"/>
  <c r="E264" i="13"/>
  <c r="E276" i="13"/>
  <c r="E274" i="13"/>
  <c r="E232" i="13"/>
  <c r="D232" i="13"/>
  <c r="E256" i="13"/>
  <c r="D256" i="13"/>
  <c r="D263" i="13"/>
  <c r="E258" i="13"/>
  <c r="D258" i="13"/>
  <c r="D248" i="13"/>
  <c r="E248" i="13"/>
  <c r="E259" i="13"/>
  <c r="D242" i="13"/>
  <c r="D251" i="13"/>
  <c r="E263" i="13"/>
  <c r="E231" i="13"/>
  <c r="D257" i="13"/>
  <c r="E257" i="13"/>
  <c r="D241" i="13"/>
  <c r="E241" i="13"/>
  <c r="D184" i="13"/>
  <c r="E204" i="13"/>
  <c r="D204" i="13"/>
  <c r="E138" i="13"/>
  <c r="D121" i="13"/>
  <c r="D72" i="13"/>
  <c r="D225" i="13"/>
  <c r="E215" i="13"/>
  <c r="D146" i="13"/>
  <c r="D56" i="13"/>
  <c r="E157" i="13"/>
  <c r="D18" i="13"/>
  <c r="E57" i="13"/>
  <c r="D62" i="13"/>
  <c r="E176" i="13"/>
  <c r="D150" i="13"/>
  <c r="D190" i="13"/>
  <c r="D156" i="13"/>
  <c r="D209" i="13"/>
  <c r="E229" i="13"/>
  <c r="E154" i="13"/>
  <c r="E222" i="13"/>
  <c r="D222" i="13"/>
  <c r="E212" i="13"/>
  <c r="D212" i="13"/>
  <c r="E226" i="13"/>
  <c r="D226" i="13"/>
  <c r="D202" i="13"/>
  <c r="E202" i="13"/>
  <c r="E206" i="13"/>
  <c r="D206" i="13"/>
  <c r="E224" i="13"/>
  <c r="E218" i="13"/>
  <c r="D218" i="13"/>
  <c r="E205" i="13"/>
  <c r="D205" i="13"/>
  <c r="D217" i="13"/>
  <c r="D228" i="13"/>
  <c r="D220" i="13"/>
  <c r="E210" i="13"/>
  <c r="D210" i="13"/>
  <c r="E214" i="13"/>
  <c r="D214" i="13"/>
  <c r="E197" i="13"/>
  <c r="E52" i="13"/>
  <c r="D165" i="13"/>
  <c r="E148" i="13"/>
  <c r="D47" i="13"/>
  <c r="E60" i="13"/>
  <c r="E159" i="13"/>
  <c r="D58" i="13"/>
  <c r="E142" i="13"/>
  <c r="D159" i="13"/>
  <c r="E59" i="13"/>
  <c r="E64" i="13"/>
  <c r="E47" i="13"/>
  <c r="E58" i="13"/>
  <c r="D151" i="13"/>
  <c r="D162" i="13"/>
  <c r="E162" i="13"/>
  <c r="E175" i="13"/>
  <c r="E174" i="13"/>
  <c r="E187" i="13"/>
  <c r="D187" i="13"/>
  <c r="D110" i="13"/>
  <c r="E110" i="13"/>
  <c r="E124" i="13"/>
  <c r="D138" i="13"/>
  <c r="D107" i="13"/>
  <c r="E129" i="13"/>
  <c r="E48" i="13"/>
  <c r="D55" i="13"/>
  <c r="D44" i="13"/>
  <c r="D148" i="13"/>
  <c r="D128" i="13"/>
  <c r="E100" i="13"/>
  <c r="D78" i="13"/>
  <c r="D149" i="13"/>
  <c r="E151" i="13"/>
  <c r="E152" i="13"/>
  <c r="D152" i="13"/>
  <c r="D183" i="13"/>
  <c r="E163" i="13"/>
  <c r="D167" i="13"/>
  <c r="D191" i="13"/>
  <c r="E167" i="13"/>
  <c r="D189" i="13"/>
  <c r="D181" i="13"/>
  <c r="E181" i="13"/>
  <c r="E156" i="13"/>
  <c r="E155" i="13"/>
  <c r="D176" i="13"/>
  <c r="E185" i="13"/>
  <c r="E177" i="13"/>
  <c r="D177" i="13"/>
  <c r="E183" i="13"/>
  <c r="E184" i="13"/>
  <c r="E170" i="13"/>
  <c r="E186" i="13"/>
  <c r="E191" i="13"/>
  <c r="E173" i="13"/>
  <c r="D173" i="13"/>
  <c r="E153" i="13"/>
  <c r="D153" i="13"/>
  <c r="E169" i="13"/>
  <c r="D169" i="13"/>
  <c r="D180" i="13"/>
  <c r="D168" i="13"/>
  <c r="E149" i="13"/>
  <c r="D198" i="13"/>
  <c r="E198" i="13"/>
  <c r="E193" i="13"/>
  <c r="D188" i="13"/>
  <c r="E161" i="13"/>
  <c r="E38" i="13"/>
  <c r="E102" i="13"/>
  <c r="D102" i="13"/>
  <c r="E37" i="13"/>
  <c r="D37" i="13"/>
  <c r="D79" i="13"/>
  <c r="D112" i="13"/>
  <c r="D22" i="13"/>
  <c r="D34" i="13"/>
  <c r="E34" i="13"/>
  <c r="E19" i="13"/>
  <c r="E24" i="13"/>
  <c r="D35" i="13"/>
  <c r="D24" i="13"/>
  <c r="E126" i="13"/>
  <c r="E26" i="13"/>
  <c r="D89" i="13"/>
  <c r="E79" i="13"/>
  <c r="E145" i="13"/>
  <c r="D87" i="13"/>
  <c r="D69" i="13"/>
  <c r="E68" i="13"/>
  <c r="D145" i="13"/>
  <c r="D96" i="13"/>
  <c r="D63" i="13"/>
  <c r="E16" i="13"/>
  <c r="E35" i="13"/>
  <c r="E30" i="13"/>
  <c r="E69" i="13"/>
  <c r="D143" i="13"/>
  <c r="D123" i="13"/>
  <c r="E21" i="13"/>
  <c r="D21" i="13"/>
  <c r="D52" i="13"/>
  <c r="D147" i="13"/>
  <c r="E132" i="13"/>
  <c r="D120" i="13"/>
  <c r="E89" i="13"/>
  <c r="E96" i="13"/>
  <c r="D65" i="13"/>
  <c r="E65" i="13"/>
  <c r="E97" i="13"/>
  <c r="E67" i="13"/>
  <c r="E75" i="13"/>
  <c r="E29" i="13"/>
  <c r="D29" i="13"/>
  <c r="E63" i="13"/>
  <c r="D38" i="13"/>
  <c r="D139" i="13"/>
  <c r="E139" i="13"/>
  <c r="D50" i="13"/>
  <c r="E50" i="13"/>
  <c r="E147" i="13"/>
  <c r="D126" i="13"/>
  <c r="D46" i="13"/>
  <c r="D86" i="13"/>
  <c r="D135" i="13"/>
  <c r="D97" i="13"/>
  <c r="D20" i="13"/>
  <c r="E20" i="13"/>
  <c r="E41" i="13"/>
  <c r="E106" i="13"/>
  <c r="D106" i="13"/>
  <c r="E146" i="13"/>
  <c r="D113" i="13"/>
  <c r="D39" i="13"/>
  <c r="D92" i="13"/>
  <c r="E94" i="13"/>
  <c r="D88" i="13"/>
  <c r="E144" i="13"/>
  <c r="E130" i="13"/>
  <c r="D140" i="13"/>
  <c r="E54" i="13"/>
  <c r="E22" i="13"/>
  <c r="E14" i="13"/>
  <c r="D43" i="13"/>
  <c r="D30" i="13"/>
  <c r="E40" i="13"/>
  <c r="D81" i="13"/>
  <c r="D19" i="13"/>
  <c r="E43" i="13"/>
  <c r="E33" i="13"/>
  <c r="E56" i="13"/>
  <c r="E137" i="13"/>
  <c r="D122" i="13"/>
  <c r="E122" i="13"/>
  <c r="E112" i="13"/>
  <c r="E88" i="13"/>
  <c r="E23" i="13"/>
  <c r="D23" i="13"/>
  <c r="E82" i="13"/>
  <c r="D82" i="13"/>
  <c r="E73" i="13"/>
  <c r="D45" i="13"/>
  <c r="E45" i="13"/>
  <c r="E32" i="13"/>
  <c r="D33" i="13"/>
  <c r="E77" i="13"/>
  <c r="E25" i="13"/>
  <c r="D114" i="13"/>
  <c r="E114" i="13"/>
  <c r="D137" i="13"/>
  <c r="D136" i="13"/>
  <c r="E85" i="13"/>
  <c r="E90" i="13"/>
  <c r="E81" i="13"/>
  <c r="D61" i="13"/>
  <c r="E61" i="13"/>
  <c r="D66" i="13"/>
  <c r="D14" i="13"/>
  <c r="D16" i="13"/>
  <c r="E53" i="13"/>
  <c r="D53" i="13"/>
  <c r="D13" i="18"/>
  <c r="D14" i="18"/>
  <c r="D15" i="18"/>
  <c r="B12" i="14"/>
  <c r="B12" i="18" s="1"/>
  <c r="S8" i="18"/>
  <c r="B26" i="24"/>
  <c r="B38" i="24"/>
  <c r="B46" i="24"/>
  <c r="B54" i="24"/>
  <c r="B55" i="24"/>
  <c r="B50" i="24"/>
  <c r="B36" i="24"/>
  <c r="B52" i="24"/>
  <c r="B76" i="24"/>
  <c r="B29" i="24"/>
  <c r="B37" i="24"/>
  <c r="B45" i="24"/>
  <c r="B53" i="24"/>
  <c r="B30" i="24"/>
  <c r="B31" i="24"/>
  <c r="B39" i="24"/>
  <c r="B47" i="24"/>
  <c r="B32" i="24"/>
  <c r="B40" i="24"/>
  <c r="B48" i="24"/>
  <c r="B57" i="24"/>
  <c r="B25" i="24"/>
  <c r="B33" i="24"/>
  <c r="B41" i="24"/>
  <c r="B49" i="24"/>
  <c r="B58" i="24"/>
  <c r="B34" i="24"/>
  <c r="B27" i="24"/>
  <c r="B35" i="24"/>
  <c r="B43" i="24"/>
  <c r="B51" i="24"/>
  <c r="B60" i="24"/>
  <c r="B59" i="24"/>
  <c r="B44" i="24"/>
  <c r="B42" i="24"/>
  <c r="B17" i="24"/>
  <c r="B18" i="24"/>
  <c r="B19" i="24"/>
  <c r="B20" i="24"/>
  <c r="B16" i="24"/>
  <c r="B11" i="22"/>
  <c r="B11" i="24"/>
  <c r="B10" i="21"/>
  <c r="B13" i="24"/>
  <c r="B11" i="12"/>
  <c r="D37" i="18"/>
  <c r="C12" i="13"/>
  <c r="C13" i="13"/>
  <c r="T1063" i="4" l="1"/>
  <c r="U1063" i="4" s="1"/>
  <c r="W1063" i="4"/>
  <c r="V1063" i="4"/>
  <c r="T259" i="4"/>
  <c r="U259" i="4" s="1"/>
  <c r="W259" i="4"/>
  <c r="V259" i="4"/>
  <c r="T260" i="4"/>
  <c r="U260" i="4" s="1"/>
  <c r="W260" i="4"/>
  <c r="V260" i="4"/>
  <c r="T681" i="4"/>
  <c r="U681" i="4" s="1"/>
  <c r="W681" i="4"/>
  <c r="V681" i="4"/>
  <c r="T353" i="4"/>
  <c r="U353" i="4" s="1"/>
  <c r="W353" i="4"/>
  <c r="V353" i="4"/>
  <c r="T440" i="4"/>
  <c r="U440" i="4" s="1"/>
  <c r="W440" i="4"/>
  <c r="V440" i="4"/>
  <c r="T529" i="4"/>
  <c r="U529" i="4" s="1"/>
  <c r="W529" i="4"/>
  <c r="V529" i="4"/>
  <c r="T612" i="4"/>
  <c r="U612" i="4" s="1"/>
  <c r="W612" i="4"/>
  <c r="V612" i="4"/>
  <c r="T696" i="4"/>
  <c r="U696" i="4" s="1"/>
  <c r="W696" i="4"/>
  <c r="V696" i="4"/>
  <c r="T1068" i="4"/>
  <c r="U1068" i="4" s="1"/>
  <c r="W1068" i="4"/>
  <c r="V1068" i="4"/>
  <c r="T1069" i="4"/>
  <c r="U1069" i="4" s="1"/>
  <c r="W1069" i="4"/>
  <c r="V1069" i="4"/>
  <c r="V1057" i="4"/>
  <c r="W1057" i="4"/>
  <c r="T1057" i="4"/>
  <c r="U1057" i="4" s="1"/>
  <c r="V1058" i="4"/>
  <c r="W1058" i="4"/>
  <c r="V1059" i="4"/>
  <c r="W1059" i="4"/>
  <c r="V1060" i="4"/>
  <c r="W1060" i="4"/>
  <c r="T35" i="4"/>
  <c r="U35" i="4" s="1"/>
  <c r="W35" i="4"/>
  <c r="V35" i="4"/>
  <c r="T115" i="4"/>
  <c r="U115" i="4" s="1"/>
  <c r="V115" i="4"/>
  <c r="W115" i="4"/>
  <c r="T181" i="4"/>
  <c r="U181" i="4" s="1"/>
  <c r="W181" i="4"/>
  <c r="V181" i="4"/>
  <c r="T162" i="4"/>
  <c r="U162" i="4" s="1"/>
  <c r="W162" i="4"/>
  <c r="V162" i="4"/>
  <c r="T152" i="4"/>
  <c r="U152" i="4" s="1"/>
  <c r="W152" i="4"/>
  <c r="V152" i="4"/>
  <c r="T229" i="4"/>
  <c r="U229" i="4" s="1"/>
  <c r="W229" i="4"/>
  <c r="V229" i="4"/>
  <c r="T230" i="4"/>
  <c r="U230" i="4" s="1"/>
  <c r="W230" i="4"/>
  <c r="V230" i="4"/>
  <c r="T263" i="4"/>
  <c r="U263" i="4" s="1"/>
  <c r="W263" i="4"/>
  <c r="V263" i="4"/>
  <c r="T332" i="4"/>
  <c r="U332" i="4" s="1"/>
  <c r="W332" i="4"/>
  <c r="V332" i="4"/>
  <c r="T376" i="4"/>
  <c r="U376" i="4" s="1"/>
  <c r="W376" i="4"/>
  <c r="V376" i="4"/>
  <c r="T438" i="4"/>
  <c r="U438" i="4" s="1"/>
  <c r="W438" i="4"/>
  <c r="V438" i="4"/>
  <c r="T439" i="4"/>
  <c r="U439" i="4" s="1"/>
  <c r="W439" i="4"/>
  <c r="V439" i="4"/>
  <c r="T678" i="4"/>
  <c r="U678" i="4" s="1"/>
  <c r="W678" i="4"/>
  <c r="V678" i="4"/>
  <c r="T679" i="4"/>
  <c r="U679" i="4" s="1"/>
  <c r="W679" i="4"/>
  <c r="V679" i="4"/>
  <c r="T680" i="4"/>
  <c r="U680" i="4" s="1"/>
  <c r="W680" i="4"/>
  <c r="V680" i="4"/>
  <c r="T682" i="4"/>
  <c r="U682" i="4" s="1"/>
  <c r="W682" i="4"/>
  <c r="V682" i="4"/>
  <c r="T683" i="4"/>
  <c r="U683" i="4" s="1"/>
  <c r="W683" i="4"/>
  <c r="V683" i="4"/>
  <c r="T684" i="4"/>
  <c r="U684" i="4" s="1"/>
  <c r="W684" i="4"/>
  <c r="V684" i="4"/>
  <c r="T686" i="4"/>
  <c r="U686" i="4" s="1"/>
  <c r="W686" i="4"/>
  <c r="V686" i="4"/>
  <c r="T687" i="4"/>
  <c r="U687" i="4" s="1"/>
  <c r="W687" i="4"/>
  <c r="V687" i="4"/>
  <c r="T688" i="4"/>
  <c r="U688" i="4" s="1"/>
  <c r="W688" i="4"/>
  <c r="V688" i="4"/>
  <c r="T689" i="4"/>
  <c r="U689" i="4" s="1"/>
  <c r="W689" i="4"/>
  <c r="V689" i="4"/>
  <c r="T690" i="4"/>
  <c r="U690" i="4" s="1"/>
  <c r="W690" i="4"/>
  <c r="V690" i="4"/>
  <c r="T691" i="4"/>
  <c r="U691" i="4" s="1"/>
  <c r="W691" i="4"/>
  <c r="V691" i="4"/>
  <c r="T692" i="4"/>
  <c r="U692" i="4" s="1"/>
  <c r="W692" i="4"/>
  <c r="V692" i="4"/>
  <c r="T693" i="4"/>
  <c r="U693" i="4" s="1"/>
  <c r="W693" i="4"/>
  <c r="V693" i="4"/>
  <c r="T709" i="4"/>
  <c r="U709" i="4" s="1"/>
  <c r="W709" i="4"/>
  <c r="V709" i="4"/>
  <c r="T710" i="4"/>
  <c r="U710" i="4" s="1"/>
  <c r="W710" i="4"/>
  <c r="V710" i="4"/>
  <c r="T713" i="4"/>
  <c r="U713" i="4" s="1"/>
  <c r="W713" i="4"/>
  <c r="V713" i="4"/>
  <c r="T715" i="4"/>
  <c r="U715" i="4" s="1"/>
  <c r="W715" i="4"/>
  <c r="V715" i="4"/>
  <c r="T716" i="4"/>
  <c r="U716" i="4" s="1"/>
  <c r="W716" i="4"/>
  <c r="V716" i="4"/>
  <c r="T717" i="4"/>
  <c r="U717" i="4" s="1"/>
  <c r="W717" i="4"/>
  <c r="V717" i="4"/>
  <c r="T523" i="4"/>
  <c r="U523" i="4" s="1"/>
  <c r="W523" i="4"/>
  <c r="V523" i="4"/>
  <c r="T524" i="4"/>
  <c r="U524" i="4" s="1"/>
  <c r="W524" i="4"/>
  <c r="V524" i="4"/>
  <c r="T525" i="4"/>
  <c r="U525" i="4" s="1"/>
  <c r="W525" i="4"/>
  <c r="V525" i="4"/>
  <c r="T526" i="4"/>
  <c r="U526" i="4" s="1"/>
  <c r="W526" i="4"/>
  <c r="V526" i="4"/>
  <c r="T527" i="4"/>
  <c r="U527" i="4" s="1"/>
  <c r="W527" i="4"/>
  <c r="V527" i="4"/>
  <c r="T664" i="4"/>
  <c r="U664" i="4" s="1"/>
  <c r="W664" i="4"/>
  <c r="V664" i="4"/>
  <c r="T665" i="4"/>
  <c r="U665" i="4" s="1"/>
  <c r="W665" i="4"/>
  <c r="V665" i="4"/>
  <c r="T666" i="4"/>
  <c r="U666" i="4" s="1"/>
  <c r="W666" i="4"/>
  <c r="V666" i="4"/>
  <c r="T667" i="4"/>
  <c r="U667" i="4" s="1"/>
  <c r="W667" i="4"/>
  <c r="V667" i="4"/>
  <c r="T670" i="4"/>
  <c r="U670" i="4" s="1"/>
  <c r="W670" i="4"/>
  <c r="V670" i="4"/>
  <c r="T671" i="4"/>
  <c r="U671" i="4" s="1"/>
  <c r="W671" i="4"/>
  <c r="V671" i="4"/>
  <c r="T672" i="4"/>
  <c r="U672" i="4" s="1"/>
  <c r="W672" i="4"/>
  <c r="V672" i="4"/>
  <c r="T673" i="4"/>
  <c r="U673" i="4" s="1"/>
  <c r="W673" i="4"/>
  <c r="V673" i="4"/>
  <c r="T674" i="4"/>
  <c r="U674" i="4" s="1"/>
  <c r="W674" i="4"/>
  <c r="V674" i="4"/>
  <c r="T675" i="4"/>
  <c r="U675" i="4" s="1"/>
  <c r="W675" i="4"/>
  <c r="V675" i="4"/>
  <c r="T676" i="4"/>
  <c r="U676" i="4" s="1"/>
  <c r="W676" i="4"/>
  <c r="V676" i="4"/>
  <c r="T677" i="4"/>
  <c r="U677" i="4" s="1"/>
  <c r="W677" i="4"/>
  <c r="V677" i="4"/>
  <c r="T774" i="4"/>
  <c r="U774" i="4" s="1"/>
  <c r="W774" i="4"/>
  <c r="V774" i="4"/>
  <c r="T775" i="4"/>
  <c r="U775" i="4" s="1"/>
  <c r="W775" i="4"/>
  <c r="V775" i="4"/>
  <c r="T2097" i="4"/>
  <c r="U2097" i="4" s="1"/>
  <c r="W2097" i="4"/>
  <c r="V2097" i="4"/>
  <c r="T2098" i="4"/>
  <c r="U2098" i="4" s="1"/>
  <c r="W2098" i="4"/>
  <c r="V2098" i="4"/>
  <c r="T450" i="4"/>
  <c r="U450" i="4" s="1"/>
  <c r="W450" i="4"/>
  <c r="V450" i="4"/>
  <c r="T451" i="4"/>
  <c r="U451" i="4" s="1"/>
  <c r="W451" i="4"/>
  <c r="V451" i="4"/>
  <c r="T454" i="4"/>
  <c r="U454" i="4" s="1"/>
  <c r="W454" i="4"/>
  <c r="V454" i="4"/>
  <c r="T456" i="4"/>
  <c r="U456" i="4" s="1"/>
  <c r="W456" i="4"/>
  <c r="V456" i="4"/>
  <c r="T457" i="4"/>
  <c r="U457" i="4" s="1"/>
  <c r="W457" i="4"/>
  <c r="V457" i="4"/>
  <c r="T458" i="4"/>
  <c r="U458" i="4" s="1"/>
  <c r="W458" i="4"/>
  <c r="V458" i="4"/>
  <c r="T461" i="4"/>
  <c r="U461" i="4" s="1"/>
  <c r="W461" i="4"/>
  <c r="V461" i="4"/>
  <c r="T462" i="4"/>
  <c r="U462" i="4" s="1"/>
  <c r="W462" i="4"/>
  <c r="V462" i="4"/>
  <c r="T469" i="4"/>
  <c r="U469" i="4" s="1"/>
  <c r="W469" i="4"/>
  <c r="V469" i="4"/>
  <c r="T470" i="4"/>
  <c r="U470" i="4" s="1"/>
  <c r="W470" i="4"/>
  <c r="V470" i="4"/>
  <c r="T472" i="4"/>
  <c r="U472" i="4" s="1"/>
  <c r="W472" i="4"/>
  <c r="V472" i="4"/>
  <c r="T473" i="4"/>
  <c r="U473" i="4" s="1"/>
  <c r="W473" i="4"/>
  <c r="V473" i="4"/>
  <c r="T481" i="4"/>
  <c r="U481" i="4" s="1"/>
  <c r="W481" i="4"/>
  <c r="V481" i="4"/>
  <c r="T482" i="4"/>
  <c r="U482" i="4" s="1"/>
  <c r="W482" i="4"/>
  <c r="V482" i="4"/>
  <c r="T485" i="4"/>
  <c r="U485" i="4" s="1"/>
  <c r="W485" i="4"/>
  <c r="V485" i="4"/>
  <c r="T486" i="4"/>
  <c r="U486" i="4" s="1"/>
  <c r="W486" i="4"/>
  <c r="V486" i="4"/>
  <c r="T500" i="4"/>
  <c r="U500" i="4" s="1"/>
  <c r="W500" i="4"/>
  <c r="V500" i="4"/>
  <c r="T501" i="4"/>
  <c r="U501" i="4" s="1"/>
  <c r="W501" i="4"/>
  <c r="V501" i="4"/>
  <c r="T502" i="4"/>
  <c r="U502" i="4" s="1"/>
  <c r="W502" i="4"/>
  <c r="V502" i="4"/>
  <c r="T503" i="4"/>
  <c r="U503" i="4" s="1"/>
  <c r="W503" i="4"/>
  <c r="V503" i="4"/>
  <c r="T504" i="4"/>
  <c r="U504" i="4" s="1"/>
  <c r="W504" i="4"/>
  <c r="V504" i="4"/>
  <c r="T505" i="4"/>
  <c r="U505" i="4" s="1"/>
  <c r="W505" i="4"/>
  <c r="V505" i="4"/>
  <c r="T506" i="4"/>
  <c r="U506" i="4" s="1"/>
  <c r="W506" i="4"/>
  <c r="V506" i="4"/>
  <c r="T507" i="4"/>
  <c r="U507" i="4" s="1"/>
  <c r="W507" i="4"/>
  <c r="V507" i="4"/>
  <c r="T508" i="4"/>
  <c r="U508" i="4" s="1"/>
  <c r="W508" i="4"/>
  <c r="V508" i="4"/>
  <c r="T509" i="4"/>
  <c r="U509" i="4" s="1"/>
  <c r="W509" i="4"/>
  <c r="V509" i="4"/>
  <c r="T510" i="4"/>
  <c r="U510" i="4" s="1"/>
  <c r="W510" i="4"/>
  <c r="V510" i="4"/>
  <c r="T511" i="4"/>
  <c r="U511" i="4" s="1"/>
  <c r="W511" i="4"/>
  <c r="V511" i="4"/>
  <c r="T512" i="4"/>
  <c r="U512" i="4" s="1"/>
  <c r="W512" i="4"/>
  <c r="V512" i="4"/>
  <c r="T513" i="4"/>
  <c r="U513" i="4" s="1"/>
  <c r="W513" i="4"/>
  <c r="V513" i="4"/>
  <c r="T514" i="4"/>
  <c r="U514" i="4" s="1"/>
  <c r="W514" i="4"/>
  <c r="V514" i="4"/>
  <c r="T515" i="4"/>
  <c r="U515" i="4" s="1"/>
  <c r="W515" i="4"/>
  <c r="V515" i="4"/>
  <c r="T516" i="4"/>
  <c r="U516" i="4" s="1"/>
  <c r="W516" i="4"/>
  <c r="V516" i="4"/>
  <c r="T517" i="4"/>
  <c r="U517" i="4" s="1"/>
  <c r="W517" i="4"/>
  <c r="V517" i="4"/>
  <c r="T519" i="4"/>
  <c r="U519" i="4" s="1"/>
  <c r="W519" i="4"/>
  <c r="V519" i="4"/>
  <c r="T520" i="4"/>
  <c r="U520" i="4" s="1"/>
  <c r="W520" i="4"/>
  <c r="V520" i="4"/>
  <c r="T521" i="4"/>
  <c r="U521" i="4" s="1"/>
  <c r="W521" i="4"/>
  <c r="V521" i="4"/>
  <c r="T522" i="4"/>
  <c r="U522" i="4" s="1"/>
  <c r="W522" i="4"/>
  <c r="V522" i="4"/>
  <c r="T518" i="4"/>
  <c r="U518" i="4" s="1"/>
  <c r="W518" i="4"/>
  <c r="V518" i="4"/>
  <c r="T621" i="4"/>
  <c r="U621" i="4" s="1"/>
  <c r="W621" i="4"/>
  <c r="V621" i="4"/>
  <c r="T624" i="4"/>
  <c r="U624" i="4" s="1"/>
  <c r="W624" i="4"/>
  <c r="V624" i="4"/>
  <c r="T626" i="4"/>
  <c r="U626" i="4" s="1"/>
  <c r="W626" i="4"/>
  <c r="V626" i="4"/>
  <c r="T627" i="4"/>
  <c r="U627" i="4" s="1"/>
  <c r="W627" i="4"/>
  <c r="V627" i="4"/>
  <c r="T628" i="4"/>
  <c r="U628" i="4" s="1"/>
  <c r="W628" i="4"/>
  <c r="V628" i="4"/>
  <c r="T632" i="4"/>
  <c r="U632" i="4" s="1"/>
  <c r="W632" i="4"/>
  <c r="V632" i="4"/>
  <c r="T637" i="4"/>
  <c r="U637" i="4" s="1"/>
  <c r="W637" i="4"/>
  <c r="V637" i="4"/>
  <c r="T638" i="4"/>
  <c r="U638" i="4" s="1"/>
  <c r="W638" i="4"/>
  <c r="V638" i="4"/>
  <c r="T639" i="4"/>
  <c r="U639" i="4" s="1"/>
  <c r="W639" i="4"/>
  <c r="V639" i="4"/>
  <c r="T648" i="4"/>
  <c r="U648" i="4" s="1"/>
  <c r="W648" i="4"/>
  <c r="V648" i="4"/>
  <c r="T649" i="4"/>
  <c r="U649" i="4" s="1"/>
  <c r="W649" i="4"/>
  <c r="V649" i="4"/>
  <c r="T651" i="4"/>
  <c r="U651" i="4" s="1"/>
  <c r="W651" i="4"/>
  <c r="V651" i="4"/>
  <c r="T654" i="4"/>
  <c r="U654" i="4" s="1"/>
  <c r="W654" i="4"/>
  <c r="V654" i="4"/>
  <c r="T663" i="4"/>
  <c r="U663" i="4" s="1"/>
  <c r="W663" i="4"/>
  <c r="V663" i="4"/>
  <c r="T539" i="4"/>
  <c r="U539" i="4" s="1"/>
  <c r="W539" i="4"/>
  <c r="V539" i="4"/>
  <c r="T540" i="4"/>
  <c r="U540" i="4" s="1"/>
  <c r="W540" i="4"/>
  <c r="V540" i="4"/>
  <c r="T543" i="4"/>
  <c r="U543" i="4" s="1"/>
  <c r="W543" i="4"/>
  <c r="V543" i="4"/>
  <c r="T545" i="4"/>
  <c r="U545" i="4" s="1"/>
  <c r="W545" i="4"/>
  <c r="V545" i="4"/>
  <c r="T546" i="4"/>
  <c r="U546" i="4" s="1"/>
  <c r="W546" i="4"/>
  <c r="V546" i="4"/>
  <c r="T547" i="4"/>
  <c r="U547" i="4" s="1"/>
  <c r="W547" i="4"/>
  <c r="V547" i="4"/>
  <c r="T551" i="4"/>
  <c r="U551" i="4" s="1"/>
  <c r="W551" i="4"/>
  <c r="V551" i="4"/>
  <c r="T556" i="4"/>
  <c r="U556" i="4" s="1"/>
  <c r="W556" i="4"/>
  <c r="V556" i="4"/>
  <c r="T557" i="4"/>
  <c r="U557" i="4" s="1"/>
  <c r="W557" i="4"/>
  <c r="V557" i="4"/>
  <c r="T559" i="4"/>
  <c r="U559" i="4" s="1"/>
  <c r="W559" i="4"/>
  <c r="V559" i="4"/>
  <c r="T560" i="4"/>
  <c r="U560" i="4" s="1"/>
  <c r="W560" i="4"/>
  <c r="V560" i="4"/>
  <c r="T568" i="4"/>
  <c r="U568" i="4" s="1"/>
  <c r="W568" i="4"/>
  <c r="V568" i="4"/>
  <c r="T569" i="4"/>
  <c r="U569" i="4" s="1"/>
  <c r="W569" i="4"/>
  <c r="V569" i="4"/>
  <c r="T572" i="4"/>
  <c r="U572" i="4" s="1"/>
  <c r="W572" i="4"/>
  <c r="V572" i="4"/>
  <c r="T573" i="4"/>
  <c r="U573" i="4" s="1"/>
  <c r="W573" i="4"/>
  <c r="V573" i="4"/>
  <c r="T583" i="4"/>
  <c r="U583" i="4" s="1"/>
  <c r="W583" i="4"/>
  <c r="V583" i="4"/>
  <c r="T584" i="4"/>
  <c r="U584" i="4" s="1"/>
  <c r="W584" i="4"/>
  <c r="V584" i="4"/>
  <c r="T585" i="4"/>
  <c r="U585" i="4" s="1"/>
  <c r="W585" i="4"/>
  <c r="V585" i="4"/>
  <c r="T586" i="4"/>
  <c r="U586" i="4" s="1"/>
  <c r="W586" i="4"/>
  <c r="V586" i="4"/>
  <c r="T587" i="4"/>
  <c r="U587" i="4" s="1"/>
  <c r="W587" i="4"/>
  <c r="V587" i="4"/>
  <c r="T588" i="4"/>
  <c r="U588" i="4" s="1"/>
  <c r="W588" i="4"/>
  <c r="V588" i="4"/>
  <c r="T589" i="4"/>
  <c r="U589" i="4" s="1"/>
  <c r="W589" i="4"/>
  <c r="V589" i="4"/>
  <c r="T590" i="4"/>
  <c r="U590" i="4" s="1"/>
  <c r="W590" i="4"/>
  <c r="V590" i="4"/>
  <c r="T591" i="4"/>
  <c r="U591" i="4" s="1"/>
  <c r="W591" i="4"/>
  <c r="V591" i="4"/>
  <c r="T592" i="4"/>
  <c r="U592" i="4" s="1"/>
  <c r="W592" i="4"/>
  <c r="V592" i="4"/>
  <c r="T593" i="4"/>
  <c r="U593" i="4" s="1"/>
  <c r="W593" i="4"/>
  <c r="V593" i="4"/>
  <c r="T594" i="4"/>
  <c r="U594" i="4" s="1"/>
  <c r="W594" i="4"/>
  <c r="V594" i="4"/>
  <c r="T595" i="4"/>
  <c r="U595" i="4" s="1"/>
  <c r="W595" i="4"/>
  <c r="V595" i="4"/>
  <c r="T596" i="4"/>
  <c r="U596" i="4" s="1"/>
  <c r="W596" i="4"/>
  <c r="V596" i="4"/>
  <c r="T597" i="4"/>
  <c r="U597" i="4" s="1"/>
  <c r="W597" i="4"/>
  <c r="V597" i="4"/>
  <c r="T598" i="4"/>
  <c r="U598" i="4" s="1"/>
  <c r="W598" i="4"/>
  <c r="V598" i="4"/>
  <c r="T599" i="4"/>
  <c r="U599" i="4" s="1"/>
  <c r="W599" i="4"/>
  <c r="V599" i="4"/>
  <c r="T600" i="4"/>
  <c r="U600" i="4" s="1"/>
  <c r="W600" i="4"/>
  <c r="V600" i="4"/>
  <c r="T601" i="4"/>
  <c r="U601" i="4" s="1"/>
  <c r="W601" i="4"/>
  <c r="V601" i="4"/>
  <c r="T602" i="4"/>
  <c r="U602" i="4" s="1"/>
  <c r="W602" i="4"/>
  <c r="V602" i="4"/>
  <c r="T604" i="4"/>
  <c r="U604" i="4" s="1"/>
  <c r="W604" i="4"/>
  <c r="V604" i="4"/>
  <c r="T605" i="4"/>
  <c r="U605" i="4" s="1"/>
  <c r="W605" i="4"/>
  <c r="V605" i="4"/>
  <c r="T606" i="4"/>
  <c r="U606" i="4" s="1"/>
  <c r="W606" i="4"/>
  <c r="V606" i="4"/>
  <c r="T607" i="4"/>
  <c r="U607" i="4" s="1"/>
  <c r="W607" i="4"/>
  <c r="V607" i="4"/>
  <c r="T608" i="4"/>
  <c r="U608" i="4" s="1"/>
  <c r="W608" i="4"/>
  <c r="V608" i="4"/>
  <c r="T609" i="4"/>
  <c r="U609" i="4" s="1"/>
  <c r="W609" i="4"/>
  <c r="V609" i="4"/>
  <c r="T610" i="4"/>
  <c r="U610" i="4" s="1"/>
  <c r="W610" i="4"/>
  <c r="V610" i="4"/>
  <c r="T611" i="4"/>
  <c r="U611" i="4" s="1"/>
  <c r="W611" i="4"/>
  <c r="V611" i="4"/>
  <c r="T603" i="4"/>
  <c r="U603" i="4" s="1"/>
  <c r="W603" i="4"/>
  <c r="V603" i="4"/>
  <c r="T2084" i="4"/>
  <c r="U2084" i="4" s="1"/>
  <c r="W2084" i="4"/>
  <c r="V2084" i="4"/>
  <c r="T2085" i="4"/>
  <c r="U2085" i="4" s="1"/>
  <c r="W2085" i="4"/>
  <c r="V2085" i="4"/>
  <c r="T2086" i="4"/>
  <c r="U2086" i="4" s="1"/>
  <c r="W2086" i="4"/>
  <c r="V2086" i="4"/>
  <c r="T2087" i="4"/>
  <c r="U2087" i="4" s="1"/>
  <c r="W2087" i="4"/>
  <c r="V2087" i="4"/>
  <c r="T2088" i="4"/>
  <c r="U2088" i="4" s="1"/>
  <c r="W2088" i="4"/>
  <c r="V2088" i="4"/>
  <c r="T2089" i="4"/>
  <c r="U2089" i="4" s="1"/>
  <c r="W2089" i="4"/>
  <c r="V2089" i="4"/>
  <c r="T2090" i="4"/>
  <c r="U2090" i="4" s="1"/>
  <c r="W2090" i="4"/>
  <c r="V2090" i="4"/>
  <c r="T2091" i="4"/>
  <c r="U2091" i="4" s="1"/>
  <c r="W2091" i="4"/>
  <c r="V2091" i="4"/>
  <c r="T2092" i="4"/>
  <c r="U2092" i="4" s="1"/>
  <c r="W2092" i="4"/>
  <c r="V2092" i="4"/>
  <c r="T2093" i="4"/>
  <c r="U2093" i="4" s="1"/>
  <c r="W2093" i="4"/>
  <c r="V2093" i="4"/>
  <c r="T2094" i="4"/>
  <c r="U2094" i="4" s="1"/>
  <c r="W2094" i="4"/>
  <c r="V2094" i="4"/>
  <c r="T2095" i="4"/>
  <c r="U2095" i="4" s="1"/>
  <c r="W2095" i="4"/>
  <c r="V2095" i="4"/>
  <c r="T2096" i="4"/>
  <c r="U2096" i="4" s="1"/>
  <c r="W2096" i="4"/>
  <c r="V2096" i="4"/>
  <c r="T721" i="4"/>
  <c r="U721" i="4" s="1"/>
  <c r="W721" i="4"/>
  <c r="V721" i="4"/>
  <c r="T729" i="4"/>
  <c r="U729" i="4" s="1"/>
  <c r="W729" i="4"/>
  <c r="V729" i="4"/>
  <c r="T730" i="4"/>
  <c r="U730" i="4" s="1"/>
  <c r="W730" i="4"/>
  <c r="V730" i="4"/>
  <c r="T733" i="4"/>
  <c r="U733" i="4" s="1"/>
  <c r="W733" i="4"/>
  <c r="V733" i="4"/>
  <c r="T734" i="4"/>
  <c r="U734" i="4" s="1"/>
  <c r="W734" i="4"/>
  <c r="V734" i="4"/>
  <c r="T741" i="4"/>
  <c r="U741" i="4" s="1"/>
  <c r="W741" i="4"/>
  <c r="V741" i="4"/>
  <c r="T743" i="4"/>
  <c r="U743" i="4" s="1"/>
  <c r="W743" i="4"/>
  <c r="V743" i="4"/>
  <c r="T747" i="4"/>
  <c r="U747" i="4" s="1"/>
  <c r="W747" i="4"/>
  <c r="V747" i="4"/>
  <c r="T748" i="4"/>
  <c r="U748" i="4" s="1"/>
  <c r="W748" i="4"/>
  <c r="V748" i="4"/>
  <c r="T759" i="4"/>
  <c r="U759" i="4" s="1"/>
  <c r="W759" i="4"/>
  <c r="V759" i="4"/>
  <c r="T760" i="4"/>
  <c r="U760" i="4" s="1"/>
  <c r="W760" i="4"/>
  <c r="V760" i="4"/>
  <c r="T762" i="4"/>
  <c r="U762" i="4" s="1"/>
  <c r="W762" i="4"/>
  <c r="V762" i="4"/>
  <c r="T763" i="4"/>
  <c r="U763" i="4" s="1"/>
  <c r="W763" i="4"/>
  <c r="V763" i="4"/>
  <c r="T764" i="4"/>
  <c r="U764" i="4" s="1"/>
  <c r="W764" i="4"/>
  <c r="V764" i="4"/>
  <c r="T765" i="4"/>
  <c r="U765" i="4" s="1"/>
  <c r="W765" i="4"/>
  <c r="V765" i="4"/>
  <c r="T766" i="4"/>
  <c r="U766" i="4" s="1"/>
  <c r="W766" i="4"/>
  <c r="V766" i="4"/>
  <c r="T776" i="4"/>
  <c r="U776" i="4" s="1"/>
  <c r="W776" i="4"/>
  <c r="V776" i="4"/>
  <c r="T777" i="4"/>
  <c r="U777" i="4" s="1"/>
  <c r="W777" i="4"/>
  <c r="V777" i="4"/>
  <c r="T778" i="4"/>
  <c r="U778" i="4" s="1"/>
  <c r="W778" i="4"/>
  <c r="V778" i="4"/>
  <c r="T779" i="4"/>
  <c r="U779" i="4" s="1"/>
  <c r="W779" i="4"/>
  <c r="V779" i="4"/>
  <c r="T780" i="4"/>
  <c r="U780" i="4" s="1"/>
  <c r="W780" i="4"/>
  <c r="V780" i="4"/>
  <c r="T781" i="4"/>
  <c r="U781" i="4" s="1"/>
  <c r="W781" i="4"/>
  <c r="V781" i="4"/>
  <c r="T782" i="4"/>
  <c r="U782" i="4" s="1"/>
  <c r="W782" i="4"/>
  <c r="V782" i="4"/>
  <c r="T783" i="4"/>
  <c r="U783" i="4" s="1"/>
  <c r="W783" i="4"/>
  <c r="V783" i="4"/>
  <c r="T784" i="4"/>
  <c r="U784" i="4" s="1"/>
  <c r="W784" i="4"/>
  <c r="V784" i="4"/>
  <c r="T785" i="4"/>
  <c r="U785" i="4" s="1"/>
  <c r="W785" i="4"/>
  <c r="V785" i="4"/>
  <c r="T786" i="4"/>
  <c r="U786" i="4" s="1"/>
  <c r="W786" i="4"/>
  <c r="V786" i="4"/>
  <c r="T787" i="4"/>
  <c r="U787" i="4" s="1"/>
  <c r="W787" i="4"/>
  <c r="V787" i="4"/>
  <c r="T789" i="4"/>
  <c r="U789" i="4" s="1"/>
  <c r="W789" i="4"/>
  <c r="V789" i="4"/>
  <c r="T2049" i="4"/>
  <c r="U2049" i="4" s="1"/>
  <c r="W2049" i="4"/>
  <c r="V2049" i="4"/>
  <c r="T2050" i="4"/>
  <c r="U2050" i="4" s="1"/>
  <c r="W2050" i="4"/>
  <c r="V2050" i="4"/>
  <c r="T2051" i="4"/>
  <c r="U2051" i="4" s="1"/>
  <c r="W2051" i="4"/>
  <c r="V2051" i="4"/>
  <c r="T2052" i="4"/>
  <c r="U2052" i="4" s="1"/>
  <c r="W2052" i="4"/>
  <c r="V2052" i="4"/>
  <c r="T2053" i="4"/>
  <c r="U2053" i="4" s="1"/>
  <c r="W2053" i="4"/>
  <c r="V2053" i="4"/>
  <c r="T2054" i="4"/>
  <c r="U2054" i="4" s="1"/>
  <c r="W2054" i="4"/>
  <c r="V2054" i="4"/>
  <c r="T2055" i="4"/>
  <c r="U2055" i="4" s="1"/>
  <c r="W2055" i="4"/>
  <c r="V2055" i="4"/>
  <c r="T2056" i="4"/>
  <c r="U2056" i="4" s="1"/>
  <c r="W2056" i="4"/>
  <c r="V2056" i="4"/>
  <c r="T2057" i="4"/>
  <c r="U2057" i="4" s="1"/>
  <c r="W2057" i="4"/>
  <c r="V2057" i="4"/>
  <c r="T2058" i="4"/>
  <c r="U2058" i="4" s="1"/>
  <c r="W2058" i="4"/>
  <c r="V2058" i="4"/>
  <c r="T2059" i="4"/>
  <c r="U2059" i="4" s="1"/>
  <c r="W2059" i="4"/>
  <c r="V2059" i="4"/>
  <c r="T2060" i="4"/>
  <c r="U2060" i="4" s="1"/>
  <c r="W2060" i="4"/>
  <c r="V2060" i="4"/>
  <c r="T2061" i="4"/>
  <c r="U2061" i="4" s="1"/>
  <c r="W2061" i="4"/>
  <c r="V2061" i="4"/>
  <c r="T2062" i="4"/>
  <c r="U2062" i="4" s="1"/>
  <c r="W2062" i="4"/>
  <c r="V2062" i="4"/>
  <c r="T2063" i="4"/>
  <c r="U2063" i="4" s="1"/>
  <c r="W2063" i="4"/>
  <c r="V2063" i="4"/>
  <c r="T2064" i="4"/>
  <c r="U2064" i="4" s="1"/>
  <c r="W2064" i="4"/>
  <c r="V2064" i="4"/>
  <c r="T2065" i="4"/>
  <c r="U2065" i="4" s="1"/>
  <c r="W2065" i="4"/>
  <c r="V2065" i="4"/>
  <c r="T2066" i="4"/>
  <c r="U2066" i="4" s="1"/>
  <c r="W2066" i="4"/>
  <c r="V2066" i="4"/>
  <c r="T2067" i="4"/>
  <c r="U2067" i="4" s="1"/>
  <c r="W2067" i="4"/>
  <c r="V2067" i="4"/>
  <c r="T2068" i="4"/>
  <c r="U2068" i="4" s="1"/>
  <c r="W2068" i="4"/>
  <c r="V2068" i="4"/>
  <c r="T2069" i="4"/>
  <c r="U2069" i="4" s="1"/>
  <c r="W2069" i="4"/>
  <c r="V2069" i="4"/>
  <c r="T2070" i="4"/>
  <c r="U2070" i="4" s="1"/>
  <c r="W2070" i="4"/>
  <c r="V2070" i="4"/>
  <c r="T2071" i="4"/>
  <c r="U2071" i="4" s="1"/>
  <c r="W2071" i="4"/>
  <c r="V2071" i="4"/>
  <c r="T2072" i="4"/>
  <c r="U2072" i="4" s="1"/>
  <c r="W2072" i="4"/>
  <c r="V2072" i="4"/>
  <c r="T2073" i="4"/>
  <c r="U2073" i="4" s="1"/>
  <c r="W2073" i="4"/>
  <c r="V2073" i="4"/>
  <c r="T2074" i="4"/>
  <c r="U2074" i="4" s="1"/>
  <c r="W2074" i="4"/>
  <c r="V2074" i="4"/>
  <c r="T2075" i="4"/>
  <c r="U2075" i="4" s="1"/>
  <c r="W2075" i="4"/>
  <c r="V2075" i="4"/>
  <c r="T2076" i="4"/>
  <c r="U2076" i="4" s="1"/>
  <c r="W2076" i="4"/>
  <c r="V2076" i="4"/>
  <c r="T2077" i="4"/>
  <c r="U2077" i="4" s="1"/>
  <c r="W2077" i="4"/>
  <c r="V2077" i="4"/>
  <c r="T2078" i="4"/>
  <c r="U2078" i="4" s="1"/>
  <c r="W2078" i="4"/>
  <c r="V2078" i="4"/>
  <c r="T2079" i="4"/>
  <c r="U2079" i="4" s="1"/>
  <c r="W2079" i="4"/>
  <c r="V2079" i="4"/>
  <c r="T2080" i="4"/>
  <c r="U2080" i="4" s="1"/>
  <c r="W2080" i="4"/>
  <c r="V2080" i="4"/>
  <c r="T2081" i="4"/>
  <c r="U2081" i="4" s="1"/>
  <c r="W2081" i="4"/>
  <c r="V2081" i="4"/>
  <c r="T2082" i="4"/>
  <c r="U2082" i="4" s="1"/>
  <c r="W2082" i="4"/>
  <c r="V2082" i="4"/>
  <c r="T2083" i="4"/>
  <c r="U2083" i="4" s="1"/>
  <c r="W2083" i="4"/>
  <c r="V2083" i="4"/>
  <c r="T708" i="4"/>
  <c r="U708" i="4" s="1"/>
  <c r="W708" i="4"/>
  <c r="V708" i="4"/>
  <c r="T711" i="4"/>
  <c r="U711" i="4" s="1"/>
  <c r="W711" i="4"/>
  <c r="V711" i="4"/>
  <c r="T714" i="4"/>
  <c r="U714" i="4" s="1"/>
  <c r="W714" i="4"/>
  <c r="V714" i="4"/>
  <c r="T719" i="4"/>
  <c r="U719" i="4" s="1"/>
  <c r="W719" i="4"/>
  <c r="V719" i="4"/>
  <c r="T724" i="4"/>
  <c r="U724" i="4" s="1"/>
  <c r="W724" i="4"/>
  <c r="V724" i="4"/>
  <c r="T725" i="4"/>
  <c r="U725" i="4" s="1"/>
  <c r="W725" i="4"/>
  <c r="V725" i="4"/>
  <c r="T737" i="4"/>
  <c r="U737" i="4" s="1"/>
  <c r="W737" i="4"/>
  <c r="V737" i="4"/>
  <c r="T738" i="4"/>
  <c r="U738" i="4" s="1"/>
  <c r="W738" i="4"/>
  <c r="V738" i="4"/>
  <c r="T746" i="4"/>
  <c r="U746" i="4" s="1"/>
  <c r="W746" i="4"/>
  <c r="V746" i="4"/>
  <c r="T668" i="4"/>
  <c r="U668" i="4" s="1"/>
  <c r="W668" i="4"/>
  <c r="V668" i="4"/>
  <c r="T669" i="4"/>
  <c r="U669" i="4" s="1"/>
  <c r="W669" i="4"/>
  <c r="V669" i="4"/>
  <c r="T685" i="4"/>
  <c r="U685" i="4" s="1"/>
  <c r="W685" i="4"/>
  <c r="V685" i="4"/>
  <c r="T695" i="4"/>
  <c r="U695" i="4" s="1"/>
  <c r="W695" i="4"/>
  <c r="V695" i="4"/>
  <c r="T707" i="4"/>
  <c r="U707" i="4" s="1"/>
  <c r="W707" i="4"/>
  <c r="V707" i="4"/>
  <c r="T727" i="4"/>
  <c r="U727" i="4" s="1"/>
  <c r="W727" i="4"/>
  <c r="V727" i="4"/>
  <c r="T742" i="4"/>
  <c r="U742" i="4" s="1"/>
  <c r="W742" i="4"/>
  <c r="V742" i="4"/>
  <c r="T1954" i="4"/>
  <c r="U1954" i="4" s="1"/>
  <c r="W1954" i="4"/>
  <c r="V1954" i="4"/>
  <c r="T1955" i="4"/>
  <c r="U1955" i="4" s="1"/>
  <c r="W1955" i="4"/>
  <c r="V1955" i="4"/>
  <c r="T1956" i="4"/>
  <c r="U1956" i="4" s="1"/>
  <c r="W1956" i="4"/>
  <c r="V1956" i="4"/>
  <c r="T1957" i="4"/>
  <c r="U1957" i="4" s="1"/>
  <c r="W1957" i="4"/>
  <c r="V1957" i="4"/>
  <c r="T1958" i="4"/>
  <c r="U1958" i="4" s="1"/>
  <c r="W1958" i="4"/>
  <c r="V1958" i="4"/>
  <c r="T1959" i="4"/>
  <c r="U1959" i="4" s="1"/>
  <c r="W1959" i="4"/>
  <c r="V1959" i="4"/>
  <c r="T1960" i="4"/>
  <c r="U1960" i="4" s="1"/>
  <c r="W1960" i="4"/>
  <c r="V1960" i="4"/>
  <c r="T1961" i="4"/>
  <c r="U1961" i="4" s="1"/>
  <c r="W1961" i="4"/>
  <c r="V1961" i="4"/>
  <c r="T1962" i="4"/>
  <c r="U1962" i="4" s="1"/>
  <c r="W1962" i="4"/>
  <c r="V1962" i="4"/>
  <c r="T1963" i="4"/>
  <c r="U1963" i="4" s="1"/>
  <c r="W1963" i="4"/>
  <c r="V1963" i="4"/>
  <c r="T1964" i="4"/>
  <c r="U1964" i="4" s="1"/>
  <c r="W1964" i="4"/>
  <c r="V1964" i="4"/>
  <c r="T1965" i="4"/>
  <c r="U1965" i="4" s="1"/>
  <c r="W1965" i="4"/>
  <c r="V1965" i="4"/>
  <c r="T1966" i="4"/>
  <c r="U1966" i="4" s="1"/>
  <c r="W1966" i="4"/>
  <c r="V1966" i="4"/>
  <c r="T1967" i="4"/>
  <c r="U1967" i="4" s="1"/>
  <c r="W1967" i="4"/>
  <c r="V1967" i="4"/>
  <c r="T1968" i="4"/>
  <c r="U1968" i="4" s="1"/>
  <c r="W1968" i="4"/>
  <c r="V1968" i="4"/>
  <c r="T1969" i="4"/>
  <c r="U1969" i="4" s="1"/>
  <c r="W1969" i="4"/>
  <c r="V1969" i="4"/>
  <c r="T1970" i="4"/>
  <c r="U1970" i="4" s="1"/>
  <c r="W1970" i="4"/>
  <c r="V1970" i="4"/>
  <c r="T1971" i="4"/>
  <c r="U1971" i="4" s="1"/>
  <c r="W1971" i="4"/>
  <c r="V1971" i="4"/>
  <c r="T1972" i="4"/>
  <c r="U1972" i="4" s="1"/>
  <c r="W1972" i="4"/>
  <c r="V1972" i="4"/>
  <c r="T1973" i="4"/>
  <c r="U1973" i="4" s="1"/>
  <c r="W1973" i="4"/>
  <c r="V1973" i="4"/>
  <c r="T1974" i="4"/>
  <c r="U1974" i="4" s="1"/>
  <c r="W1974" i="4"/>
  <c r="V1974" i="4"/>
  <c r="T1975" i="4"/>
  <c r="U1975" i="4" s="1"/>
  <c r="W1975" i="4"/>
  <c r="V1975" i="4"/>
  <c r="T1976" i="4"/>
  <c r="U1976" i="4" s="1"/>
  <c r="W1976" i="4"/>
  <c r="V1976" i="4"/>
  <c r="T1977" i="4"/>
  <c r="U1977" i="4" s="1"/>
  <c r="W1977" i="4"/>
  <c r="V1977" i="4"/>
  <c r="T1978" i="4"/>
  <c r="U1978" i="4" s="1"/>
  <c r="W1978" i="4"/>
  <c r="V1978" i="4"/>
  <c r="T1979" i="4"/>
  <c r="U1979" i="4" s="1"/>
  <c r="W1979" i="4"/>
  <c r="V1979" i="4"/>
  <c r="T1980" i="4"/>
  <c r="U1980" i="4" s="1"/>
  <c r="W1980" i="4"/>
  <c r="V1980" i="4"/>
  <c r="T1981" i="4"/>
  <c r="U1981" i="4" s="1"/>
  <c r="W1981" i="4"/>
  <c r="V1981" i="4"/>
  <c r="T1982" i="4"/>
  <c r="U1982" i="4" s="1"/>
  <c r="W1982" i="4"/>
  <c r="V1982" i="4"/>
  <c r="T1983" i="4"/>
  <c r="U1983" i="4" s="1"/>
  <c r="W1983" i="4"/>
  <c r="V1983" i="4"/>
  <c r="T1984" i="4"/>
  <c r="U1984" i="4" s="1"/>
  <c r="W1984" i="4"/>
  <c r="V1984" i="4"/>
  <c r="T1985" i="4"/>
  <c r="U1985" i="4" s="1"/>
  <c r="W1985" i="4"/>
  <c r="V1985" i="4"/>
  <c r="T1986" i="4"/>
  <c r="U1986" i="4" s="1"/>
  <c r="W1986" i="4"/>
  <c r="V1986" i="4"/>
  <c r="T1987" i="4"/>
  <c r="U1987" i="4" s="1"/>
  <c r="W1987" i="4"/>
  <c r="V1987" i="4"/>
  <c r="T1988" i="4"/>
  <c r="U1988" i="4" s="1"/>
  <c r="W1988" i="4"/>
  <c r="V1988" i="4"/>
  <c r="T1989" i="4"/>
  <c r="U1989" i="4" s="1"/>
  <c r="W1989" i="4"/>
  <c r="V1989" i="4"/>
  <c r="T1990" i="4"/>
  <c r="U1990" i="4" s="1"/>
  <c r="W1990" i="4"/>
  <c r="V1990" i="4"/>
  <c r="T1991" i="4"/>
  <c r="U1991" i="4" s="1"/>
  <c r="W1991" i="4"/>
  <c r="V1991" i="4"/>
  <c r="T1992" i="4"/>
  <c r="U1992" i="4" s="1"/>
  <c r="W1992" i="4"/>
  <c r="V1992" i="4"/>
  <c r="T1993" i="4"/>
  <c r="U1993" i="4" s="1"/>
  <c r="W1993" i="4"/>
  <c r="V1993" i="4"/>
  <c r="T1994" i="4"/>
  <c r="U1994" i="4" s="1"/>
  <c r="W1994" i="4"/>
  <c r="V1994" i="4"/>
  <c r="T1995" i="4"/>
  <c r="U1995" i="4" s="1"/>
  <c r="W1995" i="4"/>
  <c r="V1995" i="4"/>
  <c r="T1996" i="4"/>
  <c r="U1996" i="4" s="1"/>
  <c r="W1996" i="4"/>
  <c r="V1996" i="4"/>
  <c r="T1997" i="4"/>
  <c r="U1997" i="4" s="1"/>
  <c r="W1997" i="4"/>
  <c r="V1997" i="4"/>
  <c r="T1998" i="4"/>
  <c r="U1998" i="4" s="1"/>
  <c r="W1998" i="4"/>
  <c r="V1998" i="4"/>
  <c r="T1999" i="4"/>
  <c r="U1999" i="4" s="1"/>
  <c r="W1999" i="4"/>
  <c r="V1999" i="4"/>
  <c r="T2000" i="4"/>
  <c r="U2000" i="4" s="1"/>
  <c r="W2000" i="4"/>
  <c r="V2000" i="4"/>
  <c r="T2001" i="4"/>
  <c r="U2001" i="4" s="1"/>
  <c r="W2001" i="4"/>
  <c r="V2001" i="4"/>
  <c r="T2002" i="4"/>
  <c r="U2002" i="4" s="1"/>
  <c r="W2002" i="4"/>
  <c r="V2002" i="4"/>
  <c r="T2003" i="4"/>
  <c r="U2003" i="4" s="1"/>
  <c r="W2003" i="4"/>
  <c r="V2003" i="4"/>
  <c r="T2004" i="4"/>
  <c r="U2004" i="4" s="1"/>
  <c r="W2004" i="4"/>
  <c r="V2004" i="4"/>
  <c r="T2005" i="4"/>
  <c r="U2005" i="4" s="1"/>
  <c r="W2005" i="4"/>
  <c r="V2005" i="4"/>
  <c r="T2006" i="4"/>
  <c r="U2006" i="4" s="1"/>
  <c r="W2006" i="4"/>
  <c r="V2006" i="4"/>
  <c r="T2007" i="4"/>
  <c r="U2007" i="4" s="1"/>
  <c r="W2007" i="4"/>
  <c r="V2007" i="4"/>
  <c r="T2008" i="4"/>
  <c r="U2008" i="4" s="1"/>
  <c r="W2008" i="4"/>
  <c r="V2008" i="4"/>
  <c r="T2009" i="4"/>
  <c r="U2009" i="4" s="1"/>
  <c r="W2009" i="4"/>
  <c r="V2009" i="4"/>
  <c r="T2010" i="4"/>
  <c r="U2010" i="4" s="1"/>
  <c r="W2010" i="4"/>
  <c r="V2010" i="4"/>
  <c r="T2011" i="4"/>
  <c r="U2011" i="4" s="1"/>
  <c r="W2011" i="4"/>
  <c r="V2011" i="4"/>
  <c r="T2012" i="4"/>
  <c r="U2012" i="4" s="1"/>
  <c r="W2012" i="4"/>
  <c r="V2012" i="4"/>
  <c r="T2013" i="4"/>
  <c r="U2013" i="4" s="1"/>
  <c r="W2013" i="4"/>
  <c r="V2013" i="4"/>
  <c r="T2014" i="4"/>
  <c r="U2014" i="4" s="1"/>
  <c r="W2014" i="4"/>
  <c r="V2014" i="4"/>
  <c r="T2015" i="4"/>
  <c r="U2015" i="4" s="1"/>
  <c r="W2015" i="4"/>
  <c r="V2015" i="4"/>
  <c r="T2016" i="4"/>
  <c r="U2016" i="4" s="1"/>
  <c r="W2016" i="4"/>
  <c r="V2016" i="4"/>
  <c r="T2017" i="4"/>
  <c r="U2017" i="4" s="1"/>
  <c r="W2017" i="4"/>
  <c r="V2017" i="4"/>
  <c r="T2018" i="4"/>
  <c r="U2018" i="4" s="1"/>
  <c r="W2018" i="4"/>
  <c r="V2018" i="4"/>
  <c r="T2019" i="4"/>
  <c r="U2019" i="4" s="1"/>
  <c r="W2019" i="4"/>
  <c r="V2019" i="4"/>
  <c r="T2020" i="4"/>
  <c r="U2020" i="4" s="1"/>
  <c r="W2020" i="4"/>
  <c r="V2020" i="4"/>
  <c r="T2021" i="4"/>
  <c r="U2021" i="4" s="1"/>
  <c r="W2021" i="4"/>
  <c r="V2021" i="4"/>
  <c r="T2022" i="4"/>
  <c r="U2022" i="4" s="1"/>
  <c r="W2022" i="4"/>
  <c r="V2022" i="4"/>
  <c r="T2023" i="4"/>
  <c r="U2023" i="4" s="1"/>
  <c r="W2023" i="4"/>
  <c r="V2023" i="4"/>
  <c r="T2024" i="4"/>
  <c r="U2024" i="4" s="1"/>
  <c r="W2024" i="4"/>
  <c r="V2024" i="4"/>
  <c r="T2025" i="4"/>
  <c r="U2025" i="4" s="1"/>
  <c r="W2025" i="4"/>
  <c r="V2025" i="4"/>
  <c r="T2026" i="4"/>
  <c r="U2026" i="4" s="1"/>
  <c r="W2026" i="4"/>
  <c r="V2026" i="4"/>
  <c r="T2027" i="4"/>
  <c r="U2027" i="4" s="1"/>
  <c r="W2027" i="4"/>
  <c r="V2027" i="4"/>
  <c r="T2028" i="4"/>
  <c r="U2028" i="4" s="1"/>
  <c r="W2028" i="4"/>
  <c r="V2028" i="4"/>
  <c r="T2029" i="4"/>
  <c r="U2029" i="4" s="1"/>
  <c r="W2029" i="4"/>
  <c r="V2029" i="4"/>
  <c r="T2030" i="4"/>
  <c r="U2030" i="4" s="1"/>
  <c r="W2030" i="4"/>
  <c r="V2030" i="4"/>
  <c r="T2031" i="4"/>
  <c r="U2031" i="4" s="1"/>
  <c r="W2031" i="4"/>
  <c r="V2031" i="4"/>
  <c r="T2032" i="4"/>
  <c r="U2032" i="4" s="1"/>
  <c r="W2032" i="4"/>
  <c r="V2032" i="4"/>
  <c r="T2033" i="4"/>
  <c r="U2033" i="4" s="1"/>
  <c r="W2033" i="4"/>
  <c r="V2033" i="4"/>
  <c r="T2034" i="4"/>
  <c r="U2034" i="4" s="1"/>
  <c r="W2034" i="4"/>
  <c r="V2034" i="4"/>
  <c r="T2035" i="4"/>
  <c r="U2035" i="4" s="1"/>
  <c r="W2035" i="4"/>
  <c r="V2035" i="4"/>
  <c r="T2036" i="4"/>
  <c r="U2036" i="4" s="1"/>
  <c r="W2036" i="4"/>
  <c r="V2036" i="4"/>
  <c r="T2037" i="4"/>
  <c r="U2037" i="4" s="1"/>
  <c r="W2037" i="4"/>
  <c r="V2037" i="4"/>
  <c r="T2038" i="4"/>
  <c r="U2038" i="4" s="1"/>
  <c r="W2038" i="4"/>
  <c r="V2038" i="4"/>
  <c r="T2039" i="4"/>
  <c r="U2039" i="4" s="1"/>
  <c r="W2039" i="4"/>
  <c r="V2039" i="4"/>
  <c r="T2040" i="4"/>
  <c r="U2040" i="4" s="1"/>
  <c r="W2040" i="4"/>
  <c r="V2040" i="4"/>
  <c r="T2041" i="4"/>
  <c r="U2041" i="4" s="1"/>
  <c r="W2041" i="4"/>
  <c r="V2041" i="4"/>
  <c r="T2042" i="4"/>
  <c r="U2042" i="4" s="1"/>
  <c r="W2042" i="4"/>
  <c r="V2042" i="4"/>
  <c r="T2043" i="4"/>
  <c r="U2043" i="4" s="1"/>
  <c r="W2043" i="4"/>
  <c r="V2043" i="4"/>
  <c r="T2044" i="4"/>
  <c r="U2044" i="4" s="1"/>
  <c r="W2044" i="4"/>
  <c r="V2044" i="4"/>
  <c r="T2045" i="4"/>
  <c r="U2045" i="4" s="1"/>
  <c r="W2045" i="4"/>
  <c r="V2045" i="4"/>
  <c r="T2046" i="4"/>
  <c r="U2046" i="4" s="1"/>
  <c r="W2046" i="4"/>
  <c r="V2046" i="4"/>
  <c r="T2047" i="4"/>
  <c r="U2047" i="4" s="1"/>
  <c r="W2047" i="4"/>
  <c r="V2047" i="4"/>
  <c r="T2048" i="4"/>
  <c r="U2048" i="4" s="1"/>
  <c r="W2048" i="4"/>
  <c r="V2048" i="4"/>
  <c r="T1912" i="4"/>
  <c r="U1912" i="4" s="1"/>
  <c r="W1912" i="4"/>
  <c r="V1912" i="4"/>
  <c r="T1913" i="4"/>
  <c r="U1913" i="4" s="1"/>
  <c r="W1913" i="4"/>
  <c r="V1913" i="4"/>
  <c r="T1914" i="4"/>
  <c r="U1914" i="4" s="1"/>
  <c r="W1914" i="4"/>
  <c r="V1914" i="4"/>
  <c r="T1915" i="4"/>
  <c r="U1915" i="4" s="1"/>
  <c r="W1915" i="4"/>
  <c r="V1915" i="4"/>
  <c r="T1916" i="4"/>
  <c r="U1916" i="4" s="1"/>
  <c r="W1916" i="4"/>
  <c r="V1916" i="4"/>
  <c r="T1917" i="4"/>
  <c r="U1917" i="4" s="1"/>
  <c r="W1917" i="4"/>
  <c r="V1917" i="4"/>
  <c r="T1918" i="4"/>
  <c r="U1918" i="4" s="1"/>
  <c r="W1918" i="4"/>
  <c r="V1918" i="4"/>
  <c r="T1919" i="4"/>
  <c r="U1919" i="4" s="1"/>
  <c r="W1919" i="4"/>
  <c r="V1919" i="4"/>
  <c r="T1920" i="4"/>
  <c r="U1920" i="4" s="1"/>
  <c r="W1920" i="4"/>
  <c r="V1920" i="4"/>
  <c r="T1921" i="4"/>
  <c r="U1921" i="4" s="1"/>
  <c r="W1921" i="4"/>
  <c r="V1921" i="4"/>
  <c r="T1922" i="4"/>
  <c r="U1922" i="4" s="1"/>
  <c r="W1922" i="4"/>
  <c r="V1922" i="4"/>
  <c r="T1923" i="4"/>
  <c r="U1923" i="4" s="1"/>
  <c r="W1923" i="4"/>
  <c r="V1923" i="4"/>
  <c r="T1924" i="4"/>
  <c r="U1924" i="4" s="1"/>
  <c r="W1924" i="4"/>
  <c r="V1924" i="4"/>
  <c r="T1925" i="4"/>
  <c r="U1925" i="4" s="1"/>
  <c r="W1925" i="4"/>
  <c r="V1925" i="4"/>
  <c r="T1926" i="4"/>
  <c r="U1926" i="4" s="1"/>
  <c r="W1926" i="4"/>
  <c r="V1926" i="4"/>
  <c r="T1927" i="4"/>
  <c r="U1927" i="4" s="1"/>
  <c r="W1927" i="4"/>
  <c r="V1927" i="4"/>
  <c r="T1928" i="4"/>
  <c r="U1928" i="4" s="1"/>
  <c r="W1928" i="4"/>
  <c r="V1928" i="4"/>
  <c r="T1929" i="4"/>
  <c r="U1929" i="4" s="1"/>
  <c r="W1929" i="4"/>
  <c r="V1929" i="4"/>
  <c r="T1930" i="4"/>
  <c r="U1930" i="4" s="1"/>
  <c r="W1930" i="4"/>
  <c r="V1930" i="4"/>
  <c r="T1931" i="4"/>
  <c r="U1931" i="4" s="1"/>
  <c r="W1931" i="4"/>
  <c r="V1931" i="4"/>
  <c r="T1932" i="4"/>
  <c r="U1932" i="4" s="1"/>
  <c r="W1932" i="4"/>
  <c r="V1932" i="4"/>
  <c r="T1933" i="4"/>
  <c r="U1933" i="4" s="1"/>
  <c r="W1933" i="4"/>
  <c r="V1933" i="4"/>
  <c r="T1934" i="4"/>
  <c r="U1934" i="4" s="1"/>
  <c r="W1934" i="4"/>
  <c r="V1934" i="4"/>
  <c r="T1935" i="4"/>
  <c r="U1935" i="4" s="1"/>
  <c r="W1935" i="4"/>
  <c r="V1935" i="4"/>
  <c r="T1936" i="4"/>
  <c r="U1936" i="4" s="1"/>
  <c r="W1936" i="4"/>
  <c r="V1936" i="4"/>
  <c r="T1937" i="4"/>
  <c r="U1937" i="4" s="1"/>
  <c r="W1937" i="4"/>
  <c r="V1937" i="4"/>
  <c r="T1938" i="4"/>
  <c r="U1938" i="4" s="1"/>
  <c r="W1938" i="4"/>
  <c r="V1938" i="4"/>
  <c r="T1939" i="4"/>
  <c r="U1939" i="4" s="1"/>
  <c r="W1939" i="4"/>
  <c r="V1939" i="4"/>
  <c r="T1940" i="4"/>
  <c r="U1940" i="4" s="1"/>
  <c r="W1940" i="4"/>
  <c r="V1940" i="4"/>
  <c r="T1941" i="4"/>
  <c r="U1941" i="4" s="1"/>
  <c r="W1941" i="4"/>
  <c r="V1941" i="4"/>
  <c r="T1942" i="4"/>
  <c r="U1942" i="4" s="1"/>
  <c r="W1942" i="4"/>
  <c r="V1942" i="4"/>
  <c r="T1943" i="4"/>
  <c r="U1943" i="4" s="1"/>
  <c r="W1943" i="4"/>
  <c r="V1943" i="4"/>
  <c r="T1944" i="4"/>
  <c r="U1944" i="4" s="1"/>
  <c r="W1944" i="4"/>
  <c r="V1944" i="4"/>
  <c r="T1945" i="4"/>
  <c r="U1945" i="4" s="1"/>
  <c r="W1945" i="4"/>
  <c r="V1945" i="4"/>
  <c r="T1946" i="4"/>
  <c r="U1946" i="4" s="1"/>
  <c r="W1946" i="4"/>
  <c r="V1946" i="4"/>
  <c r="T1947" i="4"/>
  <c r="U1947" i="4" s="1"/>
  <c r="W1947" i="4"/>
  <c r="V1947" i="4"/>
  <c r="T1948" i="4"/>
  <c r="U1948" i="4" s="1"/>
  <c r="W1948" i="4"/>
  <c r="V1948" i="4"/>
  <c r="T1949" i="4"/>
  <c r="U1949" i="4" s="1"/>
  <c r="W1949" i="4"/>
  <c r="V1949" i="4"/>
  <c r="T1950" i="4"/>
  <c r="U1950" i="4" s="1"/>
  <c r="W1950" i="4"/>
  <c r="V1950" i="4"/>
  <c r="T1951" i="4"/>
  <c r="U1951" i="4" s="1"/>
  <c r="W1951" i="4"/>
  <c r="V1951" i="4"/>
  <c r="T1952" i="4"/>
  <c r="U1952" i="4" s="1"/>
  <c r="W1952" i="4"/>
  <c r="V1952" i="4"/>
  <c r="T1953" i="4"/>
  <c r="U1953" i="4" s="1"/>
  <c r="W1953" i="4"/>
  <c r="V1953" i="4"/>
  <c r="T1903" i="4"/>
  <c r="U1903" i="4" s="1"/>
  <c r="W1903" i="4"/>
  <c r="V1903" i="4"/>
  <c r="T1904" i="4"/>
  <c r="U1904" i="4" s="1"/>
  <c r="W1904" i="4"/>
  <c r="V1904" i="4"/>
  <c r="T1905" i="4"/>
  <c r="U1905" i="4" s="1"/>
  <c r="W1905" i="4"/>
  <c r="V1905" i="4"/>
  <c r="T1906" i="4"/>
  <c r="U1906" i="4" s="1"/>
  <c r="W1906" i="4"/>
  <c r="V1906" i="4"/>
  <c r="T1907" i="4"/>
  <c r="U1907" i="4" s="1"/>
  <c r="W1907" i="4"/>
  <c r="V1907" i="4"/>
  <c r="T1908" i="4"/>
  <c r="U1908" i="4" s="1"/>
  <c r="W1908" i="4"/>
  <c r="V1908" i="4"/>
  <c r="T1909" i="4"/>
  <c r="U1909" i="4" s="1"/>
  <c r="W1909" i="4"/>
  <c r="V1909" i="4"/>
  <c r="T1910" i="4"/>
  <c r="U1910" i="4" s="1"/>
  <c r="W1910" i="4"/>
  <c r="V1910" i="4"/>
  <c r="T1911" i="4"/>
  <c r="U1911" i="4" s="1"/>
  <c r="W1911" i="4"/>
  <c r="V1911" i="4"/>
  <c r="T1899" i="4"/>
  <c r="U1899" i="4" s="1"/>
  <c r="W1899" i="4"/>
  <c r="V1899" i="4"/>
  <c r="T1900" i="4"/>
  <c r="U1900" i="4" s="1"/>
  <c r="W1900" i="4"/>
  <c r="V1900" i="4"/>
  <c r="T1901" i="4"/>
  <c r="U1901" i="4" s="1"/>
  <c r="W1901" i="4"/>
  <c r="V1901" i="4"/>
  <c r="T1902" i="4"/>
  <c r="U1902" i="4" s="1"/>
  <c r="W1902" i="4"/>
  <c r="V1902" i="4"/>
  <c r="T1811" i="4"/>
  <c r="U1811" i="4" s="1"/>
  <c r="W1811" i="4"/>
  <c r="V1811" i="4"/>
  <c r="T1812" i="4"/>
  <c r="U1812" i="4" s="1"/>
  <c r="W1812" i="4"/>
  <c r="V1812" i="4"/>
  <c r="T1813" i="4"/>
  <c r="U1813" i="4" s="1"/>
  <c r="W1813" i="4"/>
  <c r="V1813" i="4"/>
  <c r="T1814" i="4"/>
  <c r="U1814" i="4" s="1"/>
  <c r="W1814" i="4"/>
  <c r="V1814" i="4"/>
  <c r="T1815" i="4"/>
  <c r="U1815" i="4" s="1"/>
  <c r="W1815" i="4"/>
  <c r="V1815" i="4"/>
  <c r="T1816" i="4"/>
  <c r="U1816" i="4" s="1"/>
  <c r="W1816" i="4"/>
  <c r="V1816" i="4"/>
  <c r="T1817" i="4"/>
  <c r="U1817" i="4" s="1"/>
  <c r="W1817" i="4"/>
  <c r="V1817" i="4"/>
  <c r="T1818" i="4"/>
  <c r="U1818" i="4" s="1"/>
  <c r="W1818" i="4"/>
  <c r="V1818" i="4"/>
  <c r="T1819" i="4"/>
  <c r="U1819" i="4" s="1"/>
  <c r="W1819" i="4"/>
  <c r="V1819" i="4"/>
  <c r="T1820" i="4"/>
  <c r="U1820" i="4" s="1"/>
  <c r="W1820" i="4"/>
  <c r="V1820" i="4"/>
  <c r="T1821" i="4"/>
  <c r="U1821" i="4" s="1"/>
  <c r="W1821" i="4"/>
  <c r="V1821" i="4"/>
  <c r="T1822" i="4"/>
  <c r="U1822" i="4" s="1"/>
  <c r="W1822" i="4"/>
  <c r="V1822" i="4"/>
  <c r="T1823" i="4"/>
  <c r="U1823" i="4" s="1"/>
  <c r="W1823" i="4"/>
  <c r="V1823" i="4"/>
  <c r="T1824" i="4"/>
  <c r="U1824" i="4" s="1"/>
  <c r="W1824" i="4"/>
  <c r="V1824" i="4"/>
  <c r="T1825" i="4"/>
  <c r="U1825" i="4" s="1"/>
  <c r="W1825" i="4"/>
  <c r="V1825" i="4"/>
  <c r="T1826" i="4"/>
  <c r="U1826" i="4" s="1"/>
  <c r="W1826" i="4"/>
  <c r="V1826" i="4"/>
  <c r="T1827" i="4"/>
  <c r="U1827" i="4" s="1"/>
  <c r="W1827" i="4"/>
  <c r="V1827" i="4"/>
  <c r="T1828" i="4"/>
  <c r="U1828" i="4" s="1"/>
  <c r="W1828" i="4"/>
  <c r="V1828" i="4"/>
  <c r="T1829" i="4"/>
  <c r="U1829" i="4" s="1"/>
  <c r="W1829" i="4"/>
  <c r="V1829" i="4"/>
  <c r="T1830" i="4"/>
  <c r="U1830" i="4" s="1"/>
  <c r="W1830" i="4"/>
  <c r="V1830" i="4"/>
  <c r="T1831" i="4"/>
  <c r="U1831" i="4" s="1"/>
  <c r="W1831" i="4"/>
  <c r="V1831" i="4"/>
  <c r="T1832" i="4"/>
  <c r="U1832" i="4" s="1"/>
  <c r="W1832" i="4"/>
  <c r="V1832" i="4"/>
  <c r="T1833" i="4"/>
  <c r="U1833" i="4" s="1"/>
  <c r="W1833" i="4"/>
  <c r="V1833" i="4"/>
  <c r="T1834" i="4"/>
  <c r="U1834" i="4" s="1"/>
  <c r="W1834" i="4"/>
  <c r="V1834" i="4"/>
  <c r="T1835" i="4"/>
  <c r="U1835" i="4" s="1"/>
  <c r="W1835" i="4"/>
  <c r="V1835" i="4"/>
  <c r="T1836" i="4"/>
  <c r="U1836" i="4" s="1"/>
  <c r="W1836" i="4"/>
  <c r="V1836" i="4"/>
  <c r="T1837" i="4"/>
  <c r="U1837" i="4" s="1"/>
  <c r="W1837" i="4"/>
  <c r="V1837" i="4"/>
  <c r="T1838" i="4"/>
  <c r="U1838" i="4" s="1"/>
  <c r="W1838" i="4"/>
  <c r="V1838" i="4"/>
  <c r="T1839" i="4"/>
  <c r="U1839" i="4" s="1"/>
  <c r="W1839" i="4"/>
  <c r="V1839" i="4"/>
  <c r="T1840" i="4"/>
  <c r="U1840" i="4" s="1"/>
  <c r="W1840" i="4"/>
  <c r="V1840" i="4"/>
  <c r="T1841" i="4"/>
  <c r="U1841" i="4" s="1"/>
  <c r="W1841" i="4"/>
  <c r="V1841" i="4"/>
  <c r="T1842" i="4"/>
  <c r="U1842" i="4" s="1"/>
  <c r="W1842" i="4"/>
  <c r="V1842" i="4"/>
  <c r="T1843" i="4"/>
  <c r="U1843" i="4" s="1"/>
  <c r="W1843" i="4"/>
  <c r="V1843" i="4"/>
  <c r="T1844" i="4"/>
  <c r="U1844" i="4" s="1"/>
  <c r="W1844" i="4"/>
  <c r="V1844" i="4"/>
  <c r="T1845" i="4"/>
  <c r="U1845" i="4" s="1"/>
  <c r="W1845" i="4"/>
  <c r="V1845" i="4"/>
  <c r="T1846" i="4"/>
  <c r="U1846" i="4" s="1"/>
  <c r="W1846" i="4"/>
  <c r="V1846" i="4"/>
  <c r="T1847" i="4"/>
  <c r="U1847" i="4" s="1"/>
  <c r="W1847" i="4"/>
  <c r="V1847" i="4"/>
  <c r="T1848" i="4"/>
  <c r="U1848" i="4" s="1"/>
  <c r="W1848" i="4"/>
  <c r="V1848" i="4"/>
  <c r="T1849" i="4"/>
  <c r="U1849" i="4" s="1"/>
  <c r="W1849" i="4"/>
  <c r="V1849" i="4"/>
  <c r="T1850" i="4"/>
  <c r="U1850" i="4" s="1"/>
  <c r="W1850" i="4"/>
  <c r="V1850" i="4"/>
  <c r="T1851" i="4"/>
  <c r="U1851" i="4" s="1"/>
  <c r="W1851" i="4"/>
  <c r="V1851" i="4"/>
  <c r="T1852" i="4"/>
  <c r="U1852" i="4" s="1"/>
  <c r="W1852" i="4"/>
  <c r="V1852" i="4"/>
  <c r="T1853" i="4"/>
  <c r="U1853" i="4" s="1"/>
  <c r="W1853" i="4"/>
  <c r="V1853" i="4"/>
  <c r="T1854" i="4"/>
  <c r="U1854" i="4" s="1"/>
  <c r="W1854" i="4"/>
  <c r="V1854" i="4"/>
  <c r="T1855" i="4"/>
  <c r="U1855" i="4" s="1"/>
  <c r="W1855" i="4"/>
  <c r="V1855" i="4"/>
  <c r="T1856" i="4"/>
  <c r="U1856" i="4" s="1"/>
  <c r="W1856" i="4"/>
  <c r="V1856" i="4"/>
  <c r="T1857" i="4"/>
  <c r="U1857" i="4" s="1"/>
  <c r="W1857" i="4"/>
  <c r="V1857" i="4"/>
  <c r="T1858" i="4"/>
  <c r="U1858" i="4" s="1"/>
  <c r="W1858" i="4"/>
  <c r="V1858" i="4"/>
  <c r="T1859" i="4"/>
  <c r="U1859" i="4" s="1"/>
  <c r="W1859" i="4"/>
  <c r="V1859" i="4"/>
  <c r="T1860" i="4"/>
  <c r="U1860" i="4" s="1"/>
  <c r="W1860" i="4"/>
  <c r="V1860" i="4"/>
  <c r="T1861" i="4"/>
  <c r="U1861" i="4" s="1"/>
  <c r="W1861" i="4"/>
  <c r="V1861" i="4"/>
  <c r="T1862" i="4"/>
  <c r="U1862" i="4" s="1"/>
  <c r="W1862" i="4"/>
  <c r="V1862" i="4"/>
  <c r="T1863" i="4"/>
  <c r="U1863" i="4" s="1"/>
  <c r="W1863" i="4"/>
  <c r="V1863" i="4"/>
  <c r="T1864" i="4"/>
  <c r="U1864" i="4" s="1"/>
  <c r="W1864" i="4"/>
  <c r="V1864" i="4"/>
  <c r="T1865" i="4"/>
  <c r="U1865" i="4" s="1"/>
  <c r="W1865" i="4"/>
  <c r="V1865" i="4"/>
  <c r="T1866" i="4"/>
  <c r="U1866" i="4" s="1"/>
  <c r="W1866" i="4"/>
  <c r="V1866" i="4"/>
  <c r="T1867" i="4"/>
  <c r="U1867" i="4" s="1"/>
  <c r="W1867" i="4"/>
  <c r="V1867" i="4"/>
  <c r="T1868" i="4"/>
  <c r="U1868" i="4" s="1"/>
  <c r="W1868" i="4"/>
  <c r="V1868" i="4"/>
  <c r="T1869" i="4"/>
  <c r="U1869" i="4" s="1"/>
  <c r="W1869" i="4"/>
  <c r="V1869" i="4"/>
  <c r="T1870" i="4"/>
  <c r="U1870" i="4" s="1"/>
  <c r="W1870" i="4"/>
  <c r="V1870" i="4"/>
  <c r="T1871" i="4"/>
  <c r="U1871" i="4" s="1"/>
  <c r="W1871" i="4"/>
  <c r="V1871" i="4"/>
  <c r="T1872" i="4"/>
  <c r="U1872" i="4" s="1"/>
  <c r="W1872" i="4"/>
  <c r="V1872" i="4"/>
  <c r="T1873" i="4"/>
  <c r="U1873" i="4" s="1"/>
  <c r="W1873" i="4"/>
  <c r="V1873" i="4"/>
  <c r="T1874" i="4"/>
  <c r="U1874" i="4" s="1"/>
  <c r="W1874" i="4"/>
  <c r="V1874" i="4"/>
  <c r="T1875" i="4"/>
  <c r="U1875" i="4" s="1"/>
  <c r="W1875" i="4"/>
  <c r="V1875" i="4"/>
  <c r="T1876" i="4"/>
  <c r="U1876" i="4" s="1"/>
  <c r="W1876" i="4"/>
  <c r="V1876" i="4"/>
  <c r="T1877" i="4"/>
  <c r="U1877" i="4" s="1"/>
  <c r="W1877" i="4"/>
  <c r="V1877" i="4"/>
  <c r="T1878" i="4"/>
  <c r="U1878" i="4" s="1"/>
  <c r="W1878" i="4"/>
  <c r="V1878" i="4"/>
  <c r="T1879" i="4"/>
  <c r="U1879" i="4" s="1"/>
  <c r="W1879" i="4"/>
  <c r="V1879" i="4"/>
  <c r="T1880" i="4"/>
  <c r="U1880" i="4" s="1"/>
  <c r="W1880" i="4"/>
  <c r="V1880" i="4"/>
  <c r="T1881" i="4"/>
  <c r="U1881" i="4" s="1"/>
  <c r="W1881" i="4"/>
  <c r="V1881" i="4"/>
  <c r="T1882" i="4"/>
  <c r="U1882" i="4" s="1"/>
  <c r="W1882" i="4"/>
  <c r="V1882" i="4"/>
  <c r="T1883" i="4"/>
  <c r="U1883" i="4" s="1"/>
  <c r="W1883" i="4"/>
  <c r="V1883" i="4"/>
  <c r="T1884" i="4"/>
  <c r="U1884" i="4" s="1"/>
  <c r="W1884" i="4"/>
  <c r="V1884" i="4"/>
  <c r="T1885" i="4"/>
  <c r="U1885" i="4" s="1"/>
  <c r="W1885" i="4"/>
  <c r="V1885" i="4"/>
  <c r="T1886" i="4"/>
  <c r="U1886" i="4" s="1"/>
  <c r="W1886" i="4"/>
  <c r="V1886" i="4"/>
  <c r="T1887" i="4"/>
  <c r="U1887" i="4" s="1"/>
  <c r="W1887" i="4"/>
  <c r="V1887" i="4"/>
  <c r="T1888" i="4"/>
  <c r="U1888" i="4" s="1"/>
  <c r="W1888" i="4"/>
  <c r="V1888" i="4"/>
  <c r="T1889" i="4"/>
  <c r="U1889" i="4" s="1"/>
  <c r="W1889" i="4"/>
  <c r="V1889" i="4"/>
  <c r="T1890" i="4"/>
  <c r="U1890" i="4" s="1"/>
  <c r="W1890" i="4"/>
  <c r="V1890" i="4"/>
  <c r="T1891" i="4"/>
  <c r="U1891" i="4" s="1"/>
  <c r="W1891" i="4"/>
  <c r="V1891" i="4"/>
  <c r="T1892" i="4"/>
  <c r="U1892" i="4" s="1"/>
  <c r="W1892" i="4"/>
  <c r="V1892" i="4"/>
  <c r="T1893" i="4"/>
  <c r="U1893" i="4" s="1"/>
  <c r="W1893" i="4"/>
  <c r="V1893" i="4"/>
  <c r="T1894" i="4"/>
  <c r="U1894" i="4" s="1"/>
  <c r="W1894" i="4"/>
  <c r="V1894" i="4"/>
  <c r="T1895" i="4"/>
  <c r="U1895" i="4" s="1"/>
  <c r="W1895" i="4"/>
  <c r="V1895" i="4"/>
  <c r="T1896" i="4"/>
  <c r="U1896" i="4" s="1"/>
  <c r="W1896" i="4"/>
  <c r="V1896" i="4"/>
  <c r="T1897" i="4"/>
  <c r="U1897" i="4" s="1"/>
  <c r="W1897" i="4"/>
  <c r="V1897" i="4"/>
  <c r="T1898" i="4"/>
  <c r="U1898" i="4" s="1"/>
  <c r="W1898" i="4"/>
  <c r="V1898" i="4"/>
  <c r="T1761" i="4"/>
  <c r="U1761" i="4" s="1"/>
  <c r="W1761" i="4"/>
  <c r="V1761" i="4"/>
  <c r="T1762" i="4"/>
  <c r="U1762" i="4" s="1"/>
  <c r="W1762" i="4"/>
  <c r="V1762" i="4"/>
  <c r="T1763" i="4"/>
  <c r="U1763" i="4" s="1"/>
  <c r="W1763" i="4"/>
  <c r="V1763" i="4"/>
  <c r="T1764" i="4"/>
  <c r="U1764" i="4" s="1"/>
  <c r="W1764" i="4"/>
  <c r="V1764" i="4"/>
  <c r="T1765" i="4"/>
  <c r="U1765" i="4" s="1"/>
  <c r="W1765" i="4"/>
  <c r="V1765" i="4"/>
  <c r="T1766" i="4"/>
  <c r="U1766" i="4" s="1"/>
  <c r="W1766" i="4"/>
  <c r="V1766" i="4"/>
  <c r="T1767" i="4"/>
  <c r="U1767" i="4" s="1"/>
  <c r="W1767" i="4"/>
  <c r="V1767" i="4"/>
  <c r="T1768" i="4"/>
  <c r="U1768" i="4" s="1"/>
  <c r="W1768" i="4"/>
  <c r="V1768" i="4"/>
  <c r="T1769" i="4"/>
  <c r="U1769" i="4" s="1"/>
  <c r="W1769" i="4"/>
  <c r="V1769" i="4"/>
  <c r="T1770" i="4"/>
  <c r="U1770" i="4" s="1"/>
  <c r="W1770" i="4"/>
  <c r="V1770" i="4"/>
  <c r="T1771" i="4"/>
  <c r="U1771" i="4" s="1"/>
  <c r="W1771" i="4"/>
  <c r="V1771" i="4"/>
  <c r="T1772" i="4"/>
  <c r="U1772" i="4" s="1"/>
  <c r="W1772" i="4"/>
  <c r="V1772" i="4"/>
  <c r="T1773" i="4"/>
  <c r="U1773" i="4" s="1"/>
  <c r="W1773" i="4"/>
  <c r="V1773" i="4"/>
  <c r="T1774" i="4"/>
  <c r="U1774" i="4" s="1"/>
  <c r="W1774" i="4"/>
  <c r="V1774" i="4"/>
  <c r="T1775" i="4"/>
  <c r="U1775" i="4" s="1"/>
  <c r="W1775" i="4"/>
  <c r="V1775" i="4"/>
  <c r="T1776" i="4"/>
  <c r="U1776" i="4" s="1"/>
  <c r="W1776" i="4"/>
  <c r="V1776" i="4"/>
  <c r="T1777" i="4"/>
  <c r="U1777" i="4" s="1"/>
  <c r="W1777" i="4"/>
  <c r="V1777" i="4"/>
  <c r="T1778" i="4"/>
  <c r="U1778" i="4" s="1"/>
  <c r="W1778" i="4"/>
  <c r="V1778" i="4"/>
  <c r="T1779" i="4"/>
  <c r="U1779" i="4" s="1"/>
  <c r="W1779" i="4"/>
  <c r="V1779" i="4"/>
  <c r="T1780" i="4"/>
  <c r="U1780" i="4" s="1"/>
  <c r="W1780" i="4"/>
  <c r="V1780" i="4"/>
  <c r="T1781" i="4"/>
  <c r="U1781" i="4" s="1"/>
  <c r="W1781" i="4"/>
  <c r="V1781" i="4"/>
  <c r="T1782" i="4"/>
  <c r="U1782" i="4" s="1"/>
  <c r="W1782" i="4"/>
  <c r="V1782" i="4"/>
  <c r="T1783" i="4"/>
  <c r="U1783" i="4" s="1"/>
  <c r="W1783" i="4"/>
  <c r="V1783" i="4"/>
  <c r="T1784" i="4"/>
  <c r="U1784" i="4" s="1"/>
  <c r="W1784" i="4"/>
  <c r="V1784" i="4"/>
  <c r="T1785" i="4"/>
  <c r="U1785" i="4" s="1"/>
  <c r="W1785" i="4"/>
  <c r="V1785" i="4"/>
  <c r="T1786" i="4"/>
  <c r="U1786" i="4" s="1"/>
  <c r="W1786" i="4"/>
  <c r="V1786" i="4"/>
  <c r="T1787" i="4"/>
  <c r="U1787" i="4" s="1"/>
  <c r="W1787" i="4"/>
  <c r="V1787" i="4"/>
  <c r="T1788" i="4"/>
  <c r="U1788" i="4" s="1"/>
  <c r="W1788" i="4"/>
  <c r="V1788" i="4"/>
  <c r="T1789" i="4"/>
  <c r="U1789" i="4" s="1"/>
  <c r="W1789" i="4"/>
  <c r="V1789" i="4"/>
  <c r="T1790" i="4"/>
  <c r="U1790" i="4" s="1"/>
  <c r="W1790" i="4"/>
  <c r="V1790" i="4"/>
  <c r="T1791" i="4"/>
  <c r="U1791" i="4" s="1"/>
  <c r="W1791" i="4"/>
  <c r="V1791" i="4"/>
  <c r="T1792" i="4"/>
  <c r="U1792" i="4" s="1"/>
  <c r="W1792" i="4"/>
  <c r="V1792" i="4"/>
  <c r="T1793" i="4"/>
  <c r="U1793" i="4" s="1"/>
  <c r="W1793" i="4"/>
  <c r="V1793" i="4"/>
  <c r="T1794" i="4"/>
  <c r="U1794" i="4" s="1"/>
  <c r="W1794" i="4"/>
  <c r="V1794" i="4"/>
  <c r="T1795" i="4"/>
  <c r="U1795" i="4" s="1"/>
  <c r="W1795" i="4"/>
  <c r="V1795" i="4"/>
  <c r="T1796" i="4"/>
  <c r="U1796" i="4" s="1"/>
  <c r="W1796" i="4"/>
  <c r="V1796" i="4"/>
  <c r="T1797" i="4"/>
  <c r="U1797" i="4" s="1"/>
  <c r="W1797" i="4"/>
  <c r="V1797" i="4"/>
  <c r="T1798" i="4"/>
  <c r="U1798" i="4" s="1"/>
  <c r="W1798" i="4"/>
  <c r="V1798" i="4"/>
  <c r="T1799" i="4"/>
  <c r="U1799" i="4" s="1"/>
  <c r="W1799" i="4"/>
  <c r="V1799" i="4"/>
  <c r="T1800" i="4"/>
  <c r="U1800" i="4" s="1"/>
  <c r="W1800" i="4"/>
  <c r="V1800" i="4"/>
  <c r="T1801" i="4"/>
  <c r="U1801" i="4" s="1"/>
  <c r="W1801" i="4"/>
  <c r="V1801" i="4"/>
  <c r="T1802" i="4"/>
  <c r="U1802" i="4" s="1"/>
  <c r="W1802" i="4"/>
  <c r="V1802" i="4"/>
  <c r="T1803" i="4"/>
  <c r="U1803" i="4" s="1"/>
  <c r="W1803" i="4"/>
  <c r="V1803" i="4"/>
  <c r="T1804" i="4"/>
  <c r="U1804" i="4" s="1"/>
  <c r="W1804" i="4"/>
  <c r="V1804" i="4"/>
  <c r="T1805" i="4"/>
  <c r="U1805" i="4" s="1"/>
  <c r="W1805" i="4"/>
  <c r="V1805" i="4"/>
  <c r="T1806" i="4"/>
  <c r="U1806" i="4" s="1"/>
  <c r="W1806" i="4"/>
  <c r="V1806" i="4"/>
  <c r="T1807" i="4"/>
  <c r="U1807" i="4" s="1"/>
  <c r="W1807" i="4"/>
  <c r="V1807" i="4"/>
  <c r="T1808" i="4"/>
  <c r="U1808" i="4" s="1"/>
  <c r="W1808" i="4"/>
  <c r="V1808" i="4"/>
  <c r="T1809" i="4"/>
  <c r="U1809" i="4" s="1"/>
  <c r="W1809" i="4"/>
  <c r="V1809" i="4"/>
  <c r="T1810" i="4"/>
  <c r="U1810" i="4" s="1"/>
  <c r="W1810" i="4"/>
  <c r="V1810" i="4"/>
  <c r="T1725" i="4"/>
  <c r="U1725" i="4" s="1"/>
  <c r="W1725" i="4"/>
  <c r="V1725" i="4"/>
  <c r="T1726" i="4"/>
  <c r="U1726" i="4" s="1"/>
  <c r="W1726" i="4"/>
  <c r="V1726" i="4"/>
  <c r="T1727" i="4"/>
  <c r="U1727" i="4" s="1"/>
  <c r="W1727" i="4"/>
  <c r="V1727" i="4"/>
  <c r="T1728" i="4"/>
  <c r="U1728" i="4" s="1"/>
  <c r="W1728" i="4"/>
  <c r="V1728" i="4"/>
  <c r="T1729" i="4"/>
  <c r="U1729" i="4" s="1"/>
  <c r="W1729" i="4"/>
  <c r="V1729" i="4"/>
  <c r="T1730" i="4"/>
  <c r="U1730" i="4" s="1"/>
  <c r="W1730" i="4"/>
  <c r="V1730" i="4"/>
  <c r="T1731" i="4"/>
  <c r="U1731" i="4" s="1"/>
  <c r="W1731" i="4"/>
  <c r="V1731" i="4"/>
  <c r="T1732" i="4"/>
  <c r="U1732" i="4" s="1"/>
  <c r="W1732" i="4"/>
  <c r="V1732" i="4"/>
  <c r="T1733" i="4"/>
  <c r="U1733" i="4" s="1"/>
  <c r="W1733" i="4"/>
  <c r="V1733" i="4"/>
  <c r="T1734" i="4"/>
  <c r="U1734" i="4" s="1"/>
  <c r="W1734" i="4"/>
  <c r="V1734" i="4"/>
  <c r="T1735" i="4"/>
  <c r="U1735" i="4" s="1"/>
  <c r="W1735" i="4"/>
  <c r="V1735" i="4"/>
  <c r="T1736" i="4"/>
  <c r="U1736" i="4" s="1"/>
  <c r="W1736" i="4"/>
  <c r="V1736" i="4"/>
  <c r="T1737" i="4"/>
  <c r="U1737" i="4" s="1"/>
  <c r="W1737" i="4"/>
  <c r="V1737" i="4"/>
  <c r="T1738" i="4"/>
  <c r="U1738" i="4" s="1"/>
  <c r="W1738" i="4"/>
  <c r="V1738" i="4"/>
  <c r="T1739" i="4"/>
  <c r="U1739" i="4" s="1"/>
  <c r="W1739" i="4"/>
  <c r="V1739" i="4"/>
  <c r="T1740" i="4"/>
  <c r="U1740" i="4" s="1"/>
  <c r="W1740" i="4"/>
  <c r="V1740" i="4"/>
  <c r="T1741" i="4"/>
  <c r="U1741" i="4" s="1"/>
  <c r="W1741" i="4"/>
  <c r="V1741" i="4"/>
  <c r="T1742" i="4"/>
  <c r="U1742" i="4" s="1"/>
  <c r="W1742" i="4"/>
  <c r="V1742" i="4"/>
  <c r="T1743" i="4"/>
  <c r="U1743" i="4" s="1"/>
  <c r="W1743" i="4"/>
  <c r="V1743" i="4"/>
  <c r="T1744" i="4"/>
  <c r="U1744" i="4" s="1"/>
  <c r="W1744" i="4"/>
  <c r="V1744" i="4"/>
  <c r="T1745" i="4"/>
  <c r="U1745" i="4" s="1"/>
  <c r="W1745" i="4"/>
  <c r="V1745" i="4"/>
  <c r="T1746" i="4"/>
  <c r="U1746" i="4" s="1"/>
  <c r="W1746" i="4"/>
  <c r="V1746" i="4"/>
  <c r="T1747" i="4"/>
  <c r="U1747" i="4" s="1"/>
  <c r="W1747" i="4"/>
  <c r="V1747" i="4"/>
  <c r="T1748" i="4"/>
  <c r="U1748" i="4" s="1"/>
  <c r="W1748" i="4"/>
  <c r="V1748" i="4"/>
  <c r="T1749" i="4"/>
  <c r="U1749" i="4" s="1"/>
  <c r="W1749" i="4"/>
  <c r="V1749" i="4"/>
  <c r="T1750" i="4"/>
  <c r="U1750" i="4" s="1"/>
  <c r="W1750" i="4"/>
  <c r="V1750" i="4"/>
  <c r="T1751" i="4"/>
  <c r="U1751" i="4" s="1"/>
  <c r="W1751" i="4"/>
  <c r="V1751" i="4"/>
  <c r="T1752" i="4"/>
  <c r="U1752" i="4" s="1"/>
  <c r="W1752" i="4"/>
  <c r="V1752" i="4"/>
  <c r="T1753" i="4"/>
  <c r="U1753" i="4" s="1"/>
  <c r="W1753" i="4"/>
  <c r="V1753" i="4"/>
  <c r="T1754" i="4"/>
  <c r="U1754" i="4" s="1"/>
  <c r="W1754" i="4"/>
  <c r="V1754" i="4"/>
  <c r="T1755" i="4"/>
  <c r="U1755" i="4" s="1"/>
  <c r="W1755" i="4"/>
  <c r="V1755" i="4"/>
  <c r="T1756" i="4"/>
  <c r="U1756" i="4" s="1"/>
  <c r="W1756" i="4"/>
  <c r="V1756" i="4"/>
  <c r="T1757" i="4"/>
  <c r="U1757" i="4" s="1"/>
  <c r="W1757" i="4"/>
  <c r="V1757" i="4"/>
  <c r="T1758" i="4"/>
  <c r="U1758" i="4" s="1"/>
  <c r="W1758" i="4"/>
  <c r="V1758" i="4"/>
  <c r="T1759" i="4"/>
  <c r="U1759" i="4" s="1"/>
  <c r="W1759" i="4"/>
  <c r="V1759" i="4"/>
  <c r="T1760" i="4"/>
  <c r="U1760" i="4" s="1"/>
  <c r="W1760" i="4"/>
  <c r="V1760" i="4"/>
  <c r="T1684" i="4"/>
  <c r="U1684" i="4" s="1"/>
  <c r="W1684" i="4"/>
  <c r="V1684" i="4"/>
  <c r="T1685" i="4"/>
  <c r="U1685" i="4" s="1"/>
  <c r="W1685" i="4"/>
  <c r="V1685" i="4"/>
  <c r="T1686" i="4"/>
  <c r="U1686" i="4" s="1"/>
  <c r="W1686" i="4"/>
  <c r="V1686" i="4"/>
  <c r="T1687" i="4"/>
  <c r="U1687" i="4" s="1"/>
  <c r="W1687" i="4"/>
  <c r="V1687" i="4"/>
  <c r="T1688" i="4"/>
  <c r="U1688" i="4" s="1"/>
  <c r="W1688" i="4"/>
  <c r="V1688" i="4"/>
  <c r="T1689" i="4"/>
  <c r="U1689" i="4" s="1"/>
  <c r="W1689" i="4"/>
  <c r="V1689" i="4"/>
  <c r="T1690" i="4"/>
  <c r="U1690" i="4" s="1"/>
  <c r="W1690" i="4"/>
  <c r="V1690" i="4"/>
  <c r="T1691" i="4"/>
  <c r="U1691" i="4" s="1"/>
  <c r="W1691" i="4"/>
  <c r="V1691" i="4"/>
  <c r="T1692" i="4"/>
  <c r="U1692" i="4" s="1"/>
  <c r="W1692" i="4"/>
  <c r="V1692" i="4"/>
  <c r="T1693" i="4"/>
  <c r="U1693" i="4" s="1"/>
  <c r="W1693" i="4"/>
  <c r="V1693" i="4"/>
  <c r="T1694" i="4"/>
  <c r="U1694" i="4" s="1"/>
  <c r="W1694" i="4"/>
  <c r="V1694" i="4"/>
  <c r="T1695" i="4"/>
  <c r="U1695" i="4" s="1"/>
  <c r="W1695" i="4"/>
  <c r="V1695" i="4"/>
  <c r="T1696" i="4"/>
  <c r="U1696" i="4" s="1"/>
  <c r="W1696" i="4"/>
  <c r="V1696" i="4"/>
  <c r="T1697" i="4"/>
  <c r="U1697" i="4" s="1"/>
  <c r="W1697" i="4"/>
  <c r="V1697" i="4"/>
  <c r="T1698" i="4"/>
  <c r="U1698" i="4" s="1"/>
  <c r="W1698" i="4"/>
  <c r="V1698" i="4"/>
  <c r="T1699" i="4"/>
  <c r="U1699" i="4" s="1"/>
  <c r="W1699" i="4"/>
  <c r="V1699" i="4"/>
  <c r="T1700" i="4"/>
  <c r="U1700" i="4" s="1"/>
  <c r="W1700" i="4"/>
  <c r="V1700" i="4"/>
  <c r="T1701" i="4"/>
  <c r="U1701" i="4" s="1"/>
  <c r="W1701" i="4"/>
  <c r="V1701" i="4"/>
  <c r="T1702" i="4"/>
  <c r="U1702" i="4" s="1"/>
  <c r="W1702" i="4"/>
  <c r="V1702" i="4"/>
  <c r="T1703" i="4"/>
  <c r="U1703" i="4" s="1"/>
  <c r="W1703" i="4"/>
  <c r="V1703" i="4"/>
  <c r="T1704" i="4"/>
  <c r="U1704" i="4" s="1"/>
  <c r="W1704" i="4"/>
  <c r="V1704" i="4"/>
  <c r="T1705" i="4"/>
  <c r="U1705" i="4" s="1"/>
  <c r="W1705" i="4"/>
  <c r="V1705" i="4"/>
  <c r="T1706" i="4"/>
  <c r="U1706" i="4" s="1"/>
  <c r="W1706" i="4"/>
  <c r="V1706" i="4"/>
  <c r="T1707" i="4"/>
  <c r="U1707" i="4" s="1"/>
  <c r="W1707" i="4"/>
  <c r="V1707" i="4"/>
  <c r="T1708" i="4"/>
  <c r="U1708" i="4" s="1"/>
  <c r="W1708" i="4"/>
  <c r="V1708" i="4"/>
  <c r="T1709" i="4"/>
  <c r="U1709" i="4" s="1"/>
  <c r="W1709" i="4"/>
  <c r="V1709" i="4"/>
  <c r="T1710" i="4"/>
  <c r="U1710" i="4" s="1"/>
  <c r="W1710" i="4"/>
  <c r="V1710" i="4"/>
  <c r="T1711" i="4"/>
  <c r="U1711" i="4" s="1"/>
  <c r="W1711" i="4"/>
  <c r="V1711" i="4"/>
  <c r="T1712" i="4"/>
  <c r="U1712" i="4" s="1"/>
  <c r="W1712" i="4"/>
  <c r="V1712" i="4"/>
  <c r="T1713" i="4"/>
  <c r="U1713" i="4" s="1"/>
  <c r="W1713" i="4"/>
  <c r="V1713" i="4"/>
  <c r="T1714" i="4"/>
  <c r="U1714" i="4" s="1"/>
  <c r="W1714" i="4"/>
  <c r="V1714" i="4"/>
  <c r="T1715" i="4"/>
  <c r="U1715" i="4" s="1"/>
  <c r="W1715" i="4"/>
  <c r="V1715" i="4"/>
  <c r="T1716" i="4"/>
  <c r="U1716" i="4" s="1"/>
  <c r="W1716" i="4"/>
  <c r="V1716" i="4"/>
  <c r="T1717" i="4"/>
  <c r="U1717" i="4" s="1"/>
  <c r="W1717" i="4"/>
  <c r="V1717" i="4"/>
  <c r="T1718" i="4"/>
  <c r="U1718" i="4" s="1"/>
  <c r="W1718" i="4"/>
  <c r="V1718" i="4"/>
  <c r="T1719" i="4"/>
  <c r="U1719" i="4" s="1"/>
  <c r="W1719" i="4"/>
  <c r="V1719" i="4"/>
  <c r="T1720" i="4"/>
  <c r="U1720" i="4" s="1"/>
  <c r="W1720" i="4"/>
  <c r="V1720" i="4"/>
  <c r="T1721" i="4"/>
  <c r="U1721" i="4" s="1"/>
  <c r="W1721" i="4"/>
  <c r="V1721" i="4"/>
  <c r="T1722" i="4"/>
  <c r="U1722" i="4" s="1"/>
  <c r="W1722" i="4"/>
  <c r="V1722" i="4"/>
  <c r="T1723" i="4"/>
  <c r="U1723" i="4" s="1"/>
  <c r="W1723" i="4"/>
  <c r="V1723" i="4"/>
  <c r="T1724" i="4"/>
  <c r="U1724" i="4" s="1"/>
  <c r="W1724" i="4"/>
  <c r="V1724" i="4"/>
  <c r="T1523" i="4"/>
  <c r="U1523" i="4" s="1"/>
  <c r="W1523" i="4"/>
  <c r="V1523" i="4"/>
  <c r="T1524" i="4"/>
  <c r="U1524" i="4" s="1"/>
  <c r="W1524" i="4"/>
  <c r="V1524" i="4"/>
  <c r="T1525" i="4"/>
  <c r="U1525" i="4" s="1"/>
  <c r="W1525" i="4"/>
  <c r="V1525" i="4"/>
  <c r="T1526" i="4"/>
  <c r="U1526" i="4" s="1"/>
  <c r="W1526" i="4"/>
  <c r="V1526" i="4"/>
  <c r="T1527" i="4"/>
  <c r="U1527" i="4" s="1"/>
  <c r="W1527" i="4"/>
  <c r="V1527" i="4"/>
  <c r="T1528" i="4"/>
  <c r="U1528" i="4" s="1"/>
  <c r="W1528" i="4"/>
  <c r="V1528" i="4"/>
  <c r="T1529" i="4"/>
  <c r="U1529" i="4" s="1"/>
  <c r="W1529" i="4"/>
  <c r="V1529" i="4"/>
  <c r="T1530" i="4"/>
  <c r="U1530" i="4" s="1"/>
  <c r="W1530" i="4"/>
  <c r="V1530" i="4"/>
  <c r="T1531" i="4"/>
  <c r="U1531" i="4" s="1"/>
  <c r="W1531" i="4"/>
  <c r="V1531" i="4"/>
  <c r="T1532" i="4"/>
  <c r="U1532" i="4" s="1"/>
  <c r="W1532" i="4"/>
  <c r="V1532" i="4"/>
  <c r="T1533" i="4"/>
  <c r="U1533" i="4" s="1"/>
  <c r="W1533" i="4"/>
  <c r="V1533" i="4"/>
  <c r="T1534" i="4"/>
  <c r="U1534" i="4" s="1"/>
  <c r="W1534" i="4"/>
  <c r="V1534" i="4"/>
  <c r="T1535" i="4"/>
  <c r="U1535" i="4" s="1"/>
  <c r="W1535" i="4"/>
  <c r="V1535" i="4"/>
  <c r="T1536" i="4"/>
  <c r="U1536" i="4" s="1"/>
  <c r="W1536" i="4"/>
  <c r="V1536" i="4"/>
  <c r="T1537" i="4"/>
  <c r="U1537" i="4" s="1"/>
  <c r="W1537" i="4"/>
  <c r="V1537" i="4"/>
  <c r="T1538" i="4"/>
  <c r="U1538" i="4" s="1"/>
  <c r="W1538" i="4"/>
  <c r="V1538" i="4"/>
  <c r="T1539" i="4"/>
  <c r="U1539" i="4" s="1"/>
  <c r="W1539" i="4"/>
  <c r="V1539" i="4"/>
  <c r="T1540" i="4"/>
  <c r="U1540" i="4" s="1"/>
  <c r="W1540" i="4"/>
  <c r="V1540" i="4"/>
  <c r="T1541" i="4"/>
  <c r="U1541" i="4" s="1"/>
  <c r="W1541" i="4"/>
  <c r="V1541" i="4"/>
  <c r="T1542" i="4"/>
  <c r="U1542" i="4" s="1"/>
  <c r="W1542" i="4"/>
  <c r="V1542" i="4"/>
  <c r="T1543" i="4"/>
  <c r="U1543" i="4" s="1"/>
  <c r="W1543" i="4"/>
  <c r="V1543" i="4"/>
  <c r="T1544" i="4"/>
  <c r="U1544" i="4" s="1"/>
  <c r="W1544" i="4"/>
  <c r="V1544" i="4"/>
  <c r="T1545" i="4"/>
  <c r="U1545" i="4" s="1"/>
  <c r="W1545" i="4"/>
  <c r="V1545" i="4"/>
  <c r="T1546" i="4"/>
  <c r="U1546" i="4" s="1"/>
  <c r="W1546" i="4"/>
  <c r="V1546" i="4"/>
  <c r="T1547" i="4"/>
  <c r="U1547" i="4" s="1"/>
  <c r="W1547" i="4"/>
  <c r="V1547" i="4"/>
  <c r="T1548" i="4"/>
  <c r="U1548" i="4" s="1"/>
  <c r="W1548" i="4"/>
  <c r="V1548" i="4"/>
  <c r="T1549" i="4"/>
  <c r="U1549" i="4" s="1"/>
  <c r="W1549" i="4"/>
  <c r="V1549" i="4"/>
  <c r="T1550" i="4"/>
  <c r="U1550" i="4" s="1"/>
  <c r="W1550" i="4"/>
  <c r="V1550" i="4"/>
  <c r="T1551" i="4"/>
  <c r="U1551" i="4" s="1"/>
  <c r="W1551" i="4"/>
  <c r="V1551" i="4"/>
  <c r="T1552" i="4"/>
  <c r="U1552" i="4" s="1"/>
  <c r="W1552" i="4"/>
  <c r="V1552" i="4"/>
  <c r="T1553" i="4"/>
  <c r="U1553" i="4" s="1"/>
  <c r="W1553" i="4"/>
  <c r="V1553" i="4"/>
  <c r="T1554" i="4"/>
  <c r="U1554" i="4" s="1"/>
  <c r="W1554" i="4"/>
  <c r="V1554" i="4"/>
  <c r="T1555" i="4"/>
  <c r="U1555" i="4" s="1"/>
  <c r="W1555" i="4"/>
  <c r="V1555" i="4"/>
  <c r="T1556" i="4"/>
  <c r="U1556" i="4" s="1"/>
  <c r="W1556" i="4"/>
  <c r="V1556" i="4"/>
  <c r="T1557" i="4"/>
  <c r="U1557" i="4" s="1"/>
  <c r="W1557" i="4"/>
  <c r="V1557" i="4"/>
  <c r="T1558" i="4"/>
  <c r="U1558" i="4" s="1"/>
  <c r="W1558" i="4"/>
  <c r="V1558" i="4"/>
  <c r="T1559" i="4"/>
  <c r="U1559" i="4" s="1"/>
  <c r="W1559" i="4"/>
  <c r="V1559" i="4"/>
  <c r="T1560" i="4"/>
  <c r="U1560" i="4" s="1"/>
  <c r="W1560" i="4"/>
  <c r="V1560" i="4"/>
  <c r="T1561" i="4"/>
  <c r="U1561" i="4" s="1"/>
  <c r="W1561" i="4"/>
  <c r="V1561" i="4"/>
  <c r="T1562" i="4"/>
  <c r="U1562" i="4" s="1"/>
  <c r="W1562" i="4"/>
  <c r="V1562" i="4"/>
  <c r="T1563" i="4"/>
  <c r="U1563" i="4" s="1"/>
  <c r="W1563" i="4"/>
  <c r="V1563" i="4"/>
  <c r="T1564" i="4"/>
  <c r="U1564" i="4" s="1"/>
  <c r="W1564" i="4"/>
  <c r="V1564" i="4"/>
  <c r="T1565" i="4"/>
  <c r="U1565" i="4" s="1"/>
  <c r="W1565" i="4"/>
  <c r="V1565" i="4"/>
  <c r="T1566" i="4"/>
  <c r="U1566" i="4" s="1"/>
  <c r="W1566" i="4"/>
  <c r="V1566" i="4"/>
  <c r="T1567" i="4"/>
  <c r="U1567" i="4" s="1"/>
  <c r="W1567" i="4"/>
  <c r="V1567" i="4"/>
  <c r="T1568" i="4"/>
  <c r="U1568" i="4" s="1"/>
  <c r="W1568" i="4"/>
  <c r="V1568" i="4"/>
  <c r="T1569" i="4"/>
  <c r="U1569" i="4" s="1"/>
  <c r="W1569" i="4"/>
  <c r="V1569" i="4"/>
  <c r="T1570" i="4"/>
  <c r="U1570" i="4" s="1"/>
  <c r="W1570" i="4"/>
  <c r="V1570" i="4"/>
  <c r="T1571" i="4"/>
  <c r="U1571" i="4" s="1"/>
  <c r="W1571" i="4"/>
  <c r="V1571" i="4"/>
  <c r="T1572" i="4"/>
  <c r="U1572" i="4" s="1"/>
  <c r="W1572" i="4"/>
  <c r="V1572" i="4"/>
  <c r="T1573" i="4"/>
  <c r="U1573" i="4" s="1"/>
  <c r="W1573" i="4"/>
  <c r="V1573" i="4"/>
  <c r="T1574" i="4"/>
  <c r="U1574" i="4" s="1"/>
  <c r="W1574" i="4"/>
  <c r="V1574" i="4"/>
  <c r="T1575" i="4"/>
  <c r="U1575" i="4" s="1"/>
  <c r="W1575" i="4"/>
  <c r="V1575" i="4"/>
  <c r="T1576" i="4"/>
  <c r="U1576" i="4" s="1"/>
  <c r="W1576" i="4"/>
  <c r="V1576" i="4"/>
  <c r="T1577" i="4"/>
  <c r="U1577" i="4" s="1"/>
  <c r="W1577" i="4"/>
  <c r="V1577" i="4"/>
  <c r="T1578" i="4"/>
  <c r="U1578" i="4" s="1"/>
  <c r="W1578" i="4"/>
  <c r="V1578" i="4"/>
  <c r="T1579" i="4"/>
  <c r="U1579" i="4" s="1"/>
  <c r="W1579" i="4"/>
  <c r="V1579" i="4"/>
  <c r="T1580" i="4"/>
  <c r="U1580" i="4" s="1"/>
  <c r="W1580" i="4"/>
  <c r="V1580" i="4"/>
  <c r="T1581" i="4"/>
  <c r="U1581" i="4" s="1"/>
  <c r="W1581" i="4"/>
  <c r="V1581" i="4"/>
  <c r="T1582" i="4"/>
  <c r="U1582" i="4" s="1"/>
  <c r="W1582" i="4"/>
  <c r="V1582" i="4"/>
  <c r="T1583" i="4"/>
  <c r="U1583" i="4" s="1"/>
  <c r="W1583" i="4"/>
  <c r="V1583" i="4"/>
  <c r="T1584" i="4"/>
  <c r="U1584" i="4" s="1"/>
  <c r="W1584" i="4"/>
  <c r="V1584" i="4"/>
  <c r="T1585" i="4"/>
  <c r="U1585" i="4" s="1"/>
  <c r="W1585" i="4"/>
  <c r="V1585" i="4"/>
  <c r="T1586" i="4"/>
  <c r="U1586" i="4" s="1"/>
  <c r="W1586" i="4"/>
  <c r="V1586" i="4"/>
  <c r="T1587" i="4"/>
  <c r="U1587" i="4" s="1"/>
  <c r="W1587" i="4"/>
  <c r="V1587" i="4"/>
  <c r="T1588" i="4"/>
  <c r="U1588" i="4" s="1"/>
  <c r="W1588" i="4"/>
  <c r="V1588" i="4"/>
  <c r="T1589" i="4"/>
  <c r="U1589" i="4" s="1"/>
  <c r="W1589" i="4"/>
  <c r="V1589" i="4"/>
  <c r="T1590" i="4"/>
  <c r="U1590" i="4" s="1"/>
  <c r="W1590" i="4"/>
  <c r="V1590" i="4"/>
  <c r="T1591" i="4"/>
  <c r="U1591" i="4" s="1"/>
  <c r="W1591" i="4"/>
  <c r="V1591" i="4"/>
  <c r="T1592" i="4"/>
  <c r="U1592" i="4" s="1"/>
  <c r="W1592" i="4"/>
  <c r="V1592" i="4"/>
  <c r="T1593" i="4"/>
  <c r="U1593" i="4" s="1"/>
  <c r="W1593" i="4"/>
  <c r="V1593" i="4"/>
  <c r="T1594" i="4"/>
  <c r="U1594" i="4" s="1"/>
  <c r="W1594" i="4"/>
  <c r="V1594" i="4"/>
  <c r="T1595" i="4"/>
  <c r="U1595" i="4" s="1"/>
  <c r="W1595" i="4"/>
  <c r="V1595" i="4"/>
  <c r="T1596" i="4"/>
  <c r="U1596" i="4" s="1"/>
  <c r="W1596" i="4"/>
  <c r="V1596" i="4"/>
  <c r="T1597" i="4"/>
  <c r="U1597" i="4" s="1"/>
  <c r="W1597" i="4"/>
  <c r="V1597" i="4"/>
  <c r="T1598" i="4"/>
  <c r="U1598" i="4" s="1"/>
  <c r="W1598" i="4"/>
  <c r="V1598" i="4"/>
  <c r="T1599" i="4"/>
  <c r="U1599" i="4" s="1"/>
  <c r="W1599" i="4"/>
  <c r="V1599" i="4"/>
  <c r="T1600" i="4"/>
  <c r="U1600" i="4" s="1"/>
  <c r="W1600" i="4"/>
  <c r="V1600" i="4"/>
  <c r="T1601" i="4"/>
  <c r="U1601" i="4" s="1"/>
  <c r="W1601" i="4"/>
  <c r="V1601" i="4"/>
  <c r="T1602" i="4"/>
  <c r="U1602" i="4" s="1"/>
  <c r="W1602" i="4"/>
  <c r="V1602" i="4"/>
  <c r="T1603" i="4"/>
  <c r="U1603" i="4" s="1"/>
  <c r="W1603" i="4"/>
  <c r="V1603" i="4"/>
  <c r="T1604" i="4"/>
  <c r="U1604" i="4" s="1"/>
  <c r="W1604" i="4"/>
  <c r="V1604" i="4"/>
  <c r="T1605" i="4"/>
  <c r="U1605" i="4" s="1"/>
  <c r="W1605" i="4"/>
  <c r="V1605" i="4"/>
  <c r="T1606" i="4"/>
  <c r="U1606" i="4" s="1"/>
  <c r="W1606" i="4"/>
  <c r="V1606" i="4"/>
  <c r="T1607" i="4"/>
  <c r="U1607" i="4" s="1"/>
  <c r="W1607" i="4"/>
  <c r="V1607" i="4"/>
  <c r="T1608" i="4"/>
  <c r="U1608" i="4" s="1"/>
  <c r="W1608" i="4"/>
  <c r="V1608" i="4"/>
  <c r="T1609" i="4"/>
  <c r="U1609" i="4" s="1"/>
  <c r="W1609" i="4"/>
  <c r="V1609" i="4"/>
  <c r="T1610" i="4"/>
  <c r="U1610" i="4" s="1"/>
  <c r="W1610" i="4"/>
  <c r="V1610" i="4"/>
  <c r="T1611" i="4"/>
  <c r="U1611" i="4" s="1"/>
  <c r="W1611" i="4"/>
  <c r="V1611" i="4"/>
  <c r="T1612" i="4"/>
  <c r="U1612" i="4" s="1"/>
  <c r="W1612" i="4"/>
  <c r="V1612" i="4"/>
  <c r="T1613" i="4"/>
  <c r="U1613" i="4" s="1"/>
  <c r="W1613" i="4"/>
  <c r="V1613" i="4"/>
  <c r="T1614" i="4"/>
  <c r="U1614" i="4" s="1"/>
  <c r="W1614" i="4"/>
  <c r="V1614" i="4"/>
  <c r="T1615" i="4"/>
  <c r="U1615" i="4" s="1"/>
  <c r="W1615" i="4"/>
  <c r="V1615" i="4"/>
  <c r="T1616" i="4"/>
  <c r="U1616" i="4" s="1"/>
  <c r="W1616" i="4"/>
  <c r="V1616" i="4"/>
  <c r="T1617" i="4"/>
  <c r="U1617" i="4" s="1"/>
  <c r="W1617" i="4"/>
  <c r="V1617" i="4"/>
  <c r="T1618" i="4"/>
  <c r="U1618" i="4" s="1"/>
  <c r="W1618" i="4"/>
  <c r="V1618" i="4"/>
  <c r="T1619" i="4"/>
  <c r="U1619" i="4" s="1"/>
  <c r="W1619" i="4"/>
  <c r="V1619" i="4"/>
  <c r="T1620" i="4"/>
  <c r="U1620" i="4" s="1"/>
  <c r="W1620" i="4"/>
  <c r="V1620" i="4"/>
  <c r="T1621" i="4"/>
  <c r="U1621" i="4" s="1"/>
  <c r="W1621" i="4"/>
  <c r="V1621" i="4"/>
  <c r="T1622" i="4"/>
  <c r="U1622" i="4" s="1"/>
  <c r="W1622" i="4"/>
  <c r="V1622" i="4"/>
  <c r="T1623" i="4"/>
  <c r="U1623" i="4" s="1"/>
  <c r="W1623" i="4"/>
  <c r="V1623" i="4"/>
  <c r="T1624" i="4"/>
  <c r="U1624" i="4" s="1"/>
  <c r="W1624" i="4"/>
  <c r="V1624" i="4"/>
  <c r="T1625" i="4"/>
  <c r="U1625" i="4" s="1"/>
  <c r="W1625" i="4"/>
  <c r="V1625" i="4"/>
  <c r="T1626" i="4"/>
  <c r="U1626" i="4" s="1"/>
  <c r="W1626" i="4"/>
  <c r="V1626" i="4"/>
  <c r="T1627" i="4"/>
  <c r="U1627" i="4" s="1"/>
  <c r="W1627" i="4"/>
  <c r="V1627" i="4"/>
  <c r="T1628" i="4"/>
  <c r="U1628" i="4" s="1"/>
  <c r="W1628" i="4"/>
  <c r="V1628" i="4"/>
  <c r="T1629" i="4"/>
  <c r="U1629" i="4" s="1"/>
  <c r="W1629" i="4"/>
  <c r="V1629" i="4"/>
  <c r="T1630" i="4"/>
  <c r="U1630" i="4" s="1"/>
  <c r="W1630" i="4"/>
  <c r="V1630" i="4"/>
  <c r="T1631" i="4"/>
  <c r="U1631" i="4" s="1"/>
  <c r="W1631" i="4"/>
  <c r="V1631" i="4"/>
  <c r="T1632" i="4"/>
  <c r="U1632" i="4" s="1"/>
  <c r="W1632" i="4"/>
  <c r="V1632" i="4"/>
  <c r="T1633" i="4"/>
  <c r="U1633" i="4" s="1"/>
  <c r="W1633" i="4"/>
  <c r="V1633" i="4"/>
  <c r="T1634" i="4"/>
  <c r="U1634" i="4" s="1"/>
  <c r="W1634" i="4"/>
  <c r="V1634" i="4"/>
  <c r="T1635" i="4"/>
  <c r="U1635" i="4" s="1"/>
  <c r="W1635" i="4"/>
  <c r="V1635" i="4"/>
  <c r="T1636" i="4"/>
  <c r="U1636" i="4" s="1"/>
  <c r="W1636" i="4"/>
  <c r="V1636" i="4"/>
  <c r="T1637" i="4"/>
  <c r="U1637" i="4" s="1"/>
  <c r="W1637" i="4"/>
  <c r="V1637" i="4"/>
  <c r="T1638" i="4"/>
  <c r="U1638" i="4" s="1"/>
  <c r="W1638" i="4"/>
  <c r="V1638" i="4"/>
  <c r="T1639" i="4"/>
  <c r="U1639" i="4" s="1"/>
  <c r="W1639" i="4"/>
  <c r="V1639" i="4"/>
  <c r="T1640" i="4"/>
  <c r="U1640" i="4" s="1"/>
  <c r="W1640" i="4"/>
  <c r="V1640" i="4"/>
  <c r="T1641" i="4"/>
  <c r="U1641" i="4" s="1"/>
  <c r="W1641" i="4"/>
  <c r="V1641" i="4"/>
  <c r="T1642" i="4"/>
  <c r="U1642" i="4" s="1"/>
  <c r="W1642" i="4"/>
  <c r="V1642" i="4"/>
  <c r="T1643" i="4"/>
  <c r="U1643" i="4" s="1"/>
  <c r="W1643" i="4"/>
  <c r="V1643" i="4"/>
  <c r="T1644" i="4"/>
  <c r="U1644" i="4" s="1"/>
  <c r="W1644" i="4"/>
  <c r="V1644" i="4"/>
  <c r="T1645" i="4"/>
  <c r="U1645" i="4" s="1"/>
  <c r="W1645" i="4"/>
  <c r="V1645" i="4"/>
  <c r="T1646" i="4"/>
  <c r="U1646" i="4" s="1"/>
  <c r="W1646" i="4"/>
  <c r="V1646" i="4"/>
  <c r="T1647" i="4"/>
  <c r="U1647" i="4" s="1"/>
  <c r="W1647" i="4"/>
  <c r="V1647" i="4"/>
  <c r="T1648" i="4"/>
  <c r="U1648" i="4" s="1"/>
  <c r="W1648" i="4"/>
  <c r="V1648" i="4"/>
  <c r="T1649" i="4"/>
  <c r="U1649" i="4" s="1"/>
  <c r="W1649" i="4"/>
  <c r="V1649" i="4"/>
  <c r="T1650" i="4"/>
  <c r="U1650" i="4" s="1"/>
  <c r="W1650" i="4"/>
  <c r="V1650" i="4"/>
  <c r="T1651" i="4"/>
  <c r="U1651" i="4" s="1"/>
  <c r="W1651" i="4"/>
  <c r="V1651" i="4"/>
  <c r="T1652" i="4"/>
  <c r="U1652" i="4" s="1"/>
  <c r="W1652" i="4"/>
  <c r="V1652" i="4"/>
  <c r="T1653" i="4"/>
  <c r="U1653" i="4" s="1"/>
  <c r="W1653" i="4"/>
  <c r="V1653" i="4"/>
  <c r="T1654" i="4"/>
  <c r="U1654" i="4" s="1"/>
  <c r="W1654" i="4"/>
  <c r="V1654" i="4"/>
  <c r="T1655" i="4"/>
  <c r="U1655" i="4" s="1"/>
  <c r="W1655" i="4"/>
  <c r="V1655" i="4"/>
  <c r="T1656" i="4"/>
  <c r="U1656" i="4" s="1"/>
  <c r="W1656" i="4"/>
  <c r="V1656" i="4"/>
  <c r="T1657" i="4"/>
  <c r="U1657" i="4" s="1"/>
  <c r="W1657" i="4"/>
  <c r="V1657" i="4"/>
  <c r="T1658" i="4"/>
  <c r="U1658" i="4" s="1"/>
  <c r="W1658" i="4"/>
  <c r="V1658" i="4"/>
  <c r="T1659" i="4"/>
  <c r="U1659" i="4" s="1"/>
  <c r="W1659" i="4"/>
  <c r="V1659" i="4"/>
  <c r="T1660" i="4"/>
  <c r="U1660" i="4" s="1"/>
  <c r="W1660" i="4"/>
  <c r="V1660" i="4"/>
  <c r="T1661" i="4"/>
  <c r="U1661" i="4" s="1"/>
  <c r="W1661" i="4"/>
  <c r="V1661" i="4"/>
  <c r="T1662" i="4"/>
  <c r="U1662" i="4" s="1"/>
  <c r="W1662" i="4"/>
  <c r="V1662" i="4"/>
  <c r="T1663" i="4"/>
  <c r="U1663" i="4" s="1"/>
  <c r="W1663" i="4"/>
  <c r="V1663" i="4"/>
  <c r="T1664" i="4"/>
  <c r="U1664" i="4" s="1"/>
  <c r="W1664" i="4"/>
  <c r="V1664" i="4"/>
  <c r="T1665" i="4"/>
  <c r="U1665" i="4" s="1"/>
  <c r="W1665" i="4"/>
  <c r="V1665" i="4"/>
  <c r="T1666" i="4"/>
  <c r="U1666" i="4" s="1"/>
  <c r="W1666" i="4"/>
  <c r="V1666" i="4"/>
  <c r="T1667" i="4"/>
  <c r="U1667" i="4" s="1"/>
  <c r="W1667" i="4"/>
  <c r="V1667" i="4"/>
  <c r="T1668" i="4"/>
  <c r="U1668" i="4" s="1"/>
  <c r="W1668" i="4"/>
  <c r="V1668" i="4"/>
  <c r="T1669" i="4"/>
  <c r="U1669" i="4" s="1"/>
  <c r="W1669" i="4"/>
  <c r="V1669" i="4"/>
  <c r="T1670" i="4"/>
  <c r="U1670" i="4" s="1"/>
  <c r="W1670" i="4"/>
  <c r="V1670" i="4"/>
  <c r="T1671" i="4"/>
  <c r="U1671" i="4" s="1"/>
  <c r="W1671" i="4"/>
  <c r="V1671" i="4"/>
  <c r="T1672" i="4"/>
  <c r="U1672" i="4" s="1"/>
  <c r="W1672" i="4"/>
  <c r="V1672" i="4"/>
  <c r="T1673" i="4"/>
  <c r="U1673" i="4" s="1"/>
  <c r="W1673" i="4"/>
  <c r="V1673" i="4"/>
  <c r="T1674" i="4"/>
  <c r="U1674" i="4" s="1"/>
  <c r="W1674" i="4"/>
  <c r="V1674" i="4"/>
  <c r="T1675" i="4"/>
  <c r="U1675" i="4" s="1"/>
  <c r="W1675" i="4"/>
  <c r="V1675" i="4"/>
  <c r="T1676" i="4"/>
  <c r="U1676" i="4" s="1"/>
  <c r="W1676" i="4"/>
  <c r="V1676" i="4"/>
  <c r="T1677" i="4"/>
  <c r="U1677" i="4" s="1"/>
  <c r="W1677" i="4"/>
  <c r="V1677" i="4"/>
  <c r="T1678" i="4"/>
  <c r="U1678" i="4" s="1"/>
  <c r="W1678" i="4"/>
  <c r="V1678" i="4"/>
  <c r="T1679" i="4"/>
  <c r="U1679" i="4" s="1"/>
  <c r="W1679" i="4"/>
  <c r="V1679" i="4"/>
  <c r="T1680" i="4"/>
  <c r="U1680" i="4" s="1"/>
  <c r="W1680" i="4"/>
  <c r="V1680" i="4"/>
  <c r="T1681" i="4"/>
  <c r="U1681" i="4" s="1"/>
  <c r="W1681" i="4"/>
  <c r="V1681" i="4"/>
  <c r="T1682" i="4"/>
  <c r="U1682" i="4" s="1"/>
  <c r="W1682" i="4"/>
  <c r="V1682" i="4"/>
  <c r="T1683" i="4"/>
  <c r="U1683" i="4" s="1"/>
  <c r="W1683" i="4"/>
  <c r="V1683" i="4"/>
  <c r="T1345" i="4"/>
  <c r="U1345" i="4" s="1"/>
  <c r="W1345" i="4"/>
  <c r="V1345" i="4"/>
  <c r="T1346" i="4"/>
  <c r="U1346" i="4" s="1"/>
  <c r="W1346" i="4"/>
  <c r="V1346" i="4"/>
  <c r="T1347" i="4"/>
  <c r="U1347" i="4" s="1"/>
  <c r="W1347" i="4"/>
  <c r="V1347" i="4"/>
  <c r="T1348" i="4"/>
  <c r="U1348" i="4" s="1"/>
  <c r="W1348" i="4"/>
  <c r="V1348" i="4"/>
  <c r="T1349" i="4"/>
  <c r="U1349" i="4" s="1"/>
  <c r="W1349" i="4"/>
  <c r="V1349" i="4"/>
  <c r="T1350" i="4"/>
  <c r="U1350" i="4" s="1"/>
  <c r="W1350" i="4"/>
  <c r="V1350" i="4"/>
  <c r="T1351" i="4"/>
  <c r="U1351" i="4" s="1"/>
  <c r="W1351" i="4"/>
  <c r="V1351" i="4"/>
  <c r="T1352" i="4"/>
  <c r="U1352" i="4" s="1"/>
  <c r="W1352" i="4"/>
  <c r="V1352" i="4"/>
  <c r="T1353" i="4"/>
  <c r="U1353" i="4" s="1"/>
  <c r="W1353" i="4"/>
  <c r="V1353" i="4"/>
  <c r="T1354" i="4"/>
  <c r="U1354" i="4" s="1"/>
  <c r="W1354" i="4"/>
  <c r="V1354" i="4"/>
  <c r="T1355" i="4"/>
  <c r="U1355" i="4" s="1"/>
  <c r="W1355" i="4"/>
  <c r="V1355" i="4"/>
  <c r="T1356" i="4"/>
  <c r="U1356" i="4" s="1"/>
  <c r="W1356" i="4"/>
  <c r="V1356" i="4"/>
  <c r="T1357" i="4"/>
  <c r="U1357" i="4" s="1"/>
  <c r="W1357" i="4"/>
  <c r="V1357" i="4"/>
  <c r="T1358" i="4"/>
  <c r="U1358" i="4" s="1"/>
  <c r="W1358" i="4"/>
  <c r="V1358" i="4"/>
  <c r="T1359" i="4"/>
  <c r="U1359" i="4" s="1"/>
  <c r="W1359" i="4"/>
  <c r="V1359" i="4"/>
  <c r="T1360" i="4"/>
  <c r="U1360" i="4" s="1"/>
  <c r="W1360" i="4"/>
  <c r="V1360" i="4"/>
  <c r="T1361" i="4"/>
  <c r="U1361" i="4" s="1"/>
  <c r="W1361" i="4"/>
  <c r="V1361" i="4"/>
  <c r="T1362" i="4"/>
  <c r="U1362" i="4" s="1"/>
  <c r="W1362" i="4"/>
  <c r="V1362" i="4"/>
  <c r="T1363" i="4"/>
  <c r="U1363" i="4" s="1"/>
  <c r="W1363" i="4"/>
  <c r="V1363" i="4"/>
  <c r="T1364" i="4"/>
  <c r="U1364" i="4" s="1"/>
  <c r="W1364" i="4"/>
  <c r="V1364" i="4"/>
  <c r="T1365" i="4"/>
  <c r="U1365" i="4" s="1"/>
  <c r="W1365" i="4"/>
  <c r="V1365" i="4"/>
  <c r="T1366" i="4"/>
  <c r="U1366" i="4" s="1"/>
  <c r="W1366" i="4"/>
  <c r="V1366" i="4"/>
  <c r="T1367" i="4"/>
  <c r="U1367" i="4" s="1"/>
  <c r="W1367" i="4"/>
  <c r="V1367" i="4"/>
  <c r="T1368" i="4"/>
  <c r="U1368" i="4" s="1"/>
  <c r="W1368" i="4"/>
  <c r="V1368" i="4"/>
  <c r="T1369" i="4"/>
  <c r="U1369" i="4" s="1"/>
  <c r="W1369" i="4"/>
  <c r="V1369" i="4"/>
  <c r="T1370" i="4"/>
  <c r="U1370" i="4" s="1"/>
  <c r="W1370" i="4"/>
  <c r="V1370" i="4"/>
  <c r="T1371" i="4"/>
  <c r="U1371" i="4" s="1"/>
  <c r="W1371" i="4"/>
  <c r="V1371" i="4"/>
  <c r="T1372" i="4"/>
  <c r="U1372" i="4" s="1"/>
  <c r="W1372" i="4"/>
  <c r="V1372" i="4"/>
  <c r="T1373" i="4"/>
  <c r="U1373" i="4" s="1"/>
  <c r="W1373" i="4"/>
  <c r="V1373" i="4"/>
  <c r="T1374" i="4"/>
  <c r="U1374" i="4" s="1"/>
  <c r="W1374" i="4"/>
  <c r="V1374" i="4"/>
  <c r="T1375" i="4"/>
  <c r="U1375" i="4" s="1"/>
  <c r="W1375" i="4"/>
  <c r="V1375" i="4"/>
  <c r="T1376" i="4"/>
  <c r="U1376" i="4" s="1"/>
  <c r="W1376" i="4"/>
  <c r="V1376" i="4"/>
  <c r="T1377" i="4"/>
  <c r="U1377" i="4" s="1"/>
  <c r="W1377" i="4"/>
  <c r="V1377" i="4"/>
  <c r="T1378" i="4"/>
  <c r="U1378" i="4" s="1"/>
  <c r="W1378" i="4"/>
  <c r="V1378" i="4"/>
  <c r="T1379" i="4"/>
  <c r="U1379" i="4" s="1"/>
  <c r="W1379" i="4"/>
  <c r="V1379" i="4"/>
  <c r="T1380" i="4"/>
  <c r="U1380" i="4" s="1"/>
  <c r="W1380" i="4"/>
  <c r="V1380" i="4"/>
  <c r="T1381" i="4"/>
  <c r="U1381" i="4" s="1"/>
  <c r="W1381" i="4"/>
  <c r="V1381" i="4"/>
  <c r="T1382" i="4"/>
  <c r="U1382" i="4" s="1"/>
  <c r="W1382" i="4"/>
  <c r="V1382" i="4"/>
  <c r="T1383" i="4"/>
  <c r="U1383" i="4" s="1"/>
  <c r="W1383" i="4"/>
  <c r="V1383" i="4"/>
  <c r="T1384" i="4"/>
  <c r="U1384" i="4" s="1"/>
  <c r="W1384" i="4"/>
  <c r="V1384" i="4"/>
  <c r="T1385" i="4"/>
  <c r="U1385" i="4" s="1"/>
  <c r="W1385" i="4"/>
  <c r="V1385" i="4"/>
  <c r="T1386" i="4"/>
  <c r="U1386" i="4" s="1"/>
  <c r="W1386" i="4"/>
  <c r="V1386" i="4"/>
  <c r="T1387" i="4"/>
  <c r="U1387" i="4" s="1"/>
  <c r="W1387" i="4"/>
  <c r="V1387" i="4"/>
  <c r="T1388" i="4"/>
  <c r="U1388" i="4" s="1"/>
  <c r="W1388" i="4"/>
  <c r="V1388" i="4"/>
  <c r="T1389" i="4"/>
  <c r="U1389" i="4" s="1"/>
  <c r="W1389" i="4"/>
  <c r="V1389" i="4"/>
  <c r="T1390" i="4"/>
  <c r="U1390" i="4" s="1"/>
  <c r="W1390" i="4"/>
  <c r="V1390" i="4"/>
  <c r="T1391" i="4"/>
  <c r="U1391" i="4" s="1"/>
  <c r="W1391" i="4"/>
  <c r="V1391" i="4"/>
  <c r="T1392" i="4"/>
  <c r="U1392" i="4" s="1"/>
  <c r="W1392" i="4"/>
  <c r="V1392" i="4"/>
  <c r="T1393" i="4"/>
  <c r="U1393" i="4" s="1"/>
  <c r="W1393" i="4"/>
  <c r="V1393" i="4"/>
  <c r="T1394" i="4"/>
  <c r="U1394" i="4" s="1"/>
  <c r="W1394" i="4"/>
  <c r="V1394" i="4"/>
  <c r="T1395" i="4"/>
  <c r="U1395" i="4" s="1"/>
  <c r="W1395" i="4"/>
  <c r="V1395" i="4"/>
  <c r="T1396" i="4"/>
  <c r="U1396" i="4" s="1"/>
  <c r="W1396" i="4"/>
  <c r="V1396" i="4"/>
  <c r="T1397" i="4"/>
  <c r="U1397" i="4" s="1"/>
  <c r="W1397" i="4"/>
  <c r="V1397" i="4"/>
  <c r="T1398" i="4"/>
  <c r="U1398" i="4" s="1"/>
  <c r="W1398" i="4"/>
  <c r="V1398" i="4"/>
  <c r="T1399" i="4"/>
  <c r="U1399" i="4" s="1"/>
  <c r="W1399" i="4"/>
  <c r="V1399" i="4"/>
  <c r="T1400" i="4"/>
  <c r="U1400" i="4" s="1"/>
  <c r="W1400" i="4"/>
  <c r="V1400" i="4"/>
  <c r="T1401" i="4"/>
  <c r="U1401" i="4" s="1"/>
  <c r="W1401" i="4"/>
  <c r="V1401" i="4"/>
  <c r="T1402" i="4"/>
  <c r="U1402" i="4" s="1"/>
  <c r="W1402" i="4"/>
  <c r="V1402" i="4"/>
  <c r="T1403" i="4"/>
  <c r="U1403" i="4" s="1"/>
  <c r="W1403" i="4"/>
  <c r="V1403" i="4"/>
  <c r="T1404" i="4"/>
  <c r="U1404" i="4" s="1"/>
  <c r="W1404" i="4"/>
  <c r="V1404" i="4"/>
  <c r="T1405" i="4"/>
  <c r="U1405" i="4" s="1"/>
  <c r="W1405" i="4"/>
  <c r="V1405" i="4"/>
  <c r="T1406" i="4"/>
  <c r="U1406" i="4" s="1"/>
  <c r="W1406" i="4"/>
  <c r="V1406" i="4"/>
  <c r="T1407" i="4"/>
  <c r="U1407" i="4" s="1"/>
  <c r="W1407" i="4"/>
  <c r="V1407" i="4"/>
  <c r="T1408" i="4"/>
  <c r="U1408" i="4" s="1"/>
  <c r="W1408" i="4"/>
  <c r="V1408" i="4"/>
  <c r="T1409" i="4"/>
  <c r="U1409" i="4" s="1"/>
  <c r="W1409" i="4"/>
  <c r="V1409" i="4"/>
  <c r="T1410" i="4"/>
  <c r="U1410" i="4" s="1"/>
  <c r="W1410" i="4"/>
  <c r="V1410" i="4"/>
  <c r="T1411" i="4"/>
  <c r="U1411" i="4" s="1"/>
  <c r="W1411" i="4"/>
  <c r="V1411" i="4"/>
  <c r="T1412" i="4"/>
  <c r="U1412" i="4" s="1"/>
  <c r="W1412" i="4"/>
  <c r="V1412" i="4"/>
  <c r="T1413" i="4"/>
  <c r="U1413" i="4" s="1"/>
  <c r="W1413" i="4"/>
  <c r="V1413" i="4"/>
  <c r="T1414" i="4"/>
  <c r="U1414" i="4" s="1"/>
  <c r="W1414" i="4"/>
  <c r="V1414" i="4"/>
  <c r="T1415" i="4"/>
  <c r="U1415" i="4" s="1"/>
  <c r="W1415" i="4"/>
  <c r="V1415" i="4"/>
  <c r="T1416" i="4"/>
  <c r="U1416" i="4" s="1"/>
  <c r="W1416" i="4"/>
  <c r="V1416" i="4"/>
  <c r="T1417" i="4"/>
  <c r="U1417" i="4" s="1"/>
  <c r="W1417" i="4"/>
  <c r="V1417" i="4"/>
  <c r="T1418" i="4"/>
  <c r="U1418" i="4" s="1"/>
  <c r="W1418" i="4"/>
  <c r="V1418" i="4"/>
  <c r="T1419" i="4"/>
  <c r="U1419" i="4" s="1"/>
  <c r="W1419" i="4"/>
  <c r="V1419" i="4"/>
  <c r="T1420" i="4"/>
  <c r="U1420" i="4" s="1"/>
  <c r="W1420" i="4"/>
  <c r="V1420" i="4"/>
  <c r="T1421" i="4"/>
  <c r="U1421" i="4" s="1"/>
  <c r="W1421" i="4"/>
  <c r="V1421" i="4"/>
  <c r="T1422" i="4"/>
  <c r="U1422" i="4" s="1"/>
  <c r="W1422" i="4"/>
  <c r="V1422" i="4"/>
  <c r="T1423" i="4"/>
  <c r="U1423" i="4" s="1"/>
  <c r="W1423" i="4"/>
  <c r="V1423" i="4"/>
  <c r="T1424" i="4"/>
  <c r="U1424" i="4" s="1"/>
  <c r="W1424" i="4"/>
  <c r="V1424" i="4"/>
  <c r="T1425" i="4"/>
  <c r="U1425" i="4" s="1"/>
  <c r="W1425" i="4"/>
  <c r="V1425" i="4"/>
  <c r="T1426" i="4"/>
  <c r="U1426" i="4" s="1"/>
  <c r="W1426" i="4"/>
  <c r="V1426" i="4"/>
  <c r="T1427" i="4"/>
  <c r="U1427" i="4" s="1"/>
  <c r="W1427" i="4"/>
  <c r="V1427" i="4"/>
  <c r="T1428" i="4"/>
  <c r="U1428" i="4" s="1"/>
  <c r="W1428" i="4"/>
  <c r="V1428" i="4"/>
  <c r="T1429" i="4"/>
  <c r="U1429" i="4" s="1"/>
  <c r="W1429" i="4"/>
  <c r="V1429" i="4"/>
  <c r="T1430" i="4"/>
  <c r="U1430" i="4" s="1"/>
  <c r="W1430" i="4"/>
  <c r="V1430" i="4"/>
  <c r="T1431" i="4"/>
  <c r="U1431" i="4" s="1"/>
  <c r="W1431" i="4"/>
  <c r="V1431" i="4"/>
  <c r="T1432" i="4"/>
  <c r="U1432" i="4" s="1"/>
  <c r="W1432" i="4"/>
  <c r="V1432" i="4"/>
  <c r="T1433" i="4"/>
  <c r="U1433" i="4" s="1"/>
  <c r="W1433" i="4"/>
  <c r="V1433" i="4"/>
  <c r="T1434" i="4"/>
  <c r="U1434" i="4" s="1"/>
  <c r="W1434" i="4"/>
  <c r="V1434" i="4"/>
  <c r="T1435" i="4"/>
  <c r="U1435" i="4" s="1"/>
  <c r="W1435" i="4"/>
  <c r="V1435" i="4"/>
  <c r="T1436" i="4"/>
  <c r="U1436" i="4" s="1"/>
  <c r="W1436" i="4"/>
  <c r="V1436" i="4"/>
  <c r="T1437" i="4"/>
  <c r="U1437" i="4" s="1"/>
  <c r="W1437" i="4"/>
  <c r="V1437" i="4"/>
  <c r="T1438" i="4"/>
  <c r="U1438" i="4" s="1"/>
  <c r="W1438" i="4"/>
  <c r="V1438" i="4"/>
  <c r="T1439" i="4"/>
  <c r="U1439" i="4" s="1"/>
  <c r="W1439" i="4"/>
  <c r="V1439" i="4"/>
  <c r="T1440" i="4"/>
  <c r="U1440" i="4" s="1"/>
  <c r="W1440" i="4"/>
  <c r="V1440" i="4"/>
  <c r="T1441" i="4"/>
  <c r="U1441" i="4" s="1"/>
  <c r="W1441" i="4"/>
  <c r="V1441" i="4"/>
  <c r="T1442" i="4"/>
  <c r="U1442" i="4" s="1"/>
  <c r="W1442" i="4"/>
  <c r="V1442" i="4"/>
  <c r="T1443" i="4"/>
  <c r="U1443" i="4" s="1"/>
  <c r="W1443" i="4"/>
  <c r="V1443" i="4"/>
  <c r="T1444" i="4"/>
  <c r="U1444" i="4" s="1"/>
  <c r="W1444" i="4"/>
  <c r="V1444" i="4"/>
  <c r="T1445" i="4"/>
  <c r="U1445" i="4" s="1"/>
  <c r="W1445" i="4"/>
  <c r="V1445" i="4"/>
  <c r="T1446" i="4"/>
  <c r="U1446" i="4" s="1"/>
  <c r="W1446" i="4"/>
  <c r="V1446" i="4"/>
  <c r="T1447" i="4"/>
  <c r="U1447" i="4" s="1"/>
  <c r="W1447" i="4"/>
  <c r="V1447" i="4"/>
  <c r="T1448" i="4"/>
  <c r="U1448" i="4" s="1"/>
  <c r="W1448" i="4"/>
  <c r="V1448" i="4"/>
  <c r="T1449" i="4"/>
  <c r="U1449" i="4" s="1"/>
  <c r="W1449" i="4"/>
  <c r="V1449" i="4"/>
  <c r="T1450" i="4"/>
  <c r="U1450" i="4" s="1"/>
  <c r="W1450" i="4"/>
  <c r="V1450" i="4"/>
  <c r="T1451" i="4"/>
  <c r="U1451" i="4" s="1"/>
  <c r="W1451" i="4"/>
  <c r="V1451" i="4"/>
  <c r="T1452" i="4"/>
  <c r="U1452" i="4" s="1"/>
  <c r="W1452" i="4"/>
  <c r="V1452" i="4"/>
  <c r="T1453" i="4"/>
  <c r="U1453" i="4" s="1"/>
  <c r="W1453" i="4"/>
  <c r="V1453" i="4"/>
  <c r="T1454" i="4"/>
  <c r="U1454" i="4" s="1"/>
  <c r="W1454" i="4"/>
  <c r="V1454" i="4"/>
  <c r="T1455" i="4"/>
  <c r="U1455" i="4" s="1"/>
  <c r="W1455" i="4"/>
  <c r="V1455" i="4"/>
  <c r="T1456" i="4"/>
  <c r="U1456" i="4" s="1"/>
  <c r="W1456" i="4"/>
  <c r="V1456" i="4"/>
  <c r="T1457" i="4"/>
  <c r="U1457" i="4" s="1"/>
  <c r="W1457" i="4"/>
  <c r="V1457" i="4"/>
  <c r="T1458" i="4"/>
  <c r="U1458" i="4" s="1"/>
  <c r="W1458" i="4"/>
  <c r="V1458" i="4"/>
  <c r="T1459" i="4"/>
  <c r="U1459" i="4" s="1"/>
  <c r="W1459" i="4"/>
  <c r="V1459" i="4"/>
  <c r="T1460" i="4"/>
  <c r="U1460" i="4" s="1"/>
  <c r="W1460" i="4"/>
  <c r="V1460" i="4"/>
  <c r="T1461" i="4"/>
  <c r="U1461" i="4" s="1"/>
  <c r="W1461" i="4"/>
  <c r="V1461" i="4"/>
  <c r="T1462" i="4"/>
  <c r="U1462" i="4" s="1"/>
  <c r="W1462" i="4"/>
  <c r="V1462" i="4"/>
  <c r="T1463" i="4"/>
  <c r="U1463" i="4" s="1"/>
  <c r="W1463" i="4"/>
  <c r="V1463" i="4"/>
  <c r="T1464" i="4"/>
  <c r="U1464" i="4" s="1"/>
  <c r="W1464" i="4"/>
  <c r="V1464" i="4"/>
  <c r="T1465" i="4"/>
  <c r="U1465" i="4" s="1"/>
  <c r="W1465" i="4"/>
  <c r="V1465" i="4"/>
  <c r="T1466" i="4"/>
  <c r="U1466" i="4" s="1"/>
  <c r="W1466" i="4"/>
  <c r="V1466" i="4"/>
  <c r="T1467" i="4"/>
  <c r="U1467" i="4" s="1"/>
  <c r="W1467" i="4"/>
  <c r="V1467" i="4"/>
  <c r="T1468" i="4"/>
  <c r="U1468" i="4" s="1"/>
  <c r="W1468" i="4"/>
  <c r="V1468" i="4"/>
  <c r="T1469" i="4"/>
  <c r="U1469" i="4" s="1"/>
  <c r="W1469" i="4"/>
  <c r="V1469" i="4"/>
  <c r="T1470" i="4"/>
  <c r="U1470" i="4" s="1"/>
  <c r="W1470" i="4"/>
  <c r="V1470" i="4"/>
  <c r="T1471" i="4"/>
  <c r="U1471" i="4" s="1"/>
  <c r="W1471" i="4"/>
  <c r="V1471" i="4"/>
  <c r="T1472" i="4"/>
  <c r="U1472" i="4" s="1"/>
  <c r="W1472" i="4"/>
  <c r="V1472" i="4"/>
  <c r="T1473" i="4"/>
  <c r="U1473" i="4" s="1"/>
  <c r="W1473" i="4"/>
  <c r="V1473" i="4"/>
  <c r="T1474" i="4"/>
  <c r="U1474" i="4" s="1"/>
  <c r="W1474" i="4"/>
  <c r="V1474" i="4"/>
  <c r="T1475" i="4"/>
  <c r="U1475" i="4" s="1"/>
  <c r="W1475" i="4"/>
  <c r="V1475" i="4"/>
  <c r="T1476" i="4"/>
  <c r="U1476" i="4" s="1"/>
  <c r="W1476" i="4"/>
  <c r="V1476" i="4"/>
  <c r="T1477" i="4"/>
  <c r="U1477" i="4" s="1"/>
  <c r="W1477" i="4"/>
  <c r="V1477" i="4"/>
  <c r="T1478" i="4"/>
  <c r="U1478" i="4" s="1"/>
  <c r="W1478" i="4"/>
  <c r="V1478" i="4"/>
  <c r="T1479" i="4"/>
  <c r="U1479" i="4" s="1"/>
  <c r="W1479" i="4"/>
  <c r="V1479" i="4"/>
  <c r="T1480" i="4"/>
  <c r="U1480" i="4" s="1"/>
  <c r="W1480" i="4"/>
  <c r="V1480" i="4"/>
  <c r="T1481" i="4"/>
  <c r="U1481" i="4" s="1"/>
  <c r="W1481" i="4"/>
  <c r="V1481" i="4"/>
  <c r="T1482" i="4"/>
  <c r="U1482" i="4" s="1"/>
  <c r="W1482" i="4"/>
  <c r="V1482" i="4"/>
  <c r="T1483" i="4"/>
  <c r="U1483" i="4" s="1"/>
  <c r="W1483" i="4"/>
  <c r="V1483" i="4"/>
  <c r="T1484" i="4"/>
  <c r="U1484" i="4" s="1"/>
  <c r="W1484" i="4"/>
  <c r="V1484" i="4"/>
  <c r="T1485" i="4"/>
  <c r="U1485" i="4" s="1"/>
  <c r="W1485" i="4"/>
  <c r="V1485" i="4"/>
  <c r="T1486" i="4"/>
  <c r="U1486" i="4" s="1"/>
  <c r="W1486" i="4"/>
  <c r="V1486" i="4"/>
  <c r="T1487" i="4"/>
  <c r="U1487" i="4" s="1"/>
  <c r="W1487" i="4"/>
  <c r="V1487" i="4"/>
  <c r="T1488" i="4"/>
  <c r="U1488" i="4" s="1"/>
  <c r="W1488" i="4"/>
  <c r="V1488" i="4"/>
  <c r="T1489" i="4"/>
  <c r="U1489" i="4" s="1"/>
  <c r="W1489" i="4"/>
  <c r="V1489" i="4"/>
  <c r="T1490" i="4"/>
  <c r="U1490" i="4" s="1"/>
  <c r="W1490" i="4"/>
  <c r="V1490" i="4"/>
  <c r="T1491" i="4"/>
  <c r="U1491" i="4" s="1"/>
  <c r="W1491" i="4"/>
  <c r="V1491" i="4"/>
  <c r="T1492" i="4"/>
  <c r="U1492" i="4" s="1"/>
  <c r="W1492" i="4"/>
  <c r="V1492" i="4"/>
  <c r="T1493" i="4"/>
  <c r="U1493" i="4" s="1"/>
  <c r="W1493" i="4"/>
  <c r="V1493" i="4"/>
  <c r="T1494" i="4"/>
  <c r="U1494" i="4" s="1"/>
  <c r="W1494" i="4"/>
  <c r="V1494" i="4"/>
  <c r="T1495" i="4"/>
  <c r="U1495" i="4" s="1"/>
  <c r="W1495" i="4"/>
  <c r="V1495" i="4"/>
  <c r="T1496" i="4"/>
  <c r="U1496" i="4" s="1"/>
  <c r="W1496" i="4"/>
  <c r="V1496" i="4"/>
  <c r="T1497" i="4"/>
  <c r="U1497" i="4" s="1"/>
  <c r="W1497" i="4"/>
  <c r="V1497" i="4"/>
  <c r="T1498" i="4"/>
  <c r="U1498" i="4" s="1"/>
  <c r="W1498" i="4"/>
  <c r="V1498" i="4"/>
  <c r="T1499" i="4"/>
  <c r="U1499" i="4" s="1"/>
  <c r="W1499" i="4"/>
  <c r="V1499" i="4"/>
  <c r="T1500" i="4"/>
  <c r="U1500" i="4" s="1"/>
  <c r="W1500" i="4"/>
  <c r="V1500" i="4"/>
  <c r="T1501" i="4"/>
  <c r="U1501" i="4" s="1"/>
  <c r="W1501" i="4"/>
  <c r="V1501" i="4"/>
  <c r="T1502" i="4"/>
  <c r="U1502" i="4" s="1"/>
  <c r="W1502" i="4"/>
  <c r="V1502" i="4"/>
  <c r="T1503" i="4"/>
  <c r="U1503" i="4" s="1"/>
  <c r="W1503" i="4"/>
  <c r="V1503" i="4"/>
  <c r="T1504" i="4"/>
  <c r="U1504" i="4" s="1"/>
  <c r="W1504" i="4"/>
  <c r="V1504" i="4"/>
  <c r="T1505" i="4"/>
  <c r="U1505" i="4" s="1"/>
  <c r="W1505" i="4"/>
  <c r="V1505" i="4"/>
  <c r="T1506" i="4"/>
  <c r="U1506" i="4" s="1"/>
  <c r="W1506" i="4"/>
  <c r="V1506" i="4"/>
  <c r="T1507" i="4"/>
  <c r="U1507" i="4" s="1"/>
  <c r="W1507" i="4"/>
  <c r="V1507" i="4"/>
  <c r="T1508" i="4"/>
  <c r="U1508" i="4" s="1"/>
  <c r="W1508" i="4"/>
  <c r="V1508" i="4"/>
  <c r="T1509" i="4"/>
  <c r="U1509" i="4" s="1"/>
  <c r="W1509" i="4"/>
  <c r="V1509" i="4"/>
  <c r="T1510" i="4"/>
  <c r="U1510" i="4" s="1"/>
  <c r="W1510" i="4"/>
  <c r="V1510" i="4"/>
  <c r="T1511" i="4"/>
  <c r="U1511" i="4" s="1"/>
  <c r="W1511" i="4"/>
  <c r="V1511" i="4"/>
  <c r="T1512" i="4"/>
  <c r="U1512" i="4" s="1"/>
  <c r="W1512" i="4"/>
  <c r="V1512" i="4"/>
  <c r="T1513" i="4"/>
  <c r="U1513" i="4" s="1"/>
  <c r="W1513" i="4"/>
  <c r="V1513" i="4"/>
  <c r="T1514" i="4"/>
  <c r="U1514" i="4" s="1"/>
  <c r="W1514" i="4"/>
  <c r="V1514" i="4"/>
  <c r="T1515" i="4"/>
  <c r="U1515" i="4" s="1"/>
  <c r="W1515" i="4"/>
  <c r="V1515" i="4"/>
  <c r="T1516" i="4"/>
  <c r="U1516" i="4" s="1"/>
  <c r="W1516" i="4"/>
  <c r="V1516" i="4"/>
  <c r="T1517" i="4"/>
  <c r="U1517" i="4" s="1"/>
  <c r="W1517" i="4"/>
  <c r="V1517" i="4"/>
  <c r="T1518" i="4"/>
  <c r="U1518" i="4" s="1"/>
  <c r="W1518" i="4"/>
  <c r="V1518" i="4"/>
  <c r="T1519" i="4"/>
  <c r="U1519" i="4" s="1"/>
  <c r="W1519" i="4"/>
  <c r="V1519" i="4"/>
  <c r="T1520" i="4"/>
  <c r="U1520" i="4" s="1"/>
  <c r="W1520" i="4"/>
  <c r="V1520" i="4"/>
  <c r="T1521" i="4"/>
  <c r="U1521" i="4" s="1"/>
  <c r="W1521" i="4"/>
  <c r="V1521" i="4"/>
  <c r="T1522" i="4"/>
  <c r="U1522" i="4" s="1"/>
  <c r="W1522" i="4"/>
  <c r="V1522" i="4"/>
  <c r="T965" i="4"/>
  <c r="U965" i="4" s="1"/>
  <c r="W965" i="4"/>
  <c r="V965" i="4"/>
  <c r="T966" i="4"/>
  <c r="U966" i="4" s="1"/>
  <c r="W966" i="4"/>
  <c r="V966" i="4"/>
  <c r="T967" i="4"/>
  <c r="U967" i="4" s="1"/>
  <c r="W967" i="4"/>
  <c r="V967" i="4"/>
  <c r="T968" i="4"/>
  <c r="U968" i="4" s="1"/>
  <c r="W968" i="4"/>
  <c r="V968" i="4"/>
  <c r="T969" i="4"/>
  <c r="U969" i="4" s="1"/>
  <c r="W969" i="4"/>
  <c r="V969" i="4"/>
  <c r="T970" i="4"/>
  <c r="U970" i="4" s="1"/>
  <c r="W970" i="4"/>
  <c r="V970" i="4"/>
  <c r="T971" i="4"/>
  <c r="U971" i="4" s="1"/>
  <c r="W971" i="4"/>
  <c r="V971" i="4"/>
  <c r="T972" i="4"/>
  <c r="U972" i="4" s="1"/>
  <c r="W972" i="4"/>
  <c r="V972" i="4"/>
  <c r="T973" i="4"/>
  <c r="U973" i="4" s="1"/>
  <c r="W973" i="4"/>
  <c r="V973" i="4"/>
  <c r="T985" i="4"/>
  <c r="U985" i="4" s="1"/>
  <c r="W985" i="4"/>
  <c r="V985" i="4"/>
  <c r="T987" i="4"/>
  <c r="U987" i="4" s="1"/>
  <c r="W987" i="4"/>
  <c r="V987" i="4"/>
  <c r="T988" i="4"/>
  <c r="U988" i="4" s="1"/>
  <c r="W988" i="4"/>
  <c r="V988" i="4"/>
  <c r="T989" i="4"/>
  <c r="U989" i="4" s="1"/>
  <c r="W989" i="4"/>
  <c r="V989" i="4"/>
  <c r="T997" i="4"/>
  <c r="U997" i="4" s="1"/>
  <c r="W997" i="4"/>
  <c r="V997" i="4"/>
  <c r="T999" i="4"/>
  <c r="U999" i="4" s="1"/>
  <c r="W999" i="4"/>
  <c r="V999" i="4"/>
  <c r="T1000" i="4"/>
  <c r="U1000" i="4" s="1"/>
  <c r="W1000" i="4"/>
  <c r="V1000" i="4"/>
  <c r="T1002" i="4"/>
  <c r="U1002" i="4" s="1"/>
  <c r="W1002" i="4"/>
  <c r="V1002" i="4"/>
  <c r="T1048" i="4"/>
  <c r="U1048" i="4" s="1"/>
  <c r="W1048" i="4"/>
  <c r="V1048" i="4"/>
  <c r="T1049" i="4"/>
  <c r="U1049" i="4" s="1"/>
  <c r="W1049" i="4"/>
  <c r="V1049" i="4"/>
  <c r="T1050" i="4"/>
  <c r="U1050" i="4" s="1"/>
  <c r="W1050" i="4"/>
  <c r="V1050" i="4"/>
  <c r="T1051" i="4"/>
  <c r="U1051" i="4" s="1"/>
  <c r="W1051" i="4"/>
  <c r="V1051" i="4"/>
  <c r="T1052" i="4"/>
  <c r="U1052" i="4" s="1"/>
  <c r="W1052" i="4"/>
  <c r="V1052" i="4"/>
  <c r="T1053" i="4"/>
  <c r="U1053" i="4" s="1"/>
  <c r="W1053" i="4"/>
  <c r="V1053" i="4"/>
  <c r="T1054" i="4"/>
  <c r="U1054" i="4" s="1"/>
  <c r="W1054" i="4"/>
  <c r="V1054" i="4"/>
  <c r="T1055" i="4"/>
  <c r="U1055" i="4" s="1"/>
  <c r="W1055" i="4"/>
  <c r="V1055" i="4"/>
  <c r="T1056" i="4"/>
  <c r="U1056" i="4" s="1"/>
  <c r="W1056" i="4"/>
  <c r="V1056" i="4"/>
  <c r="T1058" i="4"/>
  <c r="U1058" i="4" s="1"/>
  <c r="T1059" i="4"/>
  <c r="U1059" i="4" s="1"/>
  <c r="T1060" i="4"/>
  <c r="U1060" i="4" s="1"/>
  <c r="T1061" i="4"/>
  <c r="U1061" i="4" s="1"/>
  <c r="W1061" i="4"/>
  <c r="T1062" i="4"/>
  <c r="U1062" i="4" s="1"/>
  <c r="W1062" i="4"/>
  <c r="V1062" i="4"/>
  <c r="T1064" i="4"/>
  <c r="U1064" i="4" s="1"/>
  <c r="W1064" i="4"/>
  <c r="V1064" i="4"/>
  <c r="T1065" i="4"/>
  <c r="U1065" i="4" s="1"/>
  <c r="W1065" i="4"/>
  <c r="V1065" i="4"/>
  <c r="T1066" i="4"/>
  <c r="U1066" i="4" s="1"/>
  <c r="W1066" i="4"/>
  <c r="V1066" i="4"/>
  <c r="T1067" i="4"/>
  <c r="U1067" i="4" s="1"/>
  <c r="W1067" i="4"/>
  <c r="V1067" i="4"/>
  <c r="T1070" i="4"/>
  <c r="U1070" i="4" s="1"/>
  <c r="W1070" i="4"/>
  <c r="V1070" i="4"/>
  <c r="T1071" i="4"/>
  <c r="U1071" i="4" s="1"/>
  <c r="W1071" i="4"/>
  <c r="V1071" i="4"/>
  <c r="T1072" i="4"/>
  <c r="U1072" i="4" s="1"/>
  <c r="W1072" i="4"/>
  <c r="V1072" i="4"/>
  <c r="T1073" i="4"/>
  <c r="U1073" i="4" s="1"/>
  <c r="W1073" i="4"/>
  <c r="V1073" i="4"/>
  <c r="T1074" i="4"/>
  <c r="U1074" i="4" s="1"/>
  <c r="W1074" i="4"/>
  <c r="V1074" i="4"/>
  <c r="T1075" i="4"/>
  <c r="U1075" i="4" s="1"/>
  <c r="W1075" i="4"/>
  <c r="V1075" i="4"/>
  <c r="T1076" i="4"/>
  <c r="U1076" i="4" s="1"/>
  <c r="W1076" i="4"/>
  <c r="V1076" i="4"/>
  <c r="T1077" i="4"/>
  <c r="U1077" i="4" s="1"/>
  <c r="W1077" i="4"/>
  <c r="V1077" i="4"/>
  <c r="T1078" i="4"/>
  <c r="U1078" i="4" s="1"/>
  <c r="W1078" i="4"/>
  <c r="V1078" i="4"/>
  <c r="T1079" i="4"/>
  <c r="U1079" i="4" s="1"/>
  <c r="W1079" i="4"/>
  <c r="V1079" i="4"/>
  <c r="T1080" i="4"/>
  <c r="U1080" i="4" s="1"/>
  <c r="W1080" i="4"/>
  <c r="V1080" i="4"/>
  <c r="T1081" i="4"/>
  <c r="U1081" i="4" s="1"/>
  <c r="W1081" i="4"/>
  <c r="V1081" i="4"/>
  <c r="T1082" i="4"/>
  <c r="U1082" i="4" s="1"/>
  <c r="W1082" i="4"/>
  <c r="V1082" i="4"/>
  <c r="T1083" i="4"/>
  <c r="U1083" i="4" s="1"/>
  <c r="W1083" i="4"/>
  <c r="V1083" i="4"/>
  <c r="T1084" i="4"/>
  <c r="U1084" i="4" s="1"/>
  <c r="W1084" i="4"/>
  <c r="V1084" i="4"/>
  <c r="T1085" i="4"/>
  <c r="U1085" i="4" s="1"/>
  <c r="W1085" i="4"/>
  <c r="V1085" i="4"/>
  <c r="T1086" i="4"/>
  <c r="U1086" i="4" s="1"/>
  <c r="W1086" i="4"/>
  <c r="V1086" i="4"/>
  <c r="T1087" i="4"/>
  <c r="U1087" i="4" s="1"/>
  <c r="W1087" i="4"/>
  <c r="V1087" i="4"/>
  <c r="T1088" i="4"/>
  <c r="U1088" i="4" s="1"/>
  <c r="W1088" i="4"/>
  <c r="V1088" i="4"/>
  <c r="T1089" i="4"/>
  <c r="U1089" i="4" s="1"/>
  <c r="W1089" i="4"/>
  <c r="V1089" i="4"/>
  <c r="T1090" i="4"/>
  <c r="U1090" i="4" s="1"/>
  <c r="W1090" i="4"/>
  <c r="V1090" i="4"/>
  <c r="T1091" i="4"/>
  <c r="U1091" i="4" s="1"/>
  <c r="W1091" i="4"/>
  <c r="V1091" i="4"/>
  <c r="T1092" i="4"/>
  <c r="U1092" i="4" s="1"/>
  <c r="W1092" i="4"/>
  <c r="V1092" i="4"/>
  <c r="T1093" i="4"/>
  <c r="U1093" i="4" s="1"/>
  <c r="W1093" i="4"/>
  <c r="V1093" i="4"/>
  <c r="T1094" i="4"/>
  <c r="U1094" i="4" s="1"/>
  <c r="W1094" i="4"/>
  <c r="V1094" i="4"/>
  <c r="T1095" i="4"/>
  <c r="U1095" i="4" s="1"/>
  <c r="W1095" i="4"/>
  <c r="V1095" i="4"/>
  <c r="T1096" i="4"/>
  <c r="U1096" i="4" s="1"/>
  <c r="W1096" i="4"/>
  <c r="V1096" i="4"/>
  <c r="T1097" i="4"/>
  <c r="U1097" i="4" s="1"/>
  <c r="W1097" i="4"/>
  <c r="V1097" i="4"/>
  <c r="T1098" i="4"/>
  <c r="U1098" i="4" s="1"/>
  <c r="W1098" i="4"/>
  <c r="V1098" i="4"/>
  <c r="T1099" i="4"/>
  <c r="U1099" i="4" s="1"/>
  <c r="W1099" i="4"/>
  <c r="V1099" i="4"/>
  <c r="T1100" i="4"/>
  <c r="U1100" i="4" s="1"/>
  <c r="W1100" i="4"/>
  <c r="V1100" i="4"/>
  <c r="T1101" i="4"/>
  <c r="U1101" i="4" s="1"/>
  <c r="W1101" i="4"/>
  <c r="V1101" i="4"/>
  <c r="T1102" i="4"/>
  <c r="U1102" i="4" s="1"/>
  <c r="W1102" i="4"/>
  <c r="V1102" i="4"/>
  <c r="T1103" i="4"/>
  <c r="U1103" i="4" s="1"/>
  <c r="W1103" i="4"/>
  <c r="V1103" i="4"/>
  <c r="T1104" i="4"/>
  <c r="U1104" i="4" s="1"/>
  <c r="W1104" i="4"/>
  <c r="V1104" i="4"/>
  <c r="T1105" i="4"/>
  <c r="U1105" i="4" s="1"/>
  <c r="W1105" i="4"/>
  <c r="V1105" i="4"/>
  <c r="T1106" i="4"/>
  <c r="U1106" i="4" s="1"/>
  <c r="W1106" i="4"/>
  <c r="V1106" i="4"/>
  <c r="T1107" i="4"/>
  <c r="U1107" i="4" s="1"/>
  <c r="W1107" i="4"/>
  <c r="V1107" i="4"/>
  <c r="T1108" i="4"/>
  <c r="U1108" i="4" s="1"/>
  <c r="W1108" i="4"/>
  <c r="V1108" i="4"/>
  <c r="T1109" i="4"/>
  <c r="U1109" i="4" s="1"/>
  <c r="W1109" i="4"/>
  <c r="V1109" i="4"/>
  <c r="T1110" i="4"/>
  <c r="U1110" i="4" s="1"/>
  <c r="W1110" i="4"/>
  <c r="V1110" i="4"/>
  <c r="T1111" i="4"/>
  <c r="U1111" i="4" s="1"/>
  <c r="W1111" i="4"/>
  <c r="V1111" i="4"/>
  <c r="T1112" i="4"/>
  <c r="U1112" i="4" s="1"/>
  <c r="W1112" i="4"/>
  <c r="V1112" i="4"/>
  <c r="T1113" i="4"/>
  <c r="U1113" i="4" s="1"/>
  <c r="W1113" i="4"/>
  <c r="V1113" i="4"/>
  <c r="T1114" i="4"/>
  <c r="U1114" i="4" s="1"/>
  <c r="W1114" i="4"/>
  <c r="V1114" i="4"/>
  <c r="T1115" i="4"/>
  <c r="U1115" i="4" s="1"/>
  <c r="W1115" i="4"/>
  <c r="V1115" i="4"/>
  <c r="T1116" i="4"/>
  <c r="U1116" i="4" s="1"/>
  <c r="W1116" i="4"/>
  <c r="V1116" i="4"/>
  <c r="T1117" i="4"/>
  <c r="U1117" i="4" s="1"/>
  <c r="W1117" i="4"/>
  <c r="V1117" i="4"/>
  <c r="T1118" i="4"/>
  <c r="U1118" i="4" s="1"/>
  <c r="W1118" i="4"/>
  <c r="V1118" i="4"/>
  <c r="T1119" i="4"/>
  <c r="U1119" i="4" s="1"/>
  <c r="W1119" i="4"/>
  <c r="V1119" i="4"/>
  <c r="T1120" i="4"/>
  <c r="U1120" i="4" s="1"/>
  <c r="W1120" i="4"/>
  <c r="V1120" i="4"/>
  <c r="T1121" i="4"/>
  <c r="U1121" i="4" s="1"/>
  <c r="W1121" i="4"/>
  <c r="V1121" i="4"/>
  <c r="T1122" i="4"/>
  <c r="U1122" i="4" s="1"/>
  <c r="W1122" i="4"/>
  <c r="V1122" i="4"/>
  <c r="T1123" i="4"/>
  <c r="U1123" i="4" s="1"/>
  <c r="W1123" i="4"/>
  <c r="V1123" i="4"/>
  <c r="T1124" i="4"/>
  <c r="U1124" i="4" s="1"/>
  <c r="W1124" i="4"/>
  <c r="V1124" i="4"/>
  <c r="T1125" i="4"/>
  <c r="U1125" i="4" s="1"/>
  <c r="W1125" i="4"/>
  <c r="V1125" i="4"/>
  <c r="T1126" i="4"/>
  <c r="U1126" i="4" s="1"/>
  <c r="W1126" i="4"/>
  <c r="V1126" i="4"/>
  <c r="T1127" i="4"/>
  <c r="U1127" i="4" s="1"/>
  <c r="W1127" i="4"/>
  <c r="V1127" i="4"/>
  <c r="T1128" i="4"/>
  <c r="U1128" i="4" s="1"/>
  <c r="W1128" i="4"/>
  <c r="V1128" i="4"/>
  <c r="T1129" i="4"/>
  <c r="U1129" i="4" s="1"/>
  <c r="W1129" i="4"/>
  <c r="V1129" i="4"/>
  <c r="T1130" i="4"/>
  <c r="U1130" i="4" s="1"/>
  <c r="W1130" i="4"/>
  <c r="V1130" i="4"/>
  <c r="T1131" i="4"/>
  <c r="U1131" i="4" s="1"/>
  <c r="W1131" i="4"/>
  <c r="V1131" i="4"/>
  <c r="T1132" i="4"/>
  <c r="U1132" i="4" s="1"/>
  <c r="W1132" i="4"/>
  <c r="V1132" i="4"/>
  <c r="T1133" i="4"/>
  <c r="U1133" i="4" s="1"/>
  <c r="W1133" i="4"/>
  <c r="V1133" i="4"/>
  <c r="T1134" i="4"/>
  <c r="U1134" i="4" s="1"/>
  <c r="W1134" i="4"/>
  <c r="V1134" i="4"/>
  <c r="T1135" i="4"/>
  <c r="U1135" i="4" s="1"/>
  <c r="W1135" i="4"/>
  <c r="V1135" i="4"/>
  <c r="T1136" i="4"/>
  <c r="U1136" i="4" s="1"/>
  <c r="W1136" i="4"/>
  <c r="V1136" i="4"/>
  <c r="T1137" i="4"/>
  <c r="U1137" i="4" s="1"/>
  <c r="W1137" i="4"/>
  <c r="V1137" i="4"/>
  <c r="T1138" i="4"/>
  <c r="U1138" i="4" s="1"/>
  <c r="W1138" i="4"/>
  <c r="V1138" i="4"/>
  <c r="T1139" i="4"/>
  <c r="U1139" i="4" s="1"/>
  <c r="W1139" i="4"/>
  <c r="V1139" i="4"/>
  <c r="T1140" i="4"/>
  <c r="U1140" i="4" s="1"/>
  <c r="W1140" i="4"/>
  <c r="V1140" i="4"/>
  <c r="T1141" i="4"/>
  <c r="U1141" i="4" s="1"/>
  <c r="W1141" i="4"/>
  <c r="V1141" i="4"/>
  <c r="T1142" i="4"/>
  <c r="U1142" i="4" s="1"/>
  <c r="W1142" i="4"/>
  <c r="V1142" i="4"/>
  <c r="T1143" i="4"/>
  <c r="U1143" i="4" s="1"/>
  <c r="W1143" i="4"/>
  <c r="V1143" i="4"/>
  <c r="T1144" i="4"/>
  <c r="U1144" i="4" s="1"/>
  <c r="W1144" i="4"/>
  <c r="V1144" i="4"/>
  <c r="T1145" i="4"/>
  <c r="U1145" i="4" s="1"/>
  <c r="W1145" i="4"/>
  <c r="V1145" i="4"/>
  <c r="T1146" i="4"/>
  <c r="U1146" i="4" s="1"/>
  <c r="W1146" i="4"/>
  <c r="V1146" i="4"/>
  <c r="T1147" i="4"/>
  <c r="U1147" i="4" s="1"/>
  <c r="W1147" i="4"/>
  <c r="V1147" i="4"/>
  <c r="T1148" i="4"/>
  <c r="U1148" i="4" s="1"/>
  <c r="W1148" i="4"/>
  <c r="V1148" i="4"/>
  <c r="T1149" i="4"/>
  <c r="U1149" i="4" s="1"/>
  <c r="W1149" i="4"/>
  <c r="V1149" i="4"/>
  <c r="T1150" i="4"/>
  <c r="U1150" i="4" s="1"/>
  <c r="W1150" i="4"/>
  <c r="V1150" i="4"/>
  <c r="T1151" i="4"/>
  <c r="U1151" i="4" s="1"/>
  <c r="W1151" i="4"/>
  <c r="V1151" i="4"/>
  <c r="T1152" i="4"/>
  <c r="U1152" i="4" s="1"/>
  <c r="W1152" i="4"/>
  <c r="V1152" i="4"/>
  <c r="T1153" i="4"/>
  <c r="U1153" i="4" s="1"/>
  <c r="W1153" i="4"/>
  <c r="V1153" i="4"/>
  <c r="T1154" i="4"/>
  <c r="U1154" i="4" s="1"/>
  <c r="W1154" i="4"/>
  <c r="V1154" i="4"/>
  <c r="T1155" i="4"/>
  <c r="U1155" i="4" s="1"/>
  <c r="W1155" i="4"/>
  <c r="V1155" i="4"/>
  <c r="T1156" i="4"/>
  <c r="U1156" i="4" s="1"/>
  <c r="W1156" i="4"/>
  <c r="V1156" i="4"/>
  <c r="T1157" i="4"/>
  <c r="U1157" i="4" s="1"/>
  <c r="W1157" i="4"/>
  <c r="V1157" i="4"/>
  <c r="T1158" i="4"/>
  <c r="U1158" i="4" s="1"/>
  <c r="W1158" i="4"/>
  <c r="V1158" i="4"/>
  <c r="T1159" i="4"/>
  <c r="U1159" i="4" s="1"/>
  <c r="W1159" i="4"/>
  <c r="V1159" i="4"/>
  <c r="T1160" i="4"/>
  <c r="U1160" i="4" s="1"/>
  <c r="W1160" i="4"/>
  <c r="V1160" i="4"/>
  <c r="T1161" i="4"/>
  <c r="U1161" i="4" s="1"/>
  <c r="W1161" i="4"/>
  <c r="V1161" i="4"/>
  <c r="T1162" i="4"/>
  <c r="U1162" i="4" s="1"/>
  <c r="W1162" i="4"/>
  <c r="V1162" i="4"/>
  <c r="T1163" i="4"/>
  <c r="U1163" i="4" s="1"/>
  <c r="W1163" i="4"/>
  <c r="V1163" i="4"/>
  <c r="T1164" i="4"/>
  <c r="U1164" i="4" s="1"/>
  <c r="W1164" i="4"/>
  <c r="V1164" i="4"/>
  <c r="T1165" i="4"/>
  <c r="U1165" i="4" s="1"/>
  <c r="W1165" i="4"/>
  <c r="V1165" i="4"/>
  <c r="T1166" i="4"/>
  <c r="U1166" i="4" s="1"/>
  <c r="W1166" i="4"/>
  <c r="V1166" i="4"/>
  <c r="T1167" i="4"/>
  <c r="U1167" i="4" s="1"/>
  <c r="W1167" i="4"/>
  <c r="V1167" i="4"/>
  <c r="T1168" i="4"/>
  <c r="U1168" i="4" s="1"/>
  <c r="W1168" i="4"/>
  <c r="V1168" i="4"/>
  <c r="T1169" i="4"/>
  <c r="U1169" i="4" s="1"/>
  <c r="W1169" i="4"/>
  <c r="V1169" i="4"/>
  <c r="T1170" i="4"/>
  <c r="U1170" i="4" s="1"/>
  <c r="W1170" i="4"/>
  <c r="V1170" i="4"/>
  <c r="T1171" i="4"/>
  <c r="U1171" i="4" s="1"/>
  <c r="W1171" i="4"/>
  <c r="V1171" i="4"/>
  <c r="T1172" i="4"/>
  <c r="U1172" i="4" s="1"/>
  <c r="W1172" i="4"/>
  <c r="V1172" i="4"/>
  <c r="T1173" i="4"/>
  <c r="U1173" i="4" s="1"/>
  <c r="W1173" i="4"/>
  <c r="V1173" i="4"/>
  <c r="T1174" i="4"/>
  <c r="U1174" i="4" s="1"/>
  <c r="W1174" i="4"/>
  <c r="V1174" i="4"/>
  <c r="T1175" i="4"/>
  <c r="U1175" i="4" s="1"/>
  <c r="W1175" i="4"/>
  <c r="V1175" i="4"/>
  <c r="T1176" i="4"/>
  <c r="U1176" i="4" s="1"/>
  <c r="W1176" i="4"/>
  <c r="V1176" i="4"/>
  <c r="T1177" i="4"/>
  <c r="U1177" i="4" s="1"/>
  <c r="W1177" i="4"/>
  <c r="V1177" i="4"/>
  <c r="T1178" i="4"/>
  <c r="U1178" i="4" s="1"/>
  <c r="W1178" i="4"/>
  <c r="V1178" i="4"/>
  <c r="T1179" i="4"/>
  <c r="U1179" i="4" s="1"/>
  <c r="W1179" i="4"/>
  <c r="V1179" i="4"/>
  <c r="T1180" i="4"/>
  <c r="U1180" i="4" s="1"/>
  <c r="W1180" i="4"/>
  <c r="V1180" i="4"/>
  <c r="T1181" i="4"/>
  <c r="U1181" i="4" s="1"/>
  <c r="W1181" i="4"/>
  <c r="V1181" i="4"/>
  <c r="T1182" i="4"/>
  <c r="U1182" i="4" s="1"/>
  <c r="W1182" i="4"/>
  <c r="V1182" i="4"/>
  <c r="T1183" i="4"/>
  <c r="U1183" i="4" s="1"/>
  <c r="W1183" i="4"/>
  <c r="V1183" i="4"/>
  <c r="T1184" i="4"/>
  <c r="U1184" i="4" s="1"/>
  <c r="W1184" i="4"/>
  <c r="V1184" i="4"/>
  <c r="T1185" i="4"/>
  <c r="U1185" i="4" s="1"/>
  <c r="W1185" i="4"/>
  <c r="V1185" i="4"/>
  <c r="T1186" i="4"/>
  <c r="U1186" i="4" s="1"/>
  <c r="W1186" i="4"/>
  <c r="V1186" i="4"/>
  <c r="T1187" i="4"/>
  <c r="U1187" i="4" s="1"/>
  <c r="W1187" i="4"/>
  <c r="V1187" i="4"/>
  <c r="T1188" i="4"/>
  <c r="U1188" i="4" s="1"/>
  <c r="W1188" i="4"/>
  <c r="V1188" i="4"/>
  <c r="T1189" i="4"/>
  <c r="U1189" i="4" s="1"/>
  <c r="W1189" i="4"/>
  <c r="V1189" i="4"/>
  <c r="T1190" i="4"/>
  <c r="U1190" i="4" s="1"/>
  <c r="W1190" i="4"/>
  <c r="V1190" i="4"/>
  <c r="T1191" i="4"/>
  <c r="U1191" i="4" s="1"/>
  <c r="W1191" i="4"/>
  <c r="V1191" i="4"/>
  <c r="T1192" i="4"/>
  <c r="U1192" i="4" s="1"/>
  <c r="W1192" i="4"/>
  <c r="V1192" i="4"/>
  <c r="T1193" i="4"/>
  <c r="U1193" i="4" s="1"/>
  <c r="W1193" i="4"/>
  <c r="V1193" i="4"/>
  <c r="T1194" i="4"/>
  <c r="U1194" i="4" s="1"/>
  <c r="W1194" i="4"/>
  <c r="V1194" i="4"/>
  <c r="T1195" i="4"/>
  <c r="U1195" i="4" s="1"/>
  <c r="W1195" i="4"/>
  <c r="V1195" i="4"/>
  <c r="T1196" i="4"/>
  <c r="U1196" i="4" s="1"/>
  <c r="W1196" i="4"/>
  <c r="V1196" i="4"/>
  <c r="T1197" i="4"/>
  <c r="U1197" i="4" s="1"/>
  <c r="W1197" i="4"/>
  <c r="V1197" i="4"/>
  <c r="T1198" i="4"/>
  <c r="U1198" i="4" s="1"/>
  <c r="W1198" i="4"/>
  <c r="V1198" i="4"/>
  <c r="T1199" i="4"/>
  <c r="U1199" i="4" s="1"/>
  <c r="W1199" i="4"/>
  <c r="V1199" i="4"/>
  <c r="T1200" i="4"/>
  <c r="U1200" i="4" s="1"/>
  <c r="W1200" i="4"/>
  <c r="V1200" i="4"/>
  <c r="T1201" i="4"/>
  <c r="U1201" i="4" s="1"/>
  <c r="W1201" i="4"/>
  <c r="V1201" i="4"/>
  <c r="T1202" i="4"/>
  <c r="U1202" i="4" s="1"/>
  <c r="W1202" i="4"/>
  <c r="V1202" i="4"/>
  <c r="T1203" i="4"/>
  <c r="U1203" i="4" s="1"/>
  <c r="W1203" i="4"/>
  <c r="V1203" i="4"/>
  <c r="T1204" i="4"/>
  <c r="U1204" i="4" s="1"/>
  <c r="W1204" i="4"/>
  <c r="V1204" i="4"/>
  <c r="T1205" i="4"/>
  <c r="U1205" i="4" s="1"/>
  <c r="W1205" i="4"/>
  <c r="V1205" i="4"/>
  <c r="T1206" i="4"/>
  <c r="U1206" i="4" s="1"/>
  <c r="W1206" i="4"/>
  <c r="V1206" i="4"/>
  <c r="T1207" i="4"/>
  <c r="U1207" i="4" s="1"/>
  <c r="W1207" i="4"/>
  <c r="V1207" i="4"/>
  <c r="T1208" i="4"/>
  <c r="U1208" i="4" s="1"/>
  <c r="W1208" i="4"/>
  <c r="V1208" i="4"/>
  <c r="T1209" i="4"/>
  <c r="U1209" i="4" s="1"/>
  <c r="W1209" i="4"/>
  <c r="V1209" i="4"/>
  <c r="T1210" i="4"/>
  <c r="U1210" i="4" s="1"/>
  <c r="W1210" i="4"/>
  <c r="V1210" i="4"/>
  <c r="T1211" i="4"/>
  <c r="U1211" i="4" s="1"/>
  <c r="W1211" i="4"/>
  <c r="V1211" i="4"/>
  <c r="T1212" i="4"/>
  <c r="U1212" i="4" s="1"/>
  <c r="W1212" i="4"/>
  <c r="V1212" i="4"/>
  <c r="T1213" i="4"/>
  <c r="U1213" i="4" s="1"/>
  <c r="W1213" i="4"/>
  <c r="V1213" i="4"/>
  <c r="T1214" i="4"/>
  <c r="U1214" i="4" s="1"/>
  <c r="W1214" i="4"/>
  <c r="V1214" i="4"/>
  <c r="T1215" i="4"/>
  <c r="U1215" i="4" s="1"/>
  <c r="W1215" i="4"/>
  <c r="V1215" i="4"/>
  <c r="T1216" i="4"/>
  <c r="U1216" i="4" s="1"/>
  <c r="W1216" i="4"/>
  <c r="V1216" i="4"/>
  <c r="T1217" i="4"/>
  <c r="U1217" i="4" s="1"/>
  <c r="W1217" i="4"/>
  <c r="V1217" i="4"/>
  <c r="T1218" i="4"/>
  <c r="U1218" i="4" s="1"/>
  <c r="W1218" i="4"/>
  <c r="V1218" i="4"/>
  <c r="T1219" i="4"/>
  <c r="U1219" i="4" s="1"/>
  <c r="W1219" i="4"/>
  <c r="V1219" i="4"/>
  <c r="T1220" i="4"/>
  <c r="U1220" i="4" s="1"/>
  <c r="W1220" i="4"/>
  <c r="V1220" i="4"/>
  <c r="T1221" i="4"/>
  <c r="U1221" i="4" s="1"/>
  <c r="W1221" i="4"/>
  <c r="V1221" i="4"/>
  <c r="T1222" i="4"/>
  <c r="U1222" i="4" s="1"/>
  <c r="W1222" i="4"/>
  <c r="V1222" i="4"/>
  <c r="T1223" i="4"/>
  <c r="U1223" i="4" s="1"/>
  <c r="W1223" i="4"/>
  <c r="V1223" i="4"/>
  <c r="T1224" i="4"/>
  <c r="U1224" i="4" s="1"/>
  <c r="W1224" i="4"/>
  <c r="V1224" i="4"/>
  <c r="T1225" i="4"/>
  <c r="U1225" i="4" s="1"/>
  <c r="W1225" i="4"/>
  <c r="V1225" i="4"/>
  <c r="T1226" i="4"/>
  <c r="U1226" i="4" s="1"/>
  <c r="W1226" i="4"/>
  <c r="V1226" i="4"/>
  <c r="T1227" i="4"/>
  <c r="U1227" i="4" s="1"/>
  <c r="W1227" i="4"/>
  <c r="V1227" i="4"/>
  <c r="T1228" i="4"/>
  <c r="U1228" i="4" s="1"/>
  <c r="W1228" i="4"/>
  <c r="V1228" i="4"/>
  <c r="T1229" i="4"/>
  <c r="U1229" i="4" s="1"/>
  <c r="W1229" i="4"/>
  <c r="V1229" i="4"/>
  <c r="T1230" i="4"/>
  <c r="U1230" i="4" s="1"/>
  <c r="W1230" i="4"/>
  <c r="V1230" i="4"/>
  <c r="T1231" i="4"/>
  <c r="U1231" i="4" s="1"/>
  <c r="W1231" i="4"/>
  <c r="V1231" i="4"/>
  <c r="T1232" i="4"/>
  <c r="U1232" i="4" s="1"/>
  <c r="W1232" i="4"/>
  <c r="V1232" i="4"/>
  <c r="T1233" i="4"/>
  <c r="U1233" i="4" s="1"/>
  <c r="W1233" i="4"/>
  <c r="V1233" i="4"/>
  <c r="T1234" i="4"/>
  <c r="U1234" i="4" s="1"/>
  <c r="W1234" i="4"/>
  <c r="V1234" i="4"/>
  <c r="T1235" i="4"/>
  <c r="U1235" i="4" s="1"/>
  <c r="W1235" i="4"/>
  <c r="V1235" i="4"/>
  <c r="T1236" i="4"/>
  <c r="U1236" i="4" s="1"/>
  <c r="W1236" i="4"/>
  <c r="V1236" i="4"/>
  <c r="T1237" i="4"/>
  <c r="U1237" i="4" s="1"/>
  <c r="W1237" i="4"/>
  <c r="V1237" i="4"/>
  <c r="T1238" i="4"/>
  <c r="U1238" i="4" s="1"/>
  <c r="W1238" i="4"/>
  <c r="V1238" i="4"/>
  <c r="T1239" i="4"/>
  <c r="U1239" i="4" s="1"/>
  <c r="W1239" i="4"/>
  <c r="V1239" i="4"/>
  <c r="T1240" i="4"/>
  <c r="U1240" i="4" s="1"/>
  <c r="W1240" i="4"/>
  <c r="V1240" i="4"/>
  <c r="T1241" i="4"/>
  <c r="U1241" i="4" s="1"/>
  <c r="W1241" i="4"/>
  <c r="V1241" i="4"/>
  <c r="T1242" i="4"/>
  <c r="U1242" i="4" s="1"/>
  <c r="W1242" i="4"/>
  <c r="V1242" i="4"/>
  <c r="T1243" i="4"/>
  <c r="U1243" i="4" s="1"/>
  <c r="W1243" i="4"/>
  <c r="V1243" i="4"/>
  <c r="T1244" i="4"/>
  <c r="U1244" i="4" s="1"/>
  <c r="W1244" i="4"/>
  <c r="V1244" i="4"/>
  <c r="T1245" i="4"/>
  <c r="U1245" i="4" s="1"/>
  <c r="W1245" i="4"/>
  <c r="V1245" i="4"/>
  <c r="T1246" i="4"/>
  <c r="U1246" i="4" s="1"/>
  <c r="W1246" i="4"/>
  <c r="V1246" i="4"/>
  <c r="T1247" i="4"/>
  <c r="U1247" i="4" s="1"/>
  <c r="W1247" i="4"/>
  <c r="V1247" i="4"/>
  <c r="T1248" i="4"/>
  <c r="U1248" i="4" s="1"/>
  <c r="W1248" i="4"/>
  <c r="V1248" i="4"/>
  <c r="T1249" i="4"/>
  <c r="U1249" i="4" s="1"/>
  <c r="W1249" i="4"/>
  <c r="V1249" i="4"/>
  <c r="T1250" i="4"/>
  <c r="U1250" i="4" s="1"/>
  <c r="W1250" i="4"/>
  <c r="V1250" i="4"/>
  <c r="T1251" i="4"/>
  <c r="U1251" i="4" s="1"/>
  <c r="W1251" i="4"/>
  <c r="V1251" i="4"/>
  <c r="T1252" i="4"/>
  <c r="U1252" i="4" s="1"/>
  <c r="W1252" i="4"/>
  <c r="V1252" i="4"/>
  <c r="T1253" i="4"/>
  <c r="U1253" i="4" s="1"/>
  <c r="W1253" i="4"/>
  <c r="V1253" i="4"/>
  <c r="T1254" i="4"/>
  <c r="U1254" i="4" s="1"/>
  <c r="W1254" i="4"/>
  <c r="V1254" i="4"/>
  <c r="T1255" i="4"/>
  <c r="U1255" i="4" s="1"/>
  <c r="W1255" i="4"/>
  <c r="V1255" i="4"/>
  <c r="T1256" i="4"/>
  <c r="U1256" i="4" s="1"/>
  <c r="W1256" i="4"/>
  <c r="V1256" i="4"/>
  <c r="T1257" i="4"/>
  <c r="U1257" i="4" s="1"/>
  <c r="W1257" i="4"/>
  <c r="V1257" i="4"/>
  <c r="T1258" i="4"/>
  <c r="U1258" i="4" s="1"/>
  <c r="W1258" i="4"/>
  <c r="V1258" i="4"/>
  <c r="T1259" i="4"/>
  <c r="U1259" i="4" s="1"/>
  <c r="W1259" i="4"/>
  <c r="V1259" i="4"/>
  <c r="T1260" i="4"/>
  <c r="U1260" i="4" s="1"/>
  <c r="W1260" i="4"/>
  <c r="V1260" i="4"/>
  <c r="T1261" i="4"/>
  <c r="U1261" i="4" s="1"/>
  <c r="W1261" i="4"/>
  <c r="V1261" i="4"/>
  <c r="T1262" i="4"/>
  <c r="U1262" i="4" s="1"/>
  <c r="W1262" i="4"/>
  <c r="V1262" i="4"/>
  <c r="T1263" i="4"/>
  <c r="U1263" i="4" s="1"/>
  <c r="W1263" i="4"/>
  <c r="V1263" i="4"/>
  <c r="T1264" i="4"/>
  <c r="U1264" i="4" s="1"/>
  <c r="W1264" i="4"/>
  <c r="V1264" i="4"/>
  <c r="T1265" i="4"/>
  <c r="U1265" i="4" s="1"/>
  <c r="W1265" i="4"/>
  <c r="V1265" i="4"/>
  <c r="T1266" i="4"/>
  <c r="U1266" i="4" s="1"/>
  <c r="W1266" i="4"/>
  <c r="V1266" i="4"/>
  <c r="T1267" i="4"/>
  <c r="U1267" i="4" s="1"/>
  <c r="W1267" i="4"/>
  <c r="V1267" i="4"/>
  <c r="T1268" i="4"/>
  <c r="U1268" i="4" s="1"/>
  <c r="W1268" i="4"/>
  <c r="V1268" i="4"/>
  <c r="T1269" i="4"/>
  <c r="U1269" i="4" s="1"/>
  <c r="W1269" i="4"/>
  <c r="V1269" i="4"/>
  <c r="T1270" i="4"/>
  <c r="U1270" i="4" s="1"/>
  <c r="W1270" i="4"/>
  <c r="V1270" i="4"/>
  <c r="T1271" i="4"/>
  <c r="U1271" i="4" s="1"/>
  <c r="W1271" i="4"/>
  <c r="V1271" i="4"/>
  <c r="T1272" i="4"/>
  <c r="U1272" i="4" s="1"/>
  <c r="W1272" i="4"/>
  <c r="V1272" i="4"/>
  <c r="T1273" i="4"/>
  <c r="U1273" i="4" s="1"/>
  <c r="W1273" i="4"/>
  <c r="V1273" i="4"/>
  <c r="T1274" i="4"/>
  <c r="U1274" i="4" s="1"/>
  <c r="W1274" i="4"/>
  <c r="V1274" i="4"/>
  <c r="T1275" i="4"/>
  <c r="U1275" i="4" s="1"/>
  <c r="W1275" i="4"/>
  <c r="V1275" i="4"/>
  <c r="T1276" i="4"/>
  <c r="U1276" i="4" s="1"/>
  <c r="W1276" i="4"/>
  <c r="V1276" i="4"/>
  <c r="T1277" i="4"/>
  <c r="U1277" i="4" s="1"/>
  <c r="W1277" i="4"/>
  <c r="V1277" i="4"/>
  <c r="T1278" i="4"/>
  <c r="U1278" i="4" s="1"/>
  <c r="W1278" i="4"/>
  <c r="V1278" i="4"/>
  <c r="T1279" i="4"/>
  <c r="U1279" i="4" s="1"/>
  <c r="W1279" i="4"/>
  <c r="V1279" i="4"/>
  <c r="T1280" i="4"/>
  <c r="U1280" i="4" s="1"/>
  <c r="W1280" i="4"/>
  <c r="V1280" i="4"/>
  <c r="T1281" i="4"/>
  <c r="U1281" i="4" s="1"/>
  <c r="W1281" i="4"/>
  <c r="V1281" i="4"/>
  <c r="T1282" i="4"/>
  <c r="U1282" i="4" s="1"/>
  <c r="W1282" i="4"/>
  <c r="V1282" i="4"/>
  <c r="T1283" i="4"/>
  <c r="U1283" i="4" s="1"/>
  <c r="W1283" i="4"/>
  <c r="V1283" i="4"/>
  <c r="T1284" i="4"/>
  <c r="U1284" i="4" s="1"/>
  <c r="W1284" i="4"/>
  <c r="V1284" i="4"/>
  <c r="T1285" i="4"/>
  <c r="U1285" i="4" s="1"/>
  <c r="W1285" i="4"/>
  <c r="V1285" i="4"/>
  <c r="T1286" i="4"/>
  <c r="U1286" i="4" s="1"/>
  <c r="W1286" i="4"/>
  <c r="V1286" i="4"/>
  <c r="T1287" i="4"/>
  <c r="U1287" i="4" s="1"/>
  <c r="W1287" i="4"/>
  <c r="V1287" i="4"/>
  <c r="T1288" i="4"/>
  <c r="U1288" i="4" s="1"/>
  <c r="W1288" i="4"/>
  <c r="V1288" i="4"/>
  <c r="T1289" i="4"/>
  <c r="U1289" i="4" s="1"/>
  <c r="W1289" i="4"/>
  <c r="V1289" i="4"/>
  <c r="T1290" i="4"/>
  <c r="U1290" i="4" s="1"/>
  <c r="W1290" i="4"/>
  <c r="V1290" i="4"/>
  <c r="T1291" i="4"/>
  <c r="U1291" i="4" s="1"/>
  <c r="W1291" i="4"/>
  <c r="V1291" i="4"/>
  <c r="T1292" i="4"/>
  <c r="U1292" i="4" s="1"/>
  <c r="W1292" i="4"/>
  <c r="V1292" i="4"/>
  <c r="T1293" i="4"/>
  <c r="U1293" i="4" s="1"/>
  <c r="W1293" i="4"/>
  <c r="V1293" i="4"/>
  <c r="T1294" i="4"/>
  <c r="U1294" i="4" s="1"/>
  <c r="W1294" i="4"/>
  <c r="V1294" i="4"/>
  <c r="T1295" i="4"/>
  <c r="U1295" i="4" s="1"/>
  <c r="W1295" i="4"/>
  <c r="V1295" i="4"/>
  <c r="T1296" i="4"/>
  <c r="U1296" i="4" s="1"/>
  <c r="W1296" i="4"/>
  <c r="V1296" i="4"/>
  <c r="T1297" i="4"/>
  <c r="U1297" i="4" s="1"/>
  <c r="W1297" i="4"/>
  <c r="V1297" i="4"/>
  <c r="T1298" i="4"/>
  <c r="U1298" i="4" s="1"/>
  <c r="W1298" i="4"/>
  <c r="V1298" i="4"/>
  <c r="T1299" i="4"/>
  <c r="U1299" i="4" s="1"/>
  <c r="W1299" i="4"/>
  <c r="V1299" i="4"/>
  <c r="T1300" i="4"/>
  <c r="U1300" i="4" s="1"/>
  <c r="W1300" i="4"/>
  <c r="V1300" i="4"/>
  <c r="T1301" i="4"/>
  <c r="U1301" i="4" s="1"/>
  <c r="W1301" i="4"/>
  <c r="V1301" i="4"/>
  <c r="T1302" i="4"/>
  <c r="U1302" i="4" s="1"/>
  <c r="W1302" i="4"/>
  <c r="V1302" i="4"/>
  <c r="T1303" i="4"/>
  <c r="U1303" i="4" s="1"/>
  <c r="W1303" i="4"/>
  <c r="V1303" i="4"/>
  <c r="T1304" i="4"/>
  <c r="U1304" i="4" s="1"/>
  <c r="W1304" i="4"/>
  <c r="V1304" i="4"/>
  <c r="T1305" i="4"/>
  <c r="U1305" i="4" s="1"/>
  <c r="W1305" i="4"/>
  <c r="V1305" i="4"/>
  <c r="T1306" i="4"/>
  <c r="U1306" i="4" s="1"/>
  <c r="W1306" i="4"/>
  <c r="V1306" i="4"/>
  <c r="T1307" i="4"/>
  <c r="U1307" i="4" s="1"/>
  <c r="W1307" i="4"/>
  <c r="V1307" i="4"/>
  <c r="T1308" i="4"/>
  <c r="U1308" i="4" s="1"/>
  <c r="W1308" i="4"/>
  <c r="V1308" i="4"/>
  <c r="T1309" i="4"/>
  <c r="U1309" i="4" s="1"/>
  <c r="W1309" i="4"/>
  <c r="V1309" i="4"/>
  <c r="T1310" i="4"/>
  <c r="U1310" i="4" s="1"/>
  <c r="W1310" i="4"/>
  <c r="V1310" i="4"/>
  <c r="T1311" i="4"/>
  <c r="U1311" i="4" s="1"/>
  <c r="W1311" i="4"/>
  <c r="V1311" i="4"/>
  <c r="T1312" i="4"/>
  <c r="U1312" i="4" s="1"/>
  <c r="W1312" i="4"/>
  <c r="V1312" i="4"/>
  <c r="T1313" i="4"/>
  <c r="U1313" i="4" s="1"/>
  <c r="W1313" i="4"/>
  <c r="V1313" i="4"/>
  <c r="T1314" i="4"/>
  <c r="U1314" i="4" s="1"/>
  <c r="W1314" i="4"/>
  <c r="V1314" i="4"/>
  <c r="T1315" i="4"/>
  <c r="U1315" i="4" s="1"/>
  <c r="W1315" i="4"/>
  <c r="V1315" i="4"/>
  <c r="T1316" i="4"/>
  <c r="U1316" i="4" s="1"/>
  <c r="W1316" i="4"/>
  <c r="V1316" i="4"/>
  <c r="T1317" i="4"/>
  <c r="U1317" i="4" s="1"/>
  <c r="W1317" i="4"/>
  <c r="V1317" i="4"/>
  <c r="T1318" i="4"/>
  <c r="U1318" i="4" s="1"/>
  <c r="W1318" i="4"/>
  <c r="V1318" i="4"/>
  <c r="T1319" i="4"/>
  <c r="U1319" i="4" s="1"/>
  <c r="W1319" i="4"/>
  <c r="V1319" i="4"/>
  <c r="T1320" i="4"/>
  <c r="U1320" i="4" s="1"/>
  <c r="W1320" i="4"/>
  <c r="V1320" i="4"/>
  <c r="T1321" i="4"/>
  <c r="U1321" i="4" s="1"/>
  <c r="W1321" i="4"/>
  <c r="V1321" i="4"/>
  <c r="T1322" i="4"/>
  <c r="U1322" i="4" s="1"/>
  <c r="W1322" i="4"/>
  <c r="V1322" i="4"/>
  <c r="T1323" i="4"/>
  <c r="U1323" i="4" s="1"/>
  <c r="W1323" i="4"/>
  <c r="V1323" i="4"/>
  <c r="T1324" i="4"/>
  <c r="U1324" i="4" s="1"/>
  <c r="W1324" i="4"/>
  <c r="V1324" i="4"/>
  <c r="T1325" i="4"/>
  <c r="U1325" i="4" s="1"/>
  <c r="W1325" i="4"/>
  <c r="V1325" i="4"/>
  <c r="T1326" i="4"/>
  <c r="U1326" i="4" s="1"/>
  <c r="W1326" i="4"/>
  <c r="V1326" i="4"/>
  <c r="T1327" i="4"/>
  <c r="U1327" i="4" s="1"/>
  <c r="W1327" i="4"/>
  <c r="V1327" i="4"/>
  <c r="T1328" i="4"/>
  <c r="U1328" i="4" s="1"/>
  <c r="W1328" i="4"/>
  <c r="V1328" i="4"/>
  <c r="T1329" i="4"/>
  <c r="U1329" i="4" s="1"/>
  <c r="W1329" i="4"/>
  <c r="V1329" i="4"/>
  <c r="T1330" i="4"/>
  <c r="U1330" i="4" s="1"/>
  <c r="W1330" i="4"/>
  <c r="V1330" i="4"/>
  <c r="T1331" i="4"/>
  <c r="U1331" i="4" s="1"/>
  <c r="W1331" i="4"/>
  <c r="V1331" i="4"/>
  <c r="T1332" i="4"/>
  <c r="U1332" i="4" s="1"/>
  <c r="W1332" i="4"/>
  <c r="V1332" i="4"/>
  <c r="T1333" i="4"/>
  <c r="U1333" i="4" s="1"/>
  <c r="W1333" i="4"/>
  <c r="V1333" i="4"/>
  <c r="T1334" i="4"/>
  <c r="U1334" i="4" s="1"/>
  <c r="W1334" i="4"/>
  <c r="V1334" i="4"/>
  <c r="T1335" i="4"/>
  <c r="U1335" i="4" s="1"/>
  <c r="W1335" i="4"/>
  <c r="V1335" i="4"/>
  <c r="T1336" i="4"/>
  <c r="U1336" i="4" s="1"/>
  <c r="W1336" i="4"/>
  <c r="V1336" i="4"/>
  <c r="T1337" i="4"/>
  <c r="U1337" i="4" s="1"/>
  <c r="W1337" i="4"/>
  <c r="V1337" i="4"/>
  <c r="T1338" i="4"/>
  <c r="U1338" i="4" s="1"/>
  <c r="W1338" i="4"/>
  <c r="V1338" i="4"/>
  <c r="T1339" i="4"/>
  <c r="U1339" i="4" s="1"/>
  <c r="W1339" i="4"/>
  <c r="V1339" i="4"/>
  <c r="T1340" i="4"/>
  <c r="U1340" i="4" s="1"/>
  <c r="W1340" i="4"/>
  <c r="V1340" i="4"/>
  <c r="T1341" i="4"/>
  <c r="U1341" i="4" s="1"/>
  <c r="W1341" i="4"/>
  <c r="V1341" i="4"/>
  <c r="T1342" i="4"/>
  <c r="U1342" i="4" s="1"/>
  <c r="W1342" i="4"/>
  <c r="V1342" i="4"/>
  <c r="T1343" i="4"/>
  <c r="U1343" i="4" s="1"/>
  <c r="W1343" i="4"/>
  <c r="V1343" i="4"/>
  <c r="T1344" i="4"/>
  <c r="U1344" i="4" s="1"/>
  <c r="W1344" i="4"/>
  <c r="V1344" i="4"/>
  <c r="T826" i="4"/>
  <c r="U826" i="4" s="1"/>
  <c r="W826" i="4"/>
  <c r="V826" i="4"/>
  <c r="T791" i="4"/>
  <c r="U791" i="4" s="1"/>
  <c r="W791" i="4"/>
  <c r="V791" i="4"/>
  <c r="T820" i="4"/>
  <c r="U820" i="4" s="1"/>
  <c r="W820" i="4"/>
  <c r="V820" i="4"/>
  <c r="T814" i="4"/>
  <c r="U814" i="4" s="1"/>
  <c r="W814" i="4"/>
  <c r="V814" i="4"/>
  <c r="T815" i="4"/>
  <c r="U815" i="4" s="1"/>
  <c r="W815" i="4"/>
  <c r="V815" i="4"/>
  <c r="T816" i="4"/>
  <c r="U816" i="4" s="1"/>
  <c r="W816" i="4"/>
  <c r="V816" i="4"/>
  <c r="T817" i="4"/>
  <c r="U817" i="4" s="1"/>
  <c r="W817" i="4"/>
  <c r="V817" i="4"/>
  <c r="T963" i="4"/>
  <c r="U963" i="4" s="1"/>
  <c r="W963" i="4"/>
  <c r="V963" i="4"/>
  <c r="T703" i="4"/>
  <c r="U703" i="4" s="1"/>
  <c r="W703" i="4"/>
  <c r="V703" i="4"/>
  <c r="T704" i="4"/>
  <c r="U704" i="4" s="1"/>
  <c r="W704" i="4"/>
  <c r="V704" i="4"/>
  <c r="T446" i="4"/>
  <c r="U446" i="4" s="1"/>
  <c r="W446" i="4"/>
  <c r="V446" i="4"/>
  <c r="T447" i="4"/>
  <c r="U447" i="4" s="1"/>
  <c r="W447" i="4"/>
  <c r="V447" i="4"/>
  <c r="T488" i="4"/>
  <c r="U488" i="4" s="1"/>
  <c r="W488" i="4"/>
  <c r="V488" i="4"/>
  <c r="T489" i="4"/>
  <c r="U489" i="4" s="1"/>
  <c r="W489" i="4"/>
  <c r="V489" i="4"/>
  <c r="T490" i="4"/>
  <c r="U490" i="4" s="1"/>
  <c r="W490" i="4"/>
  <c r="V490" i="4"/>
  <c r="T491" i="4"/>
  <c r="U491" i="4" s="1"/>
  <c r="W491" i="4"/>
  <c r="V491" i="4"/>
  <c r="T492" i="4"/>
  <c r="U492" i="4" s="1"/>
  <c r="W492" i="4"/>
  <c r="V492" i="4"/>
  <c r="T493" i="4"/>
  <c r="U493" i="4" s="1"/>
  <c r="W493" i="4"/>
  <c r="V493" i="4"/>
  <c r="T494" i="4"/>
  <c r="U494" i="4" s="1"/>
  <c r="W494" i="4"/>
  <c r="V494" i="4"/>
  <c r="T496" i="4"/>
  <c r="U496" i="4" s="1"/>
  <c r="W496" i="4"/>
  <c r="V496" i="4"/>
  <c r="T499" i="4"/>
  <c r="U499" i="4" s="1"/>
  <c r="W499" i="4"/>
  <c r="V499" i="4"/>
  <c r="T528" i="4"/>
  <c r="U528" i="4" s="1"/>
  <c r="W528" i="4"/>
  <c r="V528" i="4"/>
  <c r="T495" i="4"/>
  <c r="U495" i="4" s="1"/>
  <c r="W495" i="4"/>
  <c r="V495" i="4"/>
  <c r="T497" i="4"/>
  <c r="U497" i="4" s="1"/>
  <c r="W497" i="4"/>
  <c r="V497" i="4"/>
  <c r="T618" i="4"/>
  <c r="U618" i="4" s="1"/>
  <c r="W618" i="4"/>
  <c r="V618" i="4"/>
  <c r="T619" i="4"/>
  <c r="U619" i="4" s="1"/>
  <c r="W619" i="4"/>
  <c r="V619" i="4"/>
  <c r="T653" i="4"/>
  <c r="U653" i="4" s="1"/>
  <c r="W653" i="4"/>
  <c r="V653" i="4"/>
  <c r="T655" i="4"/>
  <c r="U655" i="4" s="1"/>
  <c r="W655" i="4"/>
  <c r="V655" i="4"/>
  <c r="T656" i="4"/>
  <c r="U656" i="4" s="1"/>
  <c r="W656" i="4"/>
  <c r="V656" i="4"/>
  <c r="T657" i="4"/>
  <c r="U657" i="4" s="1"/>
  <c r="W657" i="4"/>
  <c r="V657" i="4"/>
  <c r="T658" i="4"/>
  <c r="U658" i="4" s="1"/>
  <c r="W658" i="4"/>
  <c r="V658" i="4"/>
  <c r="T661" i="4"/>
  <c r="U661" i="4" s="1"/>
  <c r="W661" i="4"/>
  <c r="V661" i="4"/>
  <c r="T662" i="4"/>
  <c r="U662" i="4" s="1"/>
  <c r="W662" i="4"/>
  <c r="V662" i="4"/>
  <c r="T535" i="4"/>
  <c r="U535" i="4" s="1"/>
  <c r="W535" i="4"/>
  <c r="V535" i="4"/>
  <c r="T536" i="4"/>
  <c r="U536" i="4" s="1"/>
  <c r="W536" i="4"/>
  <c r="V536" i="4"/>
  <c r="T575" i="4"/>
  <c r="U575" i="4" s="1"/>
  <c r="W575" i="4"/>
  <c r="V575" i="4"/>
  <c r="T576" i="4"/>
  <c r="U576" i="4" s="1"/>
  <c r="W576" i="4"/>
  <c r="V576" i="4"/>
  <c r="T577" i="4"/>
  <c r="U577" i="4" s="1"/>
  <c r="W577" i="4"/>
  <c r="V577" i="4"/>
  <c r="T578" i="4"/>
  <c r="U578" i="4" s="1"/>
  <c r="W578" i="4"/>
  <c r="V578" i="4"/>
  <c r="T579" i="4"/>
  <c r="U579" i="4" s="1"/>
  <c r="W579" i="4"/>
  <c r="V579" i="4"/>
  <c r="T580" i="4"/>
  <c r="U580" i="4" s="1"/>
  <c r="W580" i="4"/>
  <c r="V580" i="4"/>
  <c r="T581" i="4"/>
  <c r="U581" i="4" s="1"/>
  <c r="W581" i="4"/>
  <c r="V581" i="4"/>
  <c r="T582" i="4"/>
  <c r="U582" i="4" s="1"/>
  <c r="W582" i="4"/>
  <c r="V582" i="4"/>
  <c r="T745" i="4"/>
  <c r="U745" i="4" s="1"/>
  <c r="W745" i="4"/>
  <c r="V745" i="4"/>
  <c r="T749" i="4"/>
  <c r="U749" i="4" s="1"/>
  <c r="W749" i="4"/>
  <c r="V749" i="4"/>
  <c r="T750" i="4"/>
  <c r="U750" i="4" s="1"/>
  <c r="W750" i="4"/>
  <c r="V750" i="4"/>
  <c r="T751" i="4"/>
  <c r="U751" i="4" s="1"/>
  <c r="W751" i="4"/>
  <c r="V751" i="4"/>
  <c r="T752" i="4"/>
  <c r="U752" i="4" s="1"/>
  <c r="W752" i="4"/>
  <c r="V752" i="4"/>
  <c r="T754" i="4"/>
  <c r="U754" i="4" s="1"/>
  <c r="W754" i="4"/>
  <c r="V754" i="4"/>
  <c r="T755" i="4"/>
  <c r="U755" i="4" s="1"/>
  <c r="W755" i="4"/>
  <c r="V755" i="4"/>
  <c r="T756" i="4"/>
  <c r="U756" i="4" s="1"/>
  <c r="W756" i="4"/>
  <c r="V756" i="4"/>
  <c r="T757" i="4"/>
  <c r="U757" i="4" s="1"/>
  <c r="W757" i="4"/>
  <c r="V757" i="4"/>
  <c r="T758" i="4"/>
  <c r="U758" i="4" s="1"/>
  <c r="W758" i="4"/>
  <c r="V758" i="4"/>
  <c r="T694" i="4"/>
  <c r="U694" i="4" s="1"/>
  <c r="W694" i="4"/>
  <c r="V694" i="4"/>
  <c r="T659" i="4"/>
  <c r="U659" i="4" s="1"/>
  <c r="W659" i="4"/>
  <c r="V659" i="4"/>
  <c r="T660" i="4"/>
  <c r="U660" i="4" s="1"/>
  <c r="W660" i="4"/>
  <c r="V660" i="4"/>
  <c r="T753" i="4"/>
  <c r="U753" i="4" s="1"/>
  <c r="W753" i="4"/>
  <c r="V753" i="4"/>
  <c r="T761" i="4"/>
  <c r="U761" i="4" s="1"/>
  <c r="W761" i="4"/>
  <c r="V761" i="4"/>
  <c r="T769" i="4"/>
  <c r="U769" i="4" s="1"/>
  <c r="W769" i="4"/>
  <c r="V769" i="4"/>
  <c r="T929" i="4"/>
  <c r="U929" i="4" s="1"/>
  <c r="W929" i="4"/>
  <c r="V929" i="4"/>
  <c r="T930" i="4"/>
  <c r="U930" i="4" s="1"/>
  <c r="W930" i="4"/>
  <c r="V930" i="4"/>
  <c r="T931" i="4"/>
  <c r="U931" i="4" s="1"/>
  <c r="W931" i="4"/>
  <c r="V931" i="4"/>
  <c r="T932" i="4"/>
  <c r="U932" i="4" s="1"/>
  <c r="W932" i="4"/>
  <c r="V932" i="4"/>
  <c r="T935" i="4"/>
  <c r="U935" i="4" s="1"/>
  <c r="W935" i="4"/>
  <c r="V935" i="4"/>
  <c r="T936" i="4"/>
  <c r="U936" i="4" s="1"/>
  <c r="W936" i="4"/>
  <c r="V936" i="4"/>
  <c r="T937" i="4"/>
  <c r="U937" i="4" s="1"/>
  <c r="W937" i="4"/>
  <c r="V937" i="4"/>
  <c r="T938" i="4"/>
  <c r="U938" i="4" s="1"/>
  <c r="W938" i="4"/>
  <c r="V938" i="4"/>
  <c r="T939" i="4"/>
  <c r="U939" i="4" s="1"/>
  <c r="W939" i="4"/>
  <c r="V939" i="4"/>
  <c r="T940" i="4"/>
  <c r="U940" i="4" s="1"/>
  <c r="W940" i="4"/>
  <c r="V940" i="4"/>
  <c r="T941" i="4"/>
  <c r="U941" i="4" s="1"/>
  <c r="W941" i="4"/>
  <c r="V941" i="4"/>
  <c r="T942" i="4"/>
  <c r="U942" i="4" s="1"/>
  <c r="W942" i="4"/>
  <c r="V942" i="4"/>
  <c r="T943" i="4"/>
  <c r="U943" i="4" s="1"/>
  <c r="W943" i="4"/>
  <c r="V943" i="4"/>
  <c r="T944" i="4"/>
  <c r="U944" i="4" s="1"/>
  <c r="W944" i="4"/>
  <c r="V944" i="4"/>
  <c r="T945" i="4"/>
  <c r="U945" i="4" s="1"/>
  <c r="W945" i="4"/>
  <c r="V945" i="4"/>
  <c r="T946" i="4"/>
  <c r="U946" i="4" s="1"/>
  <c r="W946" i="4"/>
  <c r="V946" i="4"/>
  <c r="T947" i="4"/>
  <c r="U947" i="4" s="1"/>
  <c r="W947" i="4"/>
  <c r="V947" i="4"/>
  <c r="T948" i="4"/>
  <c r="U948" i="4" s="1"/>
  <c r="W948" i="4"/>
  <c r="V948" i="4"/>
  <c r="T949" i="4"/>
  <c r="U949" i="4" s="1"/>
  <c r="W949" i="4"/>
  <c r="V949" i="4"/>
  <c r="T950" i="4"/>
  <c r="U950" i="4" s="1"/>
  <c r="W950" i="4"/>
  <c r="V950" i="4"/>
  <c r="T951" i="4"/>
  <c r="U951" i="4" s="1"/>
  <c r="W951" i="4"/>
  <c r="V951" i="4"/>
  <c r="T952" i="4"/>
  <c r="U952" i="4" s="1"/>
  <c r="W952" i="4"/>
  <c r="V952" i="4"/>
  <c r="T953" i="4"/>
  <c r="U953" i="4" s="1"/>
  <c r="W953" i="4"/>
  <c r="V953" i="4"/>
  <c r="T954" i="4"/>
  <c r="U954" i="4" s="1"/>
  <c r="W954" i="4"/>
  <c r="V954" i="4"/>
  <c r="T955" i="4"/>
  <c r="U955" i="4" s="1"/>
  <c r="W955" i="4"/>
  <c r="V955" i="4"/>
  <c r="T956" i="4"/>
  <c r="U956" i="4" s="1"/>
  <c r="W956" i="4"/>
  <c r="V956" i="4"/>
  <c r="T957" i="4"/>
  <c r="U957" i="4" s="1"/>
  <c r="W957" i="4"/>
  <c r="V957" i="4"/>
  <c r="T958" i="4"/>
  <c r="U958" i="4" s="1"/>
  <c r="W958" i="4"/>
  <c r="V958" i="4"/>
  <c r="T959" i="4"/>
  <c r="U959" i="4" s="1"/>
  <c r="W959" i="4"/>
  <c r="V959" i="4"/>
  <c r="T960" i="4"/>
  <c r="U960" i="4" s="1"/>
  <c r="W960" i="4"/>
  <c r="V960" i="4"/>
  <c r="T961" i="4"/>
  <c r="U961" i="4" s="1"/>
  <c r="W961" i="4"/>
  <c r="V961" i="4"/>
  <c r="T962" i="4"/>
  <c r="U962" i="4" s="1"/>
  <c r="W962" i="4"/>
  <c r="V962" i="4"/>
  <c r="T980" i="4"/>
  <c r="U980" i="4" s="1"/>
  <c r="W980" i="4"/>
  <c r="V980" i="4"/>
  <c r="T981" i="4"/>
  <c r="U981" i="4" s="1"/>
  <c r="W981" i="4"/>
  <c r="V981" i="4"/>
  <c r="T1008" i="4"/>
  <c r="U1008" i="4" s="1"/>
  <c r="W1008" i="4"/>
  <c r="V1008" i="4"/>
  <c r="T1010" i="4"/>
  <c r="U1010" i="4" s="1"/>
  <c r="W1010" i="4"/>
  <c r="V1010" i="4"/>
  <c r="T1011" i="4"/>
  <c r="U1011" i="4" s="1"/>
  <c r="W1011" i="4"/>
  <c r="V1011" i="4"/>
  <c r="T1012" i="4"/>
  <c r="U1012" i="4" s="1"/>
  <c r="W1012" i="4"/>
  <c r="V1012" i="4"/>
  <c r="T1013" i="4"/>
  <c r="U1013" i="4" s="1"/>
  <c r="W1013" i="4"/>
  <c r="V1013" i="4"/>
  <c r="T1014" i="4"/>
  <c r="U1014" i="4" s="1"/>
  <c r="W1014" i="4"/>
  <c r="V1014" i="4"/>
  <c r="T1015" i="4"/>
  <c r="U1015" i="4" s="1"/>
  <c r="W1015" i="4"/>
  <c r="V1015" i="4"/>
  <c r="T1017" i="4"/>
  <c r="U1017" i="4" s="1"/>
  <c r="W1017" i="4"/>
  <c r="V1017" i="4"/>
  <c r="T1018" i="4"/>
  <c r="U1018" i="4" s="1"/>
  <c r="W1018" i="4"/>
  <c r="V1018" i="4"/>
  <c r="T1019" i="4"/>
  <c r="U1019" i="4" s="1"/>
  <c r="W1019" i="4"/>
  <c r="V1019" i="4"/>
  <c r="T1020" i="4"/>
  <c r="U1020" i="4" s="1"/>
  <c r="W1020" i="4"/>
  <c r="V1020" i="4"/>
  <c r="T1021" i="4"/>
  <c r="U1021" i="4" s="1"/>
  <c r="W1021" i="4"/>
  <c r="V1021" i="4"/>
  <c r="T1022" i="4"/>
  <c r="U1022" i="4" s="1"/>
  <c r="W1022" i="4"/>
  <c r="V1022" i="4"/>
  <c r="T1023" i="4"/>
  <c r="U1023" i="4" s="1"/>
  <c r="W1023" i="4"/>
  <c r="V1023" i="4"/>
  <c r="T1024" i="4"/>
  <c r="U1024" i="4" s="1"/>
  <c r="W1024" i="4"/>
  <c r="V1024" i="4"/>
  <c r="T1025" i="4"/>
  <c r="U1025" i="4" s="1"/>
  <c r="W1025" i="4"/>
  <c r="V1025" i="4"/>
  <c r="T1026" i="4"/>
  <c r="U1026" i="4" s="1"/>
  <c r="W1026" i="4"/>
  <c r="V1026" i="4"/>
  <c r="T1027" i="4"/>
  <c r="U1027" i="4" s="1"/>
  <c r="W1027" i="4"/>
  <c r="V1027" i="4"/>
  <c r="T1028" i="4"/>
  <c r="U1028" i="4" s="1"/>
  <c r="W1028" i="4"/>
  <c r="V1028" i="4"/>
  <c r="T1029" i="4"/>
  <c r="U1029" i="4" s="1"/>
  <c r="W1029" i="4"/>
  <c r="V1029" i="4"/>
  <c r="T1030" i="4"/>
  <c r="U1030" i="4" s="1"/>
  <c r="W1030" i="4"/>
  <c r="V1030" i="4"/>
  <c r="T1031" i="4"/>
  <c r="U1031" i="4" s="1"/>
  <c r="W1031" i="4"/>
  <c r="V1031" i="4"/>
  <c r="T1032" i="4"/>
  <c r="U1032" i="4" s="1"/>
  <c r="W1032" i="4"/>
  <c r="V1032" i="4"/>
  <c r="T1033" i="4"/>
  <c r="U1033" i="4" s="1"/>
  <c r="W1033" i="4"/>
  <c r="V1033" i="4"/>
  <c r="T1034" i="4"/>
  <c r="U1034" i="4" s="1"/>
  <c r="W1034" i="4"/>
  <c r="V1034" i="4"/>
  <c r="T1035" i="4"/>
  <c r="U1035" i="4" s="1"/>
  <c r="W1035" i="4"/>
  <c r="V1035" i="4"/>
  <c r="T1036" i="4"/>
  <c r="U1036" i="4" s="1"/>
  <c r="W1036" i="4"/>
  <c r="V1036" i="4"/>
  <c r="T1037" i="4"/>
  <c r="U1037" i="4" s="1"/>
  <c r="W1037" i="4"/>
  <c r="V1037" i="4"/>
  <c r="T1038" i="4"/>
  <c r="U1038" i="4" s="1"/>
  <c r="W1038" i="4"/>
  <c r="V1038" i="4"/>
  <c r="T1039" i="4"/>
  <c r="U1039" i="4" s="1"/>
  <c r="W1039" i="4"/>
  <c r="V1039" i="4"/>
  <c r="T1040" i="4"/>
  <c r="U1040" i="4" s="1"/>
  <c r="W1040" i="4"/>
  <c r="V1040" i="4"/>
  <c r="T1041" i="4"/>
  <c r="U1041" i="4" s="1"/>
  <c r="W1041" i="4"/>
  <c r="V1041" i="4"/>
  <c r="T1042" i="4"/>
  <c r="U1042" i="4" s="1"/>
  <c r="W1042" i="4"/>
  <c r="V1042" i="4"/>
  <c r="T1043" i="4"/>
  <c r="U1043" i="4" s="1"/>
  <c r="W1043" i="4"/>
  <c r="V1043" i="4"/>
  <c r="T1044" i="4"/>
  <c r="U1044" i="4" s="1"/>
  <c r="W1044" i="4"/>
  <c r="V1044" i="4"/>
  <c r="T1046" i="4"/>
  <c r="U1046" i="4" s="1"/>
  <c r="W1046" i="4"/>
  <c r="V1046" i="4"/>
  <c r="T1047" i="4"/>
  <c r="U1047" i="4" s="1"/>
  <c r="W1047" i="4"/>
  <c r="V1047" i="4"/>
  <c r="T927" i="4"/>
  <c r="U927" i="4" s="1"/>
  <c r="W927" i="4"/>
  <c r="V927" i="4"/>
  <c r="T928" i="4"/>
  <c r="U928" i="4" s="1"/>
  <c r="W928" i="4"/>
  <c r="V928" i="4"/>
  <c r="T844" i="4"/>
  <c r="U844" i="4" s="1"/>
  <c r="W844" i="4"/>
  <c r="V844" i="4"/>
  <c r="T852" i="4"/>
  <c r="U852" i="4" s="1"/>
  <c r="W852" i="4"/>
  <c r="V852" i="4"/>
  <c r="T933" i="4"/>
  <c r="U933" i="4" s="1"/>
  <c r="W933" i="4"/>
  <c r="V933" i="4"/>
  <c r="T934" i="4"/>
  <c r="U934" i="4" s="1"/>
  <c r="W934" i="4"/>
  <c r="V934" i="4"/>
  <c r="T964" i="4"/>
  <c r="U964" i="4" s="1"/>
  <c r="W964" i="4"/>
  <c r="V964" i="4"/>
  <c r="T990" i="4"/>
  <c r="U990" i="4" s="1"/>
  <c r="W990" i="4"/>
  <c r="V990" i="4"/>
  <c r="T991" i="4"/>
  <c r="U991" i="4" s="1"/>
  <c r="W991" i="4"/>
  <c r="V991" i="4"/>
  <c r="T106" i="4"/>
  <c r="U106" i="4" s="1"/>
  <c r="W106" i="4"/>
  <c r="V106" i="4"/>
  <c r="T119" i="4"/>
  <c r="U119" i="4" s="1"/>
  <c r="W119" i="4"/>
  <c r="V119" i="4"/>
  <c r="T120" i="4"/>
  <c r="U120" i="4" s="1"/>
  <c r="W120" i="4"/>
  <c r="V120" i="4"/>
  <c r="T113" i="4"/>
  <c r="U113" i="4" s="1"/>
  <c r="W113" i="4"/>
  <c r="V113" i="4"/>
  <c r="T377" i="4"/>
  <c r="U377" i="4" s="1"/>
  <c r="W377" i="4"/>
  <c r="V377" i="4"/>
  <c r="T359" i="4"/>
  <c r="U359" i="4" s="1"/>
  <c r="W359" i="4"/>
  <c r="V359" i="4"/>
  <c r="T393" i="4"/>
  <c r="U393" i="4" s="1"/>
  <c r="W393" i="4"/>
  <c r="V393" i="4"/>
  <c r="T399" i="4"/>
  <c r="U399" i="4" s="1"/>
  <c r="W399" i="4"/>
  <c r="V399" i="4"/>
  <c r="T238" i="4"/>
  <c r="U238" i="4" s="1"/>
  <c r="W238" i="4"/>
  <c r="V238" i="4"/>
  <c r="T239" i="4"/>
  <c r="U239" i="4" s="1"/>
  <c r="W239" i="4"/>
  <c r="V239" i="4"/>
  <c r="T697" i="4"/>
  <c r="U697" i="4" s="1"/>
  <c r="W697" i="4"/>
  <c r="V697" i="4"/>
  <c r="T698" i="4"/>
  <c r="U698" i="4" s="1"/>
  <c r="W698" i="4"/>
  <c r="V698" i="4"/>
  <c r="T699" i="4"/>
  <c r="U699" i="4" s="1"/>
  <c r="W699" i="4"/>
  <c r="V699" i="4"/>
  <c r="T700" i="4"/>
  <c r="U700" i="4" s="1"/>
  <c r="W700" i="4"/>
  <c r="V700" i="4"/>
  <c r="T701" i="4"/>
  <c r="U701" i="4" s="1"/>
  <c r="W701" i="4"/>
  <c r="V701" i="4"/>
  <c r="T705" i="4"/>
  <c r="U705" i="4" s="1"/>
  <c r="W705" i="4"/>
  <c r="V705" i="4"/>
  <c r="T712" i="4"/>
  <c r="U712" i="4" s="1"/>
  <c r="W712" i="4"/>
  <c r="V712" i="4"/>
  <c r="T441" i="4"/>
  <c r="U441" i="4" s="1"/>
  <c r="W441" i="4"/>
  <c r="V441" i="4"/>
  <c r="T442" i="4"/>
  <c r="U442" i="4" s="1"/>
  <c r="W442" i="4"/>
  <c r="V442" i="4"/>
  <c r="T443" i="4"/>
  <c r="U443" i="4" s="1"/>
  <c r="W443" i="4"/>
  <c r="V443" i="4"/>
  <c r="T444" i="4"/>
  <c r="U444" i="4" s="1"/>
  <c r="W444" i="4"/>
  <c r="V444" i="4"/>
  <c r="T445" i="4"/>
  <c r="U445" i="4" s="1"/>
  <c r="W445" i="4"/>
  <c r="V445" i="4"/>
  <c r="T448" i="4"/>
  <c r="U448" i="4" s="1"/>
  <c r="W448" i="4"/>
  <c r="V448" i="4"/>
  <c r="T449" i="4"/>
  <c r="U449" i="4" s="1"/>
  <c r="W449" i="4"/>
  <c r="V449" i="4"/>
  <c r="T452" i="4"/>
  <c r="U452" i="4" s="1"/>
  <c r="W452" i="4"/>
  <c r="V452" i="4"/>
  <c r="T453" i="4"/>
  <c r="U453" i="4" s="1"/>
  <c r="W453" i="4"/>
  <c r="V453" i="4"/>
  <c r="T455" i="4"/>
  <c r="U455" i="4" s="1"/>
  <c r="W455" i="4"/>
  <c r="V455" i="4"/>
  <c r="T459" i="4"/>
  <c r="U459" i="4" s="1"/>
  <c r="W459" i="4"/>
  <c r="V459" i="4"/>
  <c r="T460" i="4"/>
  <c r="U460" i="4" s="1"/>
  <c r="W460" i="4"/>
  <c r="V460" i="4"/>
  <c r="T463" i="4"/>
  <c r="U463" i="4" s="1"/>
  <c r="W463" i="4"/>
  <c r="V463" i="4"/>
  <c r="T464" i="4"/>
  <c r="U464" i="4" s="1"/>
  <c r="W464" i="4"/>
  <c r="V464" i="4"/>
  <c r="T465" i="4"/>
  <c r="U465" i="4" s="1"/>
  <c r="W465" i="4"/>
  <c r="V465" i="4"/>
  <c r="T466" i="4"/>
  <c r="U466" i="4" s="1"/>
  <c r="W466" i="4"/>
  <c r="V466" i="4"/>
  <c r="T467" i="4"/>
  <c r="U467" i="4" s="1"/>
  <c r="W467" i="4"/>
  <c r="V467" i="4"/>
  <c r="T468" i="4"/>
  <c r="U468" i="4" s="1"/>
  <c r="W468" i="4"/>
  <c r="V468" i="4"/>
  <c r="T471" i="4"/>
  <c r="U471" i="4" s="1"/>
  <c r="W471" i="4"/>
  <c r="V471" i="4"/>
  <c r="T474" i="4"/>
  <c r="U474" i="4" s="1"/>
  <c r="W474" i="4"/>
  <c r="V474" i="4"/>
  <c r="T475" i="4"/>
  <c r="U475" i="4" s="1"/>
  <c r="W475" i="4"/>
  <c r="V475" i="4"/>
  <c r="T476" i="4"/>
  <c r="U476" i="4" s="1"/>
  <c r="W476" i="4"/>
  <c r="V476" i="4"/>
  <c r="T477" i="4"/>
  <c r="U477" i="4" s="1"/>
  <c r="W477" i="4"/>
  <c r="V477" i="4"/>
  <c r="T478" i="4"/>
  <c r="U478" i="4" s="1"/>
  <c r="W478" i="4"/>
  <c r="V478" i="4"/>
  <c r="T479" i="4"/>
  <c r="U479" i="4" s="1"/>
  <c r="W479" i="4"/>
  <c r="V479" i="4"/>
  <c r="T480" i="4"/>
  <c r="U480" i="4" s="1"/>
  <c r="W480" i="4"/>
  <c r="V480" i="4"/>
  <c r="T483" i="4"/>
  <c r="U483" i="4" s="1"/>
  <c r="W483" i="4"/>
  <c r="V483" i="4"/>
  <c r="T484" i="4"/>
  <c r="U484" i="4" s="1"/>
  <c r="W484" i="4"/>
  <c r="V484" i="4"/>
  <c r="T487" i="4"/>
  <c r="U487" i="4" s="1"/>
  <c r="W487" i="4"/>
  <c r="V487" i="4"/>
  <c r="T498" i="4"/>
  <c r="U498" i="4" s="1"/>
  <c r="W498" i="4"/>
  <c r="V498" i="4"/>
  <c r="T613" i="4"/>
  <c r="U613" i="4" s="1"/>
  <c r="W613" i="4"/>
  <c r="V613" i="4"/>
  <c r="T614" i="4"/>
  <c r="U614" i="4" s="1"/>
  <c r="W614" i="4"/>
  <c r="V614" i="4"/>
  <c r="T615" i="4"/>
  <c r="U615" i="4" s="1"/>
  <c r="W615" i="4"/>
  <c r="V615" i="4"/>
  <c r="T616" i="4"/>
  <c r="U616" i="4" s="1"/>
  <c r="W616" i="4"/>
  <c r="V616" i="4"/>
  <c r="T617" i="4"/>
  <c r="U617" i="4" s="1"/>
  <c r="W617" i="4"/>
  <c r="V617" i="4"/>
  <c r="T620" i="4"/>
  <c r="U620" i="4" s="1"/>
  <c r="W620" i="4"/>
  <c r="V620" i="4"/>
  <c r="T622" i="4"/>
  <c r="U622" i="4" s="1"/>
  <c r="W622" i="4"/>
  <c r="V622" i="4"/>
  <c r="T623" i="4"/>
  <c r="U623" i="4" s="1"/>
  <c r="W623" i="4"/>
  <c r="V623" i="4"/>
  <c r="T625" i="4"/>
  <c r="U625" i="4" s="1"/>
  <c r="W625" i="4"/>
  <c r="V625" i="4"/>
  <c r="T629" i="4"/>
  <c r="U629" i="4" s="1"/>
  <c r="W629" i="4"/>
  <c r="V629" i="4"/>
  <c r="T630" i="4"/>
  <c r="U630" i="4" s="1"/>
  <c r="W630" i="4"/>
  <c r="V630" i="4"/>
  <c r="T631" i="4"/>
  <c r="U631" i="4" s="1"/>
  <c r="W631" i="4"/>
  <c r="V631" i="4"/>
  <c r="T633" i="4"/>
  <c r="U633" i="4" s="1"/>
  <c r="W633" i="4"/>
  <c r="V633" i="4"/>
  <c r="T634" i="4"/>
  <c r="U634" i="4" s="1"/>
  <c r="W634" i="4"/>
  <c r="V634" i="4"/>
  <c r="T635" i="4"/>
  <c r="U635" i="4" s="1"/>
  <c r="W635" i="4"/>
  <c r="V635" i="4"/>
  <c r="T636" i="4"/>
  <c r="U636" i="4" s="1"/>
  <c r="W636" i="4"/>
  <c r="V636" i="4"/>
  <c r="T640" i="4"/>
  <c r="U640" i="4" s="1"/>
  <c r="W640" i="4"/>
  <c r="V640" i="4"/>
  <c r="T641" i="4"/>
  <c r="U641" i="4" s="1"/>
  <c r="W641" i="4"/>
  <c r="V641" i="4"/>
  <c r="T642" i="4"/>
  <c r="U642" i="4" s="1"/>
  <c r="W642" i="4"/>
  <c r="V642" i="4"/>
  <c r="T644" i="4"/>
  <c r="U644" i="4" s="1"/>
  <c r="W644" i="4"/>
  <c r="V644" i="4"/>
  <c r="T645" i="4"/>
  <c r="U645" i="4" s="1"/>
  <c r="W645" i="4"/>
  <c r="V645" i="4"/>
  <c r="T646" i="4"/>
  <c r="U646" i="4" s="1"/>
  <c r="W646" i="4"/>
  <c r="V646" i="4"/>
  <c r="T647" i="4"/>
  <c r="U647" i="4" s="1"/>
  <c r="W647" i="4"/>
  <c r="V647" i="4"/>
  <c r="T650" i="4"/>
  <c r="U650" i="4" s="1"/>
  <c r="W650" i="4"/>
  <c r="V650" i="4"/>
  <c r="T652" i="4"/>
  <c r="U652" i="4" s="1"/>
  <c r="W652" i="4"/>
  <c r="V652" i="4"/>
  <c r="T530" i="4"/>
  <c r="U530" i="4" s="1"/>
  <c r="W530" i="4"/>
  <c r="V530" i="4"/>
  <c r="T531" i="4"/>
  <c r="U531" i="4" s="1"/>
  <c r="W531" i="4"/>
  <c r="V531" i="4"/>
  <c r="T532" i="4"/>
  <c r="U532" i="4" s="1"/>
  <c r="W532" i="4"/>
  <c r="V532" i="4"/>
  <c r="T533" i="4"/>
  <c r="U533" i="4" s="1"/>
  <c r="W533" i="4"/>
  <c r="V533" i="4"/>
  <c r="T534" i="4"/>
  <c r="U534" i="4" s="1"/>
  <c r="W534" i="4"/>
  <c r="V534" i="4"/>
  <c r="T537" i="4"/>
  <c r="U537" i="4" s="1"/>
  <c r="W537" i="4"/>
  <c r="V537" i="4"/>
  <c r="T538" i="4"/>
  <c r="U538" i="4" s="1"/>
  <c r="W538" i="4"/>
  <c r="V538" i="4"/>
  <c r="T541" i="4"/>
  <c r="U541" i="4" s="1"/>
  <c r="W541" i="4"/>
  <c r="V541" i="4"/>
  <c r="T542" i="4"/>
  <c r="U542" i="4" s="1"/>
  <c r="W542" i="4"/>
  <c r="V542" i="4"/>
  <c r="T544" i="4"/>
  <c r="U544" i="4" s="1"/>
  <c r="W544" i="4"/>
  <c r="V544" i="4"/>
  <c r="T549" i="4"/>
  <c r="U549" i="4" s="1"/>
  <c r="W549" i="4"/>
  <c r="V549" i="4"/>
  <c r="T550" i="4"/>
  <c r="U550" i="4" s="1"/>
  <c r="W550" i="4"/>
  <c r="V550" i="4"/>
  <c r="T552" i="4"/>
  <c r="U552" i="4" s="1"/>
  <c r="W552" i="4"/>
  <c r="V552" i="4"/>
  <c r="T553" i="4"/>
  <c r="U553" i="4" s="1"/>
  <c r="W553" i="4"/>
  <c r="V553" i="4"/>
  <c r="T554" i="4"/>
  <c r="U554" i="4" s="1"/>
  <c r="W554" i="4"/>
  <c r="V554" i="4"/>
  <c r="T555" i="4"/>
  <c r="U555" i="4" s="1"/>
  <c r="W555" i="4"/>
  <c r="V555" i="4"/>
  <c r="T558" i="4"/>
  <c r="U558" i="4" s="1"/>
  <c r="W558" i="4"/>
  <c r="V558" i="4"/>
  <c r="T561" i="4"/>
  <c r="U561" i="4" s="1"/>
  <c r="W561" i="4"/>
  <c r="V561" i="4"/>
  <c r="T562" i="4"/>
  <c r="U562" i="4" s="1"/>
  <c r="W562" i="4"/>
  <c r="V562" i="4"/>
  <c r="T563" i="4"/>
  <c r="U563" i="4" s="1"/>
  <c r="W563" i="4"/>
  <c r="V563" i="4"/>
  <c r="T564" i="4"/>
  <c r="U564" i="4" s="1"/>
  <c r="W564" i="4"/>
  <c r="V564" i="4"/>
  <c r="T565" i="4"/>
  <c r="U565" i="4" s="1"/>
  <c r="W565" i="4"/>
  <c r="V565" i="4"/>
  <c r="T566" i="4"/>
  <c r="U566" i="4" s="1"/>
  <c r="W566" i="4"/>
  <c r="V566" i="4"/>
  <c r="T567" i="4"/>
  <c r="U567" i="4" s="1"/>
  <c r="W567" i="4"/>
  <c r="V567" i="4"/>
  <c r="T570" i="4"/>
  <c r="U570" i="4" s="1"/>
  <c r="W570" i="4"/>
  <c r="V570" i="4"/>
  <c r="T571" i="4"/>
  <c r="U571" i="4" s="1"/>
  <c r="W571" i="4"/>
  <c r="V571" i="4"/>
  <c r="T574" i="4"/>
  <c r="U574" i="4" s="1"/>
  <c r="W574" i="4"/>
  <c r="V574" i="4"/>
  <c r="T548" i="4"/>
  <c r="U548" i="4" s="1"/>
  <c r="W548" i="4"/>
  <c r="V548" i="4"/>
  <c r="T718" i="4"/>
  <c r="U718" i="4" s="1"/>
  <c r="W718" i="4"/>
  <c r="V718" i="4"/>
  <c r="T720" i="4"/>
  <c r="U720" i="4" s="1"/>
  <c r="W720" i="4"/>
  <c r="V720" i="4"/>
  <c r="T722" i="4"/>
  <c r="U722" i="4" s="1"/>
  <c r="W722" i="4"/>
  <c r="V722" i="4"/>
  <c r="T723" i="4"/>
  <c r="U723" i="4" s="1"/>
  <c r="W723" i="4"/>
  <c r="V723" i="4"/>
  <c r="T732" i="4"/>
  <c r="U732" i="4" s="1"/>
  <c r="W732" i="4"/>
  <c r="V732" i="4"/>
  <c r="T735" i="4"/>
  <c r="U735" i="4" s="1"/>
  <c r="W735" i="4"/>
  <c r="V735" i="4"/>
  <c r="T736" i="4"/>
  <c r="U736" i="4" s="1"/>
  <c r="W736" i="4"/>
  <c r="V736" i="4"/>
  <c r="T739" i="4"/>
  <c r="U739" i="4" s="1"/>
  <c r="W739" i="4"/>
  <c r="V739" i="4"/>
  <c r="T643" i="4"/>
  <c r="U643" i="4" s="1"/>
  <c r="W643" i="4"/>
  <c r="V643" i="4"/>
  <c r="T706" i="4"/>
  <c r="U706" i="4" s="1"/>
  <c r="W706" i="4"/>
  <c r="V706" i="4"/>
  <c r="T726" i="4"/>
  <c r="U726" i="4" s="1"/>
  <c r="W726" i="4"/>
  <c r="V726" i="4"/>
  <c r="T728" i="4"/>
  <c r="U728" i="4" s="1"/>
  <c r="W728" i="4"/>
  <c r="V728" i="4"/>
  <c r="T731" i="4"/>
  <c r="U731" i="4" s="1"/>
  <c r="W731" i="4"/>
  <c r="V731" i="4"/>
  <c r="T740" i="4"/>
  <c r="U740" i="4" s="1"/>
  <c r="W740" i="4"/>
  <c r="V740" i="4"/>
  <c r="T702" i="4"/>
  <c r="U702" i="4" s="1"/>
  <c r="W702" i="4"/>
  <c r="V702" i="4"/>
  <c r="T744" i="4"/>
  <c r="U744" i="4" s="1"/>
  <c r="W744" i="4"/>
  <c r="V744" i="4"/>
  <c r="T788" i="4"/>
  <c r="U788" i="4" s="1"/>
  <c r="W788" i="4"/>
  <c r="V788" i="4"/>
  <c r="T974" i="4"/>
  <c r="U974" i="4" s="1"/>
  <c r="W974" i="4"/>
  <c r="V974" i="4"/>
  <c r="T975" i="4"/>
  <c r="U975" i="4" s="1"/>
  <c r="W975" i="4"/>
  <c r="V975" i="4"/>
  <c r="T976" i="4"/>
  <c r="U976" i="4" s="1"/>
  <c r="W976" i="4"/>
  <c r="V976" i="4"/>
  <c r="T977" i="4"/>
  <c r="U977" i="4" s="1"/>
  <c r="W977" i="4"/>
  <c r="V977" i="4"/>
  <c r="T978" i="4"/>
  <c r="U978" i="4" s="1"/>
  <c r="W978" i="4"/>
  <c r="V978" i="4"/>
  <c r="T979" i="4"/>
  <c r="U979" i="4" s="1"/>
  <c r="W979" i="4"/>
  <c r="V979" i="4"/>
  <c r="T982" i="4"/>
  <c r="U982" i="4" s="1"/>
  <c r="W982" i="4"/>
  <c r="V982" i="4"/>
  <c r="T983" i="4"/>
  <c r="U983" i="4" s="1"/>
  <c r="W983" i="4"/>
  <c r="V983" i="4"/>
  <c r="T986" i="4"/>
  <c r="U986" i="4" s="1"/>
  <c r="W986" i="4"/>
  <c r="V986" i="4"/>
  <c r="T992" i="4"/>
  <c r="U992" i="4" s="1"/>
  <c r="W992" i="4"/>
  <c r="V992" i="4"/>
  <c r="T993" i="4"/>
  <c r="U993" i="4" s="1"/>
  <c r="W993" i="4"/>
  <c r="V993" i="4"/>
  <c r="T994" i="4"/>
  <c r="U994" i="4" s="1"/>
  <c r="W994" i="4"/>
  <c r="V994" i="4"/>
  <c r="T996" i="4"/>
  <c r="U996" i="4" s="1"/>
  <c r="W996" i="4"/>
  <c r="V996" i="4"/>
  <c r="T998" i="4"/>
  <c r="U998" i="4" s="1"/>
  <c r="W998" i="4"/>
  <c r="V998" i="4"/>
  <c r="T1001" i="4"/>
  <c r="U1001" i="4" s="1"/>
  <c r="W1001" i="4"/>
  <c r="V1001" i="4"/>
  <c r="T1003" i="4"/>
  <c r="U1003" i="4" s="1"/>
  <c r="W1003" i="4"/>
  <c r="V1003" i="4"/>
  <c r="T1004" i="4"/>
  <c r="U1004" i="4" s="1"/>
  <c r="W1004" i="4"/>
  <c r="V1004" i="4"/>
  <c r="T1005" i="4"/>
  <c r="U1005" i="4" s="1"/>
  <c r="W1005" i="4"/>
  <c r="V1005" i="4"/>
  <c r="T1006" i="4"/>
  <c r="U1006" i="4" s="1"/>
  <c r="W1006" i="4"/>
  <c r="V1006" i="4"/>
  <c r="T1007" i="4"/>
  <c r="U1007" i="4" s="1"/>
  <c r="W1007" i="4"/>
  <c r="V1007" i="4"/>
  <c r="T1009" i="4"/>
  <c r="U1009" i="4" s="1"/>
  <c r="W1009" i="4"/>
  <c r="V1009" i="4"/>
  <c r="T792" i="4"/>
  <c r="U792" i="4" s="1"/>
  <c r="W792" i="4"/>
  <c r="V792" i="4"/>
  <c r="T793" i="4"/>
  <c r="U793" i="4" s="1"/>
  <c r="W793" i="4"/>
  <c r="V793" i="4"/>
  <c r="T794" i="4"/>
  <c r="U794" i="4" s="1"/>
  <c r="W794" i="4"/>
  <c r="V794" i="4"/>
  <c r="T795" i="4"/>
  <c r="U795" i="4" s="1"/>
  <c r="W795" i="4"/>
  <c r="V795" i="4"/>
  <c r="T796" i="4"/>
  <c r="U796" i="4" s="1"/>
  <c r="W796" i="4"/>
  <c r="V796" i="4"/>
  <c r="T797" i="4"/>
  <c r="U797" i="4" s="1"/>
  <c r="W797" i="4"/>
  <c r="V797" i="4"/>
  <c r="T798" i="4"/>
  <c r="U798" i="4" s="1"/>
  <c r="W798" i="4"/>
  <c r="V798" i="4"/>
  <c r="T799" i="4"/>
  <c r="U799" i="4" s="1"/>
  <c r="W799" i="4"/>
  <c r="V799" i="4"/>
  <c r="T800" i="4"/>
  <c r="U800" i="4" s="1"/>
  <c r="W800" i="4"/>
  <c r="V800" i="4"/>
  <c r="T801" i="4"/>
  <c r="U801" i="4" s="1"/>
  <c r="W801" i="4"/>
  <c r="V801" i="4"/>
  <c r="T802" i="4"/>
  <c r="U802" i="4" s="1"/>
  <c r="W802" i="4"/>
  <c r="V802" i="4"/>
  <c r="T803" i="4"/>
  <c r="U803" i="4" s="1"/>
  <c r="W803" i="4"/>
  <c r="V803" i="4"/>
  <c r="T804" i="4"/>
  <c r="U804" i="4" s="1"/>
  <c r="W804" i="4"/>
  <c r="V804" i="4"/>
  <c r="T805" i="4"/>
  <c r="U805" i="4" s="1"/>
  <c r="W805" i="4"/>
  <c r="V805" i="4"/>
  <c r="T806" i="4"/>
  <c r="U806" i="4" s="1"/>
  <c r="W806" i="4"/>
  <c r="V806" i="4"/>
  <c r="T807" i="4"/>
  <c r="U807" i="4" s="1"/>
  <c r="W807" i="4"/>
  <c r="V807" i="4"/>
  <c r="T808" i="4"/>
  <c r="U808" i="4" s="1"/>
  <c r="W808" i="4"/>
  <c r="V808" i="4"/>
  <c r="T809" i="4"/>
  <c r="U809" i="4" s="1"/>
  <c r="W809" i="4"/>
  <c r="V809" i="4"/>
  <c r="T810" i="4"/>
  <c r="U810" i="4" s="1"/>
  <c r="W810" i="4"/>
  <c r="V810" i="4"/>
  <c r="T818" i="4"/>
  <c r="U818" i="4" s="1"/>
  <c r="W818" i="4"/>
  <c r="V818" i="4"/>
  <c r="T819" i="4"/>
  <c r="U819" i="4" s="1"/>
  <c r="W819" i="4"/>
  <c r="V819" i="4"/>
  <c r="T821" i="4"/>
  <c r="U821" i="4" s="1"/>
  <c r="W821" i="4"/>
  <c r="V821" i="4"/>
  <c r="T822" i="4"/>
  <c r="U822" i="4" s="1"/>
  <c r="W822" i="4"/>
  <c r="V822" i="4"/>
  <c r="T823" i="4"/>
  <c r="U823" i="4" s="1"/>
  <c r="W823" i="4"/>
  <c r="V823" i="4"/>
  <c r="T824" i="4"/>
  <c r="U824" i="4" s="1"/>
  <c r="W824" i="4"/>
  <c r="V824" i="4"/>
  <c r="T827" i="4"/>
  <c r="U827" i="4" s="1"/>
  <c r="W827" i="4"/>
  <c r="V827" i="4"/>
  <c r="T828" i="4"/>
  <c r="U828" i="4" s="1"/>
  <c r="W828" i="4"/>
  <c r="V828" i="4"/>
  <c r="T829" i="4"/>
  <c r="U829" i="4" s="1"/>
  <c r="W829" i="4"/>
  <c r="V829" i="4"/>
  <c r="T830" i="4"/>
  <c r="U830" i="4" s="1"/>
  <c r="W830" i="4"/>
  <c r="V830" i="4"/>
  <c r="T831" i="4"/>
  <c r="U831" i="4" s="1"/>
  <c r="W831" i="4"/>
  <c r="V831" i="4"/>
  <c r="T832" i="4"/>
  <c r="U832" i="4" s="1"/>
  <c r="W832" i="4"/>
  <c r="V832" i="4"/>
  <c r="T833" i="4"/>
  <c r="U833" i="4" s="1"/>
  <c r="W833" i="4"/>
  <c r="V833" i="4"/>
  <c r="T834" i="4"/>
  <c r="U834" i="4" s="1"/>
  <c r="W834" i="4"/>
  <c r="V834" i="4"/>
  <c r="T835" i="4"/>
  <c r="U835" i="4" s="1"/>
  <c r="W835" i="4"/>
  <c r="V835" i="4"/>
  <c r="T836" i="4"/>
  <c r="U836" i="4" s="1"/>
  <c r="W836" i="4"/>
  <c r="V836" i="4"/>
  <c r="T837" i="4"/>
  <c r="U837" i="4" s="1"/>
  <c r="W837" i="4"/>
  <c r="V837" i="4"/>
  <c r="T838" i="4"/>
  <c r="U838" i="4" s="1"/>
  <c r="W838" i="4"/>
  <c r="V838" i="4"/>
  <c r="T840" i="4"/>
  <c r="U840" i="4" s="1"/>
  <c r="W840" i="4"/>
  <c r="V840" i="4"/>
  <c r="T841" i="4"/>
  <c r="U841" i="4" s="1"/>
  <c r="W841" i="4"/>
  <c r="V841" i="4"/>
  <c r="T842" i="4"/>
  <c r="U842" i="4" s="1"/>
  <c r="W842" i="4"/>
  <c r="V842" i="4"/>
  <c r="T843" i="4"/>
  <c r="U843" i="4" s="1"/>
  <c r="W843" i="4"/>
  <c r="V843" i="4"/>
  <c r="T845" i="4"/>
  <c r="U845" i="4" s="1"/>
  <c r="W845" i="4"/>
  <c r="V845" i="4"/>
  <c r="T846" i="4"/>
  <c r="U846" i="4" s="1"/>
  <c r="W846" i="4"/>
  <c r="V846" i="4"/>
  <c r="T847" i="4"/>
  <c r="U847" i="4" s="1"/>
  <c r="W847" i="4"/>
  <c r="V847" i="4"/>
  <c r="T848" i="4"/>
  <c r="U848" i="4" s="1"/>
  <c r="W848" i="4"/>
  <c r="V848" i="4"/>
  <c r="T849" i="4"/>
  <c r="U849" i="4" s="1"/>
  <c r="W849" i="4"/>
  <c r="V849" i="4"/>
  <c r="T850" i="4"/>
  <c r="U850" i="4" s="1"/>
  <c r="W850" i="4"/>
  <c r="V850" i="4"/>
  <c r="T851" i="4"/>
  <c r="U851" i="4" s="1"/>
  <c r="W851" i="4"/>
  <c r="V851" i="4"/>
  <c r="T853" i="4"/>
  <c r="U853" i="4" s="1"/>
  <c r="W853" i="4"/>
  <c r="V853" i="4"/>
  <c r="T854" i="4"/>
  <c r="U854" i="4" s="1"/>
  <c r="W854" i="4"/>
  <c r="V854" i="4"/>
  <c r="T855" i="4"/>
  <c r="U855" i="4" s="1"/>
  <c r="W855" i="4"/>
  <c r="V855" i="4"/>
  <c r="T856" i="4"/>
  <c r="U856" i="4" s="1"/>
  <c r="W856" i="4"/>
  <c r="V856" i="4"/>
  <c r="T857" i="4"/>
  <c r="U857" i="4" s="1"/>
  <c r="W857" i="4"/>
  <c r="V857" i="4"/>
  <c r="T858" i="4"/>
  <c r="U858" i="4" s="1"/>
  <c r="W858" i="4"/>
  <c r="V858" i="4"/>
  <c r="T859" i="4"/>
  <c r="U859" i="4" s="1"/>
  <c r="W859" i="4"/>
  <c r="V859" i="4"/>
  <c r="T860" i="4"/>
  <c r="U860" i="4" s="1"/>
  <c r="W860" i="4"/>
  <c r="V860" i="4"/>
  <c r="T861" i="4"/>
  <c r="U861" i="4" s="1"/>
  <c r="W861" i="4"/>
  <c r="V861" i="4"/>
  <c r="T862" i="4"/>
  <c r="U862" i="4" s="1"/>
  <c r="W862" i="4"/>
  <c r="V862" i="4"/>
  <c r="T863" i="4"/>
  <c r="U863" i="4" s="1"/>
  <c r="W863" i="4"/>
  <c r="V863" i="4"/>
  <c r="T864" i="4"/>
  <c r="U864" i="4" s="1"/>
  <c r="W864" i="4"/>
  <c r="V864" i="4"/>
  <c r="T865" i="4"/>
  <c r="U865" i="4" s="1"/>
  <c r="W865" i="4"/>
  <c r="V865" i="4"/>
  <c r="T866" i="4"/>
  <c r="U866" i="4" s="1"/>
  <c r="W866" i="4"/>
  <c r="V866" i="4"/>
  <c r="T867" i="4"/>
  <c r="U867" i="4" s="1"/>
  <c r="W867" i="4"/>
  <c r="V867" i="4"/>
  <c r="T868" i="4"/>
  <c r="U868" i="4" s="1"/>
  <c r="W868" i="4"/>
  <c r="V868" i="4"/>
  <c r="T869" i="4"/>
  <c r="U869" i="4" s="1"/>
  <c r="W869" i="4"/>
  <c r="V869" i="4"/>
  <c r="T870" i="4"/>
  <c r="U870" i="4" s="1"/>
  <c r="W870" i="4"/>
  <c r="V870" i="4"/>
  <c r="T871" i="4"/>
  <c r="U871" i="4" s="1"/>
  <c r="W871" i="4"/>
  <c r="V871" i="4"/>
  <c r="T872" i="4"/>
  <c r="U872" i="4" s="1"/>
  <c r="W872" i="4"/>
  <c r="V872" i="4"/>
  <c r="T873" i="4"/>
  <c r="U873" i="4" s="1"/>
  <c r="W873" i="4"/>
  <c r="V873" i="4"/>
  <c r="T874" i="4"/>
  <c r="U874" i="4" s="1"/>
  <c r="W874" i="4"/>
  <c r="V874" i="4"/>
  <c r="T875" i="4"/>
  <c r="U875" i="4" s="1"/>
  <c r="W875" i="4"/>
  <c r="V875" i="4"/>
  <c r="T876" i="4"/>
  <c r="U876" i="4" s="1"/>
  <c r="W876" i="4"/>
  <c r="V876" i="4"/>
  <c r="T877" i="4"/>
  <c r="U877" i="4" s="1"/>
  <c r="W877" i="4"/>
  <c r="V877" i="4"/>
  <c r="T878" i="4"/>
  <c r="U878" i="4" s="1"/>
  <c r="W878" i="4"/>
  <c r="V878" i="4"/>
  <c r="T880" i="4"/>
  <c r="U880" i="4" s="1"/>
  <c r="W880" i="4"/>
  <c r="V880" i="4"/>
  <c r="T881" i="4"/>
  <c r="U881" i="4" s="1"/>
  <c r="W881" i="4"/>
  <c r="V881" i="4"/>
  <c r="T882" i="4"/>
  <c r="U882" i="4" s="1"/>
  <c r="W882" i="4"/>
  <c r="V882" i="4"/>
  <c r="T883" i="4"/>
  <c r="U883" i="4" s="1"/>
  <c r="W883" i="4"/>
  <c r="V883" i="4"/>
  <c r="T884" i="4"/>
  <c r="U884" i="4" s="1"/>
  <c r="W884" i="4"/>
  <c r="V884" i="4"/>
  <c r="T885" i="4"/>
  <c r="U885" i="4" s="1"/>
  <c r="W885" i="4"/>
  <c r="V885" i="4"/>
  <c r="T886" i="4"/>
  <c r="U886" i="4" s="1"/>
  <c r="W886" i="4"/>
  <c r="V886" i="4"/>
  <c r="T887" i="4"/>
  <c r="U887" i="4" s="1"/>
  <c r="W887" i="4"/>
  <c r="V887" i="4"/>
  <c r="T888" i="4"/>
  <c r="U888" i="4" s="1"/>
  <c r="W888" i="4"/>
  <c r="V888" i="4"/>
  <c r="T889" i="4"/>
  <c r="U889" i="4" s="1"/>
  <c r="W889" i="4"/>
  <c r="V889" i="4"/>
  <c r="T890" i="4"/>
  <c r="U890" i="4" s="1"/>
  <c r="W890" i="4"/>
  <c r="V890" i="4"/>
  <c r="T891" i="4"/>
  <c r="U891" i="4" s="1"/>
  <c r="W891" i="4"/>
  <c r="V891" i="4"/>
  <c r="T892" i="4"/>
  <c r="U892" i="4" s="1"/>
  <c r="W892" i="4"/>
  <c r="V892" i="4"/>
  <c r="T893" i="4"/>
  <c r="U893" i="4" s="1"/>
  <c r="W893" i="4"/>
  <c r="V893" i="4"/>
  <c r="T894" i="4"/>
  <c r="U894" i="4" s="1"/>
  <c r="W894" i="4"/>
  <c r="V894" i="4"/>
  <c r="T895" i="4"/>
  <c r="U895" i="4" s="1"/>
  <c r="W895" i="4"/>
  <c r="V895" i="4"/>
  <c r="T896" i="4"/>
  <c r="U896" i="4" s="1"/>
  <c r="W896" i="4"/>
  <c r="V896" i="4"/>
  <c r="T897" i="4"/>
  <c r="U897" i="4" s="1"/>
  <c r="W897" i="4"/>
  <c r="V897" i="4"/>
  <c r="T898" i="4"/>
  <c r="U898" i="4" s="1"/>
  <c r="W898" i="4"/>
  <c r="V898" i="4"/>
  <c r="T899" i="4"/>
  <c r="U899" i="4" s="1"/>
  <c r="W899" i="4"/>
  <c r="V899" i="4"/>
  <c r="T900" i="4"/>
  <c r="U900" i="4" s="1"/>
  <c r="W900" i="4"/>
  <c r="V900" i="4"/>
  <c r="T901" i="4"/>
  <c r="U901" i="4" s="1"/>
  <c r="W901" i="4"/>
  <c r="V901" i="4"/>
  <c r="T902" i="4"/>
  <c r="U902" i="4" s="1"/>
  <c r="W902" i="4"/>
  <c r="V902" i="4"/>
  <c r="T903" i="4"/>
  <c r="U903" i="4" s="1"/>
  <c r="W903" i="4"/>
  <c r="V903" i="4"/>
  <c r="T904" i="4"/>
  <c r="U904" i="4" s="1"/>
  <c r="W904" i="4"/>
  <c r="V904" i="4"/>
  <c r="T905" i="4"/>
  <c r="U905" i="4" s="1"/>
  <c r="W905" i="4"/>
  <c r="V905" i="4"/>
  <c r="T906" i="4"/>
  <c r="U906" i="4" s="1"/>
  <c r="W906" i="4"/>
  <c r="V906" i="4"/>
  <c r="T907" i="4"/>
  <c r="U907" i="4" s="1"/>
  <c r="W907" i="4"/>
  <c r="V907" i="4"/>
  <c r="T909" i="4"/>
  <c r="U909" i="4" s="1"/>
  <c r="W909" i="4"/>
  <c r="V909" i="4"/>
  <c r="T910" i="4"/>
  <c r="U910" i="4" s="1"/>
  <c r="W910" i="4"/>
  <c r="V910" i="4"/>
  <c r="T911" i="4"/>
  <c r="U911" i="4" s="1"/>
  <c r="W911" i="4"/>
  <c r="V911" i="4"/>
  <c r="T912" i="4"/>
  <c r="U912" i="4" s="1"/>
  <c r="W912" i="4"/>
  <c r="V912" i="4"/>
  <c r="T913" i="4"/>
  <c r="U913" i="4" s="1"/>
  <c r="W913" i="4"/>
  <c r="V913" i="4"/>
  <c r="T914" i="4"/>
  <c r="U914" i="4" s="1"/>
  <c r="W914" i="4"/>
  <c r="V914" i="4"/>
  <c r="T916" i="4"/>
  <c r="U916" i="4" s="1"/>
  <c r="W916" i="4"/>
  <c r="V916" i="4"/>
  <c r="T917" i="4"/>
  <c r="U917" i="4" s="1"/>
  <c r="W917" i="4"/>
  <c r="V917" i="4"/>
  <c r="T918" i="4"/>
  <c r="U918" i="4" s="1"/>
  <c r="W918" i="4"/>
  <c r="V918" i="4"/>
  <c r="T919" i="4"/>
  <c r="U919" i="4" s="1"/>
  <c r="W919" i="4"/>
  <c r="V919" i="4"/>
  <c r="T920" i="4"/>
  <c r="U920" i="4" s="1"/>
  <c r="W920" i="4"/>
  <c r="V920" i="4"/>
  <c r="T921" i="4"/>
  <c r="U921" i="4" s="1"/>
  <c r="W921" i="4"/>
  <c r="V921" i="4"/>
  <c r="T922" i="4"/>
  <c r="U922" i="4" s="1"/>
  <c r="W922" i="4"/>
  <c r="V922" i="4"/>
  <c r="T923" i="4"/>
  <c r="U923" i="4" s="1"/>
  <c r="W923" i="4"/>
  <c r="V923" i="4"/>
  <c r="T924" i="4"/>
  <c r="U924" i="4" s="1"/>
  <c r="W924" i="4"/>
  <c r="V924" i="4"/>
  <c r="T925" i="4"/>
  <c r="U925" i="4" s="1"/>
  <c r="W925" i="4"/>
  <c r="V925" i="4"/>
  <c r="T926" i="4"/>
  <c r="U926" i="4" s="1"/>
  <c r="W926" i="4"/>
  <c r="V926" i="4"/>
  <c r="T839" i="4"/>
  <c r="U839" i="4" s="1"/>
  <c r="W839" i="4"/>
  <c r="V839" i="4"/>
  <c r="T811" i="4"/>
  <c r="U811" i="4" s="1"/>
  <c r="W811" i="4"/>
  <c r="V811" i="4"/>
  <c r="T812" i="4"/>
  <c r="U812" i="4" s="1"/>
  <c r="W812" i="4"/>
  <c r="V812" i="4"/>
  <c r="T879" i="4"/>
  <c r="U879" i="4" s="1"/>
  <c r="V879" i="4"/>
  <c r="W879" i="4"/>
  <c r="T825" i="4"/>
  <c r="U825" i="4" s="1"/>
  <c r="W825" i="4"/>
  <c r="V825" i="4"/>
  <c r="T790" i="4"/>
  <c r="U790" i="4" s="1"/>
  <c r="W790" i="4"/>
  <c r="V790" i="4"/>
  <c r="T813" i="4"/>
  <c r="U813" i="4" s="1"/>
  <c r="W813" i="4"/>
  <c r="V813" i="4"/>
  <c r="T908" i="4"/>
  <c r="U908" i="4" s="1"/>
  <c r="W908" i="4"/>
  <c r="V908" i="4"/>
  <c r="T915" i="4"/>
  <c r="U915" i="4" s="1"/>
  <c r="W915" i="4"/>
  <c r="V915" i="4"/>
  <c r="T984" i="4"/>
  <c r="U984" i="4" s="1"/>
  <c r="W984" i="4"/>
  <c r="V984" i="4"/>
  <c r="T995" i="4"/>
  <c r="U995" i="4" s="1"/>
  <c r="W995" i="4"/>
  <c r="V995" i="4"/>
  <c r="T1016" i="4"/>
  <c r="U1016" i="4" s="1"/>
  <c r="W1016" i="4"/>
  <c r="V1016" i="4"/>
  <c r="T1045" i="4"/>
  <c r="U1045" i="4" s="1"/>
  <c r="W1045" i="4"/>
  <c r="V1045" i="4"/>
  <c r="G13" i="13"/>
  <c r="F13" i="13"/>
  <c r="E13" i="13"/>
  <c r="D13" i="13"/>
  <c r="G12" i="13"/>
  <c r="F12" i="13"/>
  <c r="K29" i="30" l="1"/>
  <c r="I29" i="30"/>
  <c r="N28" i="30"/>
  <c r="L28" i="30"/>
  <c r="J28" i="30"/>
  <c r="N27" i="30"/>
  <c r="L27" i="30"/>
  <c r="J27" i="30"/>
  <c r="N26" i="30"/>
  <c r="L26" i="30"/>
  <c r="J26" i="30"/>
  <c r="N25" i="30"/>
  <c r="L25" i="30"/>
  <c r="J25" i="30"/>
  <c r="N24" i="30"/>
  <c r="L24" i="30"/>
  <c r="J24" i="30"/>
  <c r="N23" i="30"/>
  <c r="L23" i="30"/>
  <c r="J23" i="30"/>
  <c r="N22" i="30"/>
  <c r="L22" i="30"/>
  <c r="J22" i="30"/>
  <c r="N21" i="30"/>
  <c r="L21" i="30"/>
  <c r="J21" i="30"/>
  <c r="N20" i="30"/>
  <c r="L20" i="30"/>
  <c r="J20" i="30"/>
  <c r="N19" i="30"/>
  <c r="L19" i="30"/>
  <c r="J19" i="30"/>
  <c r="J18" i="30"/>
  <c r="J17" i="30"/>
  <c r="J16" i="30"/>
  <c r="J15" i="30"/>
  <c r="J13" i="30"/>
  <c r="J12" i="30"/>
  <c r="H33" i="29" l="1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G33" i="29"/>
  <c r="F33" i="29"/>
  <c r="E33" i="29"/>
  <c r="G32" i="29"/>
  <c r="F32" i="29"/>
  <c r="E32" i="29"/>
  <c r="G31" i="29"/>
  <c r="F31" i="29"/>
  <c r="E31" i="29"/>
  <c r="G30" i="29"/>
  <c r="F30" i="29"/>
  <c r="E30" i="29"/>
  <c r="G29" i="29"/>
  <c r="F29" i="29"/>
  <c r="E29" i="29"/>
  <c r="G28" i="29"/>
  <c r="F28" i="29"/>
  <c r="E28" i="29"/>
  <c r="G27" i="29"/>
  <c r="F27" i="29"/>
  <c r="E27" i="29"/>
  <c r="G26" i="29"/>
  <c r="F26" i="29"/>
  <c r="E26" i="29"/>
  <c r="G25" i="29"/>
  <c r="F25" i="29"/>
  <c r="E25" i="29"/>
  <c r="G24" i="29"/>
  <c r="F24" i="29"/>
  <c r="E24" i="29"/>
  <c r="G23" i="29"/>
  <c r="F23" i="29"/>
  <c r="E23" i="29"/>
  <c r="G22" i="29"/>
  <c r="F22" i="29"/>
  <c r="E22" i="29"/>
  <c r="G21" i="29"/>
  <c r="F21" i="29"/>
  <c r="E21" i="29"/>
  <c r="G20" i="29"/>
  <c r="F20" i="29"/>
  <c r="E20" i="29"/>
  <c r="G19" i="29"/>
  <c r="F19" i="29"/>
  <c r="E19" i="29"/>
  <c r="G18" i="29"/>
  <c r="F18" i="29"/>
  <c r="E18" i="29"/>
  <c r="G17" i="29"/>
  <c r="F17" i="29"/>
  <c r="E17" i="29"/>
  <c r="O6" i="30"/>
  <c r="M8" i="30" l="1"/>
  <c r="F10" i="29" s="1"/>
  <c r="J11" i="30" l="1"/>
  <c r="J10" i="30"/>
  <c r="J9" i="30"/>
  <c r="J29" i="30" s="1"/>
  <c r="B4" i="30"/>
  <c r="B4" i="29"/>
  <c r="S4" i="2" l="1"/>
  <c r="R4" i="2"/>
  <c r="Q4" i="2"/>
  <c r="P4" i="2"/>
  <c r="O4" i="2"/>
  <c r="N4" i="2"/>
  <c r="M4" i="2"/>
  <c r="L4" i="2"/>
  <c r="K4" i="2"/>
  <c r="J4" i="2"/>
  <c r="I4" i="2"/>
  <c r="H4" i="2"/>
  <c r="H9" i="14" l="1"/>
  <c r="H7" i="14"/>
  <c r="H8" i="14"/>
  <c r="F26" i="2" l="1"/>
  <c r="F27" i="2"/>
  <c r="F28" i="2"/>
  <c r="F29" i="2"/>
  <c r="F30" i="2"/>
  <c r="F31" i="2"/>
  <c r="F32" i="2"/>
  <c r="F33" i="2"/>
  <c r="F34" i="2"/>
  <c r="F35" i="2"/>
  <c r="F36" i="2"/>
  <c r="F25" i="2"/>
  <c r="Q20" i="30" l="1"/>
  <c r="Q19" i="30"/>
  <c r="Q25" i="30"/>
  <c r="Q24" i="30"/>
  <c r="Q26" i="30"/>
  <c r="Q27" i="30"/>
  <c r="Q23" i="30"/>
  <c r="Q28" i="30"/>
  <c r="Q21" i="30"/>
  <c r="Q22" i="30"/>
  <c r="R22" i="30" l="1"/>
  <c r="S22" i="30"/>
  <c r="M22" i="30"/>
  <c r="S21" i="30"/>
  <c r="R21" i="30"/>
  <c r="M21" i="30"/>
  <c r="S28" i="30"/>
  <c r="R28" i="30"/>
  <c r="M28" i="30"/>
  <c r="R23" i="30"/>
  <c r="S23" i="30"/>
  <c r="M23" i="30"/>
  <c r="R27" i="30"/>
  <c r="S27" i="30"/>
  <c r="M27" i="30"/>
  <c r="S26" i="30"/>
  <c r="R26" i="30"/>
  <c r="M26" i="30"/>
  <c r="S24" i="30"/>
  <c r="R24" i="30"/>
  <c r="M24" i="30"/>
  <c r="M25" i="30"/>
  <c r="S25" i="30"/>
  <c r="R25" i="30"/>
  <c r="M19" i="30"/>
  <c r="S19" i="30"/>
  <c r="R19" i="30"/>
  <c r="S20" i="30"/>
  <c r="R20" i="30"/>
  <c r="M20" i="30"/>
  <c r="B6" i="18"/>
  <c r="F22" i="12"/>
  <c r="D22" i="12"/>
  <c r="B22" i="12"/>
  <c r="J2104" i="4"/>
  <c r="XDG2" i="2"/>
  <c r="XCY2" i="2"/>
  <c r="XCW11" i="2"/>
  <c r="XDE4" i="2"/>
  <c r="XDE8" i="2" s="1"/>
  <c r="XDE16" i="2" s="1"/>
  <c r="XDD4" i="2"/>
  <c r="XDD8" i="2" s="1"/>
  <c r="XDC4" i="2"/>
  <c r="XDC8" i="2" s="1"/>
  <c r="XDC16" i="2" s="1"/>
  <c r="XDC20" i="2" s="1"/>
  <c r="XDC24" i="2" s="1"/>
  <c r="XDI2" i="2"/>
  <c r="XDI6" i="2" s="1"/>
  <c r="XDI14" i="2" s="1"/>
  <c r="XDH2" i="2"/>
  <c r="XDE2" i="2"/>
  <c r="XDD2" i="2"/>
  <c r="XDC2" i="2"/>
  <c r="XDA2" i="2"/>
  <c r="XCZ2" i="2"/>
  <c r="XCE2" i="2"/>
  <c r="B6" i="19" l="1"/>
  <c r="B6" i="30"/>
  <c r="B6" i="29"/>
  <c r="XCE3" i="2"/>
  <c r="XCW26" i="2" s="1"/>
  <c r="XDD16" i="2"/>
  <c r="XCW18" i="2"/>
  <c r="XDC6" i="2" s="1"/>
  <c r="XDC14" i="2" s="1"/>
  <c r="XCW21" i="2"/>
  <c r="L18" i="30" l="1"/>
  <c r="L17" i="30"/>
  <c r="L16" i="30"/>
  <c r="L15" i="30"/>
  <c r="L14" i="30"/>
  <c r="L13" i="30"/>
  <c r="L12" i="30"/>
  <c r="O28" i="30"/>
  <c r="O26" i="30"/>
  <c r="O24" i="30"/>
  <c r="O22" i="30"/>
  <c r="O20" i="30"/>
  <c r="O25" i="30"/>
  <c r="O23" i="30"/>
  <c r="O19" i="30"/>
  <c r="O21" i="30"/>
  <c r="O27" i="30"/>
  <c r="O9" i="30"/>
  <c r="L11" i="30"/>
  <c r="Q11" i="30" s="1"/>
  <c r="L10" i="30"/>
  <c r="Q10" i="30" s="1"/>
  <c r="L9" i="30"/>
  <c r="Q9" i="30" s="1"/>
  <c r="XCE4" i="2"/>
  <c r="XCE5" i="2"/>
  <c r="Q17" i="30" l="1"/>
  <c r="M17" i="30"/>
  <c r="Q18" i="30"/>
  <c r="M18" i="30"/>
  <c r="Q12" i="30"/>
  <c r="M12" i="30"/>
  <c r="Q13" i="30"/>
  <c r="M13" i="30"/>
  <c r="Q14" i="30"/>
  <c r="M14" i="30"/>
  <c r="Q15" i="30"/>
  <c r="M15" i="30"/>
  <c r="Q16" i="30"/>
  <c r="M16" i="30"/>
  <c r="S11" i="30"/>
  <c r="R11" i="30"/>
  <c r="S10" i="30"/>
  <c r="R10" i="30"/>
  <c r="S9" i="30"/>
  <c r="R9" i="30"/>
  <c r="N9" i="30" s="1"/>
  <c r="N11" i="30"/>
  <c r="XCE6" i="2"/>
  <c r="XDE20" i="2"/>
  <c r="XDE24" i="2" s="1"/>
  <c r="XCW17" i="2"/>
  <c r="XCW8" i="2"/>
  <c r="S18" i="30" l="1"/>
  <c r="R18" i="30"/>
  <c r="N18" i="30" s="1"/>
  <c r="S17" i="30"/>
  <c r="R17" i="30"/>
  <c r="N17" i="30" s="1"/>
  <c r="S16" i="30"/>
  <c r="R16" i="30"/>
  <c r="N16" i="30" s="1"/>
  <c r="R15" i="30"/>
  <c r="N15" i="30" s="1"/>
  <c r="S15" i="30"/>
  <c r="O15" i="30" s="1"/>
  <c r="R14" i="30"/>
  <c r="N14" i="30" s="1"/>
  <c r="S14" i="30"/>
  <c r="O14" i="30" s="1"/>
  <c r="R13" i="30"/>
  <c r="N13" i="30" s="1"/>
  <c r="S13" i="30"/>
  <c r="O13" i="30" s="1"/>
  <c r="S12" i="30"/>
  <c r="R12" i="30"/>
  <c r="N12" i="30" s="1"/>
  <c r="O11" i="30"/>
  <c r="N10" i="30"/>
  <c r="N29" i="30" s="1"/>
  <c r="M10" i="30"/>
  <c r="M11" i="30"/>
  <c r="M9" i="30"/>
  <c r="XCE7" i="2"/>
  <c r="O17" i="30" l="1"/>
  <c r="O18" i="30"/>
  <c r="O12" i="30"/>
  <c r="O16" i="30"/>
  <c r="M29" i="30"/>
  <c r="O10" i="30"/>
  <c r="O29" i="30" s="1"/>
  <c r="XCE8" i="2"/>
  <c r="XCE9" i="2" l="1"/>
  <c r="XCE10" i="2" l="1"/>
  <c r="XDI18" i="2"/>
  <c r="XDI22" i="2" s="1"/>
  <c r="XCW20" i="2"/>
  <c r="XCE11" i="2" l="1"/>
  <c r="XDC18" i="2"/>
  <c r="XDC22" i="2" s="1"/>
  <c r="XCW10" i="2"/>
  <c r="XCE12" i="2" l="1"/>
  <c r="XCE13" i="2" s="1"/>
  <c r="XCE14" i="2" s="1"/>
  <c r="XCE15" i="2" s="1"/>
  <c r="XCE16" i="2" s="1"/>
  <c r="XCE17" i="2" s="1"/>
  <c r="XCE18" i="2" s="1"/>
  <c r="XCW9" i="2"/>
  <c r="XDH6" i="2" s="1"/>
  <c r="XDH14" i="2" s="1"/>
  <c r="XDH18" i="2" s="1"/>
  <c r="XDH22" i="2" s="1"/>
  <c r="XCW19" i="2"/>
  <c r="XCY6" i="2" s="1"/>
  <c r="XCW1" i="2"/>
  <c r="XCW13" i="2" l="1"/>
  <c r="XCY14" i="2"/>
  <c r="XDD6" i="2"/>
  <c r="XDD14" i="2" s="1"/>
  <c r="XDD18" i="2" s="1"/>
  <c r="XDD22" i="2" s="1"/>
  <c r="XCZ6" i="2"/>
  <c r="XCZ14" i="2" s="1"/>
  <c r="XCZ18" i="2" s="1"/>
  <c r="XCZ22" i="2" s="1"/>
  <c r="XCE19" i="2"/>
  <c r="XCE20" i="2" l="1"/>
  <c r="XCE21" i="2" s="1"/>
  <c r="XCE22" i="2" s="1"/>
  <c r="XCE23" i="2" s="1"/>
  <c r="XCY18" i="2"/>
  <c r="XCY22" i="2" s="1"/>
  <c r="XCE24" i="2" l="1"/>
  <c r="XCE25" i="2" s="1"/>
  <c r="XDD20" i="2"/>
  <c r="XDD24" i="2" s="1"/>
  <c r="XCE26" i="2" l="1"/>
  <c r="XCW6" i="2" l="1"/>
  <c r="XDG6" i="2" s="1"/>
  <c r="XDG14" i="2" s="1"/>
  <c r="XDG18" i="2" s="1"/>
  <c r="XDG22" i="2" s="1"/>
  <c r="XCW25" i="2"/>
  <c r="XCW3" i="2"/>
  <c r="XCW14" i="2"/>
  <c r="XDE6" i="2" s="1"/>
  <c r="XDE14" i="2" s="1"/>
  <c r="XDE18" i="2" s="1"/>
  <c r="XDE22" i="2" s="1"/>
  <c r="XCW15" i="2"/>
  <c r="XCW12" i="2"/>
  <c r="XCW4" i="2"/>
  <c r="XCW7" i="2"/>
  <c r="XCW2" i="2"/>
  <c r="XDA6" i="2" s="1"/>
  <c r="XCW16" i="2"/>
  <c r="XCW24" i="2"/>
  <c r="XCW23" i="2"/>
  <c r="XCW5" i="2"/>
  <c r="XCW22" i="2"/>
  <c r="XDA14" i="2" l="1"/>
  <c r="XDA18" i="2" s="1"/>
  <c r="XDA22" i="2" s="1"/>
  <c r="XDK22" i="2" s="1"/>
  <c r="XDK20" i="2" s="1"/>
  <c r="XDK6" i="2"/>
  <c r="XDK10" i="2" s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H24" i="3"/>
  <c r="X771" i="4"/>
  <c r="X2104" i="4"/>
  <c r="X2103" i="4"/>
  <c r="X2102" i="4"/>
  <c r="X2101" i="4"/>
  <c r="X2100" i="4"/>
  <c r="X2099" i="4"/>
  <c r="X773" i="4"/>
  <c r="X772" i="4"/>
  <c r="X770" i="4"/>
  <c r="X768" i="4"/>
  <c r="X767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8" i="4"/>
  <c r="X397" i="4"/>
  <c r="X396" i="4"/>
  <c r="X395" i="4"/>
  <c r="X394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8" i="4"/>
  <c r="X357" i="4"/>
  <c r="X356" i="4"/>
  <c r="X355" i="4"/>
  <c r="X354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2" i="4"/>
  <c r="X261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7" i="4"/>
  <c r="X236" i="4"/>
  <c r="X235" i="4"/>
  <c r="X234" i="4"/>
  <c r="X233" i="4"/>
  <c r="X232" i="4"/>
  <c r="X231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89" i="4"/>
  <c r="X188" i="4"/>
  <c r="X187" i="4"/>
  <c r="X186" i="4"/>
  <c r="X185" i="4"/>
  <c r="X190" i="4"/>
  <c r="X184" i="4"/>
  <c r="X183" i="4"/>
  <c r="X182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1" i="4"/>
  <c r="X160" i="4"/>
  <c r="X159" i="4"/>
  <c r="X158" i="4"/>
  <c r="X157" i="4"/>
  <c r="X156" i="4"/>
  <c r="X155" i="4"/>
  <c r="X154" i="4"/>
  <c r="X153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18" i="4"/>
  <c r="X117" i="4"/>
  <c r="X116" i="4"/>
  <c r="X114" i="4"/>
  <c r="X112" i="4"/>
  <c r="X111" i="4"/>
  <c r="X110" i="4"/>
  <c r="X109" i="4"/>
  <c r="X108" i="4"/>
  <c r="X107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B6" i="17"/>
  <c r="B5" i="17"/>
  <c r="B4" i="17"/>
  <c r="F24" i="17" l="1"/>
  <c r="B23" i="17"/>
  <c r="E21" i="17"/>
  <c r="G19" i="17"/>
  <c r="D18" i="17"/>
  <c r="F16" i="17"/>
  <c r="B15" i="17"/>
  <c r="E13" i="17"/>
  <c r="D14" i="17"/>
  <c r="E20" i="17"/>
  <c r="B14" i="17"/>
  <c r="E24" i="17"/>
  <c r="G22" i="17"/>
  <c r="D21" i="17"/>
  <c r="F19" i="17"/>
  <c r="B18" i="17"/>
  <c r="E16" i="17"/>
  <c r="G14" i="17"/>
  <c r="D13" i="17"/>
  <c r="F14" i="17"/>
  <c r="F25" i="17"/>
  <c r="E22" i="17"/>
  <c r="F17" i="17"/>
  <c r="E14" i="17"/>
  <c r="D22" i="17"/>
  <c r="B19" i="17"/>
  <c r="G15" i="17"/>
  <c r="B22" i="17"/>
  <c r="F15" i="17"/>
  <c r="G25" i="17"/>
  <c r="D24" i="17"/>
  <c r="F22" i="17"/>
  <c r="B21" i="17"/>
  <c r="E19" i="17"/>
  <c r="G17" i="17"/>
  <c r="D16" i="17"/>
  <c r="B13" i="17"/>
  <c r="B24" i="17"/>
  <c r="G20" i="17"/>
  <c r="D19" i="17"/>
  <c r="B16" i="17"/>
  <c r="G23" i="17"/>
  <c r="F20" i="17"/>
  <c r="E17" i="17"/>
  <c r="F23" i="17"/>
  <c r="G18" i="17"/>
  <c r="D15" i="17"/>
  <c r="E25" i="17"/>
  <c r="G16" i="17"/>
  <c r="D25" i="17"/>
  <c r="D17" i="17"/>
  <c r="B25" i="17"/>
  <c r="E23" i="17"/>
  <c r="G21" i="17"/>
  <c r="D20" i="17"/>
  <c r="F18" i="17"/>
  <c r="B17" i="17"/>
  <c r="E15" i="17"/>
  <c r="G13" i="17"/>
  <c r="D23" i="17"/>
  <c r="F21" i="17"/>
  <c r="E18" i="17"/>
  <c r="F13" i="17"/>
  <c r="G24" i="17"/>
  <c r="B20" i="17"/>
  <c r="XDK16" i="2"/>
  <c r="G10" i="17"/>
  <c r="B10" i="2" l="1"/>
  <c r="L17" i="11"/>
  <c r="B11" i="2"/>
  <c r="B17" i="2"/>
  <c r="B8" i="2"/>
  <c r="B18" i="2"/>
  <c r="B12" i="2"/>
  <c r="B15" i="2"/>
  <c r="B16" i="2"/>
  <c r="B13" i="2"/>
  <c r="B6" i="2"/>
  <c r="B9" i="2"/>
  <c r="B5" i="2"/>
  <c r="B7" i="2"/>
  <c r="B20" i="2"/>
  <c r="B14" i="2"/>
  <c r="B21" i="2"/>
  <c r="B19" i="2"/>
  <c r="E27" i="17"/>
  <c r="G27" i="17"/>
  <c r="R8" i="25"/>
  <c r="R7" i="25"/>
  <c r="B6" i="25"/>
  <c r="R79" i="24"/>
  <c r="P70" i="24"/>
  <c r="R70" i="24" s="1"/>
  <c r="R8" i="24"/>
  <c r="R7" i="24"/>
  <c r="B6" i="24"/>
  <c r="R8" i="22"/>
  <c r="R7" i="22"/>
  <c r="B6" i="22"/>
  <c r="G8" i="21"/>
  <c r="G7" i="21"/>
  <c r="B6" i="21"/>
  <c r="B6" i="20"/>
  <c r="B4" i="20"/>
  <c r="S8" i="19"/>
  <c r="S7" i="19"/>
  <c r="D11" i="21" l="1"/>
  <c r="G11" i="21" s="1"/>
  <c r="D12" i="21"/>
  <c r="G12" i="21" s="1"/>
  <c r="D13" i="21"/>
  <c r="G13" i="21" s="1"/>
  <c r="D14" i="21"/>
  <c r="G14" i="21" s="1"/>
  <c r="D15" i="21"/>
  <c r="G15" i="21" s="1"/>
  <c r="D16" i="21"/>
  <c r="G16" i="21" s="1"/>
  <c r="D19" i="21"/>
  <c r="G19" i="21" s="1"/>
  <c r="D20" i="21"/>
  <c r="G20" i="21" s="1"/>
  <c r="D21" i="21"/>
  <c r="G21" i="21" s="1"/>
  <c r="D22" i="21"/>
  <c r="G22" i="21" s="1"/>
  <c r="D23" i="21"/>
  <c r="G23" i="21" s="1"/>
  <c r="D24" i="21"/>
  <c r="G24" i="21" s="1"/>
  <c r="D25" i="21"/>
  <c r="G25" i="21" s="1"/>
  <c r="D33" i="21"/>
  <c r="G33" i="21" s="1"/>
  <c r="D34" i="21"/>
  <c r="G34" i="21" s="1"/>
  <c r="D35" i="21"/>
  <c r="G35" i="21" s="1"/>
  <c r="D36" i="21"/>
  <c r="G36" i="21" s="1"/>
  <c r="D37" i="21"/>
  <c r="G37" i="21" s="1"/>
  <c r="D38" i="21"/>
  <c r="G38" i="21" s="1"/>
  <c r="D39" i="21"/>
  <c r="G39" i="21" s="1"/>
  <c r="D40" i="21"/>
  <c r="G40" i="21" s="1"/>
  <c r="D41" i="21"/>
  <c r="G41" i="21" s="1"/>
  <c r="D42" i="21"/>
  <c r="G42" i="21" s="1"/>
  <c r="D43" i="21"/>
  <c r="G43" i="21" s="1"/>
  <c r="D44" i="21"/>
  <c r="G44" i="21" s="1"/>
  <c r="D45" i="21"/>
  <c r="G45" i="21" s="1"/>
  <c r="F14" i="25"/>
  <c r="E14" i="25"/>
  <c r="D14" i="25"/>
  <c r="P14" i="25" s="1"/>
  <c r="R14" i="25" s="1"/>
  <c r="F13" i="25"/>
  <c r="E13" i="25"/>
  <c r="D13" i="25"/>
  <c r="P13" i="25" s="1"/>
  <c r="R13" i="25" s="1"/>
  <c r="F12" i="25"/>
  <c r="E12" i="25"/>
  <c r="D12" i="25"/>
  <c r="P12" i="25" s="1"/>
  <c r="R12" i="25" s="1"/>
  <c r="F11" i="25"/>
  <c r="E11" i="25"/>
  <c r="D11" i="25"/>
  <c r="P11" i="25" s="1"/>
  <c r="R11" i="25" s="1"/>
  <c r="F10" i="25"/>
  <c r="E10" i="25"/>
  <c r="D10" i="25"/>
  <c r="P10" i="25" s="1"/>
  <c r="R10" i="25" s="1"/>
  <c r="M98" i="13"/>
  <c r="K98" i="13"/>
  <c r="J98" i="13"/>
  <c r="I98" i="13"/>
  <c r="H98" i="13"/>
  <c r="L98" i="13"/>
  <c r="H272" i="13"/>
  <c r="I272" i="13"/>
  <c r="J272" i="13"/>
  <c r="K272" i="13"/>
  <c r="L272" i="13"/>
  <c r="M272" i="13"/>
  <c r="M74" i="13"/>
  <c r="K74" i="13"/>
  <c r="J74" i="13"/>
  <c r="I74" i="13"/>
  <c r="M271" i="13"/>
  <c r="L271" i="13"/>
  <c r="K271" i="13"/>
  <c r="I271" i="13"/>
  <c r="M270" i="13"/>
  <c r="L270" i="13"/>
  <c r="K270" i="13"/>
  <c r="I270" i="13"/>
  <c r="E82" i="18"/>
  <c r="E85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7" i="18"/>
  <c r="E108" i="18"/>
  <c r="E109" i="18"/>
  <c r="E112" i="18"/>
  <c r="E113" i="18"/>
  <c r="E121" i="18"/>
  <c r="E122" i="18"/>
  <c r="E123" i="18"/>
  <c r="E124" i="18"/>
  <c r="E125" i="18"/>
  <c r="E126" i="18"/>
  <c r="E127" i="18"/>
  <c r="E128" i="18"/>
  <c r="E86" i="18"/>
  <c r="E105" i="18" s="1"/>
  <c r="E150" i="18"/>
  <c r="E149" i="18"/>
  <c r="E148" i="18"/>
  <c r="E147" i="18"/>
  <c r="E146" i="18"/>
  <c r="E139" i="18"/>
  <c r="E140" i="18"/>
  <c r="E145" i="18"/>
  <c r="E53" i="18"/>
  <c r="E54" i="18"/>
  <c r="E47" i="18"/>
  <c r="E48" i="18"/>
  <c r="E75" i="18"/>
  <c r="E76" i="18"/>
  <c r="E77" i="18"/>
  <c r="E49" i="18"/>
  <c r="E74" i="18"/>
  <c r="H270" i="13"/>
  <c r="H271" i="13"/>
  <c r="H74" i="13"/>
  <c r="E18" i="18"/>
  <c r="E19" i="18"/>
  <c r="E20" i="18"/>
  <c r="E36" i="18"/>
  <c r="E38" i="18"/>
  <c r="E39" i="18"/>
  <c r="F15" i="25"/>
  <c r="E15" i="25"/>
  <c r="D15" i="25"/>
  <c r="P15" i="25" s="1"/>
  <c r="R15" i="25" s="1"/>
  <c r="E46" i="18"/>
  <c r="E50" i="18" s="1"/>
  <c r="E42" i="18"/>
  <c r="E40" i="18"/>
  <c r="E41" i="18"/>
  <c r="E4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H14" i="13"/>
  <c r="H16" i="13"/>
  <c r="H17" i="13"/>
  <c r="K18" i="13"/>
  <c r="K19" i="13"/>
  <c r="I20" i="13"/>
  <c r="J21" i="13"/>
  <c r="K22" i="13"/>
  <c r="J23" i="13"/>
  <c r="M24" i="13"/>
  <c r="K25" i="13"/>
  <c r="M26" i="13"/>
  <c r="K29" i="13"/>
  <c r="H32" i="13"/>
  <c r="L33" i="13"/>
  <c r="J34" i="13"/>
  <c r="I35" i="13"/>
  <c r="J37" i="13"/>
  <c r="J41" i="13"/>
  <c r="L42" i="13"/>
  <c r="M42" i="13"/>
  <c r="J43" i="13"/>
  <c r="M44" i="13"/>
  <c r="M45" i="13"/>
  <c r="M46" i="13"/>
  <c r="J47" i="13"/>
  <c r="H51" i="13"/>
  <c r="I53" i="13"/>
  <c r="J54" i="13"/>
  <c r="M55" i="13"/>
  <c r="K56" i="13"/>
  <c r="J57" i="13"/>
  <c r="H59" i="13"/>
  <c r="I60" i="13"/>
  <c r="I61" i="13"/>
  <c r="M62" i="13"/>
  <c r="J63" i="13"/>
  <c r="K64" i="13"/>
  <c r="K66" i="13"/>
  <c r="M67" i="13"/>
  <c r="J68" i="13"/>
  <c r="M70" i="13"/>
  <c r="M72" i="13"/>
  <c r="J75" i="13"/>
  <c r="J80" i="13"/>
  <c r="H82" i="13"/>
  <c r="M82" i="13"/>
  <c r="J82" i="13"/>
  <c r="I82" i="13"/>
  <c r="M83" i="13"/>
  <c r="J83" i="13"/>
  <c r="M87" i="13"/>
  <c r="J89" i="13"/>
  <c r="M90" i="13"/>
  <c r="J96" i="13"/>
  <c r="I96" i="13"/>
  <c r="M101" i="13"/>
  <c r="K101" i="13"/>
  <c r="H103" i="13"/>
  <c r="H104" i="13"/>
  <c r="H106" i="13"/>
  <c r="M106" i="13"/>
  <c r="K106" i="13"/>
  <c r="J106" i="13"/>
  <c r="L107" i="13"/>
  <c r="J110" i="13"/>
  <c r="J112" i="13"/>
  <c r="L115" i="13"/>
  <c r="J118" i="13"/>
  <c r="I118" i="13"/>
  <c r="H118" i="13"/>
  <c r="H123" i="13"/>
  <c r="M124" i="13"/>
  <c r="K125" i="13"/>
  <c r="J126" i="13"/>
  <c r="J128" i="13"/>
  <c r="L128" i="13"/>
  <c r="K136" i="13"/>
  <c r="H139" i="13"/>
  <c r="J142" i="13"/>
  <c r="L144" i="13"/>
  <c r="I145" i="13"/>
  <c r="K148" i="13"/>
  <c r="J149" i="13"/>
  <c r="I149" i="13"/>
  <c r="J150" i="13"/>
  <c r="J151" i="13"/>
  <c r="I152" i="13"/>
  <c r="H153" i="13"/>
  <c r="H154" i="13"/>
  <c r="L154" i="13"/>
  <c r="I154" i="13"/>
  <c r="I156" i="13"/>
  <c r="I157" i="13"/>
  <c r="H160" i="13"/>
  <c r="I161" i="13"/>
  <c r="L162" i="13"/>
  <c r="I163" i="13"/>
  <c r="H169" i="13"/>
  <c r="M171" i="13"/>
  <c r="K175" i="13"/>
  <c r="K177" i="13"/>
  <c r="M179" i="13"/>
  <c r="L179" i="13"/>
  <c r="H180" i="13"/>
  <c r="I183" i="13"/>
  <c r="L185" i="13"/>
  <c r="M185" i="13"/>
  <c r="H186" i="13"/>
  <c r="J187" i="13"/>
  <c r="L187" i="13"/>
  <c r="H187" i="13"/>
  <c r="J188" i="13"/>
  <c r="L192" i="13"/>
  <c r="L193" i="13"/>
  <c r="M193" i="13"/>
  <c r="I193" i="13"/>
  <c r="I194" i="13"/>
  <c r="K198" i="13"/>
  <c r="M199" i="13"/>
  <c r="L199" i="13"/>
  <c r="I200" i="13"/>
  <c r="L201" i="13"/>
  <c r="M202" i="13"/>
  <c r="M204" i="13"/>
  <c r="H205" i="13"/>
  <c r="K206" i="13"/>
  <c r="M207" i="13"/>
  <c r="I208" i="13"/>
  <c r="L209" i="13"/>
  <c r="M210" i="13"/>
  <c r="L210" i="13"/>
  <c r="K211" i="13"/>
  <c r="M212" i="13"/>
  <c r="H213" i="13"/>
  <c r="M213" i="13"/>
  <c r="I213" i="13"/>
  <c r="K214" i="13"/>
  <c r="I214" i="13"/>
  <c r="K215" i="13"/>
  <c r="I216" i="13"/>
  <c r="L217" i="13"/>
  <c r="M217" i="13"/>
  <c r="I217" i="13"/>
  <c r="M218" i="13"/>
  <c r="H218" i="13"/>
  <c r="M220" i="13"/>
  <c r="H221" i="13"/>
  <c r="K221" i="13"/>
  <c r="K222" i="13"/>
  <c r="L222" i="13"/>
  <c r="I222" i="13"/>
  <c r="H222" i="13"/>
  <c r="K223" i="13"/>
  <c r="M223" i="13"/>
  <c r="L223" i="13"/>
  <c r="I223" i="13"/>
  <c r="I224" i="13"/>
  <c r="L225" i="13"/>
  <c r="M226" i="13"/>
  <c r="L226" i="13"/>
  <c r="M227" i="13"/>
  <c r="L227" i="13"/>
  <c r="I227" i="13"/>
  <c r="M228" i="13"/>
  <c r="H229" i="13"/>
  <c r="K229" i="13"/>
  <c r="L230" i="13"/>
  <c r="K230" i="13"/>
  <c r="I230" i="13"/>
  <c r="K231" i="13"/>
  <c r="M232" i="13"/>
  <c r="I232" i="13"/>
  <c r="H232" i="13"/>
  <c r="J232" i="13" s="1"/>
  <c r="L233" i="13"/>
  <c r="I233" i="13"/>
  <c r="L234" i="13"/>
  <c r="K234" i="13"/>
  <c r="H234" i="13"/>
  <c r="K235" i="13"/>
  <c r="K236" i="13"/>
  <c r="M237" i="13"/>
  <c r="L237" i="13"/>
  <c r="K237" i="13"/>
  <c r="I237" i="13"/>
  <c r="H237" i="13"/>
  <c r="K238" i="13"/>
  <c r="H239" i="13"/>
  <c r="M240" i="13"/>
  <c r="M241" i="13"/>
  <c r="I241" i="13"/>
  <c r="H241" i="13"/>
  <c r="J241" i="13" s="1"/>
  <c r="M242" i="13"/>
  <c r="M244" i="13"/>
  <c r="L244" i="13"/>
  <c r="H244" i="13"/>
  <c r="L246" i="13"/>
  <c r="M247" i="13"/>
  <c r="L247" i="13"/>
  <c r="K247" i="13"/>
  <c r="I247" i="13"/>
  <c r="I248" i="13"/>
  <c r="I249" i="13"/>
  <c r="L249" i="13"/>
  <c r="L252" i="13"/>
  <c r="K252" i="13"/>
  <c r="H252" i="13"/>
  <c r="L253" i="13"/>
  <c r="K253" i="13"/>
  <c r="H253" i="13"/>
  <c r="L254" i="13"/>
  <c r="K254" i="13"/>
  <c r="H254" i="13"/>
  <c r="H255" i="13"/>
  <c r="I255" i="13"/>
  <c r="I256" i="13"/>
  <c r="M257" i="13"/>
  <c r="M258" i="13"/>
  <c r="I259" i="13"/>
  <c r="J259" i="13"/>
  <c r="H259" i="13"/>
  <c r="L260" i="13"/>
  <c r="I261" i="13"/>
  <c r="H261" i="13"/>
  <c r="J261" i="13" s="1"/>
  <c r="L262" i="13"/>
  <c r="K263" i="13"/>
  <c r="M264" i="13"/>
  <c r="I264" i="13"/>
  <c r="H264" i="13"/>
  <c r="J264" i="13" s="1"/>
  <c r="L266" i="13"/>
  <c r="K266" i="13"/>
  <c r="H266" i="13"/>
  <c r="K267" i="13"/>
  <c r="I267" i="13"/>
  <c r="H267" i="13"/>
  <c r="J267" i="13" s="1"/>
  <c r="M268" i="13"/>
  <c r="M269" i="13"/>
  <c r="L269" i="13"/>
  <c r="I269" i="13"/>
  <c r="H269" i="13"/>
  <c r="J269" i="13" s="1"/>
  <c r="I274" i="13"/>
  <c r="J274" i="13"/>
  <c r="H274" i="13"/>
  <c r="K274" i="13" s="1"/>
  <c r="J275" i="13"/>
  <c r="H275" i="13"/>
  <c r="M277" i="13"/>
  <c r="I54" i="13"/>
  <c r="I198" i="13"/>
  <c r="I202" i="13"/>
  <c r="L207" i="13"/>
  <c r="M211" i="13"/>
  <c r="J101" i="13"/>
  <c r="K115" i="13"/>
  <c r="L231" i="13"/>
  <c r="H238" i="13"/>
  <c r="I239" i="13"/>
  <c r="I245" i="13"/>
  <c r="L256" i="13"/>
  <c r="M260" i="13"/>
  <c r="L261" i="13"/>
  <c r="J239" i="13"/>
  <c r="K245" i="13"/>
  <c r="M248" i="13"/>
  <c r="M256" i="13"/>
  <c r="M261" i="13"/>
  <c r="L245" i="13"/>
  <c r="L239" i="13"/>
  <c r="J71" i="13"/>
  <c r="I87" i="13"/>
  <c r="L150" i="13"/>
  <c r="L160" i="13"/>
  <c r="I174" i="13"/>
  <c r="K179" i="13"/>
  <c r="L182" i="13"/>
  <c r="I206" i="13"/>
  <c r="L238" i="13"/>
  <c r="M239" i="13"/>
  <c r="M245" i="13"/>
  <c r="I253" i="13"/>
  <c r="J255" i="13"/>
  <c r="H257" i="13"/>
  <c r="K269" i="13"/>
  <c r="K277" i="13"/>
  <c r="H278" i="13"/>
  <c r="L255" i="13"/>
  <c r="I257" i="13"/>
  <c r="I278" i="13"/>
  <c r="M255" i="13"/>
  <c r="J257" i="13"/>
  <c r="K278" i="13"/>
  <c r="I231" i="13"/>
  <c r="M233" i="13"/>
  <c r="L240" i="13"/>
  <c r="H246" i="13"/>
  <c r="H248" i="13"/>
  <c r="J248" i="13" s="1"/>
  <c r="M249" i="13"/>
  <c r="M253" i="13"/>
  <c r="K265" i="13"/>
  <c r="L275" i="13"/>
  <c r="L278" i="13"/>
  <c r="L169" i="13"/>
  <c r="I240" i="13"/>
  <c r="L59" i="13"/>
  <c r="H101" i="13"/>
  <c r="H115" i="13"/>
  <c r="K184" i="13"/>
  <c r="L198" i="13"/>
  <c r="H219" i="13"/>
  <c r="H54" i="13"/>
  <c r="H96" i="13"/>
  <c r="I101" i="13"/>
  <c r="K110" i="13"/>
  <c r="J115" i="13"/>
  <c r="M118" i="13"/>
  <c r="I180" i="13"/>
  <c r="L184" i="13"/>
  <c r="M198" i="13"/>
  <c r="L203" i="13"/>
  <c r="L219" i="13"/>
  <c r="M222" i="13"/>
  <c r="H245" i="13"/>
  <c r="K261" i="13"/>
  <c r="M265" i="13"/>
  <c r="M266" i="13"/>
  <c r="M275" i="13"/>
  <c r="M278" i="13"/>
  <c r="L251" i="13"/>
  <c r="I251" i="13"/>
  <c r="H251" i="13"/>
  <c r="M251" i="13"/>
  <c r="J251" i="13"/>
  <c r="I242" i="13"/>
  <c r="H242" i="13"/>
  <c r="L242" i="13"/>
  <c r="J242" i="13"/>
  <c r="I250" i="13"/>
  <c r="M250" i="13"/>
  <c r="L250" i="13"/>
  <c r="I263" i="13"/>
  <c r="L273" i="13"/>
  <c r="H273" i="13"/>
  <c r="M273" i="13"/>
  <c r="I273" i="13"/>
  <c r="K273" i="13" s="1"/>
  <c r="H235" i="13"/>
  <c r="H236" i="13"/>
  <c r="M238" i="13"/>
  <c r="I238" i="13"/>
  <c r="I243" i="13"/>
  <c r="K251" i="13"/>
  <c r="I258" i="13"/>
  <c r="H258" i="13"/>
  <c r="L258" i="13"/>
  <c r="J258" i="13"/>
  <c r="J273" i="13"/>
  <c r="M230" i="13"/>
  <c r="H247" i="13"/>
  <c r="J247" i="13"/>
  <c r="H250" i="13"/>
  <c r="M276" i="13"/>
  <c r="L276" i="13"/>
  <c r="J276" i="13"/>
  <c r="I276" i="13"/>
  <c r="H276" i="13"/>
  <c r="K276" i="13"/>
  <c r="M231" i="13"/>
  <c r="L235" i="13"/>
  <c r="I235" i="13"/>
  <c r="J235" i="13" s="1"/>
  <c r="M235" i="13"/>
  <c r="I236" i="13"/>
  <c r="J236" i="13" s="1"/>
  <c r="M236" i="13"/>
  <c r="L243" i="13"/>
  <c r="M243" i="13"/>
  <c r="H243" i="13"/>
  <c r="J243" i="13" s="1"/>
  <c r="H263" i="13"/>
  <c r="M263" i="13"/>
  <c r="L263" i="13"/>
  <c r="J263" i="13"/>
  <c r="H231" i="13"/>
  <c r="J231" i="13"/>
  <c r="K240" i="13"/>
  <c r="H240" i="13"/>
  <c r="K243" i="13"/>
  <c r="J250" i="13"/>
  <c r="M252" i="13"/>
  <c r="I252" i="13"/>
  <c r="H230" i="13"/>
  <c r="I234" i="13"/>
  <c r="M234" i="13"/>
  <c r="L236" i="13"/>
  <c r="K242" i="13"/>
  <c r="K250" i="13"/>
  <c r="M254" i="13"/>
  <c r="I254" i="13"/>
  <c r="K256" i="13"/>
  <c r="H256" i="13"/>
  <c r="K258" i="13"/>
  <c r="K244" i="13"/>
  <c r="M246" i="13"/>
  <c r="K246" i="13"/>
  <c r="K260" i="13"/>
  <c r="M262" i="13"/>
  <c r="K262" i="13"/>
  <c r="H268" i="13"/>
  <c r="L268" i="13"/>
  <c r="K233" i="13"/>
  <c r="K249" i="13"/>
  <c r="L265" i="13"/>
  <c r="H277" i="13"/>
  <c r="L277" i="13"/>
  <c r="L274" i="13"/>
  <c r="L259" i="13"/>
  <c r="K259" i="13"/>
  <c r="H260" i="13"/>
  <c r="H262" i="13"/>
  <c r="I268" i="13"/>
  <c r="M274" i="13"/>
  <c r="I262" i="13"/>
  <c r="H265" i="13"/>
  <c r="J268" i="13"/>
  <c r="K241" i="13"/>
  <c r="I244" i="13"/>
  <c r="I246" i="13"/>
  <c r="K257" i="13"/>
  <c r="M259" i="13"/>
  <c r="I260" i="13"/>
  <c r="K232" i="13"/>
  <c r="L232" i="13"/>
  <c r="H233" i="13"/>
  <c r="K239" i="13"/>
  <c r="L241" i="13"/>
  <c r="J244" i="13"/>
  <c r="J246" i="13"/>
  <c r="K248" i="13"/>
  <c r="L248" i="13"/>
  <c r="H249" i="13"/>
  <c r="K255" i="13"/>
  <c r="L257" i="13"/>
  <c r="J260" i="13"/>
  <c r="J262" i="13"/>
  <c r="K264" i="13"/>
  <c r="L264" i="13"/>
  <c r="I265" i="13"/>
  <c r="M267" i="13"/>
  <c r="L267" i="13"/>
  <c r="K268" i="13"/>
  <c r="I277" i="13"/>
  <c r="I266" i="13"/>
  <c r="I275" i="13"/>
  <c r="K275" i="13" s="1"/>
  <c r="H167" i="13"/>
  <c r="I191" i="13"/>
  <c r="H191" i="13"/>
  <c r="J191" i="13"/>
  <c r="L99" i="13"/>
  <c r="J99" i="13"/>
  <c r="J104" i="13"/>
  <c r="J134" i="13"/>
  <c r="L134" i="13"/>
  <c r="J50" i="13"/>
  <c r="K50" i="13"/>
  <c r="I50" i="13"/>
  <c r="K88" i="13"/>
  <c r="J27" i="13"/>
  <c r="I27" i="13"/>
  <c r="H58" i="13"/>
  <c r="I16" i="13"/>
  <c r="M21" i="13"/>
  <c r="H27" i="13"/>
  <c r="I58" i="13"/>
  <c r="K85" i="13"/>
  <c r="J85" i="13"/>
  <c r="I85" i="13"/>
  <c r="H85" i="13"/>
  <c r="H134" i="13"/>
  <c r="H157" i="13"/>
  <c r="M157" i="13"/>
  <c r="M75" i="13"/>
  <c r="I21" i="13"/>
  <c r="J16" i="13"/>
  <c r="M104" i="13"/>
  <c r="H170" i="13"/>
  <c r="K68" i="13"/>
  <c r="K81" i="13"/>
  <c r="I81" i="13"/>
  <c r="L119" i="13"/>
  <c r="K119" i="13"/>
  <c r="I119" i="13"/>
  <c r="K42" i="13"/>
  <c r="L142" i="13"/>
  <c r="K170" i="13"/>
  <c r="K58" i="13"/>
  <c r="J14" i="13"/>
  <c r="I14" i="13"/>
  <c r="K80" i="13"/>
  <c r="I83" i="13"/>
  <c r="H83" i="13"/>
  <c r="H87" i="13"/>
  <c r="J102" i="13"/>
  <c r="M102" i="13"/>
  <c r="L123" i="13"/>
  <c r="M142" i="13"/>
  <c r="I199" i="13"/>
  <c r="I203" i="13"/>
  <c r="I207" i="13"/>
  <c r="J154" i="13"/>
  <c r="M160" i="13"/>
  <c r="K187" i="13"/>
  <c r="K199" i="13"/>
  <c r="H202" i="13"/>
  <c r="K203" i="13"/>
  <c r="H206" i="13"/>
  <c r="K207" i="13"/>
  <c r="H210" i="13"/>
  <c r="L211" i="13"/>
  <c r="K213" i="13"/>
  <c r="H226" i="13"/>
  <c r="K227" i="13"/>
  <c r="I229" i="13"/>
  <c r="L202" i="13"/>
  <c r="M203" i="13"/>
  <c r="L206" i="13"/>
  <c r="H215" i="13"/>
  <c r="I219" i="13"/>
  <c r="M229" i="13"/>
  <c r="M206" i="13"/>
  <c r="H214" i="13"/>
  <c r="I215" i="13"/>
  <c r="K219" i="13"/>
  <c r="I221" i="13"/>
  <c r="J139" i="13"/>
  <c r="H150" i="13"/>
  <c r="J153" i="13"/>
  <c r="H188" i="13"/>
  <c r="K23" i="13"/>
  <c r="H34" i="13"/>
  <c r="J131" i="13"/>
  <c r="I150" i="13"/>
  <c r="H156" i="13"/>
  <c r="H177" i="13"/>
  <c r="K186" i="13"/>
  <c r="I188" i="13"/>
  <c r="M192" i="13"/>
  <c r="K34" i="13"/>
  <c r="I59" i="13"/>
  <c r="I71" i="13"/>
  <c r="I106" i="13"/>
  <c r="K131" i="13"/>
  <c r="L135" i="13"/>
  <c r="K150" i="13"/>
  <c r="J156" i="13"/>
  <c r="I160" i="13"/>
  <c r="J160" i="13" s="1"/>
  <c r="I169" i="13"/>
  <c r="I177" i="13"/>
  <c r="L186" i="13"/>
  <c r="M195" i="13"/>
  <c r="I201" i="13"/>
  <c r="I205" i="13"/>
  <c r="I209" i="13"/>
  <c r="H211" i="13"/>
  <c r="L214" i="13"/>
  <c r="L215" i="13"/>
  <c r="L218" i="13"/>
  <c r="M219" i="13"/>
  <c r="M221" i="13"/>
  <c r="I225" i="13"/>
  <c r="M177" i="13"/>
  <c r="H199" i="13"/>
  <c r="M201" i="13"/>
  <c r="H203" i="13"/>
  <c r="M205" i="13"/>
  <c r="H207" i="13"/>
  <c r="M209" i="13"/>
  <c r="I211" i="13"/>
  <c r="M214" i="13"/>
  <c r="M215" i="13"/>
  <c r="H223" i="13"/>
  <c r="M225" i="13"/>
  <c r="H227" i="13"/>
  <c r="J216" i="13"/>
  <c r="K208" i="13"/>
  <c r="I210" i="13"/>
  <c r="J213" i="13"/>
  <c r="K216" i="13"/>
  <c r="I218" i="13"/>
  <c r="J221" i="13"/>
  <c r="K224" i="13"/>
  <c r="I226" i="13"/>
  <c r="J229" i="13"/>
  <c r="K200" i="13"/>
  <c r="J205" i="13"/>
  <c r="J202" i="13"/>
  <c r="H212" i="13"/>
  <c r="J226" i="13"/>
  <c r="H228" i="13"/>
  <c r="L200" i="13"/>
  <c r="H204" i="13"/>
  <c r="K205" i="13"/>
  <c r="L208" i="13"/>
  <c r="J210" i="13"/>
  <c r="L216" i="13"/>
  <c r="J218" i="13"/>
  <c r="H220" i="13"/>
  <c r="J199" i="13"/>
  <c r="M200" i="13"/>
  <c r="H201" i="13"/>
  <c r="K202" i="13"/>
  <c r="I204" i="13"/>
  <c r="L205" i="13"/>
  <c r="J207" i="13"/>
  <c r="M208" i="13"/>
  <c r="H209" i="13"/>
  <c r="K210" i="13"/>
  <c r="I212" i="13"/>
  <c r="L213" i="13"/>
  <c r="J215" i="13"/>
  <c r="M216" i="13"/>
  <c r="H217" i="13"/>
  <c r="K218" i="13"/>
  <c r="I220" i="13"/>
  <c r="L221" i="13"/>
  <c r="J223" i="13"/>
  <c r="M224" i="13"/>
  <c r="H225" i="13"/>
  <c r="K226" i="13"/>
  <c r="I228" i="13"/>
  <c r="L229" i="13"/>
  <c r="J212" i="13"/>
  <c r="J220" i="13"/>
  <c r="J228" i="13"/>
  <c r="J201" i="13"/>
  <c r="J204" i="13"/>
  <c r="J225" i="13"/>
  <c r="K228" i="13"/>
  <c r="H200" i="13"/>
  <c r="K201" i="13"/>
  <c r="H208" i="13"/>
  <c r="K209" i="13"/>
  <c r="H216" i="13"/>
  <c r="O216" i="13" s="1"/>
  <c r="K217" i="13"/>
  <c r="L220" i="13"/>
  <c r="J222" i="13"/>
  <c r="H224" i="13"/>
  <c r="K225" i="13"/>
  <c r="L228" i="13"/>
  <c r="K204" i="13"/>
  <c r="J209" i="13"/>
  <c r="K212" i="13"/>
  <c r="J217" i="13"/>
  <c r="K220" i="13"/>
  <c r="L204" i="13"/>
  <c r="J206" i="13"/>
  <c r="L212" i="13"/>
  <c r="J214" i="13"/>
  <c r="M143" i="13"/>
  <c r="I143" i="13"/>
  <c r="H143" i="13"/>
  <c r="K143" i="13"/>
  <c r="L143" i="13"/>
  <c r="K173" i="13"/>
  <c r="I173" i="13"/>
  <c r="H173" i="13"/>
  <c r="J173" i="13" s="1"/>
  <c r="I78" i="13"/>
  <c r="K78" i="13"/>
  <c r="J78" i="13"/>
  <c r="H126" i="13"/>
  <c r="H152" i="13"/>
  <c r="M152" i="13"/>
  <c r="K166" i="13"/>
  <c r="I166" i="13"/>
  <c r="H166" i="13"/>
  <c r="J166" i="13" s="1"/>
  <c r="L166" i="13"/>
  <c r="M166" i="13"/>
  <c r="L178" i="13"/>
  <c r="K178" i="13"/>
  <c r="H178" i="13"/>
  <c r="J73" i="13"/>
  <c r="J95" i="13"/>
  <c r="I95" i="13"/>
  <c r="M95" i="13"/>
  <c r="K95" i="13"/>
  <c r="J141" i="13"/>
  <c r="I141" i="13"/>
  <c r="H158" i="13"/>
  <c r="L158" i="13"/>
  <c r="I158" i="13"/>
  <c r="K158" i="13"/>
  <c r="J19" i="13"/>
  <c r="J26" i="13"/>
  <c r="K26" i="13"/>
  <c r="H26" i="13"/>
  <c r="K38" i="13"/>
  <c r="J38" i="13"/>
  <c r="I38" i="13"/>
  <c r="K55" i="13"/>
  <c r="K63" i="13"/>
  <c r="H73" i="13"/>
  <c r="H95" i="13"/>
  <c r="K99" i="13"/>
  <c r="I133" i="13"/>
  <c r="H133" i="13"/>
  <c r="K133" i="13"/>
  <c r="J133" i="13"/>
  <c r="H141" i="13"/>
  <c r="K141" i="13" s="1"/>
  <c r="H146" i="13"/>
  <c r="M146" i="13"/>
  <c r="J146" i="13"/>
  <c r="M158" i="13"/>
  <c r="K41" i="13"/>
  <c r="H18" i="13"/>
  <c r="J25" i="13"/>
  <c r="M37" i="13"/>
  <c r="M127" i="13"/>
  <c r="I127" i="13"/>
  <c r="H127" i="13"/>
  <c r="I22" i="13"/>
  <c r="J22" i="13"/>
  <c r="I73" i="13"/>
  <c r="H100" i="13"/>
  <c r="J103" i="13"/>
  <c r="I103" i="13"/>
  <c r="K123" i="13"/>
  <c r="I159" i="13"/>
  <c r="H159" i="13"/>
  <c r="J159" i="13"/>
  <c r="L159" i="13"/>
  <c r="H61" i="13"/>
  <c r="M61" i="13"/>
  <c r="J61" i="13"/>
  <c r="H37" i="13"/>
  <c r="M17" i="13"/>
  <c r="L17" i="13"/>
  <c r="H168" i="13"/>
  <c r="M168" i="13"/>
  <c r="I168" i="13"/>
  <c r="I37" i="13"/>
  <c r="H22" i="13"/>
  <c r="J31" i="13"/>
  <c r="J36" i="13"/>
  <c r="I36" i="13"/>
  <c r="H40" i="13"/>
  <c r="J58" i="13"/>
  <c r="M58" i="13"/>
  <c r="K117" i="13"/>
  <c r="H117" i="13"/>
  <c r="J117" i="13"/>
  <c r="I117" i="13"/>
  <c r="K139" i="13"/>
  <c r="J147" i="13"/>
  <c r="H151" i="13"/>
  <c r="M153" i="13"/>
  <c r="J157" i="13"/>
  <c r="H161" i="13"/>
  <c r="H165" i="13"/>
  <c r="K171" i="13"/>
  <c r="J180" i="13"/>
  <c r="H182" i="13"/>
  <c r="K183" i="13"/>
  <c r="K194" i="13"/>
  <c r="H195" i="13"/>
  <c r="H88" i="13"/>
  <c r="K97" i="13"/>
  <c r="H102" i="13"/>
  <c r="L122" i="13"/>
  <c r="H21" i="13"/>
  <c r="H50" i="13"/>
  <c r="H68" i="13"/>
  <c r="J88" i="13"/>
  <c r="I102" i="13"/>
  <c r="I104" i="13"/>
  <c r="L104" i="13" s="1"/>
  <c r="H119" i="13"/>
  <c r="H125" i="13"/>
  <c r="L136" i="13"/>
  <c r="M139" i="13"/>
  <c r="I151" i="13"/>
  <c r="L157" i="13"/>
  <c r="I165" i="13"/>
  <c r="H175" i="13"/>
  <c r="L177" i="13"/>
  <c r="I182" i="13"/>
  <c r="I186" i="13"/>
  <c r="J186" i="13" s="1"/>
  <c r="H190" i="13"/>
  <c r="K191" i="13"/>
  <c r="H193" i="13"/>
  <c r="L194" i="13"/>
  <c r="K195" i="13"/>
  <c r="H198" i="13"/>
  <c r="H174" i="13"/>
  <c r="J174" i="13" s="1"/>
  <c r="I175" i="13"/>
  <c r="K182" i="13"/>
  <c r="I190" i="13"/>
  <c r="L195" i="13"/>
  <c r="K190" i="13"/>
  <c r="K174" i="13"/>
  <c r="M182" i="13"/>
  <c r="L190" i="13"/>
  <c r="K118" i="13"/>
  <c r="L174" i="13"/>
  <c r="H185" i="13"/>
  <c r="M187" i="13"/>
  <c r="M190" i="13"/>
  <c r="K192" i="13"/>
  <c r="I196" i="13"/>
  <c r="L118" i="13"/>
  <c r="J124" i="13"/>
  <c r="H131" i="13"/>
  <c r="K135" i="13"/>
  <c r="H149" i="13"/>
  <c r="M150" i="13"/>
  <c r="I153" i="13"/>
  <c r="M174" i="13"/>
  <c r="H183" i="13"/>
  <c r="J183" i="13" s="1"/>
  <c r="I185" i="13"/>
  <c r="I155" i="13"/>
  <c r="M155" i="13"/>
  <c r="J155" i="13"/>
  <c r="H155" i="13"/>
  <c r="L155" i="13"/>
  <c r="K155" i="13"/>
  <c r="L148" i="13"/>
  <c r="H148" i="13"/>
  <c r="M148" i="13"/>
  <c r="J148" i="13"/>
  <c r="I148" i="13"/>
  <c r="H181" i="13"/>
  <c r="M181" i="13"/>
  <c r="H189" i="13"/>
  <c r="M189" i="13"/>
  <c r="L172" i="13"/>
  <c r="K172" i="13"/>
  <c r="K162" i="13"/>
  <c r="K152" i="13"/>
  <c r="K161" i="13"/>
  <c r="L161" i="13"/>
  <c r="H162" i="13"/>
  <c r="M163" i="13"/>
  <c r="I164" i="13"/>
  <c r="K168" i="13"/>
  <c r="L152" i="13"/>
  <c r="M154" i="13"/>
  <c r="K157" i="13"/>
  <c r="M159" i="13"/>
  <c r="K159" i="13"/>
  <c r="M161" i="13"/>
  <c r="I162" i="13"/>
  <c r="L168" i="13"/>
  <c r="M172" i="13"/>
  <c r="M175" i="13"/>
  <c r="L175" i="13"/>
  <c r="K176" i="13"/>
  <c r="M180" i="13"/>
  <c r="L180" i="13"/>
  <c r="K180" i="13"/>
  <c r="M188" i="13"/>
  <c r="L188" i="13"/>
  <c r="K188" i="13"/>
  <c r="H197" i="13"/>
  <c r="K197" i="13"/>
  <c r="I197" i="13"/>
  <c r="I167" i="13"/>
  <c r="I170" i="13"/>
  <c r="L173" i="13"/>
  <c r="M176" i="13"/>
  <c r="I178" i="13"/>
  <c r="K153" i="13"/>
  <c r="L153" i="13"/>
  <c r="K160" i="13"/>
  <c r="H163" i="13"/>
  <c r="J163" i="13" s="1"/>
  <c r="K169" i="13"/>
  <c r="J169" i="13"/>
  <c r="M169" i="13"/>
  <c r="M173" i="13"/>
  <c r="J178" i="13"/>
  <c r="I181" i="13"/>
  <c r="I184" i="13"/>
  <c r="H184" i="13"/>
  <c r="J184" i="13" s="1"/>
  <c r="M184" i="13"/>
  <c r="I189" i="13"/>
  <c r="I192" i="13"/>
  <c r="H192" i="13"/>
  <c r="J192" i="13"/>
  <c r="M194" i="13"/>
  <c r="H194" i="13"/>
  <c r="H176" i="13"/>
  <c r="L176" i="13"/>
  <c r="K165" i="13"/>
  <c r="M167" i="13"/>
  <c r="K167" i="13"/>
  <c r="J181" i="13"/>
  <c r="M183" i="13"/>
  <c r="L183" i="13"/>
  <c r="J189" i="13"/>
  <c r="M191" i="13"/>
  <c r="L191" i="13"/>
  <c r="J197" i="13"/>
  <c r="L164" i="13"/>
  <c r="K164" i="13"/>
  <c r="M164" i="13"/>
  <c r="L156" i="13"/>
  <c r="K156" i="13"/>
  <c r="H172" i="13"/>
  <c r="K181" i="13"/>
  <c r="M186" i="13"/>
  <c r="K189" i="13"/>
  <c r="M196" i="13"/>
  <c r="L196" i="13"/>
  <c r="K196" i="13"/>
  <c r="H196" i="13"/>
  <c r="L197" i="13"/>
  <c r="K149" i="13"/>
  <c r="M151" i="13"/>
  <c r="K151" i="13"/>
  <c r="M162" i="13"/>
  <c r="L149" i="13"/>
  <c r="L151" i="13"/>
  <c r="K163" i="13"/>
  <c r="L165" i="13"/>
  <c r="L167" i="13"/>
  <c r="M170" i="13"/>
  <c r="L170" i="13"/>
  <c r="M149" i="13"/>
  <c r="J152" i="13"/>
  <c r="K154" i="13"/>
  <c r="M156" i="13"/>
  <c r="J161" i="13"/>
  <c r="L163" i="13"/>
  <c r="H164" i="13"/>
  <c r="M165" i="13"/>
  <c r="J168" i="13"/>
  <c r="I171" i="13"/>
  <c r="H171" i="13"/>
  <c r="J171" i="13" s="1"/>
  <c r="L171" i="13"/>
  <c r="I172" i="13"/>
  <c r="I176" i="13"/>
  <c r="M178" i="13"/>
  <c r="L181" i="13"/>
  <c r="L189" i="13"/>
  <c r="M197" i="13"/>
  <c r="J177" i="13"/>
  <c r="H179" i="13"/>
  <c r="J185" i="13"/>
  <c r="J193" i="13"/>
  <c r="I179" i="13"/>
  <c r="K185" i="13"/>
  <c r="I187" i="13"/>
  <c r="K193" i="13"/>
  <c r="I195" i="13"/>
  <c r="J198" i="13"/>
  <c r="J76" i="13"/>
  <c r="M76" i="13"/>
  <c r="J79" i="13"/>
  <c r="M79" i="13"/>
  <c r="L114" i="13"/>
  <c r="J114" i="13"/>
  <c r="H114" i="13"/>
  <c r="J109" i="13"/>
  <c r="I109" i="13"/>
  <c r="H109" i="13"/>
  <c r="K132" i="13"/>
  <c r="J69" i="13"/>
  <c r="I69" i="13"/>
  <c r="J20" i="13"/>
  <c r="I33" i="13"/>
  <c r="K36" i="13"/>
  <c r="J42" i="13"/>
  <c r="J44" i="13"/>
  <c r="K47" i="13"/>
  <c r="H57" i="13"/>
  <c r="H66" i="13"/>
  <c r="H67" i="13"/>
  <c r="I70" i="13"/>
  <c r="K76" i="13"/>
  <c r="K91" i="13"/>
  <c r="H91" i="13"/>
  <c r="K111" i="13"/>
  <c r="I111" i="13"/>
  <c r="H111" i="13"/>
  <c r="I120" i="13"/>
  <c r="L120" i="13"/>
  <c r="H15" i="13"/>
  <c r="K15" i="13"/>
  <c r="K39" i="13"/>
  <c r="J39" i="13"/>
  <c r="K20" i="13"/>
  <c r="K28" i="13"/>
  <c r="J28" i="13"/>
  <c r="I57" i="13"/>
  <c r="J87" i="13"/>
  <c r="L87" i="13"/>
  <c r="K87" i="13"/>
  <c r="H52" i="13"/>
  <c r="I62" i="13"/>
  <c r="J62" i="13"/>
  <c r="K30" i="13"/>
  <c r="J30" i="13"/>
  <c r="H33" i="13"/>
  <c r="J33" i="13"/>
  <c r="I46" i="13"/>
  <c r="J46" i="13"/>
  <c r="I66" i="13"/>
  <c r="K67" i="13"/>
  <c r="H69" i="13"/>
  <c r="K75" i="13"/>
  <c r="K84" i="13"/>
  <c r="K109" i="13"/>
  <c r="I29" i="13"/>
  <c r="K31" i="13"/>
  <c r="K33" i="13"/>
  <c r="I40" i="13"/>
  <c r="I44" i="13"/>
  <c r="J52" i="13"/>
  <c r="L57" i="13"/>
  <c r="J59" i="13"/>
  <c r="H63" i="13"/>
  <c r="J66" i="13"/>
  <c r="L69" i="13"/>
  <c r="K72" i="13"/>
  <c r="H79" i="13"/>
  <c r="H84" i="13"/>
  <c r="M100" i="13"/>
  <c r="K100" i="13"/>
  <c r="J100" i="13"/>
  <c r="L111" i="13"/>
  <c r="H122" i="13"/>
  <c r="J122" i="13"/>
  <c r="M29" i="13"/>
  <c r="I45" i="13"/>
  <c r="H45" i="13"/>
  <c r="I30" i="13"/>
  <c r="J45" i="13"/>
  <c r="I52" i="13"/>
  <c r="K70" i="13"/>
  <c r="J17" i="13"/>
  <c r="I17" i="13"/>
  <c r="I19" i="13"/>
  <c r="H19" i="13"/>
  <c r="I28" i="13"/>
  <c r="M40" i="13"/>
  <c r="H42" i="13"/>
  <c r="K44" i="13"/>
  <c r="L52" i="13"/>
  <c r="M57" i="13"/>
  <c r="M69" i="13"/>
  <c r="H75" i="13"/>
  <c r="I79" i="13"/>
  <c r="K107" i="13"/>
  <c r="J107" i="13"/>
  <c r="J29" i="13"/>
  <c r="H29" i="13"/>
  <c r="L29" i="13"/>
  <c r="M32" i="13"/>
  <c r="I32" i="13"/>
  <c r="L32" i="13" s="1"/>
  <c r="I41" i="13"/>
  <c r="H41" i="13"/>
  <c r="L41" i="13" s="1"/>
  <c r="M52" i="13"/>
  <c r="J70" i="13"/>
  <c r="H70" i="13"/>
  <c r="H71" i="13"/>
  <c r="L71" i="13" s="1"/>
  <c r="K79" i="13"/>
  <c r="I89" i="13"/>
  <c r="J123" i="13"/>
  <c r="K128" i="13"/>
  <c r="K134" i="13"/>
  <c r="I135" i="13"/>
  <c r="I142" i="13"/>
  <c r="M147" i="13"/>
  <c r="H138" i="13"/>
  <c r="K103" i="13"/>
  <c r="K102" i="13"/>
  <c r="L103" i="13"/>
  <c r="H110" i="13"/>
  <c r="J125" i="13"/>
  <c r="K126" i="13"/>
  <c r="K127" i="13"/>
  <c r="J136" i="13"/>
  <c r="I125" i="13"/>
  <c r="I126" i="13"/>
  <c r="K21" i="13"/>
  <c r="M34" i="13"/>
  <c r="K37" i="13"/>
  <c r="L50" i="13"/>
  <c r="L21" i="13"/>
  <c r="L37" i="13"/>
  <c r="M50" i="13"/>
  <c r="L102" i="13"/>
  <c r="I110" i="13"/>
  <c r="H124" i="13"/>
  <c r="L126" i="13"/>
  <c r="L127" i="13"/>
  <c r="H147" i="13"/>
  <c r="M126" i="13"/>
  <c r="L110" i="13"/>
  <c r="K124" i="13"/>
  <c r="I134" i="13"/>
  <c r="H135" i="13"/>
  <c r="H142" i="13"/>
  <c r="M94" i="13"/>
  <c r="I94" i="13"/>
  <c r="K94" i="13"/>
  <c r="J94" i="13"/>
  <c r="H94" i="13"/>
  <c r="M51" i="13"/>
  <c r="I51" i="13"/>
  <c r="K53" i="13"/>
  <c r="J53" i="13"/>
  <c r="H53" i="13"/>
  <c r="H60" i="13"/>
  <c r="J60" i="13"/>
  <c r="J77" i="13"/>
  <c r="I77" i="13"/>
  <c r="H77" i="13"/>
  <c r="L77" i="13" s="1"/>
  <c r="I86" i="13"/>
  <c r="K86" i="13"/>
  <c r="J86" i="13"/>
  <c r="H86" i="13"/>
  <c r="L94" i="13"/>
  <c r="K24" i="13"/>
  <c r="M15" i="13"/>
  <c r="J18" i="13"/>
  <c r="I18" i="13"/>
  <c r="K65" i="13"/>
  <c r="H65" i="13"/>
  <c r="J65" i="13"/>
  <c r="H72" i="13"/>
  <c r="J72" i="13"/>
  <c r="I72" i="13"/>
  <c r="L18" i="13"/>
  <c r="I43" i="13"/>
  <c r="K77" i="13"/>
  <c r="L86" i="13"/>
  <c r="I92" i="13"/>
  <c r="M92" i="13"/>
  <c r="K92" i="13"/>
  <c r="J92" i="13"/>
  <c r="H92" i="13"/>
  <c r="I49" i="13"/>
  <c r="M49" i="13"/>
  <c r="H43" i="13"/>
  <c r="M48" i="13"/>
  <c r="J48" i="13"/>
  <c r="I48" i="13"/>
  <c r="H48" i="13"/>
  <c r="L48" i="13" s="1"/>
  <c r="H49" i="13"/>
  <c r="M25" i="13"/>
  <c r="M30" i="13"/>
  <c r="H56" i="13"/>
  <c r="M56" i="13"/>
  <c r="M64" i="13"/>
  <c r="J64" i="13"/>
  <c r="I64" i="13"/>
  <c r="H64" i="13"/>
  <c r="I65" i="13"/>
  <c r="M77" i="13"/>
  <c r="M86" i="13"/>
  <c r="M43" i="13"/>
  <c r="L43" i="13"/>
  <c r="K43" i="13"/>
  <c r="I31" i="13"/>
  <c r="H31" i="13"/>
  <c r="L31" i="13" s="1"/>
  <c r="M31" i="13"/>
  <c r="K16" i="13"/>
  <c r="L16" i="13"/>
  <c r="K49" i="13"/>
  <c r="M14" i="13"/>
  <c r="K14" i="13"/>
  <c r="M16" i="13"/>
  <c r="M22" i="13"/>
  <c r="L22" i="13"/>
  <c r="H24" i="13"/>
  <c r="M33" i="13"/>
  <c r="M41" i="13"/>
  <c r="I47" i="13"/>
  <c r="M47" i="13"/>
  <c r="L47" i="13"/>
  <c r="L49" i="13"/>
  <c r="K51" i="13"/>
  <c r="L53" i="13"/>
  <c r="I55" i="13"/>
  <c r="J55" i="13"/>
  <c r="H55" i="13"/>
  <c r="K60" i="13"/>
  <c r="L65" i="13"/>
  <c r="H93" i="13"/>
  <c r="K93" i="13"/>
  <c r="M93" i="13"/>
  <c r="J93" i="13"/>
  <c r="I93" i="13"/>
  <c r="M35" i="13"/>
  <c r="K35" i="13"/>
  <c r="M18" i="13"/>
  <c r="H35" i="13"/>
  <c r="L35" i="13" s="1"/>
  <c r="M38" i="13"/>
  <c r="J51" i="13"/>
  <c r="J35" i="13"/>
  <c r="I23" i="13"/>
  <c r="H23" i="13"/>
  <c r="L23" i="13"/>
  <c r="I24" i="13"/>
  <c r="H25" i="13"/>
  <c r="K48" i="13"/>
  <c r="L51" i="13"/>
  <c r="M53" i="13"/>
  <c r="I56" i="13"/>
  <c r="L60" i="13"/>
  <c r="M65" i="13"/>
  <c r="M80" i="13"/>
  <c r="I80" i="13"/>
  <c r="H80" i="13"/>
  <c r="I39" i="13"/>
  <c r="H39" i="13"/>
  <c r="L39" i="13" s="1"/>
  <c r="M39" i="13"/>
  <c r="J49" i="13"/>
  <c r="M19" i="13"/>
  <c r="L19" i="13"/>
  <c r="L14" i="13"/>
  <c r="I15" i="13"/>
  <c r="L15" i="13" s="1"/>
  <c r="H20" i="13"/>
  <c r="L20" i="13"/>
  <c r="J15" i="13"/>
  <c r="K17" i="13"/>
  <c r="M20" i="13"/>
  <c r="M23" i="13"/>
  <c r="J24" i="13"/>
  <c r="I25" i="13"/>
  <c r="M27" i="13"/>
  <c r="L27" i="13"/>
  <c r="K27" i="13"/>
  <c r="H28" i="13"/>
  <c r="L28" i="13" s="1"/>
  <c r="M28" i="13"/>
  <c r="H30" i="13"/>
  <c r="H36" i="13"/>
  <c r="L36" i="13" s="1"/>
  <c r="M36" i="13"/>
  <c r="H38" i="13"/>
  <c r="H47" i="13"/>
  <c r="O47" i="13" s="1"/>
  <c r="J56" i="13"/>
  <c r="M60" i="13"/>
  <c r="I63" i="13"/>
  <c r="M63" i="13"/>
  <c r="L63" i="13"/>
  <c r="L108" i="13"/>
  <c r="I108" i="13"/>
  <c r="M108" i="13"/>
  <c r="K108" i="13"/>
  <c r="K105" i="13"/>
  <c r="I105" i="13"/>
  <c r="H105" i="13"/>
  <c r="K113" i="13"/>
  <c r="H113" i="13"/>
  <c r="L113" i="13"/>
  <c r="I113" i="13"/>
  <c r="K121" i="13"/>
  <c r="H121" i="13"/>
  <c r="L121" i="13"/>
  <c r="J121" i="13"/>
  <c r="I121" i="13"/>
  <c r="M121" i="13" s="1"/>
  <c r="L78" i="13"/>
  <c r="H108" i="13"/>
  <c r="J32" i="13"/>
  <c r="J40" i="13"/>
  <c r="K54" i="13"/>
  <c r="M66" i="13"/>
  <c r="L66" i="13"/>
  <c r="H81" i="13"/>
  <c r="J81" i="13"/>
  <c r="M81" i="13"/>
  <c r="I90" i="13"/>
  <c r="I91" i="13"/>
  <c r="I26" i="13"/>
  <c r="L26" i="13" s="1"/>
  <c r="K32" i="13"/>
  <c r="I34" i="13"/>
  <c r="K40" i="13"/>
  <c r="I42" i="13"/>
  <c r="K45" i="13"/>
  <c r="L45" i="13"/>
  <c r="H46" i="13"/>
  <c r="K52" i="13"/>
  <c r="L54" i="13"/>
  <c r="K61" i="13"/>
  <c r="L61" i="13"/>
  <c r="H62" i="13"/>
  <c r="L62" i="13" s="1"/>
  <c r="I67" i="13"/>
  <c r="J67" i="13"/>
  <c r="L67" i="13"/>
  <c r="I68" i="13"/>
  <c r="K73" i="13"/>
  <c r="M73" i="13"/>
  <c r="H76" i="13"/>
  <c r="M78" i="13"/>
  <c r="K82" i="13"/>
  <c r="L82" i="13"/>
  <c r="J84" i="13"/>
  <c r="J91" i="13"/>
  <c r="M96" i="13"/>
  <c r="K96" i="13"/>
  <c r="H97" i="13"/>
  <c r="J97" i="13"/>
  <c r="I97" i="13"/>
  <c r="M97" i="13"/>
  <c r="J108" i="13"/>
  <c r="L116" i="13"/>
  <c r="I116" i="13"/>
  <c r="K116" i="13"/>
  <c r="H116" i="13"/>
  <c r="M116" i="13" s="1"/>
  <c r="H44" i="13"/>
  <c r="M54" i="13"/>
  <c r="K57" i="13"/>
  <c r="M59" i="13"/>
  <c r="K59" i="13"/>
  <c r="I75" i="13"/>
  <c r="L75" i="13"/>
  <c r="M88" i="13"/>
  <c r="I88" i="13"/>
  <c r="H89" i="13"/>
  <c r="K89" i="13"/>
  <c r="M89" i="13"/>
  <c r="I99" i="13"/>
  <c r="M99" i="13"/>
  <c r="H99" i="13"/>
  <c r="O99" i="13" s="1"/>
  <c r="I100" i="13"/>
  <c r="L100" i="13" s="1"/>
  <c r="J105" i="13"/>
  <c r="J113" i="13"/>
  <c r="K90" i="13"/>
  <c r="J90" i="13"/>
  <c r="H90" i="13"/>
  <c r="L105" i="13"/>
  <c r="K46" i="13"/>
  <c r="K62" i="13"/>
  <c r="L68" i="13"/>
  <c r="M68" i="13"/>
  <c r="I76" i="13"/>
  <c r="L76" i="13"/>
  <c r="H78" i="13"/>
  <c r="O78" i="13" s="1"/>
  <c r="I84" i="13"/>
  <c r="L84" i="13" s="1"/>
  <c r="M84" i="13"/>
  <c r="M91" i="13"/>
  <c r="M105" i="13"/>
  <c r="H112" i="13"/>
  <c r="L112" i="13"/>
  <c r="K112" i="13"/>
  <c r="I112" i="13"/>
  <c r="J116" i="13"/>
  <c r="K129" i="13"/>
  <c r="H129" i="13"/>
  <c r="L129" i="13"/>
  <c r="J129" i="13"/>
  <c r="I129" i="13"/>
  <c r="M129" i="13" s="1"/>
  <c r="H120" i="13"/>
  <c r="M120" i="13"/>
  <c r="K130" i="13"/>
  <c r="I130" i="13"/>
  <c r="M130" i="13"/>
  <c r="L130" i="13"/>
  <c r="J130" i="13"/>
  <c r="H130" i="13"/>
  <c r="O130" i="13" s="1"/>
  <c r="K69" i="13"/>
  <c r="M71" i="13"/>
  <c r="K71" i="13"/>
  <c r="L85" i="13"/>
  <c r="M85" i="13"/>
  <c r="L106" i="13"/>
  <c r="I107" i="13"/>
  <c r="H107" i="13"/>
  <c r="M107" i="13"/>
  <c r="J120" i="13"/>
  <c r="M103" i="13"/>
  <c r="K120" i="13"/>
  <c r="L140" i="13"/>
  <c r="I140" i="13"/>
  <c r="J140" i="13"/>
  <c r="H128" i="13"/>
  <c r="I128" i="13"/>
  <c r="M128" i="13" s="1"/>
  <c r="K137" i="13"/>
  <c r="H137" i="13"/>
  <c r="L137" i="13"/>
  <c r="K138" i="13"/>
  <c r="I138" i="13"/>
  <c r="H145" i="13"/>
  <c r="K145" i="13" s="1"/>
  <c r="L145" i="13"/>
  <c r="K83" i="13"/>
  <c r="L101" i="13"/>
  <c r="K114" i="13"/>
  <c r="I114" i="13"/>
  <c r="I115" i="13"/>
  <c r="M115" i="13"/>
  <c r="K122" i="13"/>
  <c r="I122" i="13"/>
  <c r="M122" i="13" s="1"/>
  <c r="I123" i="13"/>
  <c r="M123" i="13"/>
  <c r="H136" i="13"/>
  <c r="I136" i="13"/>
  <c r="L124" i="13"/>
  <c r="I124" i="13"/>
  <c r="H132" i="13"/>
  <c r="H144" i="13"/>
  <c r="M144" i="13"/>
  <c r="I144" i="13"/>
  <c r="H140" i="13"/>
  <c r="I137" i="13"/>
  <c r="J138" i="13"/>
  <c r="K140" i="13"/>
  <c r="J145" i="13"/>
  <c r="J137" i="13"/>
  <c r="L138" i="13"/>
  <c r="M140" i="13"/>
  <c r="J144" i="13"/>
  <c r="M145" i="13"/>
  <c r="L132" i="13"/>
  <c r="I132" i="13"/>
  <c r="J132" i="13"/>
  <c r="K144" i="13"/>
  <c r="L146" i="13"/>
  <c r="I146" i="13"/>
  <c r="K146" i="13" s="1"/>
  <c r="K104" i="13"/>
  <c r="L109" i="13"/>
  <c r="M109" i="13"/>
  <c r="L117" i="13"/>
  <c r="M117" i="13"/>
  <c r="L125" i="13"/>
  <c r="M125" i="13"/>
  <c r="L133" i="13"/>
  <c r="M133" i="13"/>
  <c r="L141" i="13"/>
  <c r="M141" i="13"/>
  <c r="I131" i="13"/>
  <c r="L131" i="13"/>
  <c r="I139" i="13"/>
  <c r="L139" i="13"/>
  <c r="I147" i="13"/>
  <c r="K147" i="13" s="1"/>
  <c r="L147" i="13"/>
  <c r="J111" i="13"/>
  <c r="J119" i="13"/>
  <c r="J127" i="13"/>
  <c r="J135" i="13"/>
  <c r="J143" i="13"/>
  <c r="L12" i="13"/>
  <c r="K12" i="13"/>
  <c r="I12" i="13"/>
  <c r="J12" i="13"/>
  <c r="M13" i="13"/>
  <c r="I13" i="13"/>
  <c r="K13" i="13"/>
  <c r="J13" i="13"/>
  <c r="M12" i="13"/>
  <c r="H12" i="13"/>
  <c r="E14" i="18"/>
  <c r="E15" i="18"/>
  <c r="E37" i="18"/>
  <c r="E13" i="18"/>
  <c r="H13" i="13"/>
  <c r="B27" i="1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7" i="4"/>
  <c r="M108" i="4"/>
  <c r="M109" i="4"/>
  <c r="M110" i="4"/>
  <c r="M111" i="4"/>
  <c r="M112" i="4"/>
  <c r="M114" i="4"/>
  <c r="M116" i="4"/>
  <c r="M117" i="4"/>
  <c r="M118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3" i="4"/>
  <c r="M154" i="4"/>
  <c r="M155" i="4"/>
  <c r="M156" i="4"/>
  <c r="M157" i="4"/>
  <c r="M158" i="4"/>
  <c r="M159" i="4"/>
  <c r="M160" i="4"/>
  <c r="M161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2" i="4"/>
  <c r="M183" i="4"/>
  <c r="M184" i="4"/>
  <c r="M190" i="4"/>
  <c r="M185" i="4"/>
  <c r="M186" i="4"/>
  <c r="M187" i="4"/>
  <c r="M188" i="4"/>
  <c r="M189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31" i="4"/>
  <c r="M232" i="4"/>
  <c r="M233" i="4"/>
  <c r="M234" i="4"/>
  <c r="M235" i="4"/>
  <c r="M236" i="4"/>
  <c r="M237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61" i="4"/>
  <c r="M262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4" i="4"/>
  <c r="M355" i="4"/>
  <c r="M356" i="4"/>
  <c r="M357" i="4"/>
  <c r="M358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4" i="4"/>
  <c r="M395" i="4"/>
  <c r="M396" i="4"/>
  <c r="M397" i="4"/>
  <c r="M398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767" i="4"/>
  <c r="M768" i="4"/>
  <c r="M770" i="4"/>
  <c r="M771" i="4"/>
  <c r="M772" i="4"/>
  <c r="M773" i="4"/>
  <c r="M2099" i="4"/>
  <c r="M2100" i="4"/>
  <c r="M2101" i="4"/>
  <c r="M2102" i="4"/>
  <c r="M2103" i="4"/>
  <c r="M2104" i="4"/>
  <c r="M8" i="4"/>
  <c r="I84" i="6"/>
  <c r="I83" i="6"/>
  <c r="I82" i="6"/>
  <c r="I81" i="6"/>
  <c r="I80" i="6"/>
  <c r="I79" i="6"/>
  <c r="I78" i="6"/>
  <c r="I77" i="6"/>
  <c r="F18" i="6"/>
  <c r="F17" i="6"/>
  <c r="F16" i="6"/>
  <c r="F15" i="6"/>
  <c r="F14" i="6"/>
  <c r="F13" i="6"/>
  <c r="F12" i="6"/>
  <c r="F11" i="6"/>
  <c r="I18" i="6"/>
  <c r="I17" i="6"/>
  <c r="I16" i="6"/>
  <c r="I15" i="6"/>
  <c r="I14" i="6"/>
  <c r="I13" i="6"/>
  <c r="I12" i="6"/>
  <c r="I11" i="6"/>
  <c r="H19" i="6"/>
  <c r="H18" i="6"/>
  <c r="H17" i="6"/>
  <c r="H16" i="6"/>
  <c r="H15" i="6"/>
  <c r="H14" i="6"/>
  <c r="H13" i="6"/>
  <c r="H12" i="6"/>
  <c r="H11" i="6"/>
  <c r="G18" i="6"/>
  <c r="G17" i="6"/>
  <c r="G16" i="6"/>
  <c r="G15" i="6"/>
  <c r="G14" i="6"/>
  <c r="G13" i="6"/>
  <c r="G12" i="6"/>
  <c r="G11" i="6"/>
  <c r="L2104" i="4"/>
  <c r="L2103" i="4"/>
  <c r="L2102" i="4"/>
  <c r="L2101" i="4"/>
  <c r="L2100" i="4"/>
  <c r="L2099" i="4"/>
  <c r="L773" i="4"/>
  <c r="L772" i="4"/>
  <c r="L771" i="4"/>
  <c r="L770" i="4"/>
  <c r="L768" i="4"/>
  <c r="L767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8" i="4"/>
  <c r="L397" i="4"/>
  <c r="L396" i="4"/>
  <c r="L395" i="4"/>
  <c r="L394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8" i="4"/>
  <c r="L357" i="4"/>
  <c r="L356" i="4"/>
  <c r="L355" i="4"/>
  <c r="L354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2" i="4"/>
  <c r="L261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7" i="4"/>
  <c r="L236" i="4"/>
  <c r="L235" i="4"/>
  <c r="L234" i="4"/>
  <c r="L233" i="4"/>
  <c r="L232" i="4"/>
  <c r="L231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89" i="4"/>
  <c r="L188" i="4"/>
  <c r="L187" i="4"/>
  <c r="L186" i="4"/>
  <c r="L185" i="4"/>
  <c r="L190" i="4"/>
  <c r="L184" i="4"/>
  <c r="L183" i="4"/>
  <c r="L182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1" i="4"/>
  <c r="L160" i="4"/>
  <c r="L159" i="4"/>
  <c r="L158" i="4"/>
  <c r="L157" i="4"/>
  <c r="L156" i="4"/>
  <c r="L155" i="4"/>
  <c r="L154" i="4"/>
  <c r="L153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18" i="4"/>
  <c r="L117" i="4"/>
  <c r="L116" i="4"/>
  <c r="L114" i="4"/>
  <c r="L112" i="4"/>
  <c r="L111" i="4"/>
  <c r="L110" i="4"/>
  <c r="L109" i="4"/>
  <c r="L108" i="4"/>
  <c r="L107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E7" i="1"/>
  <c r="L74" i="13" l="1"/>
  <c r="O74" i="13"/>
  <c r="J271" i="13"/>
  <c r="O271" i="13"/>
  <c r="J270" i="13"/>
  <c r="O270" i="13"/>
  <c r="E55" i="18"/>
  <c r="E141" i="18"/>
  <c r="E129" i="18"/>
  <c r="E114" i="18"/>
  <c r="E110" i="18"/>
  <c r="O272" i="13"/>
  <c r="O98" i="13"/>
  <c r="F87" i="18"/>
  <c r="G87" i="18" s="1"/>
  <c r="H87" i="18" s="1"/>
  <c r="I87" i="18" s="1"/>
  <c r="J87" i="18" s="1"/>
  <c r="K87" i="18" s="1"/>
  <c r="L87" i="18" s="1"/>
  <c r="M87" i="18" s="1"/>
  <c r="N87" i="18" s="1"/>
  <c r="O87" i="18" s="1"/>
  <c r="P87" i="18" s="1"/>
  <c r="Q87" i="18" s="1"/>
  <c r="F113" i="18"/>
  <c r="G113" i="18" s="1"/>
  <c r="H113" i="18" s="1"/>
  <c r="I113" i="18" s="1"/>
  <c r="J113" i="18" s="1"/>
  <c r="K113" i="18" s="1"/>
  <c r="L113" i="18" s="1"/>
  <c r="M113" i="18" s="1"/>
  <c r="N113" i="18" s="1"/>
  <c r="O113" i="18" s="1"/>
  <c r="P113" i="18" s="1"/>
  <c r="Q113" i="18" s="1"/>
  <c r="F127" i="18"/>
  <c r="G127" i="18" s="1"/>
  <c r="H127" i="18" s="1"/>
  <c r="I127" i="18" s="1"/>
  <c r="J127" i="18" s="1"/>
  <c r="K127" i="18" s="1"/>
  <c r="L127" i="18" s="1"/>
  <c r="M127" i="18" s="1"/>
  <c r="N127" i="18" s="1"/>
  <c r="O127" i="18" s="1"/>
  <c r="P127" i="18" s="1"/>
  <c r="Q127" i="18" s="1"/>
  <c r="F128" i="18"/>
  <c r="G128" i="18" s="1"/>
  <c r="H128" i="18" s="1"/>
  <c r="I128" i="18" s="1"/>
  <c r="J128" i="18" s="1"/>
  <c r="K128" i="18" s="1"/>
  <c r="L128" i="18" s="1"/>
  <c r="M128" i="18" s="1"/>
  <c r="N128" i="18" s="1"/>
  <c r="O128" i="18" s="1"/>
  <c r="P128" i="18" s="1"/>
  <c r="Q128" i="18" s="1"/>
  <c r="F150" i="18"/>
  <c r="G150" i="18" s="1"/>
  <c r="H150" i="18" s="1"/>
  <c r="I150" i="18" s="1"/>
  <c r="J150" i="18" s="1"/>
  <c r="K150" i="18" s="1"/>
  <c r="L150" i="18" s="1"/>
  <c r="M150" i="18" s="1"/>
  <c r="N150" i="18" s="1"/>
  <c r="O150" i="18" s="1"/>
  <c r="P150" i="18" s="1"/>
  <c r="Q150" i="18" s="1"/>
  <c r="S150" i="18" s="1"/>
  <c r="F53" i="18"/>
  <c r="G53" i="18"/>
  <c r="H53" i="18"/>
  <c r="I53" i="18"/>
  <c r="J53" i="18"/>
  <c r="K53" i="18"/>
  <c r="L53" i="18"/>
  <c r="M53" i="18"/>
  <c r="N53" i="18"/>
  <c r="O53" i="18"/>
  <c r="P53" i="18"/>
  <c r="Q53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F74" i="18"/>
  <c r="G74" i="18" s="1"/>
  <c r="H74" i="18" s="1"/>
  <c r="I74" i="18" s="1"/>
  <c r="J74" i="18" s="1"/>
  <c r="K74" i="18" s="1"/>
  <c r="L74" i="18" s="1"/>
  <c r="M74" i="18" s="1"/>
  <c r="N74" i="18" s="1"/>
  <c r="O74" i="18" s="1"/>
  <c r="P74" i="18" s="1"/>
  <c r="Q74" i="18" s="1"/>
  <c r="F49" i="18"/>
  <c r="G49" i="18" s="1"/>
  <c r="H49" i="18" s="1"/>
  <c r="I49" i="18" s="1"/>
  <c r="J49" i="18" s="1"/>
  <c r="K49" i="18" s="1"/>
  <c r="L49" i="18" s="1"/>
  <c r="M49" i="18" s="1"/>
  <c r="N49" i="18" s="1"/>
  <c r="O49" i="18" s="1"/>
  <c r="P49" i="18" s="1"/>
  <c r="Q49" i="18" s="1"/>
  <c r="F77" i="18"/>
  <c r="G77" i="18" s="1"/>
  <c r="H77" i="18" s="1"/>
  <c r="I77" i="18" s="1"/>
  <c r="J77" i="18" s="1"/>
  <c r="K77" i="18" s="1"/>
  <c r="L77" i="18" s="1"/>
  <c r="M77" i="18" s="1"/>
  <c r="N77" i="18" s="1"/>
  <c r="O77" i="18" s="1"/>
  <c r="P77" i="18" s="1"/>
  <c r="Q77" i="18" s="1"/>
  <c r="F76" i="18"/>
  <c r="G76" i="18" s="1"/>
  <c r="H76" i="18" s="1"/>
  <c r="I76" i="18" s="1"/>
  <c r="J76" i="18" s="1"/>
  <c r="K76" i="18" s="1"/>
  <c r="L76" i="18" s="1"/>
  <c r="M76" i="18" s="1"/>
  <c r="N76" i="18" s="1"/>
  <c r="O76" i="18" s="1"/>
  <c r="P76" i="18" s="1"/>
  <c r="Q76" i="18" s="1"/>
  <c r="F75" i="18"/>
  <c r="G75" i="18" s="1"/>
  <c r="H75" i="18" s="1"/>
  <c r="I75" i="18" s="1"/>
  <c r="J75" i="18" s="1"/>
  <c r="K75" i="18" s="1"/>
  <c r="L75" i="18" s="1"/>
  <c r="M75" i="18" s="1"/>
  <c r="N75" i="18" s="1"/>
  <c r="O75" i="18" s="1"/>
  <c r="P75" i="18" s="1"/>
  <c r="Q75" i="18" s="1"/>
  <c r="F47" i="18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F54" i="18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M138" i="13"/>
  <c r="F93" i="18"/>
  <c r="G93" i="18" s="1"/>
  <c r="H93" i="18" s="1"/>
  <c r="I93" i="18" s="1"/>
  <c r="J93" i="18" s="1"/>
  <c r="K93" i="18" s="1"/>
  <c r="L93" i="18" s="1"/>
  <c r="M93" i="18" s="1"/>
  <c r="N93" i="18" s="1"/>
  <c r="O93" i="18" s="1"/>
  <c r="P93" i="18" s="1"/>
  <c r="Q93" i="18" s="1"/>
  <c r="F92" i="18"/>
  <c r="G92" i="18" s="1"/>
  <c r="H92" i="18" s="1"/>
  <c r="I92" i="18" s="1"/>
  <c r="J92" i="18" s="1"/>
  <c r="K92" i="18" s="1"/>
  <c r="L92" i="18" s="1"/>
  <c r="M92" i="18" s="1"/>
  <c r="N92" i="18" s="1"/>
  <c r="O92" i="18" s="1"/>
  <c r="P92" i="18" s="1"/>
  <c r="Q92" i="18" s="1"/>
  <c r="F91" i="18"/>
  <c r="G91" i="18" s="1"/>
  <c r="H91" i="18" s="1"/>
  <c r="I91" i="18" s="1"/>
  <c r="J91" i="18" s="1"/>
  <c r="K91" i="18" s="1"/>
  <c r="L91" i="18" s="1"/>
  <c r="M91" i="18" s="1"/>
  <c r="N91" i="18" s="1"/>
  <c r="O91" i="18" s="1"/>
  <c r="P91" i="18" s="1"/>
  <c r="Q91" i="18" s="1"/>
  <c r="F90" i="18"/>
  <c r="G90" i="18" s="1"/>
  <c r="H90" i="18" s="1"/>
  <c r="I90" i="18" s="1"/>
  <c r="J90" i="18" s="1"/>
  <c r="K90" i="18" s="1"/>
  <c r="L90" i="18" s="1"/>
  <c r="M90" i="18" s="1"/>
  <c r="N90" i="18" s="1"/>
  <c r="O90" i="18" s="1"/>
  <c r="P90" i="18" s="1"/>
  <c r="Q90" i="18" s="1"/>
  <c r="F97" i="18"/>
  <c r="G97" i="18" s="1"/>
  <c r="H97" i="18" s="1"/>
  <c r="I97" i="18" s="1"/>
  <c r="J97" i="18" s="1"/>
  <c r="K97" i="18" s="1"/>
  <c r="L97" i="18" s="1"/>
  <c r="M97" i="18" s="1"/>
  <c r="N97" i="18" s="1"/>
  <c r="O97" i="18" s="1"/>
  <c r="P97" i="18" s="1"/>
  <c r="Q97" i="18" s="1"/>
  <c r="F96" i="18"/>
  <c r="G96" i="18" s="1"/>
  <c r="H96" i="18" s="1"/>
  <c r="I96" i="18" s="1"/>
  <c r="J96" i="18" s="1"/>
  <c r="K96" i="18" s="1"/>
  <c r="L96" i="18" s="1"/>
  <c r="M96" i="18" s="1"/>
  <c r="N96" i="18" s="1"/>
  <c r="O96" i="18" s="1"/>
  <c r="P96" i="18" s="1"/>
  <c r="Q96" i="18" s="1"/>
  <c r="F95" i="18"/>
  <c r="G95" i="18" s="1"/>
  <c r="H95" i="18" s="1"/>
  <c r="I95" i="18" s="1"/>
  <c r="J95" i="18" s="1"/>
  <c r="K95" i="18" s="1"/>
  <c r="L95" i="18" s="1"/>
  <c r="M95" i="18" s="1"/>
  <c r="N95" i="18" s="1"/>
  <c r="O95" i="18" s="1"/>
  <c r="P95" i="18" s="1"/>
  <c r="Q95" i="18" s="1"/>
  <c r="F94" i="18"/>
  <c r="G94" i="18" s="1"/>
  <c r="H94" i="18" s="1"/>
  <c r="I94" i="18" s="1"/>
  <c r="J94" i="18" s="1"/>
  <c r="K94" i="18" s="1"/>
  <c r="L94" i="18" s="1"/>
  <c r="M94" i="18" s="1"/>
  <c r="N94" i="18" s="1"/>
  <c r="O94" i="18" s="1"/>
  <c r="P94" i="18" s="1"/>
  <c r="Q94" i="18" s="1"/>
  <c r="F98" i="18"/>
  <c r="G98" i="18" s="1"/>
  <c r="H98" i="18" s="1"/>
  <c r="I98" i="18" s="1"/>
  <c r="J98" i="18" s="1"/>
  <c r="K98" i="18" s="1"/>
  <c r="L98" i="18" s="1"/>
  <c r="M98" i="18" s="1"/>
  <c r="N98" i="18" s="1"/>
  <c r="O98" i="18" s="1"/>
  <c r="P98" i="18" s="1"/>
  <c r="Q98" i="18" s="1"/>
  <c r="F100" i="18"/>
  <c r="G100" i="18" s="1"/>
  <c r="H100" i="18" s="1"/>
  <c r="I100" i="18" s="1"/>
  <c r="J100" i="18" s="1"/>
  <c r="K100" i="18" s="1"/>
  <c r="L100" i="18" s="1"/>
  <c r="M100" i="18" s="1"/>
  <c r="N100" i="18" s="1"/>
  <c r="O100" i="18" s="1"/>
  <c r="P100" i="18" s="1"/>
  <c r="Q100" i="18" s="1"/>
  <c r="F99" i="18"/>
  <c r="G99" i="18" s="1"/>
  <c r="H99" i="18" s="1"/>
  <c r="I99" i="18" s="1"/>
  <c r="J99" i="18" s="1"/>
  <c r="K99" i="18" s="1"/>
  <c r="L99" i="18" s="1"/>
  <c r="M99" i="18" s="1"/>
  <c r="N99" i="18" s="1"/>
  <c r="O99" i="18" s="1"/>
  <c r="P99" i="18" s="1"/>
  <c r="Q99" i="18" s="1"/>
  <c r="F101" i="18"/>
  <c r="G101" i="18" s="1"/>
  <c r="H101" i="18" s="1"/>
  <c r="I101" i="18" s="1"/>
  <c r="J101" i="18" s="1"/>
  <c r="K101" i="18" s="1"/>
  <c r="L101" i="18" s="1"/>
  <c r="M101" i="18" s="1"/>
  <c r="N101" i="18" s="1"/>
  <c r="O101" i="18" s="1"/>
  <c r="P101" i="18" s="1"/>
  <c r="Q101" i="18" s="1"/>
  <c r="F104" i="18"/>
  <c r="G104" i="18" s="1"/>
  <c r="H104" i="18" s="1"/>
  <c r="I104" i="18" s="1"/>
  <c r="J104" i="18" s="1"/>
  <c r="K104" i="18" s="1"/>
  <c r="L104" i="18" s="1"/>
  <c r="M104" i="18" s="1"/>
  <c r="N104" i="18" s="1"/>
  <c r="O104" i="18" s="1"/>
  <c r="P104" i="18" s="1"/>
  <c r="Q104" i="18" s="1"/>
  <c r="F103" i="18"/>
  <c r="G103" i="18" s="1"/>
  <c r="H103" i="18" s="1"/>
  <c r="I103" i="18" s="1"/>
  <c r="J103" i="18" s="1"/>
  <c r="K103" i="18" s="1"/>
  <c r="L103" i="18" s="1"/>
  <c r="M103" i="18" s="1"/>
  <c r="N103" i="18" s="1"/>
  <c r="O103" i="18" s="1"/>
  <c r="P103" i="18" s="1"/>
  <c r="Q103" i="18" s="1"/>
  <c r="F102" i="18"/>
  <c r="G102" i="18" s="1"/>
  <c r="H102" i="18" s="1"/>
  <c r="I102" i="18" s="1"/>
  <c r="J102" i="18" s="1"/>
  <c r="K102" i="18" s="1"/>
  <c r="L102" i="18" s="1"/>
  <c r="M102" i="18" s="1"/>
  <c r="N102" i="18" s="1"/>
  <c r="O102" i="18" s="1"/>
  <c r="P102" i="18" s="1"/>
  <c r="Q102" i="18" s="1"/>
  <c r="F109" i="18"/>
  <c r="G109" i="18" s="1"/>
  <c r="H109" i="18" s="1"/>
  <c r="I109" i="18" s="1"/>
  <c r="J109" i="18" s="1"/>
  <c r="K109" i="18" s="1"/>
  <c r="L109" i="18" s="1"/>
  <c r="M109" i="18" s="1"/>
  <c r="N109" i="18" s="1"/>
  <c r="O109" i="18" s="1"/>
  <c r="P109" i="18" s="1"/>
  <c r="Q109" i="18" s="1"/>
  <c r="F122" i="18"/>
  <c r="G122" i="18" s="1"/>
  <c r="H122" i="18" s="1"/>
  <c r="I122" i="18" s="1"/>
  <c r="J122" i="18" s="1"/>
  <c r="K122" i="18" s="1"/>
  <c r="L122" i="18" s="1"/>
  <c r="M122" i="18" s="1"/>
  <c r="N122" i="18" s="1"/>
  <c r="O122" i="18" s="1"/>
  <c r="P122" i="18" s="1"/>
  <c r="Q122" i="18" s="1"/>
  <c r="F123" i="18"/>
  <c r="G123" i="18" s="1"/>
  <c r="H123" i="18" s="1"/>
  <c r="I123" i="18" s="1"/>
  <c r="J123" i="18" s="1"/>
  <c r="K123" i="18" s="1"/>
  <c r="L123" i="18" s="1"/>
  <c r="M123" i="18" s="1"/>
  <c r="N123" i="18" s="1"/>
  <c r="O123" i="18" s="1"/>
  <c r="P123" i="18" s="1"/>
  <c r="Q123" i="18" s="1"/>
  <c r="F126" i="18"/>
  <c r="G126" i="18" s="1"/>
  <c r="H126" i="18" s="1"/>
  <c r="I126" i="18" s="1"/>
  <c r="J126" i="18" s="1"/>
  <c r="K126" i="18" s="1"/>
  <c r="L126" i="18" s="1"/>
  <c r="M126" i="18" s="1"/>
  <c r="N126" i="18" s="1"/>
  <c r="O126" i="18" s="1"/>
  <c r="P126" i="18" s="1"/>
  <c r="Q126" i="18" s="1"/>
  <c r="F121" i="18"/>
  <c r="G121" i="18" s="1"/>
  <c r="H121" i="18" s="1"/>
  <c r="I121" i="18" s="1"/>
  <c r="J121" i="18" s="1"/>
  <c r="K121" i="18" s="1"/>
  <c r="L121" i="18" s="1"/>
  <c r="M121" i="18" s="1"/>
  <c r="N121" i="18" s="1"/>
  <c r="O121" i="18" s="1"/>
  <c r="P121" i="18" s="1"/>
  <c r="Q121" i="18" s="1"/>
  <c r="F82" i="18"/>
  <c r="G82" i="18" s="1"/>
  <c r="H82" i="18" s="1"/>
  <c r="I82" i="18" s="1"/>
  <c r="J82" i="18" s="1"/>
  <c r="K82" i="18" s="1"/>
  <c r="L82" i="18" s="1"/>
  <c r="M82" i="18" s="1"/>
  <c r="N82" i="18" s="1"/>
  <c r="O82" i="18" s="1"/>
  <c r="P82" i="18" s="1"/>
  <c r="Q82" i="18" s="1"/>
  <c r="F85" i="18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F89" i="18"/>
  <c r="G89" i="18" s="1"/>
  <c r="H89" i="18" s="1"/>
  <c r="I89" i="18" s="1"/>
  <c r="J89" i="18" s="1"/>
  <c r="K89" i="18" s="1"/>
  <c r="L89" i="18" s="1"/>
  <c r="M89" i="18" s="1"/>
  <c r="N89" i="18" s="1"/>
  <c r="O89" i="18" s="1"/>
  <c r="P89" i="18" s="1"/>
  <c r="Q89" i="18" s="1"/>
  <c r="F88" i="18"/>
  <c r="G88" i="18" s="1"/>
  <c r="H88" i="18" s="1"/>
  <c r="I88" i="18" s="1"/>
  <c r="J88" i="18" s="1"/>
  <c r="K88" i="18" s="1"/>
  <c r="L88" i="18" s="1"/>
  <c r="M88" i="18" s="1"/>
  <c r="N88" i="18" s="1"/>
  <c r="O88" i="18" s="1"/>
  <c r="P88" i="18" s="1"/>
  <c r="Q88" i="18" s="1"/>
  <c r="F140" i="18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F145" i="18"/>
  <c r="G145" i="18" s="1"/>
  <c r="H145" i="18" s="1"/>
  <c r="I145" i="18" s="1"/>
  <c r="J145" i="18" s="1"/>
  <c r="K145" i="18" s="1"/>
  <c r="L145" i="18" s="1"/>
  <c r="M145" i="18" s="1"/>
  <c r="N145" i="18" s="1"/>
  <c r="O145" i="18" s="1"/>
  <c r="P145" i="18" s="1"/>
  <c r="Q145" i="18" s="1"/>
  <c r="F147" i="18"/>
  <c r="G147" i="18" s="1"/>
  <c r="H147" i="18" s="1"/>
  <c r="I147" i="18" s="1"/>
  <c r="J147" i="18" s="1"/>
  <c r="K147" i="18" s="1"/>
  <c r="L147" i="18" s="1"/>
  <c r="M147" i="18" s="1"/>
  <c r="N147" i="18" s="1"/>
  <c r="O147" i="18" s="1"/>
  <c r="P147" i="18" s="1"/>
  <c r="Q147" i="18" s="1"/>
  <c r="F148" i="18"/>
  <c r="G148" i="18" s="1"/>
  <c r="H148" i="18" s="1"/>
  <c r="I148" i="18" s="1"/>
  <c r="J148" i="18" s="1"/>
  <c r="K148" i="18" s="1"/>
  <c r="L148" i="18" s="1"/>
  <c r="M148" i="18" s="1"/>
  <c r="N148" i="18" s="1"/>
  <c r="O148" i="18" s="1"/>
  <c r="P148" i="18" s="1"/>
  <c r="Q148" i="18" s="1"/>
  <c r="F149" i="18"/>
  <c r="G149" i="18" s="1"/>
  <c r="H149" i="18" s="1"/>
  <c r="I149" i="18" s="1"/>
  <c r="J149" i="18" s="1"/>
  <c r="K149" i="18" s="1"/>
  <c r="L149" i="18" s="1"/>
  <c r="M149" i="18" s="1"/>
  <c r="N149" i="18" s="1"/>
  <c r="O149" i="18" s="1"/>
  <c r="P149" i="18" s="1"/>
  <c r="Q149" i="18" s="1"/>
  <c r="S149" i="18" s="1"/>
  <c r="F139" i="18"/>
  <c r="F86" i="18"/>
  <c r="F105" i="18" s="1"/>
  <c r="G86" i="18"/>
  <c r="G105" i="18" s="1"/>
  <c r="H86" i="18"/>
  <c r="H105" i="18" s="1"/>
  <c r="I86" i="18"/>
  <c r="I105" i="18" s="1"/>
  <c r="J86" i="18"/>
  <c r="J105" i="18" s="1"/>
  <c r="K86" i="18"/>
  <c r="K105" i="18" s="1"/>
  <c r="L86" i="18"/>
  <c r="L105" i="18" s="1"/>
  <c r="M86" i="18"/>
  <c r="M105" i="18" s="1"/>
  <c r="N86" i="18"/>
  <c r="N105" i="18" s="1"/>
  <c r="O86" i="18"/>
  <c r="O105" i="18" s="1"/>
  <c r="P86" i="18"/>
  <c r="P105" i="18" s="1"/>
  <c r="Q86" i="18"/>
  <c r="F146" i="18"/>
  <c r="G146" i="18" s="1"/>
  <c r="H146" i="18" s="1"/>
  <c r="I146" i="18" s="1"/>
  <c r="J146" i="18" s="1"/>
  <c r="K146" i="18" s="1"/>
  <c r="L146" i="18" s="1"/>
  <c r="M146" i="18" s="1"/>
  <c r="N146" i="18" s="1"/>
  <c r="O146" i="18" s="1"/>
  <c r="P146" i="18" s="1"/>
  <c r="Q146" i="18" s="1"/>
  <c r="F125" i="18"/>
  <c r="G125" i="18" s="1"/>
  <c r="H125" i="18" s="1"/>
  <c r="I125" i="18" s="1"/>
  <c r="J125" i="18" s="1"/>
  <c r="K125" i="18" s="1"/>
  <c r="L125" i="18" s="1"/>
  <c r="M125" i="18" s="1"/>
  <c r="N125" i="18" s="1"/>
  <c r="O125" i="18" s="1"/>
  <c r="P125" i="18" s="1"/>
  <c r="Q125" i="18" s="1"/>
  <c r="F108" i="18"/>
  <c r="G108" i="18" s="1"/>
  <c r="H108" i="18" s="1"/>
  <c r="I108" i="18" s="1"/>
  <c r="J108" i="18" s="1"/>
  <c r="K108" i="18" s="1"/>
  <c r="L108" i="18" s="1"/>
  <c r="M108" i="18" s="1"/>
  <c r="N108" i="18" s="1"/>
  <c r="O108" i="18" s="1"/>
  <c r="P108" i="18" s="1"/>
  <c r="Q108" i="18" s="1"/>
  <c r="F107" i="18"/>
  <c r="F110" i="18" s="1"/>
  <c r="G107" i="18"/>
  <c r="G110" i="18" s="1"/>
  <c r="H107" i="18"/>
  <c r="H110" i="18" s="1"/>
  <c r="I107" i="18"/>
  <c r="I110" i="18" s="1"/>
  <c r="J107" i="18"/>
  <c r="J110" i="18" s="1"/>
  <c r="K107" i="18"/>
  <c r="K110" i="18" s="1"/>
  <c r="L107" i="18"/>
  <c r="L110" i="18" s="1"/>
  <c r="M107" i="18"/>
  <c r="M110" i="18" s="1"/>
  <c r="N107" i="18"/>
  <c r="N110" i="18" s="1"/>
  <c r="O107" i="18"/>
  <c r="O110" i="18" s="1"/>
  <c r="P107" i="18"/>
  <c r="P110" i="18" s="1"/>
  <c r="Q107" i="18"/>
  <c r="F124" i="18"/>
  <c r="F112" i="18"/>
  <c r="F114" i="18" s="1"/>
  <c r="G112" i="18"/>
  <c r="G114" i="18" s="1"/>
  <c r="H112" i="18"/>
  <c r="H114" i="18" s="1"/>
  <c r="I112" i="18"/>
  <c r="I114" i="18" s="1"/>
  <c r="J112" i="18"/>
  <c r="J114" i="18" s="1"/>
  <c r="K112" i="18"/>
  <c r="K114" i="18" s="1"/>
  <c r="L112" i="18"/>
  <c r="L114" i="18" s="1"/>
  <c r="M112" i="18"/>
  <c r="M114" i="18" s="1"/>
  <c r="N112" i="18"/>
  <c r="N114" i="18" s="1"/>
  <c r="O112" i="18"/>
  <c r="O114" i="18" s="1"/>
  <c r="P112" i="18"/>
  <c r="P114" i="18" s="1"/>
  <c r="Q112" i="18"/>
  <c r="E33" i="18"/>
  <c r="F21" i="18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F20" i="18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F19" i="18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F18" i="18"/>
  <c r="F25" i="18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F24" i="18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F23" i="18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F22" i="18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F27" i="18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F26" i="18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F28" i="18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F32" i="18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F31" i="18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F30" i="18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F29" i="18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F36" i="18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F39" i="18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F38" i="18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F41" i="18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F40" i="18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F43" i="18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F42" i="18"/>
  <c r="G42" i="18" s="1"/>
  <c r="H42" i="18" s="1"/>
  <c r="I42" i="18" s="1"/>
  <c r="J42" i="18" s="1"/>
  <c r="K42" i="18" s="1"/>
  <c r="L42" i="18" s="1"/>
  <c r="M42" i="18" s="1"/>
  <c r="N42" i="18" s="1"/>
  <c r="O42" i="18" s="1"/>
  <c r="P42" i="18" s="1"/>
  <c r="Q42" i="18" s="1"/>
  <c r="F46" i="18"/>
  <c r="M131" i="13"/>
  <c r="M132" i="13"/>
  <c r="M137" i="13"/>
  <c r="M136" i="13"/>
  <c r="M114" i="13"/>
  <c r="M112" i="13"/>
  <c r="M113" i="13"/>
  <c r="M134" i="13"/>
  <c r="M110" i="13"/>
  <c r="L89" i="13"/>
  <c r="L46" i="13"/>
  <c r="L81" i="13"/>
  <c r="L83" i="13"/>
  <c r="L96" i="13"/>
  <c r="L90" i="13"/>
  <c r="O90" i="13" s="1"/>
  <c r="L44" i="13"/>
  <c r="O44" i="13" s="1"/>
  <c r="L97" i="13"/>
  <c r="L38" i="13"/>
  <c r="O38" i="13" s="1"/>
  <c r="L30" i="13"/>
  <c r="O30" i="13" s="1"/>
  <c r="L80" i="13"/>
  <c r="O80" i="13" s="1"/>
  <c r="L25" i="13"/>
  <c r="L93" i="13"/>
  <c r="L55" i="13"/>
  <c r="O55" i="13" s="1"/>
  <c r="L24" i="13"/>
  <c r="L64" i="13"/>
  <c r="O64" i="13" s="1"/>
  <c r="L56" i="13"/>
  <c r="L92" i="13"/>
  <c r="O92" i="13" s="1"/>
  <c r="L72" i="13"/>
  <c r="K142" i="13"/>
  <c r="O142" i="13" s="1"/>
  <c r="M135" i="13"/>
  <c r="L70" i="13"/>
  <c r="O70" i="13" s="1"/>
  <c r="L79" i="13"/>
  <c r="M111" i="13"/>
  <c r="L91" i="13"/>
  <c r="J179" i="13"/>
  <c r="J164" i="13"/>
  <c r="O164" i="13" s="1"/>
  <c r="J196" i="13"/>
  <c r="O196" i="13" s="1"/>
  <c r="J172" i="13"/>
  <c r="J176" i="13"/>
  <c r="J194" i="13"/>
  <c r="O194" i="13" s="1"/>
  <c r="J162" i="13"/>
  <c r="J190" i="13"/>
  <c r="J175" i="13"/>
  <c r="L88" i="13"/>
  <c r="J195" i="13"/>
  <c r="J182" i="13"/>
  <c r="J165" i="13"/>
  <c r="L40" i="13"/>
  <c r="L95" i="13"/>
  <c r="O95" i="13" s="1"/>
  <c r="L73" i="13"/>
  <c r="J158" i="13"/>
  <c r="J224" i="13"/>
  <c r="O224" i="13" s="1"/>
  <c r="J208" i="13"/>
  <c r="O208" i="13" s="1"/>
  <c r="J200" i="13"/>
  <c r="O200" i="13" s="1"/>
  <c r="J227" i="13"/>
  <c r="O227" i="13" s="1"/>
  <c r="J203" i="13"/>
  <c r="O203" i="13" s="1"/>
  <c r="J211" i="13"/>
  <c r="L34" i="13"/>
  <c r="M119" i="13"/>
  <c r="J170" i="13"/>
  <c r="L58" i="13"/>
  <c r="J167" i="13"/>
  <c r="J249" i="13"/>
  <c r="O249" i="13" s="1"/>
  <c r="J233" i="13"/>
  <c r="O233" i="13" s="1"/>
  <c r="J265" i="13"/>
  <c r="J277" i="13"/>
  <c r="J256" i="13"/>
  <c r="O256" i="13" s="1"/>
  <c r="J230" i="13"/>
  <c r="O230" i="13" s="1"/>
  <c r="J240" i="13"/>
  <c r="O240" i="13" s="1"/>
  <c r="J245" i="13"/>
  <c r="O245" i="13" s="1"/>
  <c r="J219" i="13"/>
  <c r="J278" i="13"/>
  <c r="J238" i="13"/>
  <c r="J266" i="13"/>
  <c r="J254" i="13"/>
  <c r="J253" i="13"/>
  <c r="J252" i="13"/>
  <c r="J237" i="13"/>
  <c r="O237" i="13" s="1"/>
  <c r="J234" i="13"/>
  <c r="O140" i="13"/>
  <c r="O144" i="13"/>
  <c r="O132" i="13"/>
  <c r="O136" i="13"/>
  <c r="O145" i="13"/>
  <c r="O137" i="13"/>
  <c r="O128" i="13"/>
  <c r="O107" i="13"/>
  <c r="O120" i="13"/>
  <c r="O129" i="13"/>
  <c r="O112" i="13"/>
  <c r="O89" i="13"/>
  <c r="O116" i="13"/>
  <c r="O97" i="13"/>
  <c r="O76" i="13"/>
  <c r="O62" i="13"/>
  <c r="O46" i="13"/>
  <c r="O81" i="13"/>
  <c r="O108" i="13"/>
  <c r="O121" i="13"/>
  <c r="O113" i="13"/>
  <c r="O105" i="13"/>
  <c r="O36" i="13"/>
  <c r="O28" i="13"/>
  <c r="O20" i="13"/>
  <c r="O39" i="13"/>
  <c r="O25" i="13"/>
  <c r="O23" i="13"/>
  <c r="O35" i="13"/>
  <c r="O93" i="13"/>
  <c r="O24" i="13"/>
  <c r="O31" i="13"/>
  <c r="O56" i="13"/>
  <c r="O49" i="13"/>
  <c r="O48" i="13"/>
  <c r="O43" i="13"/>
  <c r="O72" i="13"/>
  <c r="O65" i="13"/>
  <c r="O86" i="13"/>
  <c r="O77" i="13"/>
  <c r="O60" i="13"/>
  <c r="O53" i="13"/>
  <c r="O94" i="13"/>
  <c r="O135" i="13"/>
  <c r="O147" i="13"/>
  <c r="O124" i="13"/>
  <c r="O110" i="13"/>
  <c r="O138" i="13"/>
  <c r="O71" i="13"/>
  <c r="O41" i="13"/>
  <c r="O29" i="13"/>
  <c r="O75" i="13"/>
  <c r="O42" i="13"/>
  <c r="O19" i="13"/>
  <c r="O45" i="13"/>
  <c r="O122" i="13"/>
  <c r="O84" i="13"/>
  <c r="O79" i="13"/>
  <c r="O63" i="13"/>
  <c r="O69" i="13"/>
  <c r="O33" i="13"/>
  <c r="O52" i="13"/>
  <c r="O15" i="13"/>
  <c r="O111" i="13"/>
  <c r="O91" i="13"/>
  <c r="O67" i="13"/>
  <c r="O66" i="13"/>
  <c r="O57" i="13"/>
  <c r="O109" i="13"/>
  <c r="O114" i="13"/>
  <c r="O179" i="13"/>
  <c r="O171" i="13"/>
  <c r="O172" i="13"/>
  <c r="O176" i="13"/>
  <c r="O192" i="13"/>
  <c r="O184" i="13"/>
  <c r="O163" i="13"/>
  <c r="O197" i="13"/>
  <c r="O162" i="13"/>
  <c r="O189" i="13"/>
  <c r="O181" i="13"/>
  <c r="O148" i="13"/>
  <c r="O155" i="13"/>
  <c r="O183" i="13"/>
  <c r="O149" i="13"/>
  <c r="O131" i="13"/>
  <c r="O185" i="13"/>
  <c r="O174" i="13"/>
  <c r="O198" i="13"/>
  <c r="O193" i="13"/>
  <c r="O190" i="13"/>
  <c r="O175" i="13"/>
  <c r="O125" i="13"/>
  <c r="O119" i="13"/>
  <c r="O68" i="13"/>
  <c r="O50" i="13"/>
  <c r="O21" i="13"/>
  <c r="O102" i="13"/>
  <c r="O88" i="13"/>
  <c r="O195" i="13"/>
  <c r="O182" i="13"/>
  <c r="O165" i="13"/>
  <c r="O161" i="13"/>
  <c r="O151" i="13"/>
  <c r="O117" i="13"/>
  <c r="O40" i="13"/>
  <c r="O22" i="13"/>
  <c r="O168" i="13"/>
  <c r="O37" i="13"/>
  <c r="O61" i="13"/>
  <c r="O159" i="13"/>
  <c r="O100" i="13"/>
  <c r="O127" i="13"/>
  <c r="O18" i="13"/>
  <c r="O146" i="13"/>
  <c r="O141" i="13"/>
  <c r="O133" i="13"/>
  <c r="O73" i="13"/>
  <c r="O26" i="13"/>
  <c r="O158" i="13"/>
  <c r="O178" i="13"/>
  <c r="O166" i="13"/>
  <c r="O152" i="13"/>
  <c r="O126" i="13"/>
  <c r="O173" i="13"/>
  <c r="O143" i="13"/>
  <c r="O225" i="13"/>
  <c r="O217" i="13"/>
  <c r="O209" i="13"/>
  <c r="O201" i="13"/>
  <c r="O220" i="13"/>
  <c r="O204" i="13"/>
  <c r="O228" i="13"/>
  <c r="O212" i="13"/>
  <c r="O223" i="13"/>
  <c r="O207" i="13"/>
  <c r="O199" i="13"/>
  <c r="O211" i="13"/>
  <c r="O177" i="13"/>
  <c r="O156" i="13"/>
  <c r="O34" i="13"/>
  <c r="O188" i="13"/>
  <c r="O150" i="13"/>
  <c r="O214" i="13"/>
  <c r="O215" i="13"/>
  <c r="O226" i="13"/>
  <c r="O210" i="13"/>
  <c r="O206" i="13"/>
  <c r="O202" i="13"/>
  <c r="O87" i="13"/>
  <c r="O83" i="13"/>
  <c r="O170" i="13"/>
  <c r="O157" i="13"/>
  <c r="O134" i="13"/>
  <c r="O85" i="13"/>
  <c r="O27" i="13"/>
  <c r="O58" i="13"/>
  <c r="O191" i="13"/>
  <c r="O167" i="13"/>
  <c r="O265" i="13"/>
  <c r="O262" i="13"/>
  <c r="O260" i="13"/>
  <c r="O277" i="13"/>
  <c r="O268" i="13"/>
  <c r="O231" i="13"/>
  <c r="O263" i="13"/>
  <c r="O243" i="13"/>
  <c r="O276" i="13"/>
  <c r="O250" i="13"/>
  <c r="O247" i="13"/>
  <c r="O258" i="13"/>
  <c r="O236" i="13"/>
  <c r="O235" i="13"/>
  <c r="O273" i="13"/>
  <c r="O242" i="13"/>
  <c r="O251" i="13"/>
  <c r="O96" i="13"/>
  <c r="O54" i="13"/>
  <c r="O219" i="13"/>
  <c r="O115" i="13"/>
  <c r="O101" i="13"/>
  <c r="O248" i="13"/>
  <c r="O246" i="13"/>
  <c r="O278" i="13"/>
  <c r="O257" i="13"/>
  <c r="O238" i="13"/>
  <c r="O275" i="13"/>
  <c r="O274" i="13"/>
  <c r="O269" i="13"/>
  <c r="O267" i="13"/>
  <c r="O266" i="13"/>
  <c r="O264" i="13"/>
  <c r="O261" i="13"/>
  <c r="O259" i="13"/>
  <c r="O255" i="13"/>
  <c r="O254" i="13"/>
  <c r="O253" i="13"/>
  <c r="O252" i="13"/>
  <c r="O244" i="13"/>
  <c r="O241" i="13"/>
  <c r="O239" i="13"/>
  <c r="O234" i="13"/>
  <c r="O232" i="13"/>
  <c r="O229" i="13"/>
  <c r="O222" i="13"/>
  <c r="O221" i="13"/>
  <c r="O218" i="13"/>
  <c r="O213" i="13"/>
  <c r="O205" i="13"/>
  <c r="O187" i="13"/>
  <c r="O186" i="13"/>
  <c r="O180" i="13"/>
  <c r="O169" i="13"/>
  <c r="O160" i="13"/>
  <c r="O154" i="13"/>
  <c r="O153" i="13"/>
  <c r="O139" i="13"/>
  <c r="O123" i="13"/>
  <c r="O118" i="13"/>
  <c r="O106" i="13"/>
  <c r="O104" i="13"/>
  <c r="O103" i="13"/>
  <c r="O82" i="13"/>
  <c r="O59" i="13"/>
  <c r="O51" i="13"/>
  <c r="O32" i="13"/>
  <c r="O17" i="13"/>
  <c r="O16" i="13"/>
  <c r="O14" i="13"/>
  <c r="L13" i="13"/>
  <c r="O13" i="13" s="1"/>
  <c r="F13" i="24"/>
  <c r="G13" i="24"/>
  <c r="F14" i="18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S14" i="18" s="1"/>
  <c r="F15" i="18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S15" i="18" s="1"/>
  <c r="F13" i="18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S13" i="18" s="1"/>
  <c r="F37" i="18"/>
  <c r="G37" i="18" s="1"/>
  <c r="H37" i="18" s="1"/>
  <c r="I37" i="18" s="1"/>
  <c r="J37" i="18" s="1"/>
  <c r="K37" i="18" s="1"/>
  <c r="L37" i="18" s="1"/>
  <c r="M37" i="18" s="1"/>
  <c r="N37" i="18" s="1"/>
  <c r="O37" i="18" s="1"/>
  <c r="P37" i="18" s="1"/>
  <c r="Q37" i="18" s="1"/>
  <c r="M8" i="19"/>
  <c r="L8" i="24"/>
  <c r="L8" i="22"/>
  <c r="N8" i="19"/>
  <c r="M8" i="22"/>
  <c r="M8" i="24"/>
  <c r="O8" i="19"/>
  <c r="N8" i="22"/>
  <c r="N8" i="24"/>
  <c r="L8" i="19"/>
  <c r="K8" i="22"/>
  <c r="K8" i="24"/>
  <c r="F8" i="19"/>
  <c r="E8" i="22"/>
  <c r="E8" i="24"/>
  <c r="E13" i="24" s="1"/>
  <c r="H8" i="19"/>
  <c r="G8" i="22"/>
  <c r="G8" i="24"/>
  <c r="P8" i="19"/>
  <c r="O8" i="22"/>
  <c r="O8" i="24"/>
  <c r="I8" i="19"/>
  <c r="H8" i="22"/>
  <c r="H8" i="24"/>
  <c r="G8" i="19"/>
  <c r="F8" i="22"/>
  <c r="F8" i="24"/>
  <c r="J8" i="19"/>
  <c r="I8" i="22"/>
  <c r="I8" i="24"/>
  <c r="E8" i="19"/>
  <c r="D8" i="24"/>
  <c r="D8" i="22"/>
  <c r="K8" i="19"/>
  <c r="J8" i="22"/>
  <c r="J8" i="24"/>
  <c r="N73" i="4"/>
  <c r="N89" i="4"/>
  <c r="N123" i="4"/>
  <c r="N131" i="4"/>
  <c r="N323" i="4"/>
  <c r="N382" i="4"/>
  <c r="N388" i="4"/>
  <c r="O388" i="4" s="1"/>
  <c r="N396" i="4"/>
  <c r="O396" i="4" s="1"/>
  <c r="N433" i="4"/>
  <c r="N768" i="4"/>
  <c r="N2100" i="4"/>
  <c r="O2100" i="4" s="1"/>
  <c r="N147" i="4"/>
  <c r="N179" i="4"/>
  <c r="O179" i="4" s="1"/>
  <c r="N289" i="4"/>
  <c r="N76" i="4"/>
  <c r="N84" i="4"/>
  <c r="N134" i="4"/>
  <c r="O134" i="4" s="1"/>
  <c r="N195" i="4"/>
  <c r="O195" i="4" s="1"/>
  <c r="N202" i="4"/>
  <c r="N210" i="4"/>
  <c r="O210" i="4" s="1"/>
  <c r="N251" i="4"/>
  <c r="N284" i="4"/>
  <c r="N298" i="4"/>
  <c r="N326" i="4"/>
  <c r="N375" i="4"/>
  <c r="N299" i="4"/>
  <c r="O299" i="4" s="1"/>
  <c r="N315" i="4"/>
  <c r="N426" i="4"/>
  <c r="N109" i="4"/>
  <c r="N126" i="4"/>
  <c r="N343" i="4"/>
  <c r="N400" i="4"/>
  <c r="O400" i="4" s="1"/>
  <c r="N55" i="4"/>
  <c r="N63" i="4"/>
  <c r="N79" i="4"/>
  <c r="N95" i="4"/>
  <c r="O95" i="4" s="1"/>
  <c r="N177" i="4"/>
  <c r="N205" i="4"/>
  <c r="N219" i="4"/>
  <c r="O219" i="4" s="1"/>
  <c r="N370" i="4"/>
  <c r="O370" i="4" s="1"/>
  <c r="N46" i="4"/>
  <c r="N54" i="4"/>
  <c r="N49" i="4"/>
  <c r="O49" i="4" s="1"/>
  <c r="N81" i="4"/>
  <c r="N97" i="4"/>
  <c r="N105" i="4"/>
  <c r="N164" i="4"/>
  <c r="N172" i="4"/>
  <c r="N248" i="4"/>
  <c r="N281" i="4"/>
  <c r="N307" i="4"/>
  <c r="N340" i="4"/>
  <c r="N348" i="4"/>
  <c r="O348" i="4" s="1"/>
  <c r="N404" i="4"/>
  <c r="N44" i="4"/>
  <c r="O44" i="4" s="1"/>
  <c r="N92" i="4"/>
  <c r="N142" i="4"/>
  <c r="N167" i="4"/>
  <c r="N188" i="4"/>
  <c r="O188" i="4" s="1"/>
  <c r="N233" i="4"/>
  <c r="N302" i="4"/>
  <c r="N310" i="4"/>
  <c r="N367" i="4"/>
  <c r="O367" i="4" s="1"/>
  <c r="N413" i="4"/>
  <c r="N2103" i="4"/>
  <c r="O2103" i="4" s="1"/>
  <c r="N121" i="4"/>
  <c r="N129" i="4"/>
  <c r="O129" i="4" s="1"/>
  <c r="N137" i="4"/>
  <c r="N154" i="4"/>
  <c r="N161" i="4"/>
  <c r="N246" i="4"/>
  <c r="N265" i="4"/>
  <c r="O265" i="4" s="1"/>
  <c r="N279" i="4"/>
  <c r="O279" i="4" s="1"/>
  <c r="N287" i="4"/>
  <c r="N294" i="4"/>
  <c r="N329" i="4"/>
  <c r="N338" i="4"/>
  <c r="N380" i="4"/>
  <c r="N416" i="4"/>
  <c r="N424" i="4"/>
  <c r="N207" i="4"/>
  <c r="N331" i="4"/>
  <c r="N52" i="4"/>
  <c r="O52" i="4" s="1"/>
  <c r="N159" i="4"/>
  <c r="N174" i="4"/>
  <c r="O174" i="4" s="1"/>
  <c r="N243" i="4"/>
  <c r="N351" i="4"/>
  <c r="O351" i="4" s="1"/>
  <c r="N391" i="4"/>
  <c r="O391" i="4" s="1"/>
  <c r="N772" i="4"/>
  <c r="N87" i="4"/>
  <c r="O87" i="4" s="1"/>
  <c r="N103" i="4"/>
  <c r="N184" i="4"/>
  <c r="O184" i="4" s="1"/>
  <c r="N254" i="4"/>
  <c r="N321" i="4"/>
  <c r="N362" i="4"/>
  <c r="O362" i="4" s="1"/>
  <c r="N42" i="4"/>
  <c r="N50" i="4"/>
  <c r="N66" i="4"/>
  <c r="N82" i="4"/>
  <c r="N98" i="4"/>
  <c r="N132" i="4"/>
  <c r="N140" i="4"/>
  <c r="O140" i="4" s="1"/>
  <c r="N157" i="4"/>
  <c r="N173" i="4"/>
  <c r="N186" i="4"/>
  <c r="N200" i="4"/>
  <c r="O200" i="4" s="1"/>
  <c r="N214" i="4"/>
  <c r="N231" i="4"/>
  <c r="O231" i="4" s="1"/>
  <c r="N249" i="4"/>
  <c r="N268" i="4"/>
  <c r="O268" i="4" s="1"/>
  <c r="N282" i="4"/>
  <c r="N296" i="4"/>
  <c r="N308" i="4"/>
  <c r="O308" i="4" s="1"/>
  <c r="N324" i="4"/>
  <c r="N333" i="4"/>
  <c r="N349" i="4"/>
  <c r="N365" i="4"/>
  <c r="N383" i="4"/>
  <c r="N397" i="4"/>
  <c r="O397" i="4" s="1"/>
  <c r="N411" i="4"/>
  <c r="N434" i="4"/>
  <c r="O434" i="4" s="1"/>
  <c r="N770" i="4"/>
  <c r="N2101" i="4"/>
  <c r="O2101" i="4" s="1"/>
  <c r="N45" i="4"/>
  <c r="N53" i="4"/>
  <c r="N61" i="4"/>
  <c r="N69" i="4"/>
  <c r="N77" i="4"/>
  <c r="N85" i="4"/>
  <c r="N93" i="4"/>
  <c r="O93" i="4" s="1"/>
  <c r="N101" i="4"/>
  <c r="N110" i="4"/>
  <c r="N117" i="4"/>
  <c r="N127" i="4"/>
  <c r="N135" i="4"/>
  <c r="N143" i="4"/>
  <c r="N151" i="4"/>
  <c r="N160" i="4"/>
  <c r="N168" i="4"/>
  <c r="N175" i="4"/>
  <c r="O175" i="4" s="1"/>
  <c r="N182" i="4"/>
  <c r="N189" i="4"/>
  <c r="N196" i="4"/>
  <c r="O196" i="4" s="1"/>
  <c r="N203" i="4"/>
  <c r="N211" i="4"/>
  <c r="O211" i="4" s="1"/>
  <c r="N217" i="4"/>
  <c r="O217" i="4" s="1"/>
  <c r="N224" i="4"/>
  <c r="N234" i="4"/>
  <c r="N244" i="4"/>
  <c r="N252" i="4"/>
  <c r="N262" i="4"/>
  <c r="N270" i="4"/>
  <c r="N277" i="4"/>
  <c r="N285" i="4"/>
  <c r="O285" i="4" s="1"/>
  <c r="N292" i="4"/>
  <c r="N303" i="4"/>
  <c r="O303" i="4" s="1"/>
  <c r="N311" i="4"/>
  <c r="O311" i="4" s="1"/>
  <c r="N319" i="4"/>
  <c r="N327" i="4"/>
  <c r="N336" i="4"/>
  <c r="N344" i="4"/>
  <c r="N352" i="4"/>
  <c r="N360" i="4"/>
  <c r="O360" i="4" s="1"/>
  <c r="N368" i="4"/>
  <c r="N378" i="4"/>
  <c r="N386" i="4"/>
  <c r="O386" i="4" s="1"/>
  <c r="N401" i="4"/>
  <c r="O401" i="4" s="1"/>
  <c r="N408" i="4"/>
  <c r="N414" i="4"/>
  <c r="N422" i="4"/>
  <c r="N429" i="4"/>
  <c r="N436" i="4"/>
  <c r="N773" i="4"/>
  <c r="N2104" i="4"/>
  <c r="O2104" i="4" s="1"/>
  <c r="N41" i="4"/>
  <c r="N57" i="4"/>
  <c r="N65" i="4"/>
  <c r="N139" i="4"/>
  <c r="N156" i="4"/>
  <c r="N185" i="4"/>
  <c r="O185" i="4" s="1"/>
  <c r="N192" i="4"/>
  <c r="N221" i="4"/>
  <c r="O221" i="4" s="1"/>
  <c r="N228" i="4"/>
  <c r="N240" i="4"/>
  <c r="N256" i="4"/>
  <c r="N267" i="4"/>
  <c r="N273" i="4"/>
  <c r="O273" i="4" s="1"/>
  <c r="N355" i="4"/>
  <c r="O355" i="4" s="1"/>
  <c r="N364" i="4"/>
  <c r="O364" i="4" s="1"/>
  <c r="N372" i="4"/>
  <c r="N410" i="4"/>
  <c r="N418" i="4"/>
  <c r="N60" i="4"/>
  <c r="N68" i="4"/>
  <c r="N100" i="4"/>
  <c r="N116" i="4"/>
  <c r="N150" i="4"/>
  <c r="N216" i="4"/>
  <c r="O216" i="4" s="1"/>
  <c r="N261" i="4"/>
  <c r="N276" i="4"/>
  <c r="O276" i="4" s="1"/>
  <c r="N291" i="4"/>
  <c r="N318" i="4"/>
  <c r="N335" i="4"/>
  <c r="N358" i="4"/>
  <c r="O358" i="4" s="1"/>
  <c r="N385" i="4"/>
  <c r="O385" i="4" s="1"/>
  <c r="N407" i="4"/>
  <c r="N421" i="4"/>
  <c r="N47" i="4"/>
  <c r="N71" i="4"/>
  <c r="N112" i="4"/>
  <c r="N145" i="4"/>
  <c r="N170" i="4"/>
  <c r="N198" i="4"/>
  <c r="N213" i="4"/>
  <c r="N226" i="4"/>
  <c r="N236" i="4"/>
  <c r="N271" i="4"/>
  <c r="O271" i="4" s="1"/>
  <c r="N305" i="4"/>
  <c r="O305" i="4" s="1"/>
  <c r="N313" i="4"/>
  <c r="N346" i="4"/>
  <c r="O346" i="4" s="1"/>
  <c r="N394" i="4"/>
  <c r="O394" i="4" s="1"/>
  <c r="N403" i="4"/>
  <c r="N431" i="4"/>
  <c r="O431" i="4" s="1"/>
  <c r="N58" i="4"/>
  <c r="N74" i="4"/>
  <c r="N90" i="4"/>
  <c r="N107" i="4"/>
  <c r="N124" i="4"/>
  <c r="N148" i="4"/>
  <c r="N165" i="4"/>
  <c r="N193" i="4"/>
  <c r="O193" i="4" s="1"/>
  <c r="N208" i="4"/>
  <c r="N222" i="4"/>
  <c r="O222" i="4" s="1"/>
  <c r="N241" i="4"/>
  <c r="N257" i="4"/>
  <c r="N274" i="4"/>
  <c r="N300" i="4"/>
  <c r="O300" i="4" s="1"/>
  <c r="N316" i="4"/>
  <c r="N341" i="4"/>
  <c r="N356" i="4"/>
  <c r="O356" i="4" s="1"/>
  <c r="N373" i="4"/>
  <c r="N389" i="4"/>
  <c r="N405" i="4"/>
  <c r="N419" i="4"/>
  <c r="N427" i="4"/>
  <c r="N40" i="4"/>
  <c r="N48" i="4"/>
  <c r="N56" i="4"/>
  <c r="N64" i="4"/>
  <c r="N72" i="4"/>
  <c r="N80" i="4"/>
  <c r="N88" i="4"/>
  <c r="O88" i="4" s="1"/>
  <c r="N96" i="4"/>
  <c r="O96" i="4" s="1"/>
  <c r="N104" i="4"/>
  <c r="N114" i="4"/>
  <c r="N122" i="4"/>
  <c r="N130" i="4"/>
  <c r="N138" i="4"/>
  <c r="N146" i="4"/>
  <c r="N155" i="4"/>
  <c r="N163" i="4"/>
  <c r="N171" i="4"/>
  <c r="N178" i="4"/>
  <c r="O178" i="4" s="1"/>
  <c r="N190" i="4"/>
  <c r="O190" i="4" s="1"/>
  <c r="N191" i="4"/>
  <c r="N199" i="4"/>
  <c r="N206" i="4"/>
  <c r="N220" i="4"/>
  <c r="N227" i="4"/>
  <c r="N237" i="4"/>
  <c r="N247" i="4"/>
  <c r="N255" i="4"/>
  <c r="N266" i="4"/>
  <c r="O266" i="4" s="1"/>
  <c r="N272" i="4"/>
  <c r="O272" i="4" s="1"/>
  <c r="N280" i="4"/>
  <c r="O280" i="4" s="1"/>
  <c r="N288" i="4"/>
  <c r="N295" i="4"/>
  <c r="N306" i="4"/>
  <c r="O306" i="4" s="1"/>
  <c r="N314" i="4"/>
  <c r="N322" i="4"/>
  <c r="N330" i="4"/>
  <c r="N339" i="4"/>
  <c r="N347" i="4"/>
  <c r="O347" i="4" s="1"/>
  <c r="N354" i="4"/>
  <c r="O354" i="4" s="1"/>
  <c r="N363" i="4"/>
  <c r="O363" i="4" s="1"/>
  <c r="N371" i="4"/>
  <c r="N381" i="4"/>
  <c r="N387" i="4"/>
  <c r="O387" i="4" s="1"/>
  <c r="N395" i="4"/>
  <c r="N417" i="4"/>
  <c r="N425" i="4"/>
  <c r="N432" i="4"/>
  <c r="O432" i="4" s="1"/>
  <c r="N767" i="4"/>
  <c r="N2099" i="4"/>
  <c r="O2099" i="4" s="1"/>
  <c r="N43" i="4"/>
  <c r="N51" i="4"/>
  <c r="N59" i="4"/>
  <c r="N67" i="4"/>
  <c r="N75" i="4"/>
  <c r="N83" i="4"/>
  <c r="N91" i="4"/>
  <c r="N99" i="4"/>
  <c r="O99" i="4" s="1"/>
  <c r="N108" i="4"/>
  <c r="O108" i="4" s="1"/>
  <c r="N125" i="4"/>
  <c r="N133" i="4"/>
  <c r="O133" i="4" s="1"/>
  <c r="N141" i="4"/>
  <c r="O141" i="4" s="1"/>
  <c r="N149" i="4"/>
  <c r="N158" i="4"/>
  <c r="N166" i="4"/>
  <c r="N180" i="4"/>
  <c r="O180" i="4" s="1"/>
  <c r="N187" i="4"/>
  <c r="O187" i="4" s="1"/>
  <c r="N194" i="4"/>
  <c r="N201" i="4"/>
  <c r="N209" i="4"/>
  <c r="N215" i="4"/>
  <c r="N223" i="4"/>
  <c r="N232" i="4"/>
  <c r="N242" i="4"/>
  <c r="N250" i="4"/>
  <c r="N258" i="4"/>
  <c r="N269" i="4"/>
  <c r="O269" i="4" s="1"/>
  <c r="N275" i="4"/>
  <c r="O275" i="4" s="1"/>
  <c r="N283" i="4"/>
  <c r="O283" i="4" s="1"/>
  <c r="N290" i="4"/>
  <c r="O290" i="4" s="1"/>
  <c r="N297" i="4"/>
  <c r="N301" i="4"/>
  <c r="N309" i="4"/>
  <c r="O309" i="4" s="1"/>
  <c r="N317" i="4"/>
  <c r="N325" i="4"/>
  <c r="N334" i="4"/>
  <c r="N342" i="4"/>
  <c r="N350" i="4"/>
  <c r="O350" i="4" s="1"/>
  <c r="N357" i="4"/>
  <c r="N366" i="4"/>
  <c r="N374" i="4"/>
  <c r="O374" i="4" s="1"/>
  <c r="N384" i="4"/>
  <c r="N390" i="4"/>
  <c r="N398" i="4"/>
  <c r="N406" i="4"/>
  <c r="N412" i="4"/>
  <c r="N420" i="4"/>
  <c r="N428" i="4"/>
  <c r="N435" i="4"/>
  <c r="O435" i="4" s="1"/>
  <c r="N771" i="4"/>
  <c r="N2102" i="4"/>
  <c r="O2102" i="4" s="1"/>
  <c r="N62" i="4"/>
  <c r="N70" i="4"/>
  <c r="N78" i="4"/>
  <c r="N86" i="4"/>
  <c r="N94" i="4"/>
  <c r="O94" i="4" s="1"/>
  <c r="N102" i="4"/>
  <c r="N111" i="4"/>
  <c r="N118" i="4"/>
  <c r="N128" i="4"/>
  <c r="O128" i="4" s="1"/>
  <c r="N136" i="4"/>
  <c r="N144" i="4"/>
  <c r="N153" i="4"/>
  <c r="N169" i="4"/>
  <c r="N176" i="4"/>
  <c r="O176" i="4" s="1"/>
  <c r="N183" i="4"/>
  <c r="O183" i="4" s="1"/>
  <c r="N197" i="4"/>
  <c r="N204" i="4"/>
  <c r="N212" i="4"/>
  <c r="N218" i="4"/>
  <c r="O218" i="4" s="1"/>
  <c r="N225" i="4"/>
  <c r="N235" i="4"/>
  <c r="N245" i="4"/>
  <c r="N253" i="4"/>
  <c r="N264" i="4"/>
  <c r="O264" i="4" s="1"/>
  <c r="N278" i="4"/>
  <c r="O278" i="4" s="1"/>
  <c r="N286" i="4"/>
  <c r="O286" i="4" s="1"/>
  <c r="N293" i="4"/>
  <c r="N304" i="4"/>
  <c r="O304" i="4" s="1"/>
  <c r="N312" i="4"/>
  <c r="O312" i="4" s="1"/>
  <c r="N320" i="4"/>
  <c r="N328" i="4"/>
  <c r="N337" i="4"/>
  <c r="N345" i="4"/>
  <c r="N361" i="4"/>
  <c r="N369" i="4"/>
  <c r="O369" i="4" s="1"/>
  <c r="N379" i="4"/>
  <c r="N392" i="4"/>
  <c r="O392" i="4" s="1"/>
  <c r="N402" i="4"/>
  <c r="N409" i="4"/>
  <c r="N415" i="4"/>
  <c r="N423" i="4"/>
  <c r="N430" i="4"/>
  <c r="O430" i="4" s="1"/>
  <c r="N437" i="4"/>
  <c r="O437" i="4" s="1"/>
  <c r="J115" i="22" l="1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89" i="22"/>
  <c r="J90" i="22"/>
  <c r="J91" i="22"/>
  <c r="J92" i="22"/>
  <c r="J95" i="22"/>
  <c r="J96" i="22"/>
  <c r="J97" i="22"/>
  <c r="J98" i="22"/>
  <c r="J99" i="22"/>
  <c r="J100" i="22"/>
  <c r="J101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66" i="22"/>
  <c r="J67" i="22"/>
  <c r="J68" i="22"/>
  <c r="J69" i="22"/>
  <c r="J70" i="22"/>
  <c r="J71" i="22"/>
  <c r="J72" i="22"/>
  <c r="J73" i="22"/>
  <c r="J74" i="22"/>
  <c r="J75" i="22"/>
  <c r="J50" i="22"/>
  <c r="J51" i="22"/>
  <c r="J52" i="22"/>
  <c r="J53" i="22"/>
  <c r="J56" i="22"/>
  <c r="J57" i="22"/>
  <c r="J58" i="22"/>
  <c r="J59" i="22"/>
  <c r="J60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24" i="22"/>
  <c r="J25" i="22"/>
  <c r="J30" i="22"/>
  <c r="J31" i="22"/>
  <c r="J32" i="22"/>
  <c r="J33" i="22"/>
  <c r="J34" i="22"/>
  <c r="J35" i="22"/>
  <c r="J36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89" i="22"/>
  <c r="D90" i="22"/>
  <c r="D91" i="22"/>
  <c r="D92" i="22"/>
  <c r="D95" i="22"/>
  <c r="D96" i="22"/>
  <c r="D97" i="22"/>
  <c r="D98" i="22"/>
  <c r="D99" i="22"/>
  <c r="D100" i="22"/>
  <c r="D101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66" i="22"/>
  <c r="D67" i="22"/>
  <c r="D68" i="22"/>
  <c r="D69" i="22"/>
  <c r="D70" i="22"/>
  <c r="D71" i="22"/>
  <c r="D72" i="22"/>
  <c r="D73" i="22"/>
  <c r="D74" i="22"/>
  <c r="D75" i="22"/>
  <c r="D50" i="22"/>
  <c r="D51" i="22"/>
  <c r="D52" i="22"/>
  <c r="D53" i="22"/>
  <c r="D56" i="22"/>
  <c r="D57" i="22"/>
  <c r="D58" i="22"/>
  <c r="D59" i="22"/>
  <c r="D60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24" i="22"/>
  <c r="D25" i="22"/>
  <c r="D30" i="22"/>
  <c r="D31" i="22"/>
  <c r="D32" i="22"/>
  <c r="D33" i="22"/>
  <c r="D34" i="22"/>
  <c r="D35" i="22"/>
  <c r="D36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89" i="22"/>
  <c r="I90" i="22"/>
  <c r="I91" i="22"/>
  <c r="I92" i="22"/>
  <c r="I95" i="22"/>
  <c r="I96" i="22"/>
  <c r="I97" i="22"/>
  <c r="I98" i="22"/>
  <c r="I99" i="22"/>
  <c r="I100" i="22"/>
  <c r="I101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66" i="22"/>
  <c r="I67" i="22"/>
  <c r="I68" i="22"/>
  <c r="I69" i="22"/>
  <c r="I70" i="22"/>
  <c r="I71" i="22"/>
  <c r="I72" i="22"/>
  <c r="I73" i="22"/>
  <c r="I74" i="22"/>
  <c r="I75" i="22"/>
  <c r="I50" i="22"/>
  <c r="I51" i="22"/>
  <c r="I52" i="22"/>
  <c r="I53" i="22"/>
  <c r="I56" i="22"/>
  <c r="I57" i="22"/>
  <c r="I58" i="22"/>
  <c r="I59" i="22"/>
  <c r="I60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24" i="22"/>
  <c r="I25" i="22"/>
  <c r="I30" i="22"/>
  <c r="I31" i="22"/>
  <c r="I32" i="22"/>
  <c r="I33" i="22"/>
  <c r="I34" i="22"/>
  <c r="I35" i="22"/>
  <c r="I36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89" i="22"/>
  <c r="F90" i="22"/>
  <c r="F91" i="22"/>
  <c r="F92" i="22"/>
  <c r="F95" i="22"/>
  <c r="F96" i="22"/>
  <c r="F97" i="22"/>
  <c r="F98" i="22"/>
  <c r="F99" i="22"/>
  <c r="F100" i="22"/>
  <c r="F101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66" i="22"/>
  <c r="F67" i="22"/>
  <c r="F68" i="22"/>
  <c r="F69" i="22"/>
  <c r="F70" i="22"/>
  <c r="F71" i="22"/>
  <c r="F72" i="22"/>
  <c r="F73" i="22"/>
  <c r="F74" i="22"/>
  <c r="F75" i="22"/>
  <c r="F50" i="22"/>
  <c r="F51" i="22"/>
  <c r="F52" i="22"/>
  <c r="F53" i="22"/>
  <c r="F56" i="22"/>
  <c r="F57" i="22"/>
  <c r="F58" i="22"/>
  <c r="F59" i="22"/>
  <c r="F60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24" i="22"/>
  <c r="F25" i="22"/>
  <c r="F30" i="22"/>
  <c r="F31" i="22"/>
  <c r="F32" i="22"/>
  <c r="F33" i="22"/>
  <c r="F34" i="22"/>
  <c r="F35" i="22"/>
  <c r="F36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89" i="22"/>
  <c r="H90" i="22"/>
  <c r="H91" i="22"/>
  <c r="H92" i="22"/>
  <c r="H95" i="22"/>
  <c r="H96" i="22"/>
  <c r="H97" i="22"/>
  <c r="H98" i="22"/>
  <c r="H99" i="22"/>
  <c r="H100" i="22"/>
  <c r="H101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66" i="22"/>
  <c r="H67" i="22"/>
  <c r="H68" i="22"/>
  <c r="H69" i="22"/>
  <c r="H70" i="22"/>
  <c r="H71" i="22"/>
  <c r="H72" i="22"/>
  <c r="H73" i="22"/>
  <c r="H74" i="22"/>
  <c r="H75" i="22"/>
  <c r="H50" i="22"/>
  <c r="H51" i="22"/>
  <c r="H52" i="22"/>
  <c r="H53" i="22"/>
  <c r="H56" i="22"/>
  <c r="H57" i="22"/>
  <c r="H58" i="22"/>
  <c r="H59" i="22"/>
  <c r="H60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24" i="22"/>
  <c r="H25" i="22"/>
  <c r="H30" i="22"/>
  <c r="H31" i="22"/>
  <c r="H32" i="22"/>
  <c r="H33" i="22"/>
  <c r="H34" i="22"/>
  <c r="H35" i="22"/>
  <c r="H36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89" i="22"/>
  <c r="O90" i="22"/>
  <c r="O91" i="22"/>
  <c r="O92" i="22"/>
  <c r="O95" i="22"/>
  <c r="O96" i="22"/>
  <c r="O97" i="22"/>
  <c r="O98" i="22"/>
  <c r="O99" i="22"/>
  <c r="O100" i="22"/>
  <c r="O101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66" i="22"/>
  <c r="O67" i="22"/>
  <c r="O68" i="22"/>
  <c r="O69" i="22"/>
  <c r="O70" i="22"/>
  <c r="O71" i="22"/>
  <c r="O72" i="22"/>
  <c r="O73" i="22"/>
  <c r="O74" i="22"/>
  <c r="O75" i="22"/>
  <c r="O50" i="22"/>
  <c r="O51" i="22"/>
  <c r="O52" i="22"/>
  <c r="O53" i="22"/>
  <c r="O56" i="22"/>
  <c r="O57" i="22"/>
  <c r="O58" i="22"/>
  <c r="O59" i="22"/>
  <c r="O60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24" i="22"/>
  <c r="O25" i="22"/>
  <c r="O30" i="22"/>
  <c r="O31" i="22"/>
  <c r="O32" i="22"/>
  <c r="O33" i="22"/>
  <c r="O34" i="22"/>
  <c r="O35" i="22"/>
  <c r="O36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89" i="22"/>
  <c r="G90" i="22"/>
  <c r="G91" i="22"/>
  <c r="G92" i="22"/>
  <c r="G95" i="22"/>
  <c r="G96" i="22"/>
  <c r="G97" i="22"/>
  <c r="G98" i="22"/>
  <c r="G99" i="22"/>
  <c r="G100" i="22"/>
  <c r="G101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66" i="22"/>
  <c r="G67" i="22"/>
  <c r="G68" i="22"/>
  <c r="G69" i="22"/>
  <c r="G70" i="22"/>
  <c r="G71" i="22"/>
  <c r="G72" i="22"/>
  <c r="G73" i="22"/>
  <c r="G74" i="22"/>
  <c r="G75" i="22"/>
  <c r="G50" i="22"/>
  <c r="G51" i="22"/>
  <c r="G52" i="22"/>
  <c r="G53" i="22"/>
  <c r="G56" i="22"/>
  <c r="G57" i="22"/>
  <c r="G58" i="22"/>
  <c r="G59" i="22"/>
  <c r="G60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24" i="22"/>
  <c r="G25" i="22"/>
  <c r="G30" i="22"/>
  <c r="G31" i="22"/>
  <c r="G32" i="22"/>
  <c r="G33" i="22"/>
  <c r="G34" i="22"/>
  <c r="G35" i="22"/>
  <c r="G36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89" i="22"/>
  <c r="E90" i="22"/>
  <c r="E91" i="22"/>
  <c r="E92" i="22"/>
  <c r="E95" i="22"/>
  <c r="E96" i="22"/>
  <c r="E97" i="22"/>
  <c r="E98" i="22"/>
  <c r="E99" i="22"/>
  <c r="E100" i="22"/>
  <c r="E101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66" i="22"/>
  <c r="E67" i="22"/>
  <c r="E68" i="22"/>
  <c r="E69" i="22"/>
  <c r="E70" i="22"/>
  <c r="E71" i="22"/>
  <c r="E72" i="22"/>
  <c r="E73" i="22"/>
  <c r="E74" i="22"/>
  <c r="E75" i="22"/>
  <c r="E50" i="22"/>
  <c r="E51" i="22"/>
  <c r="E52" i="22"/>
  <c r="E53" i="22"/>
  <c r="E56" i="22"/>
  <c r="E57" i="22"/>
  <c r="E58" i="22"/>
  <c r="E59" i="22"/>
  <c r="E60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24" i="22"/>
  <c r="E25" i="22"/>
  <c r="E30" i="22"/>
  <c r="E31" i="22"/>
  <c r="E32" i="22"/>
  <c r="E33" i="22"/>
  <c r="E34" i="22"/>
  <c r="E35" i="22"/>
  <c r="E36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89" i="22"/>
  <c r="K90" i="22"/>
  <c r="K91" i="22"/>
  <c r="K92" i="22"/>
  <c r="K95" i="22"/>
  <c r="K96" i="22"/>
  <c r="K97" i="22"/>
  <c r="K98" i="22"/>
  <c r="K99" i="22"/>
  <c r="K100" i="22"/>
  <c r="K101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66" i="22"/>
  <c r="K67" i="22"/>
  <c r="K68" i="22"/>
  <c r="K69" i="22"/>
  <c r="K70" i="22"/>
  <c r="K71" i="22"/>
  <c r="K72" i="22"/>
  <c r="K73" i="22"/>
  <c r="K74" i="22"/>
  <c r="K75" i="22"/>
  <c r="K50" i="22"/>
  <c r="K51" i="22"/>
  <c r="K52" i="22"/>
  <c r="K53" i="22"/>
  <c r="K56" i="22"/>
  <c r="K57" i="22"/>
  <c r="K58" i="22"/>
  <c r="K59" i="22"/>
  <c r="K60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24" i="22"/>
  <c r="K25" i="22"/>
  <c r="K30" i="22"/>
  <c r="K31" i="22"/>
  <c r="K32" i="22"/>
  <c r="K33" i="22"/>
  <c r="K34" i="22"/>
  <c r="K35" i="22"/>
  <c r="K36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89" i="22"/>
  <c r="N90" i="22"/>
  <c r="N91" i="22"/>
  <c r="N92" i="22"/>
  <c r="N95" i="22"/>
  <c r="N96" i="22"/>
  <c r="N97" i="22"/>
  <c r="N98" i="22"/>
  <c r="N99" i="22"/>
  <c r="N100" i="22"/>
  <c r="N101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66" i="22"/>
  <c r="N67" i="22"/>
  <c r="N68" i="22"/>
  <c r="N69" i="22"/>
  <c r="N70" i="22"/>
  <c r="N71" i="22"/>
  <c r="N72" i="22"/>
  <c r="N73" i="22"/>
  <c r="N74" i="22"/>
  <c r="N75" i="22"/>
  <c r="N50" i="22"/>
  <c r="N51" i="22"/>
  <c r="N52" i="22"/>
  <c r="N53" i="22"/>
  <c r="N56" i="22"/>
  <c r="N57" i="22"/>
  <c r="N58" i="22"/>
  <c r="N59" i="22"/>
  <c r="N60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24" i="22"/>
  <c r="N25" i="22"/>
  <c r="N30" i="22"/>
  <c r="N31" i="22"/>
  <c r="N32" i="22"/>
  <c r="N33" i="22"/>
  <c r="N34" i="22"/>
  <c r="N35" i="22"/>
  <c r="N36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89" i="22"/>
  <c r="M90" i="22"/>
  <c r="M91" i="22"/>
  <c r="M92" i="22"/>
  <c r="M95" i="22"/>
  <c r="M96" i="22"/>
  <c r="M97" i="22"/>
  <c r="M98" i="22"/>
  <c r="M99" i="22"/>
  <c r="M100" i="22"/>
  <c r="M101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66" i="22"/>
  <c r="M67" i="22"/>
  <c r="M68" i="22"/>
  <c r="M69" i="22"/>
  <c r="M70" i="22"/>
  <c r="M71" i="22"/>
  <c r="M72" i="22"/>
  <c r="M73" i="22"/>
  <c r="M74" i="22"/>
  <c r="M75" i="22"/>
  <c r="M50" i="22"/>
  <c r="M51" i="22"/>
  <c r="M52" i="22"/>
  <c r="M53" i="22"/>
  <c r="M56" i="22"/>
  <c r="M57" i="22"/>
  <c r="M58" i="22"/>
  <c r="M59" i="22"/>
  <c r="M60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24" i="22"/>
  <c r="M25" i="22"/>
  <c r="M30" i="22"/>
  <c r="M31" i="22"/>
  <c r="M32" i="22"/>
  <c r="M33" i="22"/>
  <c r="M34" i="22"/>
  <c r="M35" i="22"/>
  <c r="M36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89" i="22"/>
  <c r="L90" i="22"/>
  <c r="L91" i="22"/>
  <c r="L92" i="22"/>
  <c r="L95" i="22"/>
  <c r="L96" i="22"/>
  <c r="L97" i="22"/>
  <c r="L98" i="22"/>
  <c r="L99" i="22"/>
  <c r="L100" i="22"/>
  <c r="L101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66" i="22"/>
  <c r="L67" i="22"/>
  <c r="L68" i="22"/>
  <c r="L69" i="22"/>
  <c r="L70" i="22"/>
  <c r="L71" i="22"/>
  <c r="L72" i="22"/>
  <c r="L73" i="22"/>
  <c r="L74" i="22"/>
  <c r="L75" i="22"/>
  <c r="L50" i="22"/>
  <c r="L51" i="22"/>
  <c r="L52" i="22"/>
  <c r="L53" i="22"/>
  <c r="L56" i="22"/>
  <c r="L57" i="22"/>
  <c r="L58" i="22"/>
  <c r="L59" i="22"/>
  <c r="L60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24" i="22"/>
  <c r="L25" i="22"/>
  <c r="L30" i="22"/>
  <c r="L31" i="22"/>
  <c r="L32" i="22"/>
  <c r="L33" i="22"/>
  <c r="L34" i="22"/>
  <c r="L35" i="22"/>
  <c r="L36" i="22"/>
  <c r="J22" i="22"/>
  <c r="J23" i="22"/>
  <c r="J20" i="22"/>
  <c r="J21" i="22"/>
  <c r="J19" i="22"/>
  <c r="J16" i="22"/>
  <c r="J14" i="22"/>
  <c r="J15" i="22"/>
  <c r="J12" i="22"/>
  <c r="J13" i="22"/>
  <c r="J10" i="22"/>
  <c r="D22" i="22"/>
  <c r="D23" i="22"/>
  <c r="D20" i="22"/>
  <c r="D21" i="22"/>
  <c r="D19" i="22"/>
  <c r="D16" i="22"/>
  <c r="D14" i="22"/>
  <c r="D15" i="22"/>
  <c r="D12" i="22"/>
  <c r="D13" i="22"/>
  <c r="D10" i="22"/>
  <c r="I22" i="22"/>
  <c r="I23" i="22"/>
  <c r="I20" i="22"/>
  <c r="I21" i="22"/>
  <c r="I19" i="22"/>
  <c r="I16" i="22"/>
  <c r="I14" i="22"/>
  <c r="I15" i="22"/>
  <c r="I12" i="22"/>
  <c r="I13" i="22"/>
  <c r="I10" i="22"/>
  <c r="F22" i="22"/>
  <c r="F23" i="22"/>
  <c r="F20" i="22"/>
  <c r="F21" i="22"/>
  <c r="F19" i="22"/>
  <c r="F16" i="22"/>
  <c r="F14" i="22"/>
  <c r="F15" i="22"/>
  <c r="F12" i="22"/>
  <c r="F13" i="22"/>
  <c r="F10" i="22"/>
  <c r="H22" i="22"/>
  <c r="H23" i="22"/>
  <c r="H20" i="22"/>
  <c r="H21" i="22"/>
  <c r="H19" i="22"/>
  <c r="H16" i="22"/>
  <c r="H14" i="22"/>
  <c r="H15" i="22"/>
  <c r="H12" i="22"/>
  <c r="H13" i="22"/>
  <c r="H10" i="22"/>
  <c r="O22" i="22"/>
  <c r="O23" i="22"/>
  <c r="O20" i="22"/>
  <c r="O21" i="22"/>
  <c r="O19" i="22"/>
  <c r="O16" i="22"/>
  <c r="O14" i="22"/>
  <c r="O15" i="22"/>
  <c r="O12" i="22"/>
  <c r="O13" i="22"/>
  <c r="O10" i="22"/>
  <c r="G22" i="22"/>
  <c r="G23" i="22"/>
  <c r="G20" i="22"/>
  <c r="G21" i="22"/>
  <c r="G19" i="22"/>
  <c r="G16" i="22"/>
  <c r="G14" i="22"/>
  <c r="G15" i="22"/>
  <c r="G12" i="22"/>
  <c r="G13" i="22"/>
  <c r="G10" i="22"/>
  <c r="E22" i="22"/>
  <c r="E23" i="22"/>
  <c r="E20" i="22"/>
  <c r="E21" i="22"/>
  <c r="E19" i="22"/>
  <c r="E16" i="22"/>
  <c r="E14" i="22"/>
  <c r="E15" i="22"/>
  <c r="E12" i="22"/>
  <c r="E13" i="22"/>
  <c r="E10" i="22"/>
  <c r="K22" i="22"/>
  <c r="K23" i="22"/>
  <c r="K20" i="22"/>
  <c r="K21" i="22"/>
  <c r="K19" i="22"/>
  <c r="K16" i="22"/>
  <c r="K14" i="22"/>
  <c r="K15" i="22"/>
  <c r="K12" i="22"/>
  <c r="K13" i="22"/>
  <c r="K10" i="22"/>
  <c r="N22" i="22"/>
  <c r="N23" i="22"/>
  <c r="N20" i="22"/>
  <c r="N21" i="22"/>
  <c r="N19" i="22"/>
  <c r="N16" i="22"/>
  <c r="N14" i="22"/>
  <c r="N15" i="22"/>
  <c r="N12" i="22"/>
  <c r="N13" i="22"/>
  <c r="N10" i="22"/>
  <c r="M22" i="22"/>
  <c r="M23" i="22"/>
  <c r="M20" i="22"/>
  <c r="M21" i="22"/>
  <c r="M19" i="22"/>
  <c r="M16" i="22"/>
  <c r="M14" i="22"/>
  <c r="M15" i="22"/>
  <c r="M12" i="22"/>
  <c r="M13" i="22"/>
  <c r="M10" i="22"/>
  <c r="L22" i="22"/>
  <c r="L23" i="22"/>
  <c r="L20" i="22"/>
  <c r="L21" i="22"/>
  <c r="L19" i="22"/>
  <c r="L16" i="22"/>
  <c r="L14" i="22"/>
  <c r="L15" i="22"/>
  <c r="L12" i="22"/>
  <c r="L13" i="22"/>
  <c r="L10" i="22"/>
  <c r="S54" i="18"/>
  <c r="S47" i="18"/>
  <c r="S75" i="18"/>
  <c r="S76" i="18"/>
  <c r="S77" i="18"/>
  <c r="S49" i="18"/>
  <c r="S74" i="18"/>
  <c r="S48" i="18"/>
  <c r="S53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S128" i="18"/>
  <c r="S127" i="18"/>
  <c r="S113" i="18"/>
  <c r="S87" i="18"/>
  <c r="J11" i="24"/>
  <c r="J12" i="24"/>
  <c r="J10" i="24"/>
  <c r="I11" i="24"/>
  <c r="I12" i="24"/>
  <c r="I10" i="24"/>
  <c r="O12" i="24"/>
  <c r="O10" i="24"/>
  <c r="K12" i="24"/>
  <c r="K10" i="24"/>
  <c r="N11" i="24"/>
  <c r="N12" i="24"/>
  <c r="N10" i="24"/>
  <c r="M13" i="24"/>
  <c r="M12" i="24"/>
  <c r="M10" i="24"/>
  <c r="L13" i="24"/>
  <c r="L12" i="24"/>
  <c r="L10" i="24"/>
  <c r="S121" i="18"/>
  <c r="S126" i="18"/>
  <c r="S123" i="18"/>
  <c r="S122" i="18"/>
  <c r="S109" i="18"/>
  <c r="S102" i="18"/>
  <c r="S103" i="18"/>
  <c r="S104" i="18"/>
  <c r="S101" i="18"/>
  <c r="S99" i="18"/>
  <c r="S100" i="18"/>
  <c r="S98" i="18"/>
  <c r="S94" i="18"/>
  <c r="S95" i="18"/>
  <c r="S96" i="18"/>
  <c r="S97" i="18"/>
  <c r="S90" i="18"/>
  <c r="S91" i="18"/>
  <c r="S92" i="18"/>
  <c r="S93" i="18"/>
  <c r="S88" i="18"/>
  <c r="S89" i="18"/>
  <c r="S85" i="18"/>
  <c r="S82" i="18"/>
  <c r="G139" i="18"/>
  <c r="F141" i="18"/>
  <c r="S148" i="18"/>
  <c r="S147" i="18"/>
  <c r="S145" i="18"/>
  <c r="S140" i="18"/>
  <c r="S112" i="18"/>
  <c r="Q114" i="18"/>
  <c r="G124" i="18"/>
  <c r="F129" i="18"/>
  <c r="S107" i="18"/>
  <c r="Q110" i="18"/>
  <c r="S108" i="18"/>
  <c r="S125" i="18"/>
  <c r="S146" i="18"/>
  <c r="S86" i="18"/>
  <c r="Q105" i="18"/>
  <c r="S37" i="18"/>
  <c r="S42" i="18"/>
  <c r="S43" i="18"/>
  <c r="S40" i="18"/>
  <c r="S41" i="18"/>
  <c r="S38" i="18"/>
  <c r="S39" i="18"/>
  <c r="S36" i="18"/>
  <c r="S29" i="18"/>
  <c r="S30" i="18"/>
  <c r="S31" i="18"/>
  <c r="S32" i="18"/>
  <c r="S28" i="18"/>
  <c r="S26" i="18"/>
  <c r="S27" i="18"/>
  <c r="S22" i="18"/>
  <c r="S23" i="18"/>
  <c r="S24" i="18"/>
  <c r="S25" i="18"/>
  <c r="S19" i="18"/>
  <c r="S20" i="18"/>
  <c r="S21" i="18"/>
  <c r="K144" i="19"/>
  <c r="K145" i="19"/>
  <c r="K146" i="19"/>
  <c r="K147" i="19"/>
  <c r="K148" i="19"/>
  <c r="K149" i="19"/>
  <c r="K150" i="19"/>
  <c r="K151" i="19"/>
  <c r="K130" i="19"/>
  <c r="K131" i="19"/>
  <c r="K132" i="19"/>
  <c r="K133" i="19"/>
  <c r="K134" i="19"/>
  <c r="K135" i="19"/>
  <c r="K136" i="19"/>
  <c r="K139" i="19"/>
  <c r="K140" i="19"/>
  <c r="K141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95" i="19"/>
  <c r="K96" i="19"/>
  <c r="K97" i="19"/>
  <c r="K98" i="19"/>
  <c r="K99" i="19"/>
  <c r="K100" i="19"/>
  <c r="K101" i="19"/>
  <c r="K102" i="19"/>
  <c r="K103" i="19"/>
  <c r="K104" i="19"/>
  <c r="K105" i="19"/>
  <c r="K82" i="19"/>
  <c r="K83" i="19"/>
  <c r="K84" i="19"/>
  <c r="K85" i="19"/>
  <c r="K86" i="19"/>
  <c r="K87" i="19"/>
  <c r="K88" i="19"/>
  <c r="K89" i="19"/>
  <c r="K90" i="19"/>
  <c r="K91" i="19"/>
  <c r="K92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58" i="19"/>
  <c r="K59" i="19"/>
  <c r="K60" i="19"/>
  <c r="K66" i="19"/>
  <c r="K67" i="19"/>
  <c r="K68" i="19"/>
  <c r="K46" i="19"/>
  <c r="K47" i="19"/>
  <c r="K48" i="19"/>
  <c r="K49" i="19"/>
  <c r="K50" i="19"/>
  <c r="K51" i="19"/>
  <c r="K52" i="19"/>
  <c r="K53" i="19"/>
  <c r="K56" i="19"/>
  <c r="K57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22" i="19"/>
  <c r="K23" i="19"/>
  <c r="K24" i="19"/>
  <c r="K25" i="19"/>
  <c r="K30" i="19"/>
  <c r="K31" i="19"/>
  <c r="K32" i="19"/>
  <c r="K33" i="19"/>
  <c r="K20" i="19"/>
  <c r="K21" i="19"/>
  <c r="K19" i="19"/>
  <c r="K26" i="19" s="1"/>
  <c r="K16" i="19"/>
  <c r="K14" i="19"/>
  <c r="K15" i="19"/>
  <c r="K12" i="19"/>
  <c r="K13" i="19"/>
  <c r="K10" i="19"/>
  <c r="K11" i="19"/>
  <c r="E144" i="19"/>
  <c r="E145" i="19"/>
  <c r="E146" i="19"/>
  <c r="E147" i="19"/>
  <c r="E148" i="19"/>
  <c r="E149" i="19"/>
  <c r="E150" i="19"/>
  <c r="E151" i="19"/>
  <c r="E130" i="19"/>
  <c r="E131" i="19"/>
  <c r="E132" i="19"/>
  <c r="E133" i="19"/>
  <c r="E134" i="19"/>
  <c r="E135" i="19"/>
  <c r="E136" i="19"/>
  <c r="E139" i="19"/>
  <c r="E140" i="19"/>
  <c r="E141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95" i="19"/>
  <c r="E96" i="19"/>
  <c r="E97" i="19"/>
  <c r="E98" i="19"/>
  <c r="E99" i="19"/>
  <c r="E100" i="19"/>
  <c r="E101" i="19"/>
  <c r="E102" i="19"/>
  <c r="E103" i="19"/>
  <c r="E104" i="19"/>
  <c r="E105" i="19"/>
  <c r="E82" i="19"/>
  <c r="E83" i="19"/>
  <c r="E84" i="19"/>
  <c r="E85" i="19"/>
  <c r="E86" i="19"/>
  <c r="E87" i="19"/>
  <c r="E88" i="19"/>
  <c r="E89" i="19"/>
  <c r="E90" i="19"/>
  <c r="E91" i="19"/>
  <c r="E92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58" i="19"/>
  <c r="E59" i="19"/>
  <c r="E60" i="19"/>
  <c r="E66" i="19"/>
  <c r="E67" i="19"/>
  <c r="E68" i="19"/>
  <c r="E46" i="19"/>
  <c r="E47" i="19"/>
  <c r="E48" i="19"/>
  <c r="E49" i="19"/>
  <c r="E50" i="19"/>
  <c r="E51" i="19"/>
  <c r="E52" i="19"/>
  <c r="E53" i="19"/>
  <c r="E56" i="19"/>
  <c r="E57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22" i="19"/>
  <c r="E23" i="19"/>
  <c r="E24" i="19"/>
  <c r="E25" i="19"/>
  <c r="E30" i="19"/>
  <c r="E31" i="19"/>
  <c r="E32" i="19"/>
  <c r="E33" i="19"/>
  <c r="E20" i="19"/>
  <c r="E21" i="19"/>
  <c r="E19" i="19"/>
  <c r="E16" i="19"/>
  <c r="E14" i="19"/>
  <c r="E15" i="19"/>
  <c r="E12" i="19"/>
  <c r="E13" i="19"/>
  <c r="E10" i="19"/>
  <c r="E11" i="19"/>
  <c r="J144" i="19"/>
  <c r="J145" i="19"/>
  <c r="J146" i="19"/>
  <c r="J147" i="19"/>
  <c r="J148" i="19"/>
  <c r="J149" i="19"/>
  <c r="J150" i="19"/>
  <c r="J151" i="19"/>
  <c r="J130" i="19"/>
  <c r="J131" i="19"/>
  <c r="J132" i="19"/>
  <c r="J133" i="19"/>
  <c r="J134" i="19"/>
  <c r="J135" i="19"/>
  <c r="J136" i="19"/>
  <c r="J139" i="19"/>
  <c r="J140" i="19"/>
  <c r="J141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95" i="19"/>
  <c r="J96" i="19"/>
  <c r="J97" i="19"/>
  <c r="J98" i="19"/>
  <c r="J99" i="19"/>
  <c r="J100" i="19"/>
  <c r="J101" i="19"/>
  <c r="J102" i="19"/>
  <c r="J103" i="19"/>
  <c r="J104" i="19"/>
  <c r="J105" i="19"/>
  <c r="J82" i="19"/>
  <c r="J83" i="19"/>
  <c r="J84" i="19"/>
  <c r="J85" i="19"/>
  <c r="J86" i="19"/>
  <c r="J87" i="19"/>
  <c r="J88" i="19"/>
  <c r="J89" i="19"/>
  <c r="J90" i="19"/>
  <c r="J91" i="19"/>
  <c r="J92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58" i="19"/>
  <c r="J59" i="19"/>
  <c r="J60" i="19"/>
  <c r="J66" i="19"/>
  <c r="J67" i="19"/>
  <c r="J68" i="19"/>
  <c r="J46" i="19"/>
  <c r="J47" i="19"/>
  <c r="J48" i="19"/>
  <c r="J49" i="19"/>
  <c r="J50" i="19"/>
  <c r="J51" i="19"/>
  <c r="J52" i="19"/>
  <c r="J53" i="19"/>
  <c r="J56" i="19"/>
  <c r="J57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22" i="19"/>
  <c r="J23" i="19"/>
  <c r="J24" i="19"/>
  <c r="J25" i="19"/>
  <c r="J30" i="19"/>
  <c r="J31" i="19"/>
  <c r="J32" i="19"/>
  <c r="J33" i="19"/>
  <c r="J20" i="19"/>
  <c r="J21" i="19"/>
  <c r="J19" i="19"/>
  <c r="J26" i="19" s="1"/>
  <c r="J16" i="19"/>
  <c r="J14" i="19"/>
  <c r="J15" i="19"/>
  <c r="J12" i="19"/>
  <c r="J13" i="19"/>
  <c r="J10" i="19"/>
  <c r="J11" i="19"/>
  <c r="G144" i="19"/>
  <c r="G145" i="19"/>
  <c r="G146" i="19"/>
  <c r="G147" i="19"/>
  <c r="G148" i="19"/>
  <c r="G149" i="19"/>
  <c r="G150" i="19"/>
  <c r="G151" i="19"/>
  <c r="G130" i="19"/>
  <c r="G131" i="19"/>
  <c r="G132" i="19"/>
  <c r="G133" i="19"/>
  <c r="G134" i="19"/>
  <c r="G135" i="19"/>
  <c r="G136" i="19"/>
  <c r="G139" i="19"/>
  <c r="G140" i="19"/>
  <c r="G141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95" i="19"/>
  <c r="G96" i="19"/>
  <c r="G97" i="19"/>
  <c r="G98" i="19"/>
  <c r="G99" i="19"/>
  <c r="G100" i="19"/>
  <c r="G101" i="19"/>
  <c r="G102" i="19"/>
  <c r="G103" i="19"/>
  <c r="G104" i="19"/>
  <c r="G105" i="19"/>
  <c r="G82" i="19"/>
  <c r="G83" i="19"/>
  <c r="G84" i="19"/>
  <c r="G85" i="19"/>
  <c r="G86" i="19"/>
  <c r="G87" i="19"/>
  <c r="G88" i="19"/>
  <c r="G89" i="19"/>
  <c r="G90" i="19"/>
  <c r="G91" i="19"/>
  <c r="G92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58" i="19"/>
  <c r="G59" i="19"/>
  <c r="G60" i="19"/>
  <c r="G66" i="19"/>
  <c r="G67" i="19"/>
  <c r="G68" i="19"/>
  <c r="G46" i="19"/>
  <c r="G47" i="19"/>
  <c r="G48" i="19"/>
  <c r="G49" i="19"/>
  <c r="G50" i="19"/>
  <c r="G51" i="19"/>
  <c r="G52" i="19"/>
  <c r="G53" i="19"/>
  <c r="G56" i="19"/>
  <c r="G57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2" i="19"/>
  <c r="G23" i="19"/>
  <c r="G24" i="19"/>
  <c r="G25" i="19"/>
  <c r="G30" i="19"/>
  <c r="G31" i="19"/>
  <c r="G32" i="19"/>
  <c r="G33" i="19"/>
  <c r="G20" i="19"/>
  <c r="G21" i="19"/>
  <c r="G19" i="19"/>
  <c r="G26" i="19" s="1"/>
  <c r="G16" i="19"/>
  <c r="G14" i="19"/>
  <c r="G15" i="19"/>
  <c r="G12" i="19"/>
  <c r="G13" i="19"/>
  <c r="G10" i="19"/>
  <c r="G11" i="19"/>
  <c r="I144" i="19"/>
  <c r="I145" i="19"/>
  <c r="I146" i="19"/>
  <c r="I147" i="19"/>
  <c r="I148" i="19"/>
  <c r="I149" i="19"/>
  <c r="I150" i="19"/>
  <c r="I151" i="19"/>
  <c r="I130" i="19"/>
  <c r="I131" i="19"/>
  <c r="I132" i="19"/>
  <c r="I133" i="19"/>
  <c r="I134" i="19"/>
  <c r="I135" i="19"/>
  <c r="I136" i="19"/>
  <c r="I139" i="19"/>
  <c r="I140" i="19"/>
  <c r="I141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95" i="19"/>
  <c r="I96" i="19"/>
  <c r="I97" i="19"/>
  <c r="I98" i="19"/>
  <c r="I99" i="19"/>
  <c r="I100" i="19"/>
  <c r="I101" i="19"/>
  <c r="I102" i="19"/>
  <c r="I103" i="19"/>
  <c r="I104" i="19"/>
  <c r="I105" i="19"/>
  <c r="I82" i="19"/>
  <c r="I83" i="19"/>
  <c r="I84" i="19"/>
  <c r="I85" i="19"/>
  <c r="I86" i="19"/>
  <c r="I87" i="19"/>
  <c r="I88" i="19"/>
  <c r="I89" i="19"/>
  <c r="I90" i="19"/>
  <c r="I91" i="19"/>
  <c r="I92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58" i="19"/>
  <c r="I59" i="19"/>
  <c r="I60" i="19"/>
  <c r="I66" i="19"/>
  <c r="I67" i="19"/>
  <c r="I68" i="19"/>
  <c r="I46" i="19"/>
  <c r="I47" i="19"/>
  <c r="I48" i="19"/>
  <c r="I49" i="19"/>
  <c r="I50" i="19"/>
  <c r="I51" i="19"/>
  <c r="I52" i="19"/>
  <c r="I53" i="19"/>
  <c r="I56" i="19"/>
  <c r="I57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22" i="19"/>
  <c r="I23" i="19"/>
  <c r="I24" i="19"/>
  <c r="I25" i="19"/>
  <c r="I30" i="19"/>
  <c r="I31" i="19"/>
  <c r="I32" i="19"/>
  <c r="I33" i="19"/>
  <c r="I20" i="19"/>
  <c r="I21" i="19"/>
  <c r="I19" i="19"/>
  <c r="I26" i="19" s="1"/>
  <c r="I16" i="19"/>
  <c r="I14" i="19"/>
  <c r="I15" i="19"/>
  <c r="I12" i="19"/>
  <c r="I13" i="19"/>
  <c r="I10" i="19"/>
  <c r="I11" i="19"/>
  <c r="P144" i="19"/>
  <c r="P145" i="19"/>
  <c r="P146" i="19"/>
  <c r="P147" i="19"/>
  <c r="P148" i="19"/>
  <c r="P149" i="19"/>
  <c r="P150" i="19"/>
  <c r="P151" i="19"/>
  <c r="P130" i="19"/>
  <c r="P131" i="19"/>
  <c r="P132" i="19"/>
  <c r="P133" i="19"/>
  <c r="P134" i="19"/>
  <c r="P135" i="19"/>
  <c r="P136" i="19"/>
  <c r="P139" i="19"/>
  <c r="P140" i="19"/>
  <c r="P141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95" i="19"/>
  <c r="P96" i="19"/>
  <c r="P97" i="19"/>
  <c r="P98" i="19"/>
  <c r="P99" i="19"/>
  <c r="P100" i="19"/>
  <c r="P101" i="19"/>
  <c r="P102" i="19"/>
  <c r="P103" i="19"/>
  <c r="P104" i="19"/>
  <c r="P105" i="19"/>
  <c r="P82" i="19"/>
  <c r="P83" i="19"/>
  <c r="P84" i="19"/>
  <c r="P85" i="19"/>
  <c r="P86" i="19"/>
  <c r="P87" i="19"/>
  <c r="P88" i="19"/>
  <c r="P89" i="19"/>
  <c r="P90" i="19"/>
  <c r="P91" i="19"/>
  <c r="P92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58" i="19"/>
  <c r="P59" i="19"/>
  <c r="P60" i="19"/>
  <c r="P66" i="19"/>
  <c r="P67" i="19"/>
  <c r="P68" i="19"/>
  <c r="P46" i="19"/>
  <c r="P47" i="19"/>
  <c r="P48" i="19"/>
  <c r="P49" i="19"/>
  <c r="P50" i="19"/>
  <c r="P51" i="19"/>
  <c r="P52" i="19"/>
  <c r="P53" i="19"/>
  <c r="P56" i="19"/>
  <c r="P57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22" i="19"/>
  <c r="P23" i="19"/>
  <c r="P24" i="19"/>
  <c r="P25" i="19"/>
  <c r="P30" i="19"/>
  <c r="P31" i="19"/>
  <c r="P32" i="19"/>
  <c r="P33" i="19"/>
  <c r="P20" i="19"/>
  <c r="P21" i="19"/>
  <c r="P19" i="19"/>
  <c r="P26" i="19" s="1"/>
  <c r="P16" i="19"/>
  <c r="P14" i="19"/>
  <c r="P15" i="19"/>
  <c r="P12" i="19"/>
  <c r="P13" i="19"/>
  <c r="P10" i="19"/>
  <c r="P11" i="19"/>
  <c r="H144" i="19"/>
  <c r="H145" i="19"/>
  <c r="H146" i="19"/>
  <c r="H147" i="19"/>
  <c r="H148" i="19"/>
  <c r="H149" i="19"/>
  <c r="H150" i="19"/>
  <c r="H151" i="19"/>
  <c r="H130" i="19"/>
  <c r="H131" i="19"/>
  <c r="H132" i="19"/>
  <c r="H133" i="19"/>
  <c r="H134" i="19"/>
  <c r="H135" i="19"/>
  <c r="H136" i="19"/>
  <c r="H139" i="19"/>
  <c r="H140" i="19"/>
  <c r="H141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95" i="19"/>
  <c r="H96" i="19"/>
  <c r="H97" i="19"/>
  <c r="H98" i="19"/>
  <c r="H99" i="19"/>
  <c r="H100" i="19"/>
  <c r="H101" i="19"/>
  <c r="H102" i="19"/>
  <c r="H103" i="19"/>
  <c r="H104" i="19"/>
  <c r="H105" i="19"/>
  <c r="H82" i="19"/>
  <c r="H83" i="19"/>
  <c r="H84" i="19"/>
  <c r="H85" i="19"/>
  <c r="H86" i="19"/>
  <c r="H87" i="19"/>
  <c r="H88" i="19"/>
  <c r="H89" i="19"/>
  <c r="H90" i="19"/>
  <c r="H91" i="19"/>
  <c r="H92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58" i="19"/>
  <c r="H59" i="19"/>
  <c r="H60" i="19"/>
  <c r="H66" i="19"/>
  <c r="H67" i="19"/>
  <c r="H68" i="19"/>
  <c r="H46" i="19"/>
  <c r="H47" i="19"/>
  <c r="H48" i="19"/>
  <c r="H49" i="19"/>
  <c r="H50" i="19"/>
  <c r="H51" i="19"/>
  <c r="H52" i="19"/>
  <c r="H53" i="19"/>
  <c r="H56" i="19"/>
  <c r="H57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22" i="19"/>
  <c r="H23" i="19"/>
  <c r="H24" i="19"/>
  <c r="H25" i="19"/>
  <c r="H30" i="19"/>
  <c r="H31" i="19"/>
  <c r="H32" i="19"/>
  <c r="H33" i="19"/>
  <c r="H20" i="19"/>
  <c r="H21" i="19"/>
  <c r="H19" i="19"/>
  <c r="H26" i="19" s="1"/>
  <c r="H16" i="19"/>
  <c r="H14" i="19"/>
  <c r="H15" i="19"/>
  <c r="H12" i="19"/>
  <c r="H13" i="19"/>
  <c r="H10" i="19"/>
  <c r="H11" i="19"/>
  <c r="F144" i="19"/>
  <c r="F145" i="19"/>
  <c r="F146" i="19"/>
  <c r="F147" i="19"/>
  <c r="F148" i="19"/>
  <c r="F149" i="19"/>
  <c r="F150" i="19"/>
  <c r="F151" i="19"/>
  <c r="F130" i="19"/>
  <c r="F131" i="19"/>
  <c r="F132" i="19"/>
  <c r="F133" i="19"/>
  <c r="F134" i="19"/>
  <c r="F135" i="19"/>
  <c r="F136" i="19"/>
  <c r="F139" i="19"/>
  <c r="F140" i="19"/>
  <c r="F141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95" i="19"/>
  <c r="F96" i="19"/>
  <c r="F97" i="19"/>
  <c r="F98" i="19"/>
  <c r="F99" i="19"/>
  <c r="F100" i="19"/>
  <c r="F101" i="19"/>
  <c r="F102" i="19"/>
  <c r="F103" i="19"/>
  <c r="F104" i="19"/>
  <c r="F105" i="19"/>
  <c r="F82" i="19"/>
  <c r="F83" i="19"/>
  <c r="F84" i="19"/>
  <c r="F85" i="19"/>
  <c r="F86" i="19"/>
  <c r="F87" i="19"/>
  <c r="F88" i="19"/>
  <c r="F89" i="19"/>
  <c r="F90" i="19"/>
  <c r="F91" i="19"/>
  <c r="F92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58" i="19"/>
  <c r="F59" i="19"/>
  <c r="F60" i="19"/>
  <c r="F66" i="19"/>
  <c r="F67" i="19"/>
  <c r="F68" i="19"/>
  <c r="F46" i="19"/>
  <c r="F47" i="19"/>
  <c r="F48" i="19"/>
  <c r="F49" i="19"/>
  <c r="F50" i="19"/>
  <c r="F51" i="19"/>
  <c r="F52" i="19"/>
  <c r="F53" i="19"/>
  <c r="F56" i="19"/>
  <c r="F57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22" i="19"/>
  <c r="F23" i="19"/>
  <c r="F24" i="19"/>
  <c r="F25" i="19"/>
  <c r="F30" i="19"/>
  <c r="F31" i="19"/>
  <c r="F32" i="19"/>
  <c r="F33" i="19"/>
  <c r="F20" i="19"/>
  <c r="F21" i="19"/>
  <c r="F19" i="19"/>
  <c r="F26" i="19" s="1"/>
  <c r="F16" i="19"/>
  <c r="F14" i="19"/>
  <c r="F15" i="19"/>
  <c r="F12" i="19"/>
  <c r="F13" i="19"/>
  <c r="F10" i="19"/>
  <c r="F11" i="19"/>
  <c r="L144" i="19"/>
  <c r="L145" i="19"/>
  <c r="L146" i="19"/>
  <c r="L147" i="19"/>
  <c r="L148" i="19"/>
  <c r="L149" i="19"/>
  <c r="L150" i="19"/>
  <c r="L151" i="19"/>
  <c r="L130" i="19"/>
  <c r="L131" i="19"/>
  <c r="L132" i="19"/>
  <c r="L133" i="19"/>
  <c r="L134" i="19"/>
  <c r="L135" i="19"/>
  <c r="L136" i="19"/>
  <c r="L139" i="19"/>
  <c r="L140" i="19"/>
  <c r="L141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95" i="19"/>
  <c r="L96" i="19"/>
  <c r="L97" i="19"/>
  <c r="L98" i="19"/>
  <c r="L99" i="19"/>
  <c r="L100" i="19"/>
  <c r="L101" i="19"/>
  <c r="L102" i="19"/>
  <c r="L103" i="19"/>
  <c r="L104" i="19"/>
  <c r="L105" i="19"/>
  <c r="L82" i="19"/>
  <c r="L83" i="19"/>
  <c r="L84" i="19"/>
  <c r="L85" i="19"/>
  <c r="L86" i="19"/>
  <c r="L87" i="19"/>
  <c r="L88" i="19"/>
  <c r="L89" i="19"/>
  <c r="L90" i="19"/>
  <c r="L91" i="19"/>
  <c r="L92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58" i="19"/>
  <c r="L59" i="19"/>
  <c r="L60" i="19"/>
  <c r="L66" i="19"/>
  <c r="L67" i="19"/>
  <c r="L68" i="19"/>
  <c r="L46" i="19"/>
  <c r="L47" i="19"/>
  <c r="L48" i="19"/>
  <c r="L49" i="19"/>
  <c r="L50" i="19"/>
  <c r="L51" i="19"/>
  <c r="L52" i="19"/>
  <c r="L53" i="19"/>
  <c r="L56" i="19"/>
  <c r="L57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22" i="19"/>
  <c r="L23" i="19"/>
  <c r="L24" i="19"/>
  <c r="L25" i="19"/>
  <c r="L30" i="19"/>
  <c r="L31" i="19"/>
  <c r="L32" i="19"/>
  <c r="L33" i="19"/>
  <c r="L20" i="19"/>
  <c r="L21" i="19"/>
  <c r="L19" i="19"/>
  <c r="L26" i="19" s="1"/>
  <c r="L16" i="19"/>
  <c r="L14" i="19"/>
  <c r="L15" i="19"/>
  <c r="L12" i="19"/>
  <c r="L13" i="19"/>
  <c r="L10" i="19"/>
  <c r="L11" i="19"/>
  <c r="O144" i="19"/>
  <c r="O145" i="19"/>
  <c r="O146" i="19"/>
  <c r="O147" i="19"/>
  <c r="O148" i="19"/>
  <c r="O149" i="19"/>
  <c r="O150" i="19"/>
  <c r="O151" i="19"/>
  <c r="O130" i="19"/>
  <c r="O131" i="19"/>
  <c r="O132" i="19"/>
  <c r="O133" i="19"/>
  <c r="O134" i="19"/>
  <c r="O135" i="19"/>
  <c r="O136" i="19"/>
  <c r="O139" i="19"/>
  <c r="O140" i="19"/>
  <c r="O141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95" i="19"/>
  <c r="O96" i="19"/>
  <c r="O97" i="19"/>
  <c r="O98" i="19"/>
  <c r="O99" i="19"/>
  <c r="O100" i="19"/>
  <c r="O101" i="19"/>
  <c r="O102" i="19"/>
  <c r="O103" i="19"/>
  <c r="O104" i="19"/>
  <c r="O105" i="19"/>
  <c r="O82" i="19"/>
  <c r="O83" i="19"/>
  <c r="O84" i="19"/>
  <c r="O85" i="19"/>
  <c r="O86" i="19"/>
  <c r="O87" i="19"/>
  <c r="O88" i="19"/>
  <c r="O89" i="19"/>
  <c r="O90" i="19"/>
  <c r="O91" i="19"/>
  <c r="O92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58" i="19"/>
  <c r="O59" i="19"/>
  <c r="O60" i="19"/>
  <c r="O66" i="19"/>
  <c r="O67" i="19"/>
  <c r="O68" i="19"/>
  <c r="O46" i="19"/>
  <c r="O47" i="19"/>
  <c r="O48" i="19"/>
  <c r="O49" i="19"/>
  <c r="O50" i="19"/>
  <c r="O51" i="19"/>
  <c r="O52" i="19"/>
  <c r="O53" i="19"/>
  <c r="O56" i="19"/>
  <c r="O57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22" i="19"/>
  <c r="O23" i="19"/>
  <c r="O24" i="19"/>
  <c r="O25" i="19"/>
  <c r="O30" i="19"/>
  <c r="O31" i="19"/>
  <c r="O32" i="19"/>
  <c r="O33" i="19"/>
  <c r="O20" i="19"/>
  <c r="O21" i="19"/>
  <c r="O19" i="19"/>
  <c r="O26" i="19" s="1"/>
  <c r="O16" i="19"/>
  <c r="O14" i="19"/>
  <c r="O15" i="19"/>
  <c r="O12" i="19"/>
  <c r="O13" i="19"/>
  <c r="O10" i="19"/>
  <c r="O11" i="19"/>
  <c r="N144" i="19"/>
  <c r="N145" i="19"/>
  <c r="N146" i="19"/>
  <c r="N147" i="19"/>
  <c r="N148" i="19"/>
  <c r="N149" i="19"/>
  <c r="N150" i="19"/>
  <c r="N151" i="19"/>
  <c r="N130" i="19"/>
  <c r="N131" i="19"/>
  <c r="N132" i="19"/>
  <c r="N133" i="19"/>
  <c r="N134" i="19"/>
  <c r="N135" i="19"/>
  <c r="N136" i="19"/>
  <c r="N139" i="19"/>
  <c r="N140" i="19"/>
  <c r="N141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95" i="19"/>
  <c r="N96" i="19"/>
  <c r="N97" i="19"/>
  <c r="N98" i="19"/>
  <c r="N99" i="19"/>
  <c r="N100" i="19"/>
  <c r="N101" i="19"/>
  <c r="N102" i="19"/>
  <c r="N103" i="19"/>
  <c r="N104" i="19"/>
  <c r="N105" i="19"/>
  <c r="N82" i="19"/>
  <c r="N83" i="19"/>
  <c r="N84" i="19"/>
  <c r="N85" i="19"/>
  <c r="N86" i="19"/>
  <c r="N87" i="19"/>
  <c r="N88" i="19"/>
  <c r="N89" i="19"/>
  <c r="N90" i="19"/>
  <c r="N91" i="19"/>
  <c r="N92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58" i="19"/>
  <c r="N59" i="19"/>
  <c r="N60" i="19"/>
  <c r="N66" i="19"/>
  <c r="N67" i="19"/>
  <c r="N68" i="19"/>
  <c r="N46" i="19"/>
  <c r="N47" i="19"/>
  <c r="N48" i="19"/>
  <c r="N49" i="19"/>
  <c r="N50" i="19"/>
  <c r="N51" i="19"/>
  <c r="N52" i="19"/>
  <c r="N53" i="19"/>
  <c r="N56" i="19"/>
  <c r="N57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22" i="19"/>
  <c r="N23" i="19"/>
  <c r="N24" i="19"/>
  <c r="N25" i="19"/>
  <c r="N30" i="19"/>
  <c r="N31" i="19"/>
  <c r="N32" i="19"/>
  <c r="N33" i="19"/>
  <c r="N20" i="19"/>
  <c r="N21" i="19"/>
  <c r="N19" i="19"/>
  <c r="N26" i="19" s="1"/>
  <c r="N16" i="19"/>
  <c r="N14" i="19"/>
  <c r="N15" i="19"/>
  <c r="N12" i="19"/>
  <c r="N13" i="19"/>
  <c r="N10" i="19"/>
  <c r="N11" i="19"/>
  <c r="M144" i="19"/>
  <c r="M145" i="19"/>
  <c r="M146" i="19"/>
  <c r="M147" i="19"/>
  <c r="M148" i="19"/>
  <c r="M149" i="19"/>
  <c r="M150" i="19"/>
  <c r="M151" i="19"/>
  <c r="M130" i="19"/>
  <c r="M131" i="19"/>
  <c r="M132" i="19"/>
  <c r="M133" i="19"/>
  <c r="M134" i="19"/>
  <c r="M135" i="19"/>
  <c r="M136" i="19"/>
  <c r="M139" i="19"/>
  <c r="M140" i="19"/>
  <c r="M141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95" i="19"/>
  <c r="M96" i="19"/>
  <c r="M97" i="19"/>
  <c r="M98" i="19"/>
  <c r="M99" i="19"/>
  <c r="M100" i="19"/>
  <c r="M101" i="19"/>
  <c r="M102" i="19"/>
  <c r="M103" i="19"/>
  <c r="M104" i="19"/>
  <c r="M105" i="19"/>
  <c r="M82" i="19"/>
  <c r="M83" i="19"/>
  <c r="M84" i="19"/>
  <c r="M85" i="19"/>
  <c r="M86" i="19"/>
  <c r="M87" i="19"/>
  <c r="M88" i="19"/>
  <c r="M89" i="19"/>
  <c r="M90" i="19"/>
  <c r="M91" i="19"/>
  <c r="M92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58" i="19"/>
  <c r="M59" i="19"/>
  <c r="M60" i="19"/>
  <c r="M66" i="19"/>
  <c r="M67" i="19"/>
  <c r="M68" i="19"/>
  <c r="M46" i="19"/>
  <c r="M47" i="19"/>
  <c r="M48" i="19"/>
  <c r="M49" i="19"/>
  <c r="M50" i="19"/>
  <c r="M51" i="19"/>
  <c r="M52" i="19"/>
  <c r="M53" i="19"/>
  <c r="M56" i="19"/>
  <c r="M57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22" i="19"/>
  <c r="M23" i="19"/>
  <c r="M24" i="19"/>
  <c r="M25" i="19"/>
  <c r="M30" i="19"/>
  <c r="M31" i="19"/>
  <c r="M32" i="19"/>
  <c r="M33" i="19"/>
  <c r="M20" i="19"/>
  <c r="M21" i="19"/>
  <c r="M19" i="19"/>
  <c r="M26" i="19" s="1"/>
  <c r="M16" i="19"/>
  <c r="M14" i="19"/>
  <c r="M15" i="19"/>
  <c r="M12" i="19"/>
  <c r="M13" i="19"/>
  <c r="M10" i="19"/>
  <c r="M11" i="19"/>
  <c r="G46" i="18"/>
  <c r="F50" i="18"/>
  <c r="G18" i="18"/>
  <c r="F33" i="18"/>
  <c r="D13" i="24"/>
  <c r="I13" i="24"/>
  <c r="O13" i="24"/>
  <c r="L11" i="24"/>
  <c r="J13" i="24"/>
  <c r="K11" i="24"/>
  <c r="N13" i="24"/>
  <c r="K13" i="24"/>
  <c r="M11" i="24"/>
  <c r="O11" i="24"/>
  <c r="H13" i="24"/>
  <c r="N11" i="22"/>
  <c r="I11" i="22"/>
  <c r="K11" i="22"/>
  <c r="L11" i="22"/>
  <c r="O11" i="22"/>
  <c r="M11" i="22"/>
  <c r="J11" i="22"/>
  <c r="B6" i="12"/>
  <c r="B25" i="16"/>
  <c r="B20" i="16"/>
  <c r="P36" i="22" l="1"/>
  <c r="R36" i="22" s="1"/>
  <c r="P35" i="22"/>
  <c r="R35" i="22" s="1"/>
  <c r="P34" i="22"/>
  <c r="R34" i="22" s="1"/>
  <c r="P33" i="22"/>
  <c r="R33" i="22" s="1"/>
  <c r="P32" i="22"/>
  <c r="R32" i="22" s="1"/>
  <c r="P31" i="22"/>
  <c r="R31" i="22" s="1"/>
  <c r="P30" i="22"/>
  <c r="R30" i="22" s="1"/>
  <c r="P25" i="22"/>
  <c r="R25" i="22" s="1"/>
  <c r="P24" i="22"/>
  <c r="R24" i="22" s="1"/>
  <c r="P49" i="22"/>
  <c r="R49" i="22" s="1"/>
  <c r="P48" i="22"/>
  <c r="R48" i="22" s="1"/>
  <c r="P47" i="22"/>
  <c r="R47" i="22" s="1"/>
  <c r="P46" i="22"/>
  <c r="R46" i="22" s="1"/>
  <c r="P45" i="22"/>
  <c r="R45" i="22" s="1"/>
  <c r="P44" i="22"/>
  <c r="R44" i="22" s="1"/>
  <c r="P43" i="22"/>
  <c r="R43" i="22" s="1"/>
  <c r="P42" i="22"/>
  <c r="R42" i="22" s="1"/>
  <c r="P41" i="22"/>
  <c r="R41" i="22" s="1"/>
  <c r="P40" i="22"/>
  <c r="R40" i="22" s="1"/>
  <c r="P39" i="22"/>
  <c r="R39" i="22" s="1"/>
  <c r="P38" i="22"/>
  <c r="R38" i="22" s="1"/>
  <c r="P37" i="22"/>
  <c r="R37" i="22" s="1"/>
  <c r="P60" i="22"/>
  <c r="R60" i="22" s="1"/>
  <c r="P59" i="22"/>
  <c r="R59" i="22" s="1"/>
  <c r="P58" i="22"/>
  <c r="R58" i="22" s="1"/>
  <c r="P57" i="22"/>
  <c r="R57" i="22" s="1"/>
  <c r="P56" i="22"/>
  <c r="R56" i="22" s="1"/>
  <c r="P53" i="22"/>
  <c r="R53" i="22" s="1"/>
  <c r="P52" i="22"/>
  <c r="R52" i="22" s="1"/>
  <c r="P51" i="22"/>
  <c r="R51" i="22" s="1"/>
  <c r="P50" i="22"/>
  <c r="R50" i="22" s="1"/>
  <c r="P75" i="22"/>
  <c r="R75" i="22" s="1"/>
  <c r="P74" i="22"/>
  <c r="R74" i="22" s="1"/>
  <c r="P73" i="22"/>
  <c r="R73" i="22" s="1"/>
  <c r="P72" i="22"/>
  <c r="R72" i="22" s="1"/>
  <c r="P71" i="22"/>
  <c r="R71" i="22" s="1"/>
  <c r="P70" i="22"/>
  <c r="R70" i="22" s="1"/>
  <c r="P69" i="22"/>
  <c r="R69" i="22" s="1"/>
  <c r="P68" i="22"/>
  <c r="R68" i="22" s="1"/>
  <c r="P67" i="22"/>
  <c r="R67" i="22" s="1"/>
  <c r="P66" i="22"/>
  <c r="R66" i="22" s="1"/>
  <c r="P88" i="22"/>
  <c r="R88" i="22" s="1"/>
  <c r="P87" i="22"/>
  <c r="R87" i="22" s="1"/>
  <c r="P86" i="22"/>
  <c r="R86" i="22" s="1"/>
  <c r="P85" i="22"/>
  <c r="R85" i="22" s="1"/>
  <c r="P84" i="22"/>
  <c r="R84" i="22" s="1"/>
  <c r="P83" i="22"/>
  <c r="R83" i="22" s="1"/>
  <c r="P82" i="22"/>
  <c r="R82" i="22" s="1"/>
  <c r="P81" i="22"/>
  <c r="R81" i="22" s="1"/>
  <c r="P80" i="22"/>
  <c r="R80" i="22" s="1"/>
  <c r="P79" i="22"/>
  <c r="R79" i="22" s="1"/>
  <c r="P78" i="22"/>
  <c r="R78" i="22" s="1"/>
  <c r="P77" i="22"/>
  <c r="R77" i="22" s="1"/>
  <c r="P76" i="22"/>
  <c r="R76" i="22" s="1"/>
  <c r="P101" i="22"/>
  <c r="R101" i="22" s="1"/>
  <c r="P100" i="22"/>
  <c r="R100" i="22" s="1"/>
  <c r="P99" i="22"/>
  <c r="R99" i="22" s="1"/>
  <c r="P98" i="22"/>
  <c r="R98" i="22" s="1"/>
  <c r="P97" i="22"/>
  <c r="R97" i="22" s="1"/>
  <c r="P96" i="22"/>
  <c r="R96" i="22" s="1"/>
  <c r="P95" i="22"/>
  <c r="R95" i="22" s="1"/>
  <c r="P92" i="22"/>
  <c r="R92" i="22" s="1"/>
  <c r="P91" i="22"/>
  <c r="R91" i="22" s="1"/>
  <c r="P90" i="22"/>
  <c r="R90" i="22" s="1"/>
  <c r="P89" i="22"/>
  <c r="R89" i="22" s="1"/>
  <c r="P114" i="22"/>
  <c r="R114" i="22" s="1"/>
  <c r="P113" i="22"/>
  <c r="R113" i="22" s="1"/>
  <c r="P112" i="22"/>
  <c r="R112" i="22" s="1"/>
  <c r="P111" i="22"/>
  <c r="R111" i="22" s="1"/>
  <c r="P110" i="22"/>
  <c r="R110" i="22" s="1"/>
  <c r="P109" i="22"/>
  <c r="R109" i="22" s="1"/>
  <c r="P108" i="22"/>
  <c r="R108" i="22" s="1"/>
  <c r="P107" i="22"/>
  <c r="R107" i="22" s="1"/>
  <c r="P106" i="22"/>
  <c r="R106" i="22" s="1"/>
  <c r="P105" i="22"/>
  <c r="R105" i="22" s="1"/>
  <c r="P104" i="22"/>
  <c r="R104" i="22" s="1"/>
  <c r="P103" i="22"/>
  <c r="R103" i="22" s="1"/>
  <c r="P102" i="22"/>
  <c r="R102" i="22" s="1"/>
  <c r="P127" i="22"/>
  <c r="R127" i="22" s="1"/>
  <c r="P126" i="22"/>
  <c r="R126" i="22" s="1"/>
  <c r="P125" i="22"/>
  <c r="R125" i="22" s="1"/>
  <c r="P124" i="22"/>
  <c r="R124" i="22" s="1"/>
  <c r="P123" i="22"/>
  <c r="R123" i="22" s="1"/>
  <c r="P122" i="22"/>
  <c r="R122" i="22" s="1"/>
  <c r="P121" i="22"/>
  <c r="R121" i="22" s="1"/>
  <c r="P120" i="22"/>
  <c r="R120" i="22" s="1"/>
  <c r="P119" i="22"/>
  <c r="R119" i="22" s="1"/>
  <c r="P118" i="22"/>
  <c r="R118" i="22" s="1"/>
  <c r="P117" i="22"/>
  <c r="R117" i="22" s="1"/>
  <c r="P116" i="22"/>
  <c r="R116" i="22" s="1"/>
  <c r="P115" i="22"/>
  <c r="R115" i="22" s="1"/>
  <c r="P10" i="22"/>
  <c r="R10" i="22" s="1"/>
  <c r="P13" i="22"/>
  <c r="R13" i="22" s="1"/>
  <c r="P12" i="22"/>
  <c r="R12" i="22" s="1"/>
  <c r="P15" i="22"/>
  <c r="R15" i="22" s="1"/>
  <c r="P14" i="22"/>
  <c r="R14" i="22" s="1"/>
  <c r="P16" i="22"/>
  <c r="R16" i="22" s="1"/>
  <c r="P19" i="22"/>
  <c r="R19" i="22" s="1"/>
  <c r="P21" i="22"/>
  <c r="R21" i="22" s="1"/>
  <c r="P20" i="22"/>
  <c r="R20" i="22" s="1"/>
  <c r="P23" i="22"/>
  <c r="R23" i="22" s="1"/>
  <c r="P22" i="22"/>
  <c r="R22" i="22" s="1"/>
  <c r="S55" i="18"/>
  <c r="H139" i="18"/>
  <c r="G141" i="18"/>
  <c r="S105" i="18"/>
  <c r="S110" i="18"/>
  <c r="H124" i="18"/>
  <c r="G129" i="18"/>
  <c r="S114" i="18"/>
  <c r="M17" i="19"/>
  <c r="M27" i="19" s="1"/>
  <c r="M54" i="19"/>
  <c r="M61" i="19"/>
  <c r="M137" i="19"/>
  <c r="M142" i="19"/>
  <c r="M152" i="19"/>
  <c r="N17" i="19"/>
  <c r="N27" i="19" s="1"/>
  <c r="N54" i="19"/>
  <c r="N61" i="19"/>
  <c r="N137" i="19"/>
  <c r="N142" i="19"/>
  <c r="N152" i="19"/>
  <c r="O17" i="19"/>
  <c r="O27" i="19" s="1"/>
  <c r="O54" i="19"/>
  <c r="O61" i="19"/>
  <c r="O137" i="19"/>
  <c r="O142" i="19"/>
  <c r="O152" i="19"/>
  <c r="L17" i="19"/>
  <c r="L27" i="19" s="1"/>
  <c r="L54" i="19"/>
  <c r="L61" i="19"/>
  <c r="L137" i="19"/>
  <c r="L142" i="19"/>
  <c r="L152" i="19"/>
  <c r="F17" i="19"/>
  <c r="F27" i="19" s="1"/>
  <c r="F54" i="19"/>
  <c r="F61" i="19"/>
  <c r="F137" i="19"/>
  <c r="F142" i="19"/>
  <c r="F152" i="19"/>
  <c r="H17" i="19"/>
  <c r="H27" i="19" s="1"/>
  <c r="H54" i="19"/>
  <c r="H61" i="19"/>
  <c r="H137" i="19"/>
  <c r="H142" i="19"/>
  <c r="H152" i="19"/>
  <c r="P17" i="19"/>
  <c r="P27" i="19" s="1"/>
  <c r="P54" i="19"/>
  <c r="P61" i="19"/>
  <c r="P137" i="19"/>
  <c r="P142" i="19"/>
  <c r="P152" i="19"/>
  <c r="I17" i="19"/>
  <c r="I27" i="19" s="1"/>
  <c r="I54" i="19"/>
  <c r="I61" i="19"/>
  <c r="I137" i="19"/>
  <c r="I142" i="19"/>
  <c r="I152" i="19"/>
  <c r="G17" i="19"/>
  <c r="G27" i="19" s="1"/>
  <c r="G54" i="19"/>
  <c r="G61" i="19"/>
  <c r="G137" i="19"/>
  <c r="G142" i="19"/>
  <c r="G152" i="19"/>
  <c r="J17" i="19"/>
  <c r="J27" i="19" s="1"/>
  <c r="J54" i="19"/>
  <c r="J61" i="19"/>
  <c r="J137" i="19"/>
  <c r="J142" i="19"/>
  <c r="J152" i="19"/>
  <c r="Q11" i="19"/>
  <c r="S11" i="19" s="1"/>
  <c r="Q10" i="19"/>
  <c r="E17" i="19"/>
  <c r="Q13" i="19"/>
  <c r="S13" i="19" s="1"/>
  <c r="Q12" i="19"/>
  <c r="S12" i="19" s="1"/>
  <c r="Q15" i="19"/>
  <c r="S15" i="19" s="1"/>
  <c r="Q14" i="19"/>
  <c r="S14" i="19" s="1"/>
  <c r="Q16" i="19"/>
  <c r="S16" i="19" s="1"/>
  <c r="Q19" i="19"/>
  <c r="E26" i="19"/>
  <c r="Q21" i="19"/>
  <c r="S21" i="19" s="1"/>
  <c r="Q20" i="19"/>
  <c r="S20" i="19" s="1"/>
  <c r="Q33" i="19"/>
  <c r="S33" i="19" s="1"/>
  <c r="Q32" i="19"/>
  <c r="S32" i="19" s="1"/>
  <c r="Q31" i="19"/>
  <c r="S31" i="19" s="1"/>
  <c r="Q30" i="19"/>
  <c r="E54" i="19"/>
  <c r="Q25" i="19"/>
  <c r="S25" i="19" s="1"/>
  <c r="Q24" i="19"/>
  <c r="S24" i="19" s="1"/>
  <c r="Q23" i="19"/>
  <c r="S23" i="19" s="1"/>
  <c r="Q22" i="19"/>
  <c r="S22" i="19" s="1"/>
  <c r="Q45" i="19"/>
  <c r="S45" i="19" s="1"/>
  <c r="Q44" i="19"/>
  <c r="S44" i="19" s="1"/>
  <c r="Q43" i="19"/>
  <c r="S43" i="19" s="1"/>
  <c r="Q42" i="19"/>
  <c r="S42" i="19" s="1"/>
  <c r="Q41" i="19"/>
  <c r="S41" i="19" s="1"/>
  <c r="Q40" i="19"/>
  <c r="S40" i="19" s="1"/>
  <c r="Q39" i="19"/>
  <c r="S39" i="19" s="1"/>
  <c r="Q38" i="19"/>
  <c r="S38" i="19" s="1"/>
  <c r="Q37" i="19"/>
  <c r="S37" i="19" s="1"/>
  <c r="Q36" i="19"/>
  <c r="S36" i="19" s="1"/>
  <c r="Q35" i="19"/>
  <c r="S35" i="19" s="1"/>
  <c r="Q34" i="19"/>
  <c r="S34" i="19" s="1"/>
  <c r="Q57" i="19"/>
  <c r="S57" i="19" s="1"/>
  <c r="Q56" i="19"/>
  <c r="E61" i="19"/>
  <c r="Q53" i="19"/>
  <c r="S53" i="19" s="1"/>
  <c r="Q52" i="19"/>
  <c r="S52" i="19" s="1"/>
  <c r="Q51" i="19"/>
  <c r="S51" i="19" s="1"/>
  <c r="Q50" i="19"/>
  <c r="S50" i="19" s="1"/>
  <c r="Q49" i="19"/>
  <c r="S49" i="19" s="1"/>
  <c r="Q48" i="19"/>
  <c r="S48" i="19" s="1"/>
  <c r="Q47" i="19"/>
  <c r="S47" i="19" s="1"/>
  <c r="Q46" i="19"/>
  <c r="S46" i="19" s="1"/>
  <c r="Q68" i="19"/>
  <c r="S68" i="19" s="1"/>
  <c r="Q67" i="19"/>
  <c r="S67" i="19" s="1"/>
  <c r="Q66" i="19"/>
  <c r="Q60" i="19"/>
  <c r="S60" i="19" s="1"/>
  <c r="Q59" i="19"/>
  <c r="S59" i="19" s="1"/>
  <c r="Q58" i="19"/>
  <c r="S58" i="19" s="1"/>
  <c r="Q81" i="19"/>
  <c r="S81" i="19" s="1"/>
  <c r="Q80" i="19"/>
  <c r="S80" i="19" s="1"/>
  <c r="Q79" i="19"/>
  <c r="S79" i="19" s="1"/>
  <c r="Q78" i="19"/>
  <c r="S78" i="19" s="1"/>
  <c r="Q77" i="19"/>
  <c r="S77" i="19" s="1"/>
  <c r="Q76" i="19"/>
  <c r="S76" i="19" s="1"/>
  <c r="Q75" i="19"/>
  <c r="S75" i="19" s="1"/>
  <c r="Q74" i="19"/>
  <c r="S74" i="19" s="1"/>
  <c r="Q73" i="19"/>
  <c r="S73" i="19" s="1"/>
  <c r="Q72" i="19"/>
  <c r="S72" i="19" s="1"/>
  <c r="Q71" i="19"/>
  <c r="S71" i="19" s="1"/>
  <c r="Q70" i="19"/>
  <c r="S70" i="19" s="1"/>
  <c r="Q92" i="19"/>
  <c r="S92" i="19" s="1"/>
  <c r="Q91" i="19"/>
  <c r="S91" i="19" s="1"/>
  <c r="Q90" i="19"/>
  <c r="S90" i="19" s="1"/>
  <c r="Q89" i="19"/>
  <c r="S89" i="19" s="1"/>
  <c r="Q88" i="19"/>
  <c r="S88" i="19" s="1"/>
  <c r="Q87" i="19"/>
  <c r="S87" i="19" s="1"/>
  <c r="Q86" i="19"/>
  <c r="S86" i="19" s="1"/>
  <c r="Q85" i="19"/>
  <c r="S85" i="19" s="1"/>
  <c r="Q84" i="19"/>
  <c r="S84" i="19" s="1"/>
  <c r="Q83" i="19"/>
  <c r="S83" i="19" s="1"/>
  <c r="Q82" i="19"/>
  <c r="S82" i="19" s="1"/>
  <c r="Q105" i="19"/>
  <c r="S105" i="19" s="1"/>
  <c r="Q104" i="19"/>
  <c r="S104" i="19" s="1"/>
  <c r="Q103" i="19"/>
  <c r="S103" i="19" s="1"/>
  <c r="Q102" i="19"/>
  <c r="S102" i="19" s="1"/>
  <c r="Q101" i="19"/>
  <c r="S101" i="19" s="1"/>
  <c r="Q100" i="19"/>
  <c r="S100" i="19" s="1"/>
  <c r="Q99" i="19"/>
  <c r="S99" i="19" s="1"/>
  <c r="Q98" i="19"/>
  <c r="S98" i="19" s="1"/>
  <c r="Q97" i="19"/>
  <c r="S97" i="19" s="1"/>
  <c r="Q96" i="19"/>
  <c r="S96" i="19" s="1"/>
  <c r="Q95" i="19"/>
  <c r="E137" i="19"/>
  <c r="Q117" i="19"/>
  <c r="S117" i="19" s="1"/>
  <c r="Q116" i="19"/>
  <c r="S116" i="19" s="1"/>
  <c r="Q115" i="19"/>
  <c r="S115" i="19" s="1"/>
  <c r="Q114" i="19"/>
  <c r="S114" i="19" s="1"/>
  <c r="Q113" i="19"/>
  <c r="S113" i="19" s="1"/>
  <c r="Q112" i="19"/>
  <c r="S112" i="19" s="1"/>
  <c r="Q111" i="19"/>
  <c r="S111" i="19" s="1"/>
  <c r="Q110" i="19"/>
  <c r="S110" i="19" s="1"/>
  <c r="Q109" i="19"/>
  <c r="S109" i="19" s="1"/>
  <c r="Q108" i="19"/>
  <c r="S108" i="19" s="1"/>
  <c r="Q107" i="19"/>
  <c r="S107" i="19" s="1"/>
  <c r="Q106" i="19"/>
  <c r="S106" i="19" s="1"/>
  <c r="Q129" i="19"/>
  <c r="S129" i="19" s="1"/>
  <c r="Q128" i="19"/>
  <c r="S128" i="19" s="1"/>
  <c r="Q127" i="19"/>
  <c r="S127" i="19" s="1"/>
  <c r="Q126" i="19"/>
  <c r="S126" i="19" s="1"/>
  <c r="Q125" i="19"/>
  <c r="S125" i="19" s="1"/>
  <c r="Q124" i="19"/>
  <c r="S124" i="19" s="1"/>
  <c r="Q123" i="19"/>
  <c r="S123" i="19" s="1"/>
  <c r="Q122" i="19"/>
  <c r="S122" i="19" s="1"/>
  <c r="Q121" i="19"/>
  <c r="S121" i="19" s="1"/>
  <c r="Q120" i="19"/>
  <c r="S120" i="19" s="1"/>
  <c r="Q119" i="19"/>
  <c r="S119" i="19" s="1"/>
  <c r="Q118" i="19"/>
  <c r="S118" i="19" s="1"/>
  <c r="Q141" i="19"/>
  <c r="S141" i="19" s="1"/>
  <c r="Q140" i="19"/>
  <c r="S140" i="19" s="1"/>
  <c r="Q139" i="19"/>
  <c r="E142" i="19"/>
  <c r="Q136" i="19"/>
  <c r="S136" i="19" s="1"/>
  <c r="Q135" i="19"/>
  <c r="S135" i="19" s="1"/>
  <c r="Q134" i="19"/>
  <c r="S134" i="19" s="1"/>
  <c r="Q133" i="19"/>
  <c r="S133" i="19" s="1"/>
  <c r="Q132" i="19"/>
  <c r="S132" i="19" s="1"/>
  <c r="Q131" i="19"/>
  <c r="S131" i="19" s="1"/>
  <c r="Q130" i="19"/>
  <c r="S130" i="19" s="1"/>
  <c r="Q151" i="19"/>
  <c r="S151" i="19" s="1"/>
  <c r="Q150" i="19"/>
  <c r="S150" i="19" s="1"/>
  <c r="Q149" i="19"/>
  <c r="S149" i="19" s="1"/>
  <c r="Q148" i="19"/>
  <c r="S148" i="19" s="1"/>
  <c r="Q147" i="19"/>
  <c r="S147" i="19" s="1"/>
  <c r="Q146" i="19"/>
  <c r="S146" i="19" s="1"/>
  <c r="Q145" i="19"/>
  <c r="S145" i="19" s="1"/>
  <c r="Q144" i="19"/>
  <c r="E152" i="19"/>
  <c r="K17" i="19"/>
  <c r="K27" i="19" s="1"/>
  <c r="K54" i="19"/>
  <c r="K61" i="19"/>
  <c r="K137" i="19"/>
  <c r="K142" i="19"/>
  <c r="K152" i="19"/>
  <c r="H18" i="18"/>
  <c r="G33" i="18"/>
  <c r="H46" i="18"/>
  <c r="G50" i="18"/>
  <c r="P13" i="24"/>
  <c r="R13" i="24" s="1"/>
  <c r="G35" i="16"/>
  <c r="E35" i="16"/>
  <c r="C35" i="16"/>
  <c r="B35" i="16"/>
  <c r="G34" i="16"/>
  <c r="G33" i="16"/>
  <c r="G32" i="16"/>
  <c r="G31" i="16"/>
  <c r="G30" i="16"/>
  <c r="G8" i="16"/>
  <c r="G7" i="16"/>
  <c r="B6" i="16"/>
  <c r="B6" i="15"/>
  <c r="H167" i="15"/>
  <c r="H166" i="15"/>
  <c r="H165" i="15"/>
  <c r="H164" i="15"/>
  <c r="H163" i="15"/>
  <c r="H160" i="15"/>
  <c r="H156" i="15"/>
  <c r="H155" i="15"/>
  <c r="H154" i="15"/>
  <c r="H153" i="15"/>
  <c r="H28" i="15"/>
  <c r="H8" i="15"/>
  <c r="H7" i="15"/>
  <c r="F170" i="15"/>
  <c r="C170" i="15"/>
  <c r="B170" i="15"/>
  <c r="F163" i="14"/>
  <c r="F26" i="12" s="1"/>
  <c r="C163" i="14"/>
  <c r="D26" i="12" s="1"/>
  <c r="B163" i="14"/>
  <c r="B26" i="12" s="1"/>
  <c r="B6" i="14"/>
  <c r="I139" i="18" l="1"/>
  <c r="H141" i="18"/>
  <c r="I124" i="18"/>
  <c r="H129" i="18"/>
  <c r="K62" i="19"/>
  <c r="K63" i="19"/>
  <c r="S144" i="19"/>
  <c r="Q152" i="19"/>
  <c r="S152" i="19" s="1"/>
  <c r="S139" i="19"/>
  <c r="Q142" i="19"/>
  <c r="S142" i="19" s="1"/>
  <c r="S95" i="19"/>
  <c r="Q137" i="19"/>
  <c r="S137" i="19" s="1"/>
  <c r="S66" i="19"/>
  <c r="S56" i="19"/>
  <c r="Q61" i="19"/>
  <c r="S61" i="19" s="1"/>
  <c r="E62" i="19"/>
  <c r="S30" i="19"/>
  <c r="Q54" i="19"/>
  <c r="S19" i="19"/>
  <c r="Q26" i="19"/>
  <c r="S26" i="19" s="1"/>
  <c r="E27" i="19"/>
  <c r="E63" i="19" s="1"/>
  <c r="S10" i="19"/>
  <c r="Q17" i="19"/>
  <c r="J62" i="19"/>
  <c r="J63" i="19"/>
  <c r="G62" i="19"/>
  <c r="G63" i="19"/>
  <c r="I62" i="19"/>
  <c r="I63" i="19"/>
  <c r="P62" i="19"/>
  <c r="P63" i="19"/>
  <c r="H62" i="19"/>
  <c r="H63" i="19"/>
  <c r="F62" i="19"/>
  <c r="F63" i="19"/>
  <c r="L62" i="19"/>
  <c r="L63" i="19"/>
  <c r="O62" i="19"/>
  <c r="O63" i="19"/>
  <c r="N62" i="19"/>
  <c r="N63" i="19"/>
  <c r="M62" i="19"/>
  <c r="M63" i="19"/>
  <c r="I46" i="18"/>
  <c r="H50" i="18"/>
  <c r="I18" i="18"/>
  <c r="H33" i="18"/>
  <c r="B11" i="13"/>
  <c r="J139" i="18" l="1"/>
  <c r="I141" i="18"/>
  <c r="J124" i="18"/>
  <c r="I129" i="18"/>
  <c r="Q27" i="19"/>
  <c r="S17" i="19"/>
  <c r="Q62" i="19"/>
  <c r="S62" i="19" s="1"/>
  <c r="S54" i="19"/>
  <c r="J18" i="18"/>
  <c r="I33" i="18"/>
  <c r="J46" i="18"/>
  <c r="I50" i="18"/>
  <c r="L11" i="13"/>
  <c r="M11" i="13"/>
  <c r="K11" i="13"/>
  <c r="H11" i="13"/>
  <c r="J11" i="13"/>
  <c r="I11" i="13"/>
  <c r="C11" i="13"/>
  <c r="L39" i="4"/>
  <c r="L38" i="4"/>
  <c r="L37" i="4"/>
  <c r="L36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B6" i="10"/>
  <c r="B6" i="13" s="1"/>
  <c r="K139" i="18" l="1"/>
  <c r="J141" i="18"/>
  <c r="K124" i="18"/>
  <c r="J129" i="18"/>
  <c r="Q63" i="19"/>
  <c r="S27" i="19"/>
  <c r="K46" i="18"/>
  <c r="J50" i="18"/>
  <c r="K18" i="18"/>
  <c r="J33" i="18"/>
  <c r="N8" i="4"/>
  <c r="N24" i="4"/>
  <c r="N9" i="4"/>
  <c r="O9" i="4" s="1"/>
  <c r="N17" i="4"/>
  <c r="O17" i="4" s="1"/>
  <c r="N25" i="4"/>
  <c r="N33" i="4"/>
  <c r="N23" i="4"/>
  <c r="N32" i="4"/>
  <c r="N10" i="4"/>
  <c r="O10" i="4" s="1"/>
  <c r="N18" i="4"/>
  <c r="N26" i="4"/>
  <c r="N34" i="4"/>
  <c r="N11" i="4"/>
  <c r="O11" i="4" s="1"/>
  <c r="N19" i="4"/>
  <c r="N27" i="4"/>
  <c r="N36" i="4"/>
  <c r="N15" i="4"/>
  <c r="N31" i="4"/>
  <c r="N12" i="4"/>
  <c r="O12" i="4" s="1"/>
  <c r="N28" i="4"/>
  <c r="N37" i="4"/>
  <c r="O37" i="4" s="1"/>
  <c r="N13" i="4"/>
  <c r="O13" i="4" s="1"/>
  <c r="N21" i="4"/>
  <c r="O21" i="4" s="1"/>
  <c r="N29" i="4"/>
  <c r="N38" i="4"/>
  <c r="N16" i="4"/>
  <c r="O16" i="4" s="1"/>
  <c r="N20" i="4"/>
  <c r="N14" i="4"/>
  <c r="N22" i="4"/>
  <c r="O22" i="4" s="1"/>
  <c r="N30" i="4"/>
  <c r="N39" i="4"/>
  <c r="O39" i="4" s="1"/>
  <c r="F11" i="13"/>
  <c r="G11" i="13"/>
  <c r="O1065" i="4" l="1"/>
  <c r="O1064" i="4"/>
  <c r="O238" i="4"/>
  <c r="O239" i="4"/>
  <c r="O497" i="4"/>
  <c r="O498" i="4"/>
  <c r="O32" i="4"/>
  <c r="O33" i="4"/>
  <c r="O823" i="4"/>
  <c r="O822" i="4"/>
  <c r="O119" i="4"/>
  <c r="O469" i="4"/>
  <c r="O468" i="4"/>
  <c r="O467" i="4"/>
  <c r="O466" i="4"/>
  <c r="O637" i="4"/>
  <c r="O636" i="4"/>
  <c r="O635" i="4"/>
  <c r="O556" i="4"/>
  <c r="O555" i="4"/>
  <c r="O554" i="4"/>
  <c r="O724" i="4"/>
  <c r="O723" i="4"/>
  <c r="O722" i="4"/>
  <c r="O204" i="4"/>
  <c r="O118" i="4"/>
  <c r="O297" i="4"/>
  <c r="O381" i="4"/>
  <c r="O295" i="4"/>
  <c r="O122" i="4"/>
  <c r="O208" i="4"/>
  <c r="O383" i="4"/>
  <c r="O296" i="4"/>
  <c r="O207" i="4"/>
  <c r="O380" i="4"/>
  <c r="O294" i="4"/>
  <c r="O205" i="4"/>
  <c r="O382" i="4"/>
  <c r="O353" i="4"/>
  <c r="O440" i="4"/>
  <c r="O529" i="4"/>
  <c r="O612" i="4"/>
  <c r="O696" i="4"/>
  <c r="O1055" i="4"/>
  <c r="O1051" i="4"/>
  <c r="O972" i="4"/>
  <c r="O968" i="4"/>
  <c r="O889" i="4"/>
  <c r="O885" i="4"/>
  <c r="O438" i="4"/>
  <c r="O693" i="4"/>
  <c r="O689" i="4"/>
  <c r="O527" i="4"/>
  <c r="O523" i="4"/>
  <c r="O611" i="4"/>
  <c r="O607" i="4"/>
  <c r="O787" i="4"/>
  <c r="O783" i="4"/>
  <c r="O267" i="4"/>
  <c r="O352" i="4"/>
  <c r="O349" i="4"/>
  <c r="O177" i="4"/>
  <c r="O433" i="4"/>
  <c r="O1067" i="4"/>
  <c r="O1063" i="4"/>
  <c r="O260" i="4"/>
  <c r="O964" i="4"/>
  <c r="O1016" i="4"/>
  <c r="O1045" i="4"/>
  <c r="O933" i="4"/>
  <c r="O934" i="4"/>
  <c r="O1061" i="4"/>
  <c r="O1056" i="4"/>
  <c r="O1047" i="4"/>
  <c r="O1046" i="4"/>
  <c r="O1044" i="4"/>
  <c r="O1043" i="4"/>
  <c r="O1042" i="4"/>
  <c r="O1041" i="4"/>
  <c r="O1040" i="4"/>
  <c r="O1039" i="4"/>
  <c r="O1038" i="4"/>
  <c r="O1037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5" i="4"/>
  <c r="O1014" i="4"/>
  <c r="O1013" i="4"/>
  <c r="O1012" i="4"/>
  <c r="O1011" i="4"/>
  <c r="O1010" i="4"/>
  <c r="O1009" i="4"/>
  <c r="O1008" i="4"/>
  <c r="O1007" i="4"/>
  <c r="O996" i="4"/>
  <c r="O963" i="4"/>
  <c r="O962" i="4"/>
  <c r="O961" i="4"/>
  <c r="O960" i="4"/>
  <c r="O959" i="4"/>
  <c r="O958" i="4"/>
  <c r="O957" i="4"/>
  <c r="O956" i="4"/>
  <c r="O955" i="4"/>
  <c r="O954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2" i="4"/>
  <c r="O931" i="4"/>
  <c r="O930" i="4"/>
  <c r="O929" i="4"/>
  <c r="O928" i="4"/>
  <c r="O927" i="4"/>
  <c r="O926" i="4"/>
  <c r="O921" i="4"/>
  <c r="O1036" i="4"/>
  <c r="O953" i="4"/>
  <c r="O681" i="4"/>
  <c r="O259" i="4"/>
  <c r="O38" i="4"/>
  <c r="O18" i="4"/>
  <c r="O820" i="4"/>
  <c r="O816" i="4"/>
  <c r="O815" i="4"/>
  <c r="O814" i="4"/>
  <c r="O817" i="4"/>
  <c r="O973" i="4"/>
  <c r="O920" i="4"/>
  <c r="O913" i="4"/>
  <c r="O903" i="4"/>
  <c r="O841" i="4"/>
  <c r="O838" i="4"/>
  <c r="O837" i="4"/>
  <c r="O830" i="4"/>
  <c r="O819" i="4"/>
  <c r="O804" i="4"/>
  <c r="O802" i="4"/>
  <c r="O35" i="4"/>
  <c r="O376" i="4"/>
  <c r="O715" i="4"/>
  <c r="O714" i="4"/>
  <c r="O711" i="4"/>
  <c r="O708" i="4"/>
  <c r="O486" i="4"/>
  <c r="O482" i="4"/>
  <c r="O473" i="4"/>
  <c r="O470" i="4"/>
  <c r="O462" i="4"/>
  <c r="O461" i="4"/>
  <c r="O458" i="4"/>
  <c r="O457" i="4"/>
  <c r="O454" i="4"/>
  <c r="O451" i="4"/>
  <c r="O638" i="4"/>
  <c r="O632" i="4"/>
  <c r="O628" i="4"/>
  <c r="O627" i="4"/>
  <c r="O624" i="4"/>
  <c r="O621" i="4"/>
  <c r="O651" i="4"/>
  <c r="O649" i="4"/>
  <c r="O639" i="4"/>
  <c r="O573" i="4"/>
  <c r="O569" i="4"/>
  <c r="O560" i="4"/>
  <c r="O557" i="4"/>
  <c r="O551" i="4"/>
  <c r="O547" i="4"/>
  <c r="O546" i="4"/>
  <c r="O543" i="4"/>
  <c r="O540" i="4"/>
  <c r="O729" i="4"/>
  <c r="O725" i="4"/>
  <c r="O719" i="4"/>
  <c r="O741" i="4"/>
  <c r="O738" i="4"/>
  <c r="O402" i="4"/>
  <c r="O225" i="4"/>
  <c r="O212" i="4"/>
  <c r="O197" i="4"/>
  <c r="O111" i="4"/>
  <c r="O398" i="4"/>
  <c r="O384" i="4"/>
  <c r="O301" i="4"/>
  <c r="O223" i="4"/>
  <c r="O209" i="4"/>
  <c r="O201" i="4"/>
  <c r="O194" i="4"/>
  <c r="O371" i="4"/>
  <c r="O288" i="4"/>
  <c r="O191" i="4"/>
  <c r="O130" i="4"/>
  <c r="O104" i="4"/>
  <c r="O389" i="4"/>
  <c r="O107" i="4"/>
  <c r="O313" i="4"/>
  <c r="O213" i="4"/>
  <c r="O198" i="4"/>
  <c r="O291" i="4"/>
  <c r="O372" i="4"/>
  <c r="O139" i="4"/>
  <c r="O368" i="4"/>
  <c r="O224" i="4"/>
  <c r="O110" i="4"/>
  <c r="O365" i="4"/>
  <c r="O214" i="4"/>
  <c r="O287" i="4"/>
  <c r="O310" i="4"/>
  <c r="O142" i="4"/>
  <c r="O281" i="4"/>
  <c r="O54" i="4"/>
  <c r="O375" i="4"/>
  <c r="O298" i="4"/>
  <c r="O284" i="4"/>
  <c r="O123" i="4"/>
  <c r="O1057" i="4"/>
  <c r="L139" i="18"/>
  <c r="K141" i="18"/>
  <c r="L124" i="18"/>
  <c r="K129" i="18"/>
  <c r="O990" i="4"/>
  <c r="O991" i="4"/>
  <c r="O1002" i="4"/>
  <c r="O997" i="4"/>
  <c r="O989" i="4"/>
  <c r="O988" i="4"/>
  <c r="O985" i="4"/>
  <c r="S63" i="19"/>
  <c r="L18" i="18"/>
  <c r="K33" i="18"/>
  <c r="L46" i="18"/>
  <c r="K50" i="18"/>
  <c r="O917" i="4"/>
  <c r="O916" i="4"/>
  <c r="O914" i="4"/>
  <c r="O892" i="4"/>
  <c r="O891" i="4"/>
  <c r="O984" i="4"/>
  <c r="O999" i="4"/>
  <c r="O998" i="4"/>
  <c r="O794" i="4"/>
  <c r="O915" i="4"/>
  <c r="O895" i="4"/>
  <c r="O976" i="4"/>
  <c r="O1006" i="4"/>
  <c r="O1005" i="4"/>
  <c r="O1004" i="4"/>
  <c r="O1003" i="4"/>
  <c r="O992" i="4"/>
  <c r="O982" i="4"/>
  <c r="O925" i="4"/>
  <c r="O924" i="4"/>
  <c r="O923" i="4"/>
  <c r="O922" i="4"/>
  <c r="O901" i="4"/>
  <c r="O908" i="4"/>
  <c r="O912" i="4"/>
  <c r="O911" i="4"/>
  <c r="O910" i="4"/>
  <c r="O909" i="4"/>
  <c r="O907" i="4"/>
  <c r="O906" i="4"/>
  <c r="O905" i="4"/>
  <c r="O904" i="4"/>
  <c r="O808" i="4"/>
  <c r="O807" i="4"/>
  <c r="O806" i="4"/>
  <c r="O805" i="4"/>
  <c r="O811" i="4"/>
  <c r="O813" i="4"/>
  <c r="O826" i="4"/>
  <c r="O825" i="4"/>
  <c r="O842" i="4"/>
  <c r="O827" i="4"/>
  <c r="O824" i="4"/>
  <c r="O818" i="4"/>
  <c r="O801" i="4"/>
  <c r="O839" i="4"/>
  <c r="O791" i="4"/>
  <c r="O790" i="4"/>
  <c r="O840" i="4"/>
  <c r="O821" i="4"/>
  <c r="O810" i="4"/>
  <c r="O799" i="4"/>
  <c r="O795" i="4"/>
  <c r="O835" i="4"/>
  <c r="O834" i="4"/>
  <c r="O833" i="4"/>
  <c r="O832" i="4"/>
  <c r="O809" i="4"/>
  <c r="O800" i="4"/>
  <c r="O879" i="4"/>
  <c r="O852" i="4"/>
  <c r="O844" i="4"/>
  <c r="O890" i="4"/>
  <c r="O881" i="4"/>
  <c r="O880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1" i="4"/>
  <c r="O850" i="4"/>
  <c r="O849" i="4"/>
  <c r="O848" i="4"/>
  <c r="O847" i="4"/>
  <c r="O846" i="4"/>
  <c r="O845" i="4"/>
  <c r="O843" i="4"/>
  <c r="O831" i="4"/>
  <c r="O812" i="4"/>
  <c r="O769" i="4"/>
  <c r="O761" i="4"/>
  <c r="O753" i="4"/>
  <c r="O744" i="4"/>
  <c r="O62" i="4"/>
  <c r="O83" i="4"/>
  <c r="O72" i="4"/>
  <c r="O74" i="4"/>
  <c r="O71" i="4"/>
  <c r="O85" i="4"/>
  <c r="O77" i="4"/>
  <c r="O82" i="4"/>
  <c r="O63" i="4"/>
  <c r="O84" i="4"/>
  <c r="O76" i="4"/>
  <c r="O73" i="4"/>
  <c r="O726" i="4"/>
  <c r="O731" i="4"/>
  <c r="O721" i="4"/>
  <c r="O750" i="4"/>
  <c r="O749" i="4"/>
  <c r="O748" i="4"/>
  <c r="O747" i="4"/>
  <c r="O746" i="4"/>
  <c r="O745" i="4"/>
  <c r="O743" i="4"/>
  <c r="O766" i="4"/>
  <c r="O765" i="4"/>
  <c r="O764" i="4"/>
  <c r="O763" i="4"/>
  <c r="O762" i="4"/>
  <c r="O760" i="4"/>
  <c r="O759" i="4"/>
  <c r="O758" i="4"/>
  <c r="O757" i="4"/>
  <c r="O756" i="4"/>
  <c r="O755" i="4"/>
  <c r="O754" i="4"/>
  <c r="O752" i="4"/>
  <c r="O751" i="4"/>
  <c r="O771" i="4"/>
  <c r="O767" i="4"/>
  <c r="O775" i="4"/>
  <c r="O774" i="4"/>
  <c r="O779" i="4"/>
  <c r="O778" i="4"/>
  <c r="O777" i="4"/>
  <c r="O776" i="4"/>
  <c r="O789" i="4"/>
  <c r="O773" i="4"/>
  <c r="O770" i="4"/>
  <c r="O772" i="4"/>
  <c r="O768" i="4"/>
  <c r="O695" i="4"/>
  <c r="O685" i="4"/>
  <c r="O669" i="4"/>
  <c r="O668" i="4"/>
  <c r="O660" i="4"/>
  <c r="O659" i="4"/>
  <c r="O694" i="4"/>
  <c r="O684" i="4"/>
  <c r="O683" i="4"/>
  <c r="O682" i="4"/>
  <c r="O680" i="4"/>
  <c r="O679" i="4"/>
  <c r="O678" i="4"/>
  <c r="O634" i="4"/>
  <c r="O666" i="4"/>
  <c r="O665" i="4"/>
  <c r="O664" i="4"/>
  <c r="O677" i="4"/>
  <c r="O676" i="4"/>
  <c r="O675" i="4"/>
  <c r="O674" i="4"/>
  <c r="O673" i="4"/>
  <c r="O672" i="4"/>
  <c r="O671" i="4"/>
  <c r="O670" i="4"/>
  <c r="O667" i="4"/>
  <c r="O663" i="4"/>
  <c r="O662" i="4"/>
  <c r="O661" i="4"/>
  <c r="O658" i="4"/>
  <c r="O657" i="4"/>
  <c r="O656" i="4"/>
  <c r="O655" i="4"/>
  <c r="O654" i="4"/>
  <c r="O653" i="4"/>
  <c r="O652" i="4"/>
  <c r="O646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66" i="4"/>
  <c r="O553" i="4"/>
  <c r="O518" i="4"/>
  <c r="O495" i="4"/>
  <c r="O528" i="4"/>
  <c r="O519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6" i="4"/>
  <c r="O494" i="4"/>
  <c r="O493" i="4"/>
  <c r="O492" i="4"/>
  <c r="O491" i="4"/>
  <c r="O490" i="4"/>
  <c r="O489" i="4"/>
  <c r="O488" i="4"/>
  <c r="O487" i="4"/>
  <c r="O479" i="4"/>
  <c r="O465" i="4"/>
  <c r="O439" i="4"/>
  <c r="O181" i="4"/>
  <c r="O162" i="4"/>
  <c r="O152" i="4"/>
  <c r="O263" i="4"/>
  <c r="O253" i="4"/>
  <c r="O245" i="4"/>
  <c r="O235" i="4"/>
  <c r="O169" i="4"/>
  <c r="O153" i="4"/>
  <c r="O144" i="4"/>
  <c r="O258" i="4"/>
  <c r="O250" i="4"/>
  <c r="O242" i="4"/>
  <c r="O232" i="4"/>
  <c r="O166" i="4"/>
  <c r="O158" i="4"/>
  <c r="O149" i="4"/>
  <c r="O255" i="4"/>
  <c r="O247" i="4"/>
  <c r="O237" i="4"/>
  <c r="O227" i="4"/>
  <c r="O220" i="4"/>
  <c r="O171" i="4"/>
  <c r="O163" i="4"/>
  <c r="O155" i="4"/>
  <c r="O146" i="4"/>
  <c r="O257" i="4"/>
  <c r="O241" i="4"/>
  <c r="O165" i="4"/>
  <c r="O148" i="4"/>
  <c r="O236" i="4"/>
  <c r="O226" i="4"/>
  <c r="O170" i="4"/>
  <c r="O145" i="4"/>
  <c r="O261" i="4"/>
  <c r="O150" i="4"/>
  <c r="O256" i="4"/>
  <c r="O240" i="4"/>
  <c r="O228" i="4"/>
  <c r="O156" i="4"/>
  <c r="O270" i="4"/>
  <c r="O262" i="4"/>
  <c r="O252" i="4"/>
  <c r="O244" i="4"/>
  <c r="O234" i="4"/>
  <c r="O203" i="4"/>
  <c r="O182" i="4"/>
  <c r="O168" i="4"/>
  <c r="O160" i="4"/>
  <c r="O151" i="4"/>
  <c r="O143" i="4"/>
  <c r="O249" i="4"/>
  <c r="O173" i="4"/>
  <c r="O157" i="4"/>
  <c r="O254" i="4"/>
  <c r="O243" i="4"/>
  <c r="O159" i="4"/>
  <c r="O246" i="4"/>
  <c r="O161" i="4"/>
  <c r="O154" i="4"/>
  <c r="O233" i="4"/>
  <c r="O167" i="4"/>
  <c r="O248" i="4"/>
  <c r="O172" i="4"/>
  <c r="O164" i="4"/>
  <c r="O251" i="4"/>
  <c r="O147" i="4"/>
  <c r="O332" i="4"/>
  <c r="O345" i="4"/>
  <c r="O337" i="4"/>
  <c r="O328" i="4"/>
  <c r="O320" i="4"/>
  <c r="O293" i="4"/>
  <c r="O342" i="4"/>
  <c r="O334" i="4"/>
  <c r="O325" i="4"/>
  <c r="O317" i="4"/>
  <c r="O339" i="4"/>
  <c r="O330" i="4"/>
  <c r="O322" i="4"/>
  <c r="O314" i="4"/>
  <c r="O341" i="4"/>
  <c r="O316" i="4"/>
  <c r="O335" i="4"/>
  <c r="O318" i="4"/>
  <c r="O344" i="4"/>
  <c r="O336" i="4"/>
  <c r="O327" i="4"/>
  <c r="O319" i="4"/>
  <c r="O333" i="4"/>
  <c r="O324" i="4"/>
  <c r="O321" i="4"/>
  <c r="O331" i="4"/>
  <c r="O338" i="4"/>
  <c r="O329" i="4"/>
  <c r="O340" i="4"/>
  <c r="O307" i="4"/>
  <c r="O343" i="4"/>
  <c r="O315" i="4"/>
  <c r="O326" i="4"/>
  <c r="O323" i="4"/>
  <c r="O423" i="4"/>
  <c r="O415" i="4"/>
  <c r="O409" i="4"/>
  <c r="O379" i="4"/>
  <c r="O428" i="4"/>
  <c r="O420" i="4"/>
  <c r="O412" i="4"/>
  <c r="O406" i="4"/>
  <c r="O425" i="4"/>
  <c r="O417" i="4"/>
  <c r="O395" i="4"/>
  <c r="O427" i="4"/>
  <c r="O419" i="4"/>
  <c r="O405" i="4"/>
  <c r="O403" i="4"/>
  <c r="O421" i="4"/>
  <c r="O407" i="4"/>
  <c r="O418" i="4"/>
  <c r="O410" i="4"/>
  <c r="O436" i="4"/>
  <c r="O429" i="4"/>
  <c r="O422" i="4"/>
  <c r="O414" i="4"/>
  <c r="O408" i="4"/>
  <c r="O411" i="4"/>
  <c r="O424" i="4"/>
  <c r="O416" i="4"/>
  <c r="O413" i="4"/>
  <c r="O404" i="4"/>
  <c r="O426" i="4"/>
  <c r="O399" i="4"/>
  <c r="O361" i="4"/>
  <c r="O357" i="4"/>
  <c r="O390" i="4"/>
  <c r="O366" i="4"/>
  <c r="O373" i="4"/>
  <c r="O378" i="4"/>
  <c r="O43" i="4"/>
  <c r="O274" i="4"/>
  <c r="O292" i="4"/>
  <c r="O277" i="4"/>
  <c r="O282" i="4"/>
  <c r="O302" i="4"/>
  <c r="O289" i="4"/>
  <c r="O215" i="4"/>
  <c r="O206" i="4"/>
  <c r="O199" i="4"/>
  <c r="O192" i="4"/>
  <c r="O189" i="4"/>
  <c r="O186" i="4"/>
  <c r="O202" i="4"/>
  <c r="O120" i="4"/>
  <c r="O98" i="4"/>
  <c r="O105" i="4"/>
  <c r="O131" i="4"/>
  <c r="O115" i="4"/>
  <c r="O116" i="4"/>
  <c r="O117" i="4"/>
  <c r="O28" i="4"/>
  <c r="O31" i="4"/>
  <c r="O27" i="4"/>
  <c r="O26" i="4"/>
  <c r="O14" i="4"/>
  <c r="O15" i="4"/>
  <c r="O8" i="4"/>
  <c r="O103" i="4"/>
  <c r="O53" i="4"/>
  <c r="O86" i="4"/>
  <c r="O97" i="4"/>
  <c r="O109" i="4"/>
  <c r="O89" i="4"/>
  <c r="O102" i="4"/>
  <c r="O135" i="4"/>
  <c r="O91" i="4"/>
  <c r="O100" i="4"/>
  <c r="O80" i="4"/>
  <c r="O64" i="4"/>
  <c r="O68" i="4"/>
  <c r="O92" i="4"/>
  <c r="O42" i="4"/>
  <c r="O69" i="4"/>
  <c r="O121" i="4"/>
  <c r="O58" i="4"/>
  <c r="O70" i="4"/>
  <c r="O48" i="4"/>
  <c r="O127" i="4"/>
  <c r="O101" i="4"/>
  <c r="O59" i="4"/>
  <c r="O136" i="4"/>
  <c r="O137" i="4"/>
  <c r="O78" i="4"/>
  <c r="O124" i="4"/>
  <c r="O125" i="4"/>
  <c r="O112" i="4"/>
  <c r="O67" i="4"/>
  <c r="O81" i="4"/>
  <c r="O57" i="4"/>
  <c r="O138" i="4"/>
  <c r="O132" i="4"/>
  <c r="O79" i="4"/>
  <c r="O75" i="4"/>
  <c r="O126" i="4"/>
  <c r="O114" i="4"/>
  <c r="O47" i="4"/>
  <c r="O90" i="4"/>
  <c r="O23" i="4"/>
  <c r="O40" i="4"/>
  <c r="O19" i="4"/>
  <c r="O56" i="4"/>
  <c r="O24" i="4"/>
  <c r="O51" i="4"/>
  <c r="O55" i="4"/>
  <c r="O36" i="4"/>
  <c r="O30" i="4"/>
  <c r="O46" i="4"/>
  <c r="O61" i="4"/>
  <c r="O29" i="4"/>
  <c r="O45" i="4"/>
  <c r="O50" i="4"/>
  <c r="O65" i="4"/>
  <c r="O25" i="4"/>
  <c r="O66" i="4"/>
  <c r="O41" i="4"/>
  <c r="O60" i="4"/>
  <c r="O20" i="4"/>
  <c r="O34" i="4"/>
  <c r="G280" i="13"/>
  <c r="F280" i="13"/>
  <c r="F609" i="10" l="1"/>
  <c r="E609" i="10"/>
  <c r="D609" i="10"/>
  <c r="C609" i="10"/>
  <c r="B609" i="10"/>
  <c r="G609" i="10" s="1"/>
  <c r="F608" i="10"/>
  <c r="E608" i="10"/>
  <c r="D608" i="10"/>
  <c r="C608" i="10"/>
  <c r="B608" i="10"/>
  <c r="G608" i="10" s="1"/>
  <c r="F607" i="10"/>
  <c r="E607" i="10"/>
  <c r="D607" i="10"/>
  <c r="C607" i="10"/>
  <c r="B607" i="10"/>
  <c r="G607" i="10" s="1"/>
  <c r="F606" i="10"/>
  <c r="E606" i="10"/>
  <c r="D606" i="10"/>
  <c r="C606" i="10"/>
  <c r="B606" i="10"/>
  <c r="G606" i="10" s="1"/>
  <c r="F605" i="10"/>
  <c r="E605" i="10"/>
  <c r="D605" i="10"/>
  <c r="C605" i="10"/>
  <c r="B605" i="10"/>
  <c r="G605" i="10" s="1"/>
  <c r="F604" i="10"/>
  <c r="E604" i="10"/>
  <c r="D604" i="10"/>
  <c r="C604" i="10"/>
  <c r="B604" i="10"/>
  <c r="G604" i="10" s="1"/>
  <c r="F603" i="10"/>
  <c r="E603" i="10"/>
  <c r="D603" i="10"/>
  <c r="C603" i="10"/>
  <c r="B603" i="10"/>
  <c r="G603" i="10" s="1"/>
  <c r="F602" i="10"/>
  <c r="E602" i="10"/>
  <c r="D602" i="10"/>
  <c r="C602" i="10"/>
  <c r="B602" i="10"/>
  <c r="G602" i="10" s="1"/>
  <c r="F601" i="10"/>
  <c r="E601" i="10"/>
  <c r="D601" i="10"/>
  <c r="C601" i="10"/>
  <c r="B601" i="10"/>
  <c r="G601" i="10" s="1"/>
  <c r="F600" i="10"/>
  <c r="E600" i="10"/>
  <c r="D600" i="10"/>
  <c r="C600" i="10"/>
  <c r="B600" i="10"/>
  <c r="G600" i="10" s="1"/>
  <c r="F599" i="10"/>
  <c r="E599" i="10"/>
  <c r="D599" i="10"/>
  <c r="C599" i="10"/>
  <c r="B599" i="10"/>
  <c r="G599" i="10" s="1"/>
  <c r="F598" i="10"/>
  <c r="E598" i="10"/>
  <c r="D598" i="10"/>
  <c r="C598" i="10"/>
  <c r="B598" i="10"/>
  <c r="G598" i="10" s="1"/>
  <c r="F597" i="10"/>
  <c r="E597" i="10"/>
  <c r="D597" i="10"/>
  <c r="C597" i="10"/>
  <c r="B597" i="10"/>
  <c r="G597" i="10" s="1"/>
  <c r="F596" i="10"/>
  <c r="E596" i="10"/>
  <c r="D596" i="10"/>
  <c r="C596" i="10"/>
  <c r="B596" i="10"/>
  <c r="G596" i="10" s="1"/>
  <c r="F595" i="10"/>
  <c r="E595" i="10"/>
  <c r="D595" i="10"/>
  <c r="C595" i="10"/>
  <c r="B595" i="10"/>
  <c r="G595" i="10" s="1"/>
  <c r="F594" i="10"/>
  <c r="E594" i="10"/>
  <c r="D594" i="10"/>
  <c r="C594" i="10"/>
  <c r="B594" i="10"/>
  <c r="G594" i="10" s="1"/>
  <c r="F593" i="10"/>
  <c r="E593" i="10"/>
  <c r="D593" i="10"/>
  <c r="C593" i="10"/>
  <c r="B593" i="10"/>
  <c r="G593" i="10" s="1"/>
  <c r="F592" i="10"/>
  <c r="E592" i="10"/>
  <c r="D592" i="10"/>
  <c r="C592" i="10"/>
  <c r="B592" i="10"/>
  <c r="G592" i="10" s="1"/>
  <c r="F591" i="10"/>
  <c r="E591" i="10"/>
  <c r="D591" i="10"/>
  <c r="C591" i="10"/>
  <c r="B591" i="10"/>
  <c r="G591" i="10" s="1"/>
  <c r="F590" i="10"/>
  <c r="E590" i="10"/>
  <c r="D590" i="10"/>
  <c r="C590" i="10"/>
  <c r="B590" i="10"/>
  <c r="G590" i="10" s="1"/>
  <c r="F589" i="10"/>
  <c r="E589" i="10"/>
  <c r="D589" i="10"/>
  <c r="C589" i="10"/>
  <c r="B589" i="10"/>
  <c r="G589" i="10" s="1"/>
  <c r="F588" i="10"/>
  <c r="E588" i="10"/>
  <c r="D588" i="10"/>
  <c r="C588" i="10"/>
  <c r="B588" i="10"/>
  <c r="G588" i="10" s="1"/>
  <c r="F587" i="10"/>
  <c r="E587" i="10"/>
  <c r="D587" i="10"/>
  <c r="C587" i="10"/>
  <c r="B587" i="10"/>
  <c r="G587" i="10" s="1"/>
  <c r="F586" i="10"/>
  <c r="E586" i="10"/>
  <c r="D586" i="10"/>
  <c r="C586" i="10"/>
  <c r="B586" i="10"/>
  <c r="G586" i="10" s="1"/>
  <c r="F585" i="10"/>
  <c r="E585" i="10"/>
  <c r="D585" i="10"/>
  <c r="C585" i="10"/>
  <c r="B585" i="10"/>
  <c r="G585" i="10" s="1"/>
  <c r="F584" i="10"/>
  <c r="E584" i="10"/>
  <c r="D584" i="10"/>
  <c r="C584" i="10"/>
  <c r="B584" i="10"/>
  <c r="G584" i="10" s="1"/>
  <c r="F583" i="10"/>
  <c r="E583" i="10"/>
  <c r="D583" i="10"/>
  <c r="C583" i="10"/>
  <c r="B583" i="10"/>
  <c r="G583" i="10" s="1"/>
  <c r="F582" i="10"/>
  <c r="E582" i="10"/>
  <c r="D582" i="10"/>
  <c r="C582" i="10"/>
  <c r="B582" i="10"/>
  <c r="G582" i="10" s="1"/>
  <c r="F581" i="10"/>
  <c r="E581" i="10"/>
  <c r="D581" i="10"/>
  <c r="C581" i="10"/>
  <c r="B581" i="10"/>
  <c r="G581" i="10" s="1"/>
  <c r="F580" i="10"/>
  <c r="E580" i="10"/>
  <c r="D580" i="10"/>
  <c r="C580" i="10"/>
  <c r="B580" i="10"/>
  <c r="G580" i="10" s="1"/>
  <c r="F579" i="10"/>
  <c r="E579" i="10"/>
  <c r="D579" i="10"/>
  <c r="C579" i="10"/>
  <c r="B579" i="10"/>
  <c r="G579" i="10" s="1"/>
  <c r="F578" i="10"/>
  <c r="E578" i="10"/>
  <c r="D578" i="10"/>
  <c r="C578" i="10"/>
  <c r="B578" i="10"/>
  <c r="G578" i="10" s="1"/>
  <c r="F577" i="10"/>
  <c r="E577" i="10"/>
  <c r="D577" i="10"/>
  <c r="C577" i="10"/>
  <c r="B577" i="10"/>
  <c r="G577" i="10" s="1"/>
  <c r="F576" i="10"/>
  <c r="E576" i="10"/>
  <c r="D576" i="10"/>
  <c r="C576" i="10"/>
  <c r="B576" i="10"/>
  <c r="G576" i="10" s="1"/>
  <c r="F575" i="10"/>
  <c r="E575" i="10"/>
  <c r="D575" i="10"/>
  <c r="C575" i="10"/>
  <c r="B575" i="10"/>
  <c r="G575" i="10" s="1"/>
  <c r="F574" i="10"/>
  <c r="E574" i="10"/>
  <c r="D574" i="10"/>
  <c r="C574" i="10"/>
  <c r="B574" i="10"/>
  <c r="G574" i="10" s="1"/>
  <c r="F573" i="10"/>
  <c r="E573" i="10"/>
  <c r="D573" i="10"/>
  <c r="C573" i="10"/>
  <c r="B573" i="10"/>
  <c r="G573" i="10" s="1"/>
  <c r="F572" i="10"/>
  <c r="E572" i="10"/>
  <c r="D572" i="10"/>
  <c r="C572" i="10"/>
  <c r="B572" i="10"/>
  <c r="G572" i="10" s="1"/>
  <c r="F571" i="10"/>
  <c r="E571" i="10"/>
  <c r="D571" i="10"/>
  <c r="C571" i="10"/>
  <c r="B571" i="10"/>
  <c r="G571" i="10" s="1"/>
  <c r="F570" i="10"/>
  <c r="E570" i="10"/>
  <c r="D570" i="10"/>
  <c r="C570" i="10"/>
  <c r="B570" i="10"/>
  <c r="G570" i="10" s="1"/>
  <c r="F569" i="10"/>
  <c r="E569" i="10"/>
  <c r="D569" i="10"/>
  <c r="C569" i="10"/>
  <c r="B569" i="10"/>
  <c r="G569" i="10" s="1"/>
  <c r="F568" i="10"/>
  <c r="E568" i="10"/>
  <c r="D568" i="10"/>
  <c r="C568" i="10"/>
  <c r="B568" i="10"/>
  <c r="G568" i="10" s="1"/>
  <c r="F567" i="10"/>
  <c r="E567" i="10"/>
  <c r="D567" i="10"/>
  <c r="C567" i="10"/>
  <c r="B567" i="10"/>
  <c r="G567" i="10" s="1"/>
  <c r="F566" i="10"/>
  <c r="E566" i="10"/>
  <c r="D566" i="10"/>
  <c r="C566" i="10"/>
  <c r="B566" i="10"/>
  <c r="G566" i="10" s="1"/>
  <c r="F565" i="10"/>
  <c r="E565" i="10"/>
  <c r="D565" i="10"/>
  <c r="C565" i="10"/>
  <c r="B565" i="10"/>
  <c r="G565" i="10" s="1"/>
  <c r="F564" i="10"/>
  <c r="E564" i="10"/>
  <c r="D564" i="10"/>
  <c r="C564" i="10"/>
  <c r="B564" i="10"/>
  <c r="G564" i="10" s="1"/>
  <c r="F563" i="10"/>
  <c r="E563" i="10"/>
  <c r="D563" i="10"/>
  <c r="C563" i="10"/>
  <c r="B563" i="10"/>
  <c r="G563" i="10" s="1"/>
  <c r="F562" i="10"/>
  <c r="E562" i="10"/>
  <c r="D562" i="10"/>
  <c r="C562" i="10"/>
  <c r="B562" i="10"/>
  <c r="G562" i="10" s="1"/>
  <c r="F561" i="10"/>
  <c r="E561" i="10"/>
  <c r="D561" i="10"/>
  <c r="C561" i="10"/>
  <c r="B561" i="10"/>
  <c r="G561" i="10" s="1"/>
  <c r="F560" i="10"/>
  <c r="E560" i="10"/>
  <c r="D560" i="10"/>
  <c r="C560" i="10"/>
  <c r="B560" i="10"/>
  <c r="G560" i="10" s="1"/>
  <c r="F559" i="10"/>
  <c r="E559" i="10"/>
  <c r="D559" i="10"/>
  <c r="C559" i="10"/>
  <c r="B559" i="10"/>
  <c r="G559" i="10" s="1"/>
  <c r="F558" i="10"/>
  <c r="E558" i="10"/>
  <c r="D558" i="10"/>
  <c r="C558" i="10"/>
  <c r="B558" i="10"/>
  <c r="G558" i="10" s="1"/>
  <c r="F557" i="10"/>
  <c r="E557" i="10"/>
  <c r="D557" i="10"/>
  <c r="C557" i="10"/>
  <c r="B557" i="10"/>
  <c r="G557" i="10" s="1"/>
  <c r="F556" i="10"/>
  <c r="E556" i="10"/>
  <c r="D556" i="10"/>
  <c r="C556" i="10"/>
  <c r="B556" i="10"/>
  <c r="G556" i="10" s="1"/>
  <c r="F555" i="10"/>
  <c r="E555" i="10"/>
  <c r="D555" i="10"/>
  <c r="C555" i="10"/>
  <c r="B555" i="10"/>
  <c r="G555" i="10" s="1"/>
  <c r="F554" i="10"/>
  <c r="E554" i="10"/>
  <c r="D554" i="10"/>
  <c r="C554" i="10"/>
  <c r="B554" i="10"/>
  <c r="G554" i="10" s="1"/>
  <c r="F553" i="10"/>
  <c r="E553" i="10"/>
  <c r="D553" i="10"/>
  <c r="C553" i="10"/>
  <c r="B553" i="10"/>
  <c r="G553" i="10" s="1"/>
  <c r="F552" i="10"/>
  <c r="E552" i="10"/>
  <c r="D552" i="10"/>
  <c r="C552" i="10"/>
  <c r="B552" i="10"/>
  <c r="G552" i="10" s="1"/>
  <c r="F551" i="10"/>
  <c r="E551" i="10"/>
  <c r="D551" i="10"/>
  <c r="C551" i="10"/>
  <c r="B551" i="10"/>
  <c r="G551" i="10" s="1"/>
  <c r="F550" i="10"/>
  <c r="E550" i="10"/>
  <c r="D550" i="10"/>
  <c r="C550" i="10"/>
  <c r="B550" i="10"/>
  <c r="G550" i="10" s="1"/>
  <c r="F549" i="10"/>
  <c r="E549" i="10"/>
  <c r="D549" i="10"/>
  <c r="C549" i="10"/>
  <c r="B549" i="10"/>
  <c r="G549" i="10" s="1"/>
  <c r="F548" i="10"/>
  <c r="E548" i="10"/>
  <c r="D548" i="10"/>
  <c r="C548" i="10"/>
  <c r="B548" i="10"/>
  <c r="G548" i="10" s="1"/>
  <c r="F547" i="10"/>
  <c r="E547" i="10"/>
  <c r="D547" i="10"/>
  <c r="C547" i="10"/>
  <c r="B547" i="10"/>
  <c r="G547" i="10" s="1"/>
  <c r="F546" i="10"/>
  <c r="E546" i="10"/>
  <c r="D546" i="10"/>
  <c r="C546" i="10"/>
  <c r="B546" i="10"/>
  <c r="G546" i="10" s="1"/>
  <c r="F545" i="10"/>
  <c r="E545" i="10"/>
  <c r="D545" i="10"/>
  <c r="C545" i="10"/>
  <c r="B545" i="10"/>
  <c r="G545" i="10" s="1"/>
  <c r="F544" i="10"/>
  <c r="E544" i="10"/>
  <c r="D544" i="10"/>
  <c r="C544" i="10"/>
  <c r="B544" i="10"/>
  <c r="G544" i="10" s="1"/>
  <c r="F543" i="10"/>
  <c r="E543" i="10"/>
  <c r="D543" i="10"/>
  <c r="C543" i="10"/>
  <c r="B543" i="10"/>
  <c r="G543" i="10" s="1"/>
  <c r="F542" i="10"/>
  <c r="E542" i="10"/>
  <c r="D542" i="10"/>
  <c r="C542" i="10"/>
  <c r="B542" i="10"/>
  <c r="G542" i="10" s="1"/>
  <c r="F541" i="10"/>
  <c r="E541" i="10"/>
  <c r="D541" i="10"/>
  <c r="C541" i="10"/>
  <c r="B541" i="10"/>
  <c r="G541" i="10" s="1"/>
  <c r="F540" i="10"/>
  <c r="E540" i="10"/>
  <c r="D540" i="10"/>
  <c r="C540" i="10"/>
  <c r="B540" i="10"/>
  <c r="G540" i="10" s="1"/>
  <c r="F539" i="10"/>
  <c r="E539" i="10"/>
  <c r="D539" i="10"/>
  <c r="C539" i="10"/>
  <c r="B539" i="10"/>
  <c r="G539" i="10" s="1"/>
  <c r="F538" i="10"/>
  <c r="E538" i="10"/>
  <c r="D538" i="10"/>
  <c r="C538" i="10"/>
  <c r="B538" i="10"/>
  <c r="G538" i="10" s="1"/>
  <c r="F537" i="10"/>
  <c r="E537" i="10"/>
  <c r="D537" i="10"/>
  <c r="C537" i="10"/>
  <c r="B537" i="10"/>
  <c r="G537" i="10" s="1"/>
  <c r="F536" i="10"/>
  <c r="E536" i="10"/>
  <c r="D536" i="10"/>
  <c r="C536" i="10"/>
  <c r="B536" i="10"/>
  <c r="G536" i="10" s="1"/>
  <c r="F535" i="10"/>
  <c r="E535" i="10"/>
  <c r="D535" i="10"/>
  <c r="C535" i="10"/>
  <c r="B535" i="10"/>
  <c r="G535" i="10" s="1"/>
  <c r="F534" i="10"/>
  <c r="E534" i="10"/>
  <c r="D534" i="10"/>
  <c r="C534" i="10"/>
  <c r="B534" i="10"/>
  <c r="G534" i="10" s="1"/>
  <c r="F533" i="10"/>
  <c r="E533" i="10"/>
  <c r="D533" i="10"/>
  <c r="C533" i="10"/>
  <c r="B533" i="10"/>
  <c r="G533" i="10" s="1"/>
  <c r="F532" i="10"/>
  <c r="E532" i="10"/>
  <c r="D532" i="10"/>
  <c r="C532" i="10"/>
  <c r="B532" i="10"/>
  <c r="G532" i="10" s="1"/>
  <c r="F531" i="10"/>
  <c r="E531" i="10"/>
  <c r="D531" i="10"/>
  <c r="C531" i="10"/>
  <c r="B531" i="10"/>
  <c r="G531" i="10" s="1"/>
  <c r="F530" i="10"/>
  <c r="E530" i="10"/>
  <c r="D530" i="10"/>
  <c r="C530" i="10"/>
  <c r="B530" i="10"/>
  <c r="G530" i="10" s="1"/>
  <c r="F529" i="10"/>
  <c r="E529" i="10"/>
  <c r="D529" i="10"/>
  <c r="C529" i="10"/>
  <c r="B529" i="10"/>
  <c r="G529" i="10" s="1"/>
  <c r="F528" i="10"/>
  <c r="E528" i="10"/>
  <c r="D528" i="10"/>
  <c r="C528" i="10"/>
  <c r="B528" i="10"/>
  <c r="G528" i="10" s="1"/>
  <c r="F527" i="10"/>
  <c r="E527" i="10"/>
  <c r="D527" i="10"/>
  <c r="C527" i="10"/>
  <c r="B527" i="10"/>
  <c r="G527" i="10" s="1"/>
  <c r="F526" i="10"/>
  <c r="E526" i="10"/>
  <c r="D526" i="10"/>
  <c r="C526" i="10"/>
  <c r="B526" i="10"/>
  <c r="G526" i="10" s="1"/>
  <c r="F525" i="10"/>
  <c r="E525" i="10"/>
  <c r="D525" i="10"/>
  <c r="C525" i="10"/>
  <c r="B525" i="10"/>
  <c r="G525" i="10" s="1"/>
  <c r="F524" i="10"/>
  <c r="E524" i="10"/>
  <c r="D524" i="10"/>
  <c r="C524" i="10"/>
  <c r="B524" i="10"/>
  <c r="G524" i="10" s="1"/>
  <c r="F523" i="10"/>
  <c r="E523" i="10"/>
  <c r="D523" i="10"/>
  <c r="C523" i="10"/>
  <c r="B523" i="10"/>
  <c r="G523" i="10" s="1"/>
  <c r="F522" i="10"/>
  <c r="E522" i="10"/>
  <c r="D522" i="10"/>
  <c r="C522" i="10"/>
  <c r="B522" i="10"/>
  <c r="G522" i="10" s="1"/>
  <c r="F521" i="10"/>
  <c r="E521" i="10"/>
  <c r="D521" i="10"/>
  <c r="C521" i="10"/>
  <c r="B521" i="10"/>
  <c r="G521" i="10" s="1"/>
  <c r="F520" i="10"/>
  <c r="E520" i="10"/>
  <c r="D520" i="10"/>
  <c r="C520" i="10"/>
  <c r="B520" i="10"/>
  <c r="G520" i="10" s="1"/>
  <c r="F519" i="10"/>
  <c r="E519" i="10"/>
  <c r="D519" i="10"/>
  <c r="C519" i="10"/>
  <c r="B519" i="10"/>
  <c r="G519" i="10" s="1"/>
  <c r="F518" i="10"/>
  <c r="E518" i="10"/>
  <c r="D518" i="10"/>
  <c r="C518" i="10"/>
  <c r="B518" i="10"/>
  <c r="G518" i="10" s="1"/>
  <c r="F517" i="10"/>
  <c r="E517" i="10"/>
  <c r="D517" i="10"/>
  <c r="C517" i="10"/>
  <c r="B517" i="10"/>
  <c r="G517" i="10" s="1"/>
  <c r="F516" i="10"/>
  <c r="E516" i="10"/>
  <c r="D516" i="10"/>
  <c r="C516" i="10"/>
  <c r="B516" i="10"/>
  <c r="G516" i="10" s="1"/>
  <c r="F515" i="10"/>
  <c r="E515" i="10"/>
  <c r="D515" i="10"/>
  <c r="C515" i="10"/>
  <c r="B515" i="10"/>
  <c r="G515" i="10" s="1"/>
  <c r="F514" i="10"/>
  <c r="E514" i="10"/>
  <c r="D514" i="10"/>
  <c r="C514" i="10"/>
  <c r="B514" i="10"/>
  <c r="G514" i="10" s="1"/>
  <c r="F513" i="10"/>
  <c r="E513" i="10"/>
  <c r="D513" i="10"/>
  <c r="C513" i="10"/>
  <c r="B513" i="10"/>
  <c r="G513" i="10" s="1"/>
  <c r="F512" i="10"/>
  <c r="E512" i="10"/>
  <c r="D512" i="10"/>
  <c r="C512" i="10"/>
  <c r="B512" i="10"/>
  <c r="G512" i="10" s="1"/>
  <c r="F511" i="10"/>
  <c r="E511" i="10"/>
  <c r="D511" i="10"/>
  <c r="C511" i="10"/>
  <c r="B511" i="10"/>
  <c r="G511" i="10" s="1"/>
  <c r="F510" i="10"/>
  <c r="E510" i="10"/>
  <c r="D510" i="10"/>
  <c r="C510" i="10"/>
  <c r="B510" i="10"/>
  <c r="G510" i="10" s="1"/>
  <c r="F509" i="10"/>
  <c r="E509" i="10"/>
  <c r="D509" i="10"/>
  <c r="C509" i="10"/>
  <c r="B509" i="10"/>
  <c r="G509" i="10" s="1"/>
  <c r="F508" i="10"/>
  <c r="E508" i="10"/>
  <c r="D508" i="10"/>
  <c r="C508" i="10"/>
  <c r="B508" i="10"/>
  <c r="G508" i="10" s="1"/>
  <c r="F507" i="10"/>
  <c r="E507" i="10"/>
  <c r="D507" i="10"/>
  <c r="C507" i="10"/>
  <c r="B507" i="10"/>
  <c r="G507" i="10" s="1"/>
  <c r="F506" i="10"/>
  <c r="E506" i="10"/>
  <c r="D506" i="10"/>
  <c r="C506" i="10"/>
  <c r="B506" i="10"/>
  <c r="G506" i="10" s="1"/>
  <c r="F505" i="10"/>
  <c r="E505" i="10"/>
  <c r="D505" i="10"/>
  <c r="C505" i="10"/>
  <c r="B505" i="10"/>
  <c r="G505" i="10" s="1"/>
  <c r="F504" i="10"/>
  <c r="E504" i="10"/>
  <c r="D504" i="10"/>
  <c r="C504" i="10"/>
  <c r="B504" i="10"/>
  <c r="G504" i="10" s="1"/>
  <c r="F503" i="10"/>
  <c r="E503" i="10"/>
  <c r="D503" i="10"/>
  <c r="C503" i="10"/>
  <c r="B503" i="10"/>
  <c r="G503" i="10" s="1"/>
  <c r="F502" i="10"/>
  <c r="E502" i="10"/>
  <c r="D502" i="10"/>
  <c r="C502" i="10"/>
  <c r="B502" i="10"/>
  <c r="G502" i="10" s="1"/>
  <c r="F501" i="10"/>
  <c r="E501" i="10"/>
  <c r="D501" i="10"/>
  <c r="C501" i="10"/>
  <c r="B501" i="10"/>
  <c r="G501" i="10" s="1"/>
  <c r="F500" i="10"/>
  <c r="E500" i="10"/>
  <c r="D500" i="10"/>
  <c r="C500" i="10"/>
  <c r="B500" i="10"/>
  <c r="G500" i="10" s="1"/>
  <c r="F499" i="10"/>
  <c r="E499" i="10"/>
  <c r="D499" i="10"/>
  <c r="C499" i="10"/>
  <c r="B499" i="10"/>
  <c r="G499" i="10" s="1"/>
  <c r="F498" i="10"/>
  <c r="E498" i="10"/>
  <c r="D498" i="10"/>
  <c r="C498" i="10"/>
  <c r="B498" i="10"/>
  <c r="G498" i="10" s="1"/>
  <c r="F497" i="10"/>
  <c r="E497" i="10"/>
  <c r="D497" i="10"/>
  <c r="C497" i="10"/>
  <c r="B497" i="10"/>
  <c r="G497" i="10" s="1"/>
  <c r="F496" i="10"/>
  <c r="E496" i="10"/>
  <c r="D496" i="10"/>
  <c r="C496" i="10"/>
  <c r="B496" i="10"/>
  <c r="G496" i="10" s="1"/>
  <c r="F495" i="10"/>
  <c r="E495" i="10"/>
  <c r="D495" i="10"/>
  <c r="C495" i="10"/>
  <c r="B495" i="10"/>
  <c r="G495" i="10" s="1"/>
  <c r="F494" i="10"/>
  <c r="E494" i="10"/>
  <c r="D494" i="10"/>
  <c r="C494" i="10"/>
  <c r="B494" i="10"/>
  <c r="G494" i="10" s="1"/>
  <c r="F493" i="10"/>
  <c r="E493" i="10"/>
  <c r="D493" i="10"/>
  <c r="C493" i="10"/>
  <c r="B493" i="10"/>
  <c r="G493" i="10" s="1"/>
  <c r="F492" i="10"/>
  <c r="E492" i="10"/>
  <c r="D492" i="10"/>
  <c r="C492" i="10"/>
  <c r="B492" i="10"/>
  <c r="G492" i="10" s="1"/>
  <c r="F491" i="10"/>
  <c r="E491" i="10"/>
  <c r="D491" i="10"/>
  <c r="C491" i="10"/>
  <c r="B491" i="10"/>
  <c r="G491" i="10" s="1"/>
  <c r="F490" i="10"/>
  <c r="E490" i="10"/>
  <c r="D490" i="10"/>
  <c r="C490" i="10"/>
  <c r="B490" i="10"/>
  <c r="G490" i="10" s="1"/>
  <c r="F489" i="10"/>
  <c r="E489" i="10"/>
  <c r="D489" i="10"/>
  <c r="C489" i="10"/>
  <c r="B489" i="10"/>
  <c r="G489" i="10" s="1"/>
  <c r="F488" i="10"/>
  <c r="E488" i="10"/>
  <c r="D488" i="10"/>
  <c r="C488" i="10"/>
  <c r="B488" i="10"/>
  <c r="G488" i="10" s="1"/>
  <c r="F487" i="10"/>
  <c r="E487" i="10"/>
  <c r="D487" i="10"/>
  <c r="C487" i="10"/>
  <c r="B487" i="10"/>
  <c r="G487" i="10" s="1"/>
  <c r="F486" i="10"/>
  <c r="E486" i="10"/>
  <c r="D486" i="10"/>
  <c r="C486" i="10"/>
  <c r="B486" i="10"/>
  <c r="G486" i="10" s="1"/>
  <c r="F485" i="10"/>
  <c r="E485" i="10"/>
  <c r="D485" i="10"/>
  <c r="C485" i="10"/>
  <c r="B485" i="10"/>
  <c r="G485" i="10" s="1"/>
  <c r="F484" i="10"/>
  <c r="E484" i="10"/>
  <c r="D484" i="10"/>
  <c r="C484" i="10"/>
  <c r="B484" i="10"/>
  <c r="G484" i="10" s="1"/>
  <c r="F483" i="10"/>
  <c r="E483" i="10"/>
  <c r="D483" i="10"/>
  <c r="C483" i="10"/>
  <c r="B483" i="10"/>
  <c r="G483" i="10" s="1"/>
  <c r="F482" i="10"/>
  <c r="E482" i="10"/>
  <c r="D482" i="10"/>
  <c r="C482" i="10"/>
  <c r="B482" i="10"/>
  <c r="G482" i="10" s="1"/>
  <c r="F481" i="10"/>
  <c r="E481" i="10"/>
  <c r="D481" i="10"/>
  <c r="C481" i="10"/>
  <c r="B481" i="10"/>
  <c r="G481" i="10" s="1"/>
  <c r="F480" i="10"/>
  <c r="E480" i="10"/>
  <c r="D480" i="10"/>
  <c r="C480" i="10"/>
  <c r="B480" i="10"/>
  <c r="G480" i="10" s="1"/>
  <c r="F479" i="10"/>
  <c r="E479" i="10"/>
  <c r="D479" i="10"/>
  <c r="C479" i="10"/>
  <c r="B479" i="10"/>
  <c r="G479" i="10" s="1"/>
  <c r="F478" i="10"/>
  <c r="E478" i="10"/>
  <c r="D478" i="10"/>
  <c r="C478" i="10"/>
  <c r="B478" i="10"/>
  <c r="G478" i="10" s="1"/>
  <c r="F477" i="10"/>
  <c r="E477" i="10"/>
  <c r="D477" i="10"/>
  <c r="C477" i="10"/>
  <c r="B477" i="10"/>
  <c r="G477" i="10" s="1"/>
  <c r="F476" i="10"/>
  <c r="E476" i="10"/>
  <c r="D476" i="10"/>
  <c r="C476" i="10"/>
  <c r="B476" i="10"/>
  <c r="G476" i="10" s="1"/>
  <c r="F475" i="10"/>
  <c r="E475" i="10"/>
  <c r="D475" i="10"/>
  <c r="C475" i="10"/>
  <c r="B475" i="10"/>
  <c r="G475" i="10" s="1"/>
  <c r="F474" i="10"/>
  <c r="E474" i="10"/>
  <c r="D474" i="10"/>
  <c r="C474" i="10"/>
  <c r="B474" i="10"/>
  <c r="G474" i="10" s="1"/>
  <c r="F473" i="10"/>
  <c r="E473" i="10"/>
  <c r="D473" i="10"/>
  <c r="C473" i="10"/>
  <c r="B473" i="10"/>
  <c r="G473" i="10" s="1"/>
  <c r="F472" i="10"/>
  <c r="E472" i="10"/>
  <c r="D472" i="10"/>
  <c r="C472" i="10"/>
  <c r="B472" i="10"/>
  <c r="G472" i="10" s="1"/>
  <c r="F471" i="10"/>
  <c r="E471" i="10"/>
  <c r="D471" i="10"/>
  <c r="C471" i="10"/>
  <c r="B471" i="10"/>
  <c r="G471" i="10" s="1"/>
  <c r="F470" i="10"/>
  <c r="E470" i="10"/>
  <c r="D470" i="10"/>
  <c r="C470" i="10"/>
  <c r="B470" i="10"/>
  <c r="G470" i="10" s="1"/>
  <c r="F469" i="10"/>
  <c r="E469" i="10"/>
  <c r="D469" i="10"/>
  <c r="C469" i="10"/>
  <c r="B469" i="10"/>
  <c r="G469" i="10" s="1"/>
  <c r="F468" i="10"/>
  <c r="E468" i="10"/>
  <c r="D468" i="10"/>
  <c r="C468" i="10"/>
  <c r="B468" i="10"/>
  <c r="G468" i="10" s="1"/>
  <c r="F467" i="10"/>
  <c r="E467" i="10"/>
  <c r="D467" i="10"/>
  <c r="C467" i="10"/>
  <c r="B467" i="10"/>
  <c r="G467" i="10" s="1"/>
  <c r="F466" i="10"/>
  <c r="E466" i="10"/>
  <c r="D466" i="10"/>
  <c r="C466" i="10"/>
  <c r="B466" i="10"/>
  <c r="G466" i="10" s="1"/>
  <c r="F465" i="10"/>
  <c r="E465" i="10"/>
  <c r="D465" i="10"/>
  <c r="C465" i="10"/>
  <c r="B465" i="10"/>
  <c r="G465" i="10" s="1"/>
  <c r="F464" i="10"/>
  <c r="E464" i="10"/>
  <c r="D464" i="10"/>
  <c r="C464" i="10"/>
  <c r="B464" i="10"/>
  <c r="G464" i="10" s="1"/>
  <c r="F463" i="10"/>
  <c r="E463" i="10"/>
  <c r="D463" i="10"/>
  <c r="C463" i="10"/>
  <c r="B463" i="10"/>
  <c r="G463" i="10" s="1"/>
  <c r="F462" i="10"/>
  <c r="E462" i="10"/>
  <c r="D462" i="10"/>
  <c r="C462" i="10"/>
  <c r="B462" i="10"/>
  <c r="G462" i="10" s="1"/>
  <c r="F461" i="10"/>
  <c r="E461" i="10"/>
  <c r="D461" i="10"/>
  <c r="C461" i="10"/>
  <c r="B461" i="10"/>
  <c r="G461" i="10" s="1"/>
  <c r="F460" i="10"/>
  <c r="E460" i="10"/>
  <c r="D460" i="10"/>
  <c r="C460" i="10"/>
  <c r="B460" i="10"/>
  <c r="G460" i="10" s="1"/>
  <c r="F459" i="10"/>
  <c r="E459" i="10"/>
  <c r="D459" i="10"/>
  <c r="C459" i="10"/>
  <c r="B459" i="10"/>
  <c r="F458" i="10"/>
  <c r="E458" i="10"/>
  <c r="D458" i="10"/>
  <c r="C458" i="10"/>
  <c r="B458" i="10"/>
  <c r="F457" i="10"/>
  <c r="E457" i="10"/>
  <c r="D457" i="10"/>
  <c r="C457" i="10"/>
  <c r="B457" i="10"/>
  <c r="F456" i="10"/>
  <c r="E456" i="10"/>
  <c r="D456" i="10"/>
  <c r="C456" i="10"/>
  <c r="B456" i="10"/>
  <c r="F455" i="10"/>
  <c r="E455" i="10"/>
  <c r="D455" i="10"/>
  <c r="C455" i="10"/>
  <c r="B455" i="10"/>
  <c r="F454" i="10"/>
  <c r="E454" i="10"/>
  <c r="D454" i="10"/>
  <c r="C454" i="10"/>
  <c r="B454" i="10"/>
  <c r="F453" i="10"/>
  <c r="E453" i="10"/>
  <c r="D453" i="10"/>
  <c r="C453" i="10"/>
  <c r="B453" i="10"/>
  <c r="F452" i="10"/>
  <c r="E452" i="10"/>
  <c r="D452" i="10"/>
  <c r="C452" i="10"/>
  <c r="B452" i="10"/>
  <c r="F451" i="10"/>
  <c r="E451" i="10"/>
  <c r="D451" i="10"/>
  <c r="C451" i="10"/>
  <c r="B451" i="10"/>
  <c r="F450" i="10"/>
  <c r="E450" i="10"/>
  <c r="D450" i="10"/>
  <c r="C450" i="10"/>
  <c r="B450" i="10"/>
  <c r="F449" i="10"/>
  <c r="E449" i="10"/>
  <c r="D449" i="10"/>
  <c r="C449" i="10"/>
  <c r="B449" i="10"/>
  <c r="F448" i="10"/>
  <c r="E448" i="10"/>
  <c r="D448" i="10"/>
  <c r="C448" i="10"/>
  <c r="B448" i="10"/>
  <c r="F447" i="10"/>
  <c r="E447" i="10"/>
  <c r="D447" i="10"/>
  <c r="C447" i="10"/>
  <c r="B447" i="10"/>
  <c r="F446" i="10"/>
  <c r="E446" i="10"/>
  <c r="D446" i="10"/>
  <c r="C446" i="10"/>
  <c r="B446" i="10"/>
  <c r="F445" i="10"/>
  <c r="E445" i="10"/>
  <c r="D445" i="10"/>
  <c r="C445" i="10"/>
  <c r="B445" i="10"/>
  <c r="F444" i="10"/>
  <c r="E444" i="10"/>
  <c r="D444" i="10"/>
  <c r="C444" i="10"/>
  <c r="B444" i="10"/>
  <c r="F443" i="10"/>
  <c r="E443" i="10"/>
  <c r="D443" i="10"/>
  <c r="C443" i="10"/>
  <c r="B443" i="10"/>
  <c r="F442" i="10"/>
  <c r="E442" i="10"/>
  <c r="D442" i="10"/>
  <c r="C442" i="10"/>
  <c r="B442" i="10"/>
  <c r="F441" i="10"/>
  <c r="E441" i="10"/>
  <c r="D441" i="10"/>
  <c r="C441" i="10"/>
  <c r="B441" i="10"/>
  <c r="F440" i="10"/>
  <c r="E440" i="10"/>
  <c r="D440" i="10"/>
  <c r="C440" i="10"/>
  <c r="B440" i="10"/>
  <c r="F439" i="10"/>
  <c r="E439" i="10"/>
  <c r="D439" i="10"/>
  <c r="C439" i="10"/>
  <c r="B439" i="10"/>
  <c r="F438" i="10"/>
  <c r="E438" i="10"/>
  <c r="D438" i="10"/>
  <c r="C438" i="10"/>
  <c r="B438" i="10"/>
  <c r="F437" i="10"/>
  <c r="E437" i="10"/>
  <c r="D437" i="10"/>
  <c r="C437" i="10"/>
  <c r="B437" i="10"/>
  <c r="F436" i="10"/>
  <c r="E436" i="10"/>
  <c r="D436" i="10"/>
  <c r="C436" i="10"/>
  <c r="B436" i="10"/>
  <c r="F435" i="10"/>
  <c r="E435" i="10"/>
  <c r="D435" i="10"/>
  <c r="C435" i="10"/>
  <c r="B435" i="10"/>
  <c r="F434" i="10"/>
  <c r="E434" i="10"/>
  <c r="D434" i="10"/>
  <c r="C434" i="10"/>
  <c r="B434" i="10"/>
  <c r="F433" i="10"/>
  <c r="E433" i="10"/>
  <c r="D433" i="10"/>
  <c r="C433" i="10"/>
  <c r="B433" i="10"/>
  <c r="F432" i="10"/>
  <c r="E432" i="10"/>
  <c r="D432" i="10"/>
  <c r="C432" i="10"/>
  <c r="B432" i="10"/>
  <c r="F431" i="10"/>
  <c r="E431" i="10"/>
  <c r="D431" i="10"/>
  <c r="C431" i="10"/>
  <c r="B431" i="10"/>
  <c r="F430" i="10"/>
  <c r="E430" i="10"/>
  <c r="D430" i="10"/>
  <c r="C430" i="10"/>
  <c r="B430" i="10"/>
  <c r="F429" i="10"/>
  <c r="E429" i="10"/>
  <c r="D429" i="10"/>
  <c r="C429" i="10"/>
  <c r="B429" i="10"/>
  <c r="F428" i="10"/>
  <c r="E428" i="10"/>
  <c r="D428" i="10"/>
  <c r="C428" i="10"/>
  <c r="B428" i="10"/>
  <c r="F427" i="10"/>
  <c r="E427" i="10"/>
  <c r="D427" i="10"/>
  <c r="C427" i="10"/>
  <c r="B427" i="10"/>
  <c r="F426" i="10"/>
  <c r="E426" i="10"/>
  <c r="D426" i="10"/>
  <c r="C426" i="10"/>
  <c r="B426" i="10"/>
  <c r="F425" i="10"/>
  <c r="E425" i="10"/>
  <c r="D425" i="10"/>
  <c r="C425" i="10"/>
  <c r="B425" i="10"/>
  <c r="F424" i="10"/>
  <c r="E424" i="10"/>
  <c r="D424" i="10"/>
  <c r="C424" i="10"/>
  <c r="B424" i="10"/>
  <c r="F423" i="10"/>
  <c r="E423" i="10"/>
  <c r="D423" i="10"/>
  <c r="C423" i="10"/>
  <c r="B423" i="10"/>
  <c r="F422" i="10"/>
  <c r="E422" i="10"/>
  <c r="D422" i="10"/>
  <c r="C422" i="10"/>
  <c r="B422" i="10"/>
  <c r="F421" i="10"/>
  <c r="E421" i="10"/>
  <c r="D421" i="10"/>
  <c r="C421" i="10"/>
  <c r="B421" i="10"/>
  <c r="F420" i="10"/>
  <c r="E420" i="10"/>
  <c r="D420" i="10"/>
  <c r="C420" i="10"/>
  <c r="B420" i="10"/>
  <c r="F419" i="10"/>
  <c r="E419" i="10"/>
  <c r="D419" i="10"/>
  <c r="C419" i="10"/>
  <c r="B419" i="10"/>
  <c r="F418" i="10"/>
  <c r="E418" i="10"/>
  <c r="D418" i="10"/>
  <c r="C418" i="10"/>
  <c r="B418" i="10"/>
  <c r="F417" i="10"/>
  <c r="E417" i="10"/>
  <c r="D417" i="10"/>
  <c r="C417" i="10"/>
  <c r="B417" i="10"/>
  <c r="F416" i="10"/>
  <c r="E416" i="10"/>
  <c r="D416" i="10"/>
  <c r="C416" i="10"/>
  <c r="B416" i="10"/>
  <c r="F415" i="10"/>
  <c r="E415" i="10"/>
  <c r="D415" i="10"/>
  <c r="C415" i="10"/>
  <c r="B415" i="10"/>
  <c r="F414" i="10"/>
  <c r="E414" i="10"/>
  <c r="D414" i="10"/>
  <c r="C414" i="10"/>
  <c r="B414" i="10"/>
  <c r="F413" i="10"/>
  <c r="E413" i="10"/>
  <c r="D413" i="10"/>
  <c r="C413" i="10"/>
  <c r="B413" i="10"/>
  <c r="F412" i="10"/>
  <c r="E412" i="10"/>
  <c r="D412" i="10"/>
  <c r="C412" i="10"/>
  <c r="B412" i="10"/>
  <c r="F411" i="10"/>
  <c r="E411" i="10"/>
  <c r="D411" i="10"/>
  <c r="C411" i="10"/>
  <c r="B411" i="10"/>
  <c r="F410" i="10"/>
  <c r="E410" i="10"/>
  <c r="D410" i="10"/>
  <c r="C410" i="10"/>
  <c r="B410" i="10"/>
  <c r="F409" i="10"/>
  <c r="E409" i="10"/>
  <c r="D409" i="10"/>
  <c r="C409" i="10"/>
  <c r="B409" i="10"/>
  <c r="F408" i="10"/>
  <c r="E408" i="10"/>
  <c r="D408" i="10"/>
  <c r="C408" i="10"/>
  <c r="B408" i="10"/>
  <c r="F407" i="10"/>
  <c r="E407" i="10"/>
  <c r="D407" i="10"/>
  <c r="C407" i="10"/>
  <c r="B407" i="10"/>
  <c r="F406" i="10"/>
  <c r="E406" i="10"/>
  <c r="D406" i="10"/>
  <c r="C406" i="10"/>
  <c r="B406" i="10"/>
  <c r="F405" i="10"/>
  <c r="E405" i="10"/>
  <c r="D405" i="10"/>
  <c r="C405" i="10"/>
  <c r="B405" i="10"/>
  <c r="F404" i="10"/>
  <c r="E404" i="10"/>
  <c r="D404" i="10"/>
  <c r="C404" i="10"/>
  <c r="B404" i="10"/>
  <c r="F403" i="10"/>
  <c r="E403" i="10"/>
  <c r="D403" i="10"/>
  <c r="C403" i="10"/>
  <c r="B403" i="10"/>
  <c r="F402" i="10"/>
  <c r="E402" i="10"/>
  <c r="D402" i="10"/>
  <c r="C402" i="10"/>
  <c r="B402" i="10"/>
  <c r="F401" i="10"/>
  <c r="E401" i="10"/>
  <c r="D401" i="10"/>
  <c r="C401" i="10"/>
  <c r="B401" i="10"/>
  <c r="F400" i="10"/>
  <c r="E400" i="10"/>
  <c r="D400" i="10"/>
  <c r="C400" i="10"/>
  <c r="B400" i="10"/>
  <c r="F399" i="10"/>
  <c r="E399" i="10"/>
  <c r="D399" i="10"/>
  <c r="C399" i="10"/>
  <c r="B399" i="10"/>
  <c r="F398" i="10"/>
  <c r="E398" i="10"/>
  <c r="D398" i="10"/>
  <c r="C398" i="10"/>
  <c r="B398" i="10"/>
  <c r="F397" i="10"/>
  <c r="E397" i="10"/>
  <c r="D397" i="10"/>
  <c r="C397" i="10"/>
  <c r="B397" i="10"/>
  <c r="F396" i="10"/>
  <c r="E396" i="10"/>
  <c r="D396" i="10"/>
  <c r="C396" i="10"/>
  <c r="B396" i="10"/>
  <c r="F395" i="10"/>
  <c r="E395" i="10"/>
  <c r="D395" i="10"/>
  <c r="C395" i="10"/>
  <c r="B395" i="10"/>
  <c r="F394" i="10"/>
  <c r="E394" i="10"/>
  <c r="D394" i="10"/>
  <c r="C394" i="10"/>
  <c r="B394" i="10"/>
  <c r="F393" i="10"/>
  <c r="E393" i="10"/>
  <c r="D393" i="10"/>
  <c r="C393" i="10"/>
  <c r="B393" i="10"/>
  <c r="F392" i="10"/>
  <c r="E392" i="10"/>
  <c r="D392" i="10"/>
  <c r="C392" i="10"/>
  <c r="B392" i="10"/>
  <c r="F391" i="10"/>
  <c r="E391" i="10"/>
  <c r="D391" i="10"/>
  <c r="C391" i="10"/>
  <c r="B391" i="10"/>
  <c r="F390" i="10"/>
  <c r="E390" i="10"/>
  <c r="D390" i="10"/>
  <c r="C390" i="10"/>
  <c r="B390" i="10"/>
  <c r="F389" i="10"/>
  <c r="E389" i="10"/>
  <c r="D389" i="10"/>
  <c r="C389" i="10"/>
  <c r="B389" i="10"/>
  <c r="F388" i="10"/>
  <c r="E388" i="10"/>
  <c r="D388" i="10"/>
  <c r="C388" i="10"/>
  <c r="B388" i="10"/>
  <c r="F387" i="10"/>
  <c r="E387" i="10"/>
  <c r="D387" i="10"/>
  <c r="C387" i="10"/>
  <c r="B387" i="10"/>
  <c r="F386" i="10"/>
  <c r="E386" i="10"/>
  <c r="D386" i="10"/>
  <c r="C386" i="10"/>
  <c r="B386" i="10"/>
  <c r="F385" i="10"/>
  <c r="E385" i="10"/>
  <c r="D385" i="10"/>
  <c r="C385" i="10"/>
  <c r="B385" i="10"/>
  <c r="F384" i="10"/>
  <c r="E384" i="10"/>
  <c r="D384" i="10"/>
  <c r="C384" i="10"/>
  <c r="B384" i="10"/>
  <c r="F383" i="10"/>
  <c r="E383" i="10"/>
  <c r="D383" i="10"/>
  <c r="C383" i="10"/>
  <c r="B383" i="10"/>
  <c r="F382" i="10"/>
  <c r="E382" i="10"/>
  <c r="D382" i="10"/>
  <c r="C382" i="10"/>
  <c r="B382" i="10"/>
  <c r="F381" i="10"/>
  <c r="E381" i="10"/>
  <c r="D381" i="10"/>
  <c r="C381" i="10"/>
  <c r="B381" i="10"/>
  <c r="F380" i="10"/>
  <c r="E380" i="10"/>
  <c r="D380" i="10"/>
  <c r="C380" i="10"/>
  <c r="B380" i="10"/>
  <c r="F379" i="10"/>
  <c r="E379" i="10"/>
  <c r="D379" i="10"/>
  <c r="C379" i="10"/>
  <c r="B379" i="10"/>
  <c r="F378" i="10"/>
  <c r="E378" i="10"/>
  <c r="D378" i="10"/>
  <c r="C378" i="10"/>
  <c r="B378" i="10"/>
  <c r="F377" i="10"/>
  <c r="E377" i="10"/>
  <c r="D377" i="10"/>
  <c r="C377" i="10"/>
  <c r="B377" i="10"/>
  <c r="F376" i="10"/>
  <c r="E376" i="10"/>
  <c r="D376" i="10"/>
  <c r="C376" i="10"/>
  <c r="B376" i="10"/>
  <c r="F375" i="10"/>
  <c r="E375" i="10"/>
  <c r="D375" i="10"/>
  <c r="C375" i="10"/>
  <c r="B375" i="10"/>
  <c r="F374" i="10"/>
  <c r="E374" i="10"/>
  <c r="D374" i="10"/>
  <c r="C374" i="10"/>
  <c r="B374" i="10"/>
  <c r="F373" i="10"/>
  <c r="E373" i="10"/>
  <c r="D373" i="10"/>
  <c r="C373" i="10"/>
  <c r="B373" i="10"/>
  <c r="F372" i="10"/>
  <c r="E372" i="10"/>
  <c r="D372" i="10"/>
  <c r="C372" i="10"/>
  <c r="B372" i="10"/>
  <c r="F371" i="10"/>
  <c r="E371" i="10"/>
  <c r="D371" i="10"/>
  <c r="C371" i="10"/>
  <c r="B371" i="10"/>
  <c r="F370" i="10"/>
  <c r="E370" i="10"/>
  <c r="D370" i="10"/>
  <c r="C370" i="10"/>
  <c r="B370" i="10"/>
  <c r="F369" i="10"/>
  <c r="E369" i="10"/>
  <c r="D369" i="10"/>
  <c r="C369" i="10"/>
  <c r="B369" i="10"/>
  <c r="F368" i="10"/>
  <c r="E368" i="10"/>
  <c r="D368" i="10"/>
  <c r="C368" i="10"/>
  <c r="B368" i="10"/>
  <c r="F367" i="10"/>
  <c r="E367" i="10"/>
  <c r="D367" i="10"/>
  <c r="C367" i="10"/>
  <c r="B367" i="10"/>
  <c r="F366" i="10"/>
  <c r="E366" i="10"/>
  <c r="D366" i="10"/>
  <c r="C366" i="10"/>
  <c r="B366" i="10"/>
  <c r="F365" i="10"/>
  <c r="E365" i="10"/>
  <c r="D365" i="10"/>
  <c r="C365" i="10"/>
  <c r="B365" i="10"/>
  <c r="F364" i="10"/>
  <c r="E364" i="10"/>
  <c r="D364" i="10"/>
  <c r="C364" i="10"/>
  <c r="B364" i="10"/>
  <c r="F363" i="10"/>
  <c r="E363" i="10"/>
  <c r="D363" i="10"/>
  <c r="C363" i="10"/>
  <c r="B363" i="10"/>
  <c r="F362" i="10"/>
  <c r="E362" i="10"/>
  <c r="D362" i="10"/>
  <c r="C362" i="10"/>
  <c r="B362" i="10"/>
  <c r="F361" i="10"/>
  <c r="E361" i="10"/>
  <c r="D361" i="10"/>
  <c r="C361" i="10"/>
  <c r="B361" i="10"/>
  <c r="F360" i="10"/>
  <c r="E360" i="10"/>
  <c r="D360" i="10"/>
  <c r="C360" i="10"/>
  <c r="B360" i="10"/>
  <c r="F359" i="10"/>
  <c r="E359" i="10"/>
  <c r="D359" i="10"/>
  <c r="C359" i="10"/>
  <c r="B359" i="10"/>
  <c r="F358" i="10"/>
  <c r="E358" i="10"/>
  <c r="D358" i="10"/>
  <c r="C358" i="10"/>
  <c r="B358" i="10"/>
  <c r="F357" i="10"/>
  <c r="E357" i="10"/>
  <c r="D357" i="10"/>
  <c r="C357" i="10"/>
  <c r="B357" i="10"/>
  <c r="F356" i="10"/>
  <c r="E356" i="10"/>
  <c r="D356" i="10"/>
  <c r="C356" i="10"/>
  <c r="B356" i="10"/>
  <c r="F355" i="10"/>
  <c r="E355" i="10"/>
  <c r="D355" i="10"/>
  <c r="C355" i="10"/>
  <c r="B355" i="10"/>
  <c r="F354" i="10"/>
  <c r="E354" i="10"/>
  <c r="D354" i="10"/>
  <c r="C354" i="10"/>
  <c r="B354" i="10"/>
  <c r="F353" i="10"/>
  <c r="E353" i="10"/>
  <c r="D353" i="10"/>
  <c r="C353" i="10"/>
  <c r="B353" i="10"/>
  <c r="F352" i="10"/>
  <c r="E352" i="10"/>
  <c r="D352" i="10"/>
  <c r="C352" i="10"/>
  <c r="B352" i="10"/>
  <c r="F351" i="10"/>
  <c r="E351" i="10"/>
  <c r="D351" i="10"/>
  <c r="C351" i="10"/>
  <c r="B351" i="10"/>
  <c r="F350" i="10"/>
  <c r="E350" i="10"/>
  <c r="D350" i="10"/>
  <c r="C350" i="10"/>
  <c r="B350" i="10"/>
  <c r="F349" i="10"/>
  <c r="E349" i="10"/>
  <c r="D349" i="10"/>
  <c r="C349" i="10"/>
  <c r="B349" i="10"/>
  <c r="F348" i="10"/>
  <c r="E348" i="10"/>
  <c r="D348" i="10"/>
  <c r="C348" i="10"/>
  <c r="B348" i="10"/>
  <c r="F347" i="10"/>
  <c r="E347" i="10"/>
  <c r="D347" i="10"/>
  <c r="C347" i="10"/>
  <c r="B347" i="10"/>
  <c r="F346" i="10"/>
  <c r="E346" i="10"/>
  <c r="D346" i="10"/>
  <c r="C346" i="10"/>
  <c r="B346" i="10"/>
  <c r="F345" i="10"/>
  <c r="E345" i="10"/>
  <c r="D345" i="10"/>
  <c r="C345" i="10"/>
  <c r="B345" i="10"/>
  <c r="F344" i="10"/>
  <c r="E344" i="10"/>
  <c r="D344" i="10"/>
  <c r="C344" i="10"/>
  <c r="B344" i="10"/>
  <c r="F343" i="10"/>
  <c r="E343" i="10"/>
  <c r="D343" i="10"/>
  <c r="C343" i="10"/>
  <c r="B343" i="10"/>
  <c r="F342" i="10"/>
  <c r="E342" i="10"/>
  <c r="D342" i="10"/>
  <c r="C342" i="10"/>
  <c r="B342" i="10"/>
  <c r="F341" i="10"/>
  <c r="E341" i="10"/>
  <c r="D341" i="10"/>
  <c r="C341" i="10"/>
  <c r="B341" i="10"/>
  <c r="F340" i="10"/>
  <c r="E340" i="10"/>
  <c r="D340" i="10"/>
  <c r="C340" i="10"/>
  <c r="B340" i="10"/>
  <c r="F339" i="10"/>
  <c r="E339" i="10"/>
  <c r="D339" i="10"/>
  <c r="C339" i="10"/>
  <c r="B339" i="10"/>
  <c r="F338" i="10"/>
  <c r="E338" i="10"/>
  <c r="D338" i="10"/>
  <c r="C338" i="10"/>
  <c r="B338" i="10"/>
  <c r="F337" i="10"/>
  <c r="E337" i="10"/>
  <c r="D337" i="10"/>
  <c r="C337" i="10"/>
  <c r="B337" i="10"/>
  <c r="F336" i="10"/>
  <c r="E336" i="10"/>
  <c r="D336" i="10"/>
  <c r="C336" i="10"/>
  <c r="B336" i="10"/>
  <c r="F335" i="10"/>
  <c r="E335" i="10"/>
  <c r="D335" i="10"/>
  <c r="C335" i="10"/>
  <c r="B335" i="10"/>
  <c r="F334" i="10"/>
  <c r="E334" i="10"/>
  <c r="D334" i="10"/>
  <c r="C334" i="10"/>
  <c r="B334" i="10"/>
  <c r="F333" i="10"/>
  <c r="E333" i="10"/>
  <c r="D333" i="10"/>
  <c r="C333" i="10"/>
  <c r="B333" i="10"/>
  <c r="F332" i="10"/>
  <c r="E332" i="10"/>
  <c r="D332" i="10"/>
  <c r="C332" i="10"/>
  <c r="B332" i="10"/>
  <c r="F331" i="10"/>
  <c r="E331" i="10"/>
  <c r="D331" i="10"/>
  <c r="C331" i="10"/>
  <c r="B331" i="10"/>
  <c r="F330" i="10"/>
  <c r="E330" i="10"/>
  <c r="D330" i="10"/>
  <c r="C330" i="10"/>
  <c r="B330" i="10"/>
  <c r="F329" i="10"/>
  <c r="E329" i="10"/>
  <c r="D329" i="10"/>
  <c r="C329" i="10"/>
  <c r="B329" i="10"/>
  <c r="F328" i="10"/>
  <c r="E328" i="10"/>
  <c r="D328" i="10"/>
  <c r="C328" i="10"/>
  <c r="B328" i="10"/>
  <c r="F327" i="10"/>
  <c r="E327" i="10"/>
  <c r="D327" i="10"/>
  <c r="C327" i="10"/>
  <c r="B327" i="10"/>
  <c r="F326" i="10"/>
  <c r="E326" i="10"/>
  <c r="D326" i="10"/>
  <c r="C326" i="10"/>
  <c r="B326" i="10"/>
  <c r="F325" i="10"/>
  <c r="E325" i="10"/>
  <c r="D325" i="10"/>
  <c r="C325" i="10"/>
  <c r="B325" i="10"/>
  <c r="F324" i="10"/>
  <c r="E324" i="10"/>
  <c r="D324" i="10"/>
  <c r="C324" i="10"/>
  <c r="B324" i="10"/>
  <c r="F323" i="10"/>
  <c r="E323" i="10"/>
  <c r="D323" i="10"/>
  <c r="C323" i="10"/>
  <c r="B323" i="10"/>
  <c r="F322" i="10"/>
  <c r="E322" i="10"/>
  <c r="D322" i="10"/>
  <c r="C322" i="10"/>
  <c r="B322" i="10"/>
  <c r="F321" i="10"/>
  <c r="E321" i="10"/>
  <c r="D321" i="10"/>
  <c r="C321" i="10"/>
  <c r="B321" i="10"/>
  <c r="F320" i="10"/>
  <c r="E320" i="10"/>
  <c r="D320" i="10"/>
  <c r="C320" i="10"/>
  <c r="B320" i="10"/>
  <c r="F319" i="10"/>
  <c r="E319" i="10"/>
  <c r="D319" i="10"/>
  <c r="C319" i="10"/>
  <c r="B319" i="10"/>
  <c r="F318" i="10"/>
  <c r="E318" i="10"/>
  <c r="D318" i="10"/>
  <c r="C318" i="10"/>
  <c r="B318" i="10"/>
  <c r="F317" i="10"/>
  <c r="E317" i="10"/>
  <c r="D317" i="10"/>
  <c r="C317" i="10"/>
  <c r="B317" i="10"/>
  <c r="F316" i="10"/>
  <c r="E316" i="10"/>
  <c r="D316" i="10"/>
  <c r="C316" i="10"/>
  <c r="B316" i="10"/>
  <c r="F315" i="10"/>
  <c r="E315" i="10"/>
  <c r="D315" i="10"/>
  <c r="C315" i="10"/>
  <c r="B315" i="10"/>
  <c r="F314" i="10"/>
  <c r="E314" i="10"/>
  <c r="D314" i="10"/>
  <c r="C314" i="10"/>
  <c r="B314" i="10"/>
  <c r="F313" i="10"/>
  <c r="E313" i="10"/>
  <c r="D313" i="10"/>
  <c r="C313" i="10"/>
  <c r="B313" i="10"/>
  <c r="F312" i="10"/>
  <c r="E312" i="10"/>
  <c r="D312" i="10"/>
  <c r="C312" i="10"/>
  <c r="B312" i="10"/>
  <c r="F311" i="10"/>
  <c r="E311" i="10"/>
  <c r="D311" i="10"/>
  <c r="C311" i="10"/>
  <c r="B311" i="10"/>
  <c r="F310" i="10"/>
  <c r="E310" i="10"/>
  <c r="D310" i="10"/>
  <c r="C310" i="10"/>
  <c r="B310" i="10"/>
  <c r="F309" i="10"/>
  <c r="E309" i="10"/>
  <c r="D309" i="10"/>
  <c r="C309" i="10"/>
  <c r="B309" i="10"/>
  <c r="F308" i="10"/>
  <c r="E308" i="10"/>
  <c r="D308" i="10"/>
  <c r="C308" i="10"/>
  <c r="B308" i="10"/>
  <c r="F307" i="10"/>
  <c r="E307" i="10"/>
  <c r="D307" i="10"/>
  <c r="C307" i="10"/>
  <c r="B307" i="10"/>
  <c r="F306" i="10"/>
  <c r="E306" i="10"/>
  <c r="D306" i="10"/>
  <c r="C306" i="10"/>
  <c r="B306" i="10"/>
  <c r="F305" i="10"/>
  <c r="E305" i="10"/>
  <c r="D305" i="10"/>
  <c r="C305" i="10"/>
  <c r="B305" i="10"/>
  <c r="F304" i="10"/>
  <c r="E304" i="10"/>
  <c r="D304" i="10"/>
  <c r="C304" i="10"/>
  <c r="B304" i="10"/>
  <c r="F303" i="10"/>
  <c r="E303" i="10"/>
  <c r="D303" i="10"/>
  <c r="C303" i="10"/>
  <c r="B303" i="10"/>
  <c r="F302" i="10"/>
  <c r="E302" i="10"/>
  <c r="D302" i="10"/>
  <c r="C302" i="10"/>
  <c r="B302" i="10"/>
  <c r="F301" i="10"/>
  <c r="E301" i="10"/>
  <c r="D301" i="10"/>
  <c r="C301" i="10"/>
  <c r="B301" i="10"/>
  <c r="F300" i="10"/>
  <c r="E300" i="10"/>
  <c r="D300" i="10"/>
  <c r="C300" i="10"/>
  <c r="B300" i="10"/>
  <c r="F299" i="10"/>
  <c r="E299" i="10"/>
  <c r="D299" i="10"/>
  <c r="C299" i="10"/>
  <c r="B299" i="10"/>
  <c r="F298" i="10"/>
  <c r="E298" i="10"/>
  <c r="D298" i="10"/>
  <c r="C298" i="10"/>
  <c r="B298" i="10"/>
  <c r="F297" i="10"/>
  <c r="E297" i="10"/>
  <c r="D297" i="10"/>
  <c r="C297" i="10"/>
  <c r="B297" i="10"/>
  <c r="F296" i="10"/>
  <c r="E296" i="10"/>
  <c r="D296" i="10"/>
  <c r="C296" i="10"/>
  <c r="B296" i="10"/>
  <c r="F295" i="10"/>
  <c r="E295" i="10"/>
  <c r="D295" i="10"/>
  <c r="C295" i="10"/>
  <c r="B295" i="10"/>
  <c r="F294" i="10"/>
  <c r="E294" i="10"/>
  <c r="D294" i="10"/>
  <c r="C294" i="10"/>
  <c r="B294" i="10"/>
  <c r="F293" i="10"/>
  <c r="E293" i="10"/>
  <c r="D293" i="10"/>
  <c r="C293" i="10"/>
  <c r="B293" i="10"/>
  <c r="F292" i="10"/>
  <c r="E292" i="10"/>
  <c r="D292" i="10"/>
  <c r="C292" i="10"/>
  <c r="B292" i="10"/>
  <c r="F291" i="10"/>
  <c r="E291" i="10"/>
  <c r="D291" i="10"/>
  <c r="C291" i="10"/>
  <c r="B291" i="10"/>
  <c r="F290" i="10"/>
  <c r="E290" i="10"/>
  <c r="D290" i="10"/>
  <c r="C290" i="10"/>
  <c r="B290" i="10"/>
  <c r="F289" i="10"/>
  <c r="E289" i="10"/>
  <c r="D289" i="10"/>
  <c r="C289" i="10"/>
  <c r="B289" i="10"/>
  <c r="F288" i="10"/>
  <c r="E288" i="10"/>
  <c r="D288" i="10"/>
  <c r="C288" i="10"/>
  <c r="B288" i="10"/>
  <c r="F287" i="10"/>
  <c r="E287" i="10"/>
  <c r="D287" i="10"/>
  <c r="C287" i="10"/>
  <c r="B287" i="10"/>
  <c r="F286" i="10"/>
  <c r="E286" i="10"/>
  <c r="D286" i="10"/>
  <c r="C286" i="10"/>
  <c r="B286" i="10"/>
  <c r="F285" i="10"/>
  <c r="E285" i="10"/>
  <c r="D285" i="10"/>
  <c r="C285" i="10"/>
  <c r="B285" i="10"/>
  <c r="F284" i="10"/>
  <c r="E284" i="10"/>
  <c r="D284" i="10"/>
  <c r="C284" i="10"/>
  <c r="B284" i="10"/>
  <c r="F283" i="10"/>
  <c r="E283" i="10"/>
  <c r="D283" i="10"/>
  <c r="C283" i="10"/>
  <c r="B283" i="10"/>
  <c r="F282" i="10"/>
  <c r="E282" i="10"/>
  <c r="D282" i="10"/>
  <c r="C282" i="10"/>
  <c r="B282" i="10"/>
  <c r="F281" i="10"/>
  <c r="E281" i="10"/>
  <c r="D281" i="10"/>
  <c r="C281" i="10"/>
  <c r="B281" i="10"/>
  <c r="F280" i="10"/>
  <c r="E280" i="10"/>
  <c r="D280" i="10"/>
  <c r="C280" i="10"/>
  <c r="B280" i="10"/>
  <c r="F279" i="10"/>
  <c r="E279" i="10"/>
  <c r="D279" i="10"/>
  <c r="C279" i="10"/>
  <c r="B279" i="10"/>
  <c r="F278" i="10"/>
  <c r="E278" i="10"/>
  <c r="D278" i="10"/>
  <c r="C278" i="10"/>
  <c r="B278" i="10"/>
  <c r="F277" i="10"/>
  <c r="E277" i="10"/>
  <c r="D277" i="10"/>
  <c r="C277" i="10"/>
  <c r="B277" i="10"/>
  <c r="F276" i="10"/>
  <c r="E276" i="10"/>
  <c r="D276" i="10"/>
  <c r="C276" i="10"/>
  <c r="B276" i="10"/>
  <c r="F275" i="10"/>
  <c r="E275" i="10"/>
  <c r="D275" i="10"/>
  <c r="C275" i="10"/>
  <c r="B275" i="10"/>
  <c r="F274" i="10"/>
  <c r="E274" i="10"/>
  <c r="D274" i="10"/>
  <c r="C274" i="10"/>
  <c r="B274" i="10"/>
  <c r="F273" i="10"/>
  <c r="E273" i="10"/>
  <c r="D273" i="10"/>
  <c r="C273" i="10"/>
  <c r="B273" i="10"/>
  <c r="F272" i="10"/>
  <c r="E272" i="10"/>
  <c r="D272" i="10"/>
  <c r="C272" i="10"/>
  <c r="B272" i="10"/>
  <c r="F271" i="10"/>
  <c r="E271" i="10"/>
  <c r="D271" i="10"/>
  <c r="C271" i="10"/>
  <c r="B271" i="10"/>
  <c r="F270" i="10"/>
  <c r="E270" i="10"/>
  <c r="D270" i="10"/>
  <c r="C270" i="10"/>
  <c r="B270" i="10"/>
  <c r="F269" i="10"/>
  <c r="E269" i="10"/>
  <c r="D269" i="10"/>
  <c r="C269" i="10"/>
  <c r="B269" i="10"/>
  <c r="F268" i="10"/>
  <c r="E268" i="10"/>
  <c r="D268" i="10"/>
  <c r="C268" i="10"/>
  <c r="B268" i="10"/>
  <c r="F267" i="10"/>
  <c r="E267" i="10"/>
  <c r="D267" i="10"/>
  <c r="C267" i="10"/>
  <c r="B267" i="10"/>
  <c r="F266" i="10"/>
  <c r="E266" i="10"/>
  <c r="D266" i="10"/>
  <c r="C266" i="10"/>
  <c r="B266" i="10"/>
  <c r="F265" i="10"/>
  <c r="E265" i="10"/>
  <c r="D265" i="10"/>
  <c r="C265" i="10"/>
  <c r="B265" i="10"/>
  <c r="F264" i="10"/>
  <c r="E264" i="10"/>
  <c r="D264" i="10"/>
  <c r="C264" i="10"/>
  <c r="B264" i="10"/>
  <c r="F263" i="10"/>
  <c r="E263" i="10"/>
  <c r="D263" i="10"/>
  <c r="C263" i="10"/>
  <c r="B263" i="10"/>
  <c r="F262" i="10"/>
  <c r="E262" i="10"/>
  <c r="D262" i="10"/>
  <c r="C262" i="10"/>
  <c r="B262" i="10"/>
  <c r="F261" i="10"/>
  <c r="E261" i="10"/>
  <c r="D261" i="10"/>
  <c r="C261" i="10"/>
  <c r="B261" i="10"/>
  <c r="F260" i="10"/>
  <c r="E260" i="10"/>
  <c r="D260" i="10"/>
  <c r="C260" i="10"/>
  <c r="B260" i="10"/>
  <c r="F259" i="10"/>
  <c r="E259" i="10"/>
  <c r="D259" i="10"/>
  <c r="C259" i="10"/>
  <c r="B259" i="10"/>
  <c r="F258" i="10"/>
  <c r="E258" i="10"/>
  <c r="D258" i="10"/>
  <c r="C258" i="10"/>
  <c r="B258" i="10"/>
  <c r="F257" i="10"/>
  <c r="E257" i="10"/>
  <c r="D257" i="10"/>
  <c r="C257" i="10"/>
  <c r="B257" i="10"/>
  <c r="F256" i="10"/>
  <c r="E256" i="10"/>
  <c r="D256" i="10"/>
  <c r="C256" i="10"/>
  <c r="B256" i="10"/>
  <c r="F255" i="10"/>
  <c r="E255" i="10"/>
  <c r="D255" i="10"/>
  <c r="C255" i="10"/>
  <c r="B255" i="10"/>
  <c r="F254" i="10"/>
  <c r="E254" i="10"/>
  <c r="D254" i="10"/>
  <c r="C254" i="10"/>
  <c r="B254" i="10"/>
  <c r="F253" i="10"/>
  <c r="E253" i="10"/>
  <c r="D253" i="10"/>
  <c r="C253" i="10"/>
  <c r="B253" i="10"/>
  <c r="F252" i="10"/>
  <c r="E252" i="10"/>
  <c r="D252" i="10"/>
  <c r="C252" i="10"/>
  <c r="B252" i="10"/>
  <c r="F251" i="10"/>
  <c r="E251" i="10"/>
  <c r="D251" i="10"/>
  <c r="C251" i="10"/>
  <c r="B251" i="10"/>
  <c r="F250" i="10"/>
  <c r="E250" i="10"/>
  <c r="D250" i="10"/>
  <c r="C250" i="10"/>
  <c r="B250" i="10"/>
  <c r="F249" i="10"/>
  <c r="E249" i="10"/>
  <c r="D249" i="10"/>
  <c r="C249" i="10"/>
  <c r="B249" i="10"/>
  <c r="F248" i="10"/>
  <c r="E248" i="10"/>
  <c r="D248" i="10"/>
  <c r="C248" i="10"/>
  <c r="B248" i="10"/>
  <c r="F247" i="10"/>
  <c r="E247" i="10"/>
  <c r="D247" i="10"/>
  <c r="C247" i="10"/>
  <c r="B247" i="10"/>
  <c r="F246" i="10"/>
  <c r="E246" i="10"/>
  <c r="D246" i="10"/>
  <c r="C246" i="10"/>
  <c r="B246" i="10"/>
  <c r="F245" i="10"/>
  <c r="E245" i="10"/>
  <c r="D245" i="10"/>
  <c r="C245" i="10"/>
  <c r="B245" i="10"/>
  <c r="F244" i="10"/>
  <c r="E244" i="10"/>
  <c r="D244" i="10"/>
  <c r="C244" i="10"/>
  <c r="B244" i="10"/>
  <c r="F243" i="10"/>
  <c r="E243" i="10"/>
  <c r="D243" i="10"/>
  <c r="C243" i="10"/>
  <c r="B243" i="10"/>
  <c r="F242" i="10"/>
  <c r="E242" i="10"/>
  <c r="D242" i="10"/>
  <c r="C242" i="10"/>
  <c r="B242" i="10"/>
  <c r="F241" i="10"/>
  <c r="E241" i="10"/>
  <c r="D241" i="10"/>
  <c r="C241" i="10"/>
  <c r="B241" i="10"/>
  <c r="F240" i="10"/>
  <c r="E240" i="10"/>
  <c r="D240" i="10"/>
  <c r="C240" i="10"/>
  <c r="B240" i="10"/>
  <c r="F239" i="10"/>
  <c r="E239" i="10"/>
  <c r="D239" i="10"/>
  <c r="C239" i="10"/>
  <c r="B239" i="10"/>
  <c r="F238" i="10"/>
  <c r="E238" i="10"/>
  <c r="D238" i="10"/>
  <c r="C238" i="10"/>
  <c r="B238" i="10"/>
  <c r="F237" i="10"/>
  <c r="E237" i="10"/>
  <c r="D237" i="10"/>
  <c r="C237" i="10"/>
  <c r="B237" i="10"/>
  <c r="F236" i="10"/>
  <c r="E236" i="10"/>
  <c r="D236" i="10"/>
  <c r="C236" i="10"/>
  <c r="B236" i="10"/>
  <c r="F235" i="10"/>
  <c r="E235" i="10"/>
  <c r="D235" i="10"/>
  <c r="C235" i="10"/>
  <c r="B235" i="10"/>
  <c r="F234" i="10"/>
  <c r="E234" i="10"/>
  <c r="D234" i="10"/>
  <c r="C234" i="10"/>
  <c r="B234" i="10"/>
  <c r="F233" i="10"/>
  <c r="E233" i="10"/>
  <c r="D233" i="10"/>
  <c r="C233" i="10"/>
  <c r="B233" i="10"/>
  <c r="F232" i="10"/>
  <c r="E232" i="10"/>
  <c r="D232" i="10"/>
  <c r="C232" i="10"/>
  <c r="B232" i="10"/>
  <c r="F231" i="10"/>
  <c r="E231" i="10"/>
  <c r="D231" i="10"/>
  <c r="C231" i="10"/>
  <c r="B231" i="10"/>
  <c r="F230" i="10"/>
  <c r="E230" i="10"/>
  <c r="D230" i="10"/>
  <c r="C230" i="10"/>
  <c r="B230" i="10"/>
  <c r="F229" i="10"/>
  <c r="E229" i="10"/>
  <c r="D229" i="10"/>
  <c r="C229" i="10"/>
  <c r="B229" i="10"/>
  <c r="F228" i="10"/>
  <c r="E228" i="10"/>
  <c r="D228" i="10"/>
  <c r="C228" i="10"/>
  <c r="B228" i="10"/>
  <c r="F227" i="10"/>
  <c r="E227" i="10"/>
  <c r="D227" i="10"/>
  <c r="C227" i="10"/>
  <c r="B227" i="10"/>
  <c r="F226" i="10"/>
  <c r="E226" i="10"/>
  <c r="D226" i="10"/>
  <c r="C226" i="10"/>
  <c r="B226" i="10"/>
  <c r="F225" i="10"/>
  <c r="E225" i="10"/>
  <c r="D225" i="10"/>
  <c r="C225" i="10"/>
  <c r="B225" i="10"/>
  <c r="F224" i="10"/>
  <c r="E224" i="10"/>
  <c r="D224" i="10"/>
  <c r="C224" i="10"/>
  <c r="B224" i="10"/>
  <c r="F223" i="10"/>
  <c r="E223" i="10"/>
  <c r="D223" i="10"/>
  <c r="C223" i="10"/>
  <c r="B223" i="10"/>
  <c r="F222" i="10"/>
  <c r="E222" i="10"/>
  <c r="D222" i="10"/>
  <c r="C222" i="10"/>
  <c r="B222" i="10"/>
  <c r="F221" i="10"/>
  <c r="E221" i="10"/>
  <c r="D221" i="10"/>
  <c r="C221" i="10"/>
  <c r="B221" i="10"/>
  <c r="F220" i="10"/>
  <c r="E220" i="10"/>
  <c r="D220" i="10"/>
  <c r="C220" i="10"/>
  <c r="B220" i="10"/>
  <c r="F219" i="10"/>
  <c r="E219" i="10"/>
  <c r="D219" i="10"/>
  <c r="C219" i="10"/>
  <c r="B219" i="10"/>
  <c r="F218" i="10"/>
  <c r="E218" i="10"/>
  <c r="D218" i="10"/>
  <c r="C218" i="10"/>
  <c r="B218" i="10"/>
  <c r="F217" i="10"/>
  <c r="E217" i="10"/>
  <c r="D217" i="10"/>
  <c r="C217" i="10"/>
  <c r="B217" i="10"/>
  <c r="F216" i="10"/>
  <c r="E216" i="10"/>
  <c r="D216" i="10"/>
  <c r="C216" i="10"/>
  <c r="B216" i="10"/>
  <c r="F215" i="10"/>
  <c r="E215" i="10"/>
  <c r="D215" i="10"/>
  <c r="C215" i="10"/>
  <c r="B215" i="10"/>
  <c r="F214" i="10"/>
  <c r="E214" i="10"/>
  <c r="D214" i="10"/>
  <c r="C214" i="10"/>
  <c r="B214" i="10"/>
  <c r="F213" i="10"/>
  <c r="E213" i="10"/>
  <c r="D213" i="10"/>
  <c r="C213" i="10"/>
  <c r="B213" i="10"/>
  <c r="F212" i="10"/>
  <c r="E212" i="10"/>
  <c r="D212" i="10"/>
  <c r="C212" i="10"/>
  <c r="B212" i="10"/>
  <c r="M139" i="18"/>
  <c r="L141" i="18"/>
  <c r="M124" i="18"/>
  <c r="L129" i="18"/>
  <c r="M46" i="18"/>
  <c r="L50" i="18"/>
  <c r="M18" i="18"/>
  <c r="L33" i="18"/>
  <c r="B68" i="10"/>
  <c r="E69" i="10"/>
  <c r="C71" i="10"/>
  <c r="F72" i="10"/>
  <c r="D74" i="10"/>
  <c r="C77" i="10"/>
  <c r="F78" i="10"/>
  <c r="C80" i="10"/>
  <c r="E81" i="10"/>
  <c r="C83" i="10"/>
  <c r="E84" i="10"/>
  <c r="B86" i="10"/>
  <c r="E87" i="10"/>
  <c r="C89" i="10"/>
  <c r="F90" i="10"/>
  <c r="D92" i="10"/>
  <c r="B94" i="10"/>
  <c r="E95" i="10"/>
  <c r="C97" i="10"/>
  <c r="F98" i="10"/>
  <c r="C100" i="10"/>
  <c r="E101" i="10"/>
  <c r="B103" i="10"/>
  <c r="D104" i="10"/>
  <c r="F105" i="10"/>
  <c r="C107" i="10"/>
  <c r="E108" i="10"/>
  <c r="D111" i="10"/>
  <c r="F112" i="10"/>
  <c r="B114" i="10"/>
  <c r="E115" i="10"/>
  <c r="C118" i="10"/>
  <c r="F119" i="10"/>
  <c r="B121" i="10"/>
  <c r="D122" i="10"/>
  <c r="C125" i="10"/>
  <c r="E126" i="10"/>
  <c r="B128" i="10"/>
  <c r="D129" i="10"/>
  <c r="F130" i="10"/>
  <c r="C132" i="10"/>
  <c r="E133" i="10"/>
  <c r="B135" i="10"/>
  <c r="D136" i="10"/>
  <c r="F137" i="10"/>
  <c r="C139" i="10"/>
  <c r="E140" i="10"/>
  <c r="D143" i="10"/>
  <c r="F144" i="10"/>
  <c r="B146" i="10"/>
  <c r="E147" i="10"/>
  <c r="C150" i="10"/>
  <c r="F151" i="10"/>
  <c r="B153" i="10"/>
  <c r="D154" i="10"/>
  <c r="C157" i="10"/>
  <c r="E158" i="10"/>
  <c r="B160" i="10"/>
  <c r="D161" i="10"/>
  <c r="F162" i="10"/>
  <c r="C164" i="10"/>
  <c r="E165" i="10"/>
  <c r="B167" i="10"/>
  <c r="D168" i="10"/>
  <c r="F169" i="10"/>
  <c r="C171" i="10"/>
  <c r="E172" i="10"/>
  <c r="D175" i="10"/>
  <c r="F176" i="10"/>
  <c r="B178" i="10"/>
  <c r="E179" i="10"/>
  <c r="C68" i="10"/>
  <c r="F69" i="10"/>
  <c r="D71" i="10"/>
  <c r="B73" i="10"/>
  <c r="E74" i="10"/>
  <c r="B76" i="10"/>
  <c r="D77" i="10"/>
  <c r="B79" i="10"/>
  <c r="D80" i="10"/>
  <c r="F81" i="10"/>
  <c r="D83" i="10"/>
  <c r="F84" i="10"/>
  <c r="C86" i="10"/>
  <c r="F87" i="10"/>
  <c r="D89" i="10"/>
  <c r="B91" i="10"/>
  <c r="E92" i="10"/>
  <c r="C94" i="10"/>
  <c r="F95" i="10"/>
  <c r="D97" i="10"/>
  <c r="B99" i="10"/>
  <c r="D100" i="10"/>
  <c r="F101" i="10"/>
  <c r="C103" i="10"/>
  <c r="E104" i="10"/>
  <c r="D107" i="10"/>
  <c r="F108" i="10"/>
  <c r="B110" i="10"/>
  <c r="E111" i="10"/>
  <c r="C114" i="10"/>
  <c r="F115" i="10"/>
  <c r="B117" i="10"/>
  <c r="D118" i="10"/>
  <c r="C121" i="10"/>
  <c r="E122" i="10"/>
  <c r="B124" i="10"/>
  <c r="D125" i="10"/>
  <c r="F126" i="10"/>
  <c r="C128" i="10"/>
  <c r="E129" i="10"/>
  <c r="B131" i="10"/>
  <c r="D132" i="10"/>
  <c r="F133" i="10"/>
  <c r="C135" i="10"/>
  <c r="E136" i="10"/>
  <c r="D139" i="10"/>
  <c r="F140" i="10"/>
  <c r="B142" i="10"/>
  <c r="E143" i="10"/>
  <c r="C146" i="10"/>
  <c r="F147" i="10"/>
  <c r="B149" i="10"/>
  <c r="D150" i="10"/>
  <c r="C153" i="10"/>
  <c r="E154" i="10"/>
  <c r="B156" i="10"/>
  <c r="D157" i="10"/>
  <c r="F158" i="10"/>
  <c r="C160" i="10"/>
  <c r="E161" i="10"/>
  <c r="B163" i="10"/>
  <c r="D164" i="10"/>
  <c r="F165" i="10"/>
  <c r="C167" i="10"/>
  <c r="E168" i="10"/>
  <c r="D171" i="10"/>
  <c r="F172" i="10"/>
  <c r="B174" i="10"/>
  <c r="E175" i="10"/>
  <c r="C178" i="10"/>
  <c r="F179" i="10"/>
  <c r="B181" i="10"/>
  <c r="D182" i="10"/>
  <c r="C185" i="10"/>
  <c r="E186" i="10"/>
  <c r="D68" i="10"/>
  <c r="B70" i="10"/>
  <c r="E71" i="10"/>
  <c r="C73" i="10"/>
  <c r="F74" i="10"/>
  <c r="C76" i="10"/>
  <c r="E77" i="10"/>
  <c r="C79" i="10"/>
  <c r="E80" i="10"/>
  <c r="B82" i="10"/>
  <c r="E83" i="10"/>
  <c r="D86" i="10"/>
  <c r="B88" i="10"/>
  <c r="E68" i="10"/>
  <c r="C70" i="10"/>
  <c r="F71" i="10"/>
  <c r="D73" i="10"/>
  <c r="B75" i="10"/>
  <c r="D76" i="10"/>
  <c r="F77" i="10"/>
  <c r="D79" i="10"/>
  <c r="F68" i="10"/>
  <c r="C69" i="10"/>
  <c r="F70" i="10"/>
  <c r="D72" i="10"/>
  <c r="B74" i="10"/>
  <c r="E75" i="10"/>
  <c r="D78" i="10"/>
  <c r="C81" i="10"/>
  <c r="F82" i="10"/>
  <c r="C84" i="10"/>
  <c r="E85" i="10"/>
  <c r="C87" i="10"/>
  <c r="F88" i="10"/>
  <c r="D90" i="10"/>
  <c r="B92" i="10"/>
  <c r="E93" i="10"/>
  <c r="C95" i="10"/>
  <c r="F96" i="10"/>
  <c r="D98" i="10"/>
  <c r="C101" i="10"/>
  <c r="E102" i="10"/>
  <c r="B104" i="10"/>
  <c r="D105" i="10"/>
  <c r="F106" i="10"/>
  <c r="C108" i="10"/>
  <c r="E109" i="10"/>
  <c r="B111" i="10"/>
  <c r="D112" i="10"/>
  <c r="F113" i="10"/>
  <c r="C115" i="10"/>
  <c r="E116" i="10"/>
  <c r="D119" i="10"/>
  <c r="F120" i="10"/>
  <c r="B122" i="10"/>
  <c r="E123" i="10"/>
  <c r="C126" i="10"/>
  <c r="F127" i="10"/>
  <c r="B129" i="10"/>
  <c r="D130" i="10"/>
  <c r="C133" i="10"/>
  <c r="E134" i="10"/>
  <c r="B136" i="10"/>
  <c r="D137" i="10"/>
  <c r="F138" i="10"/>
  <c r="C140" i="10"/>
  <c r="E141" i="10"/>
  <c r="B143" i="10"/>
  <c r="D144" i="10"/>
  <c r="F145" i="10"/>
  <c r="C147" i="10"/>
  <c r="E148" i="10"/>
  <c r="D151" i="10"/>
  <c r="F152" i="10"/>
  <c r="B154" i="10"/>
  <c r="E155" i="10"/>
  <c r="C158" i="10"/>
  <c r="F159" i="10"/>
  <c r="B161" i="10"/>
  <c r="D162" i="10"/>
  <c r="C165" i="10"/>
  <c r="E166" i="10"/>
  <c r="B168" i="10"/>
  <c r="D169" i="10"/>
  <c r="F170" i="10"/>
  <c r="C172" i="10"/>
  <c r="E173" i="10"/>
  <c r="B175" i="10"/>
  <c r="D176" i="10"/>
  <c r="F177" i="10"/>
  <c r="C179" i="10"/>
  <c r="E180" i="10"/>
  <c r="D183" i="10"/>
  <c r="F184" i="10"/>
  <c r="B186" i="10"/>
  <c r="E187" i="10"/>
  <c r="D69" i="10"/>
  <c r="B71" i="10"/>
  <c r="E72" i="10"/>
  <c r="C74" i="10"/>
  <c r="F75" i="10"/>
  <c r="B77" i="10"/>
  <c r="E78" i="10"/>
  <c r="B80" i="10"/>
  <c r="B69" i="10"/>
  <c r="D75" i="10"/>
  <c r="F86" i="10"/>
  <c r="F89" i="10"/>
  <c r="C92" i="10"/>
  <c r="F94" i="10"/>
  <c r="E97" i="10"/>
  <c r="F99" i="10"/>
  <c r="B102" i="10"/>
  <c r="C104" i="10"/>
  <c r="D106" i="10"/>
  <c r="F110" i="10"/>
  <c r="C113" i="10"/>
  <c r="D115" i="10"/>
  <c r="E117" i="10"/>
  <c r="B120" i="10"/>
  <c r="D124" i="10"/>
  <c r="D126" i="10"/>
  <c r="F128" i="10"/>
  <c r="C131" i="10"/>
  <c r="B133" i="10"/>
  <c r="E135" i="10"/>
  <c r="E137" i="10"/>
  <c r="C142" i="10"/>
  <c r="C144" i="10"/>
  <c r="E146" i="10"/>
  <c r="F148" i="10"/>
  <c r="B151" i="10"/>
  <c r="D153" i="10"/>
  <c r="D155" i="10"/>
  <c r="F157" i="10"/>
  <c r="B162" i="10"/>
  <c r="E164" i="10"/>
  <c r="D166" i="10"/>
  <c r="B171" i="10"/>
  <c r="C173" i="10"/>
  <c r="F175" i="10"/>
  <c r="E177" i="10"/>
  <c r="B180" i="10"/>
  <c r="F181" i="10"/>
  <c r="F183" i="10"/>
  <c r="E185" i="10"/>
  <c r="D187" i="10"/>
  <c r="B189" i="10"/>
  <c r="D190" i="10"/>
  <c r="C193" i="10"/>
  <c r="E194" i="10"/>
  <c r="B196" i="10"/>
  <c r="D197" i="10"/>
  <c r="F198" i="10"/>
  <c r="C200" i="10"/>
  <c r="E201" i="10"/>
  <c r="B203" i="10"/>
  <c r="D204" i="10"/>
  <c r="F205" i="10"/>
  <c r="C207" i="10"/>
  <c r="E208" i="10"/>
  <c r="D211" i="10"/>
  <c r="F47" i="10"/>
  <c r="D49" i="10"/>
  <c r="B51" i="10"/>
  <c r="E52" i="10"/>
  <c r="C54" i="10"/>
  <c r="F55" i="10"/>
  <c r="D57" i="10"/>
  <c r="B59" i="10"/>
  <c r="E60" i="10"/>
  <c r="C62" i="10"/>
  <c r="F63" i="10"/>
  <c r="D65" i="10"/>
  <c r="C145" i="10"/>
  <c r="F160" i="10"/>
  <c r="C174" i="10"/>
  <c r="D70" i="10"/>
  <c r="E76" i="10"/>
  <c r="B81" i="10"/>
  <c r="B84" i="10"/>
  <c r="B87" i="10"/>
  <c r="B90" i="10"/>
  <c r="F92" i="10"/>
  <c r="B95" i="10"/>
  <c r="F97" i="10"/>
  <c r="B100" i="10"/>
  <c r="C102" i="10"/>
  <c r="F104" i="10"/>
  <c r="E106" i="10"/>
  <c r="B109" i="10"/>
  <c r="C111" i="10"/>
  <c r="D113" i="10"/>
  <c r="F117" i="10"/>
  <c r="C120" i="10"/>
  <c r="C122" i="10"/>
  <c r="E124" i="10"/>
  <c r="B127" i="10"/>
  <c r="D131" i="10"/>
  <c r="D133" i="10"/>
  <c r="F135" i="10"/>
  <c r="B138" i="10"/>
  <c r="B140" i="10"/>
  <c r="D142" i="10"/>
  <c r="E144" i="10"/>
  <c r="F146" i="10"/>
  <c r="C149" i="10"/>
  <c r="C151" i="10"/>
  <c r="E153" i="10"/>
  <c r="F155" i="10"/>
  <c r="D160" i="10"/>
  <c r="C162" i="10"/>
  <c r="F164" i="10"/>
  <c r="F166" i="10"/>
  <c r="B169" i="10"/>
  <c r="E171" i="10"/>
  <c r="D173" i="10"/>
  <c r="C180" i="10"/>
  <c r="B182" i="10"/>
  <c r="B184" i="10"/>
  <c r="F185" i="10"/>
  <c r="F187" i="10"/>
  <c r="C189" i="10"/>
  <c r="E190" i="10"/>
  <c r="B192" i="10"/>
  <c r="D193" i="10"/>
  <c r="F194" i="10"/>
  <c r="C196" i="10"/>
  <c r="E197" i="10"/>
  <c r="B199" i="10"/>
  <c r="D200" i="10"/>
  <c r="F201" i="10"/>
  <c r="C203" i="10"/>
  <c r="E204" i="10"/>
  <c r="D207" i="10"/>
  <c r="F208" i="10"/>
  <c r="B210" i="10"/>
  <c r="E211" i="10"/>
  <c r="B48" i="10"/>
  <c r="E49" i="10"/>
  <c r="C51" i="10"/>
  <c r="F52" i="10"/>
  <c r="D54" i="10"/>
  <c r="B56" i="10"/>
  <c r="E57" i="10"/>
  <c r="C59" i="10"/>
  <c r="F60" i="10"/>
  <c r="D62" i="10"/>
  <c r="B64" i="10"/>
  <c r="E65" i="10"/>
  <c r="C67" i="10"/>
  <c r="D138" i="10"/>
  <c r="B152" i="10"/>
  <c r="C163" i="10"/>
  <c r="C176" i="10"/>
  <c r="E70" i="10"/>
  <c r="F76" i="10"/>
  <c r="D81" i="10"/>
  <c r="D84" i="10"/>
  <c r="D87" i="10"/>
  <c r="C90" i="10"/>
  <c r="B93" i="10"/>
  <c r="D95" i="10"/>
  <c r="B98" i="10"/>
  <c r="E100" i="10"/>
  <c r="D102" i="10"/>
  <c r="B107" i="10"/>
  <c r="C109" i="10"/>
  <c r="F111" i="10"/>
  <c r="E113" i="10"/>
  <c r="B116" i="10"/>
  <c r="B118" i="10"/>
  <c r="D120" i="10"/>
  <c r="F122" i="10"/>
  <c r="F124" i="10"/>
  <c r="C127" i="10"/>
  <c r="C129" i="10"/>
  <c r="E131" i="10"/>
  <c r="C138" i="10"/>
  <c r="D140" i="10"/>
  <c r="E142" i="10"/>
  <c r="B145" i="10"/>
  <c r="B147" i="10"/>
  <c r="D149" i="10"/>
  <c r="E151" i="10"/>
  <c r="F153" i="10"/>
  <c r="C156" i="10"/>
  <c r="B158" i="10"/>
  <c r="E160" i="10"/>
  <c r="E162" i="10"/>
  <c r="D167" i="10"/>
  <c r="C169" i="10"/>
  <c r="F171" i="10"/>
  <c r="F173" i="10"/>
  <c r="B176" i="10"/>
  <c r="D178" i="10"/>
  <c r="D180" i="10"/>
  <c r="C182" i="10"/>
  <c r="C184" i="10"/>
  <c r="D189" i="10"/>
  <c r="F190" i="10"/>
  <c r="C192" i="10"/>
  <c r="E193" i="10"/>
  <c r="B195" i="10"/>
  <c r="D196" i="10"/>
  <c r="F197" i="10"/>
  <c r="C199" i="10"/>
  <c r="E200" i="10"/>
  <c r="D203" i="10"/>
  <c r="F204" i="10"/>
  <c r="B206" i="10"/>
  <c r="E207" i="10"/>
  <c r="C210" i="10"/>
  <c r="F211" i="10"/>
  <c r="C48" i="10"/>
  <c r="F49" i="10"/>
  <c r="D51" i="10"/>
  <c r="B53" i="10"/>
  <c r="E54" i="10"/>
  <c r="C56" i="10"/>
  <c r="F57" i="10"/>
  <c r="D59" i="10"/>
  <c r="B61" i="10"/>
  <c r="E62" i="10"/>
  <c r="C64" i="10"/>
  <c r="F65" i="10"/>
  <c r="D67" i="10"/>
  <c r="C136" i="10"/>
  <c r="D158" i="10"/>
  <c r="B165" i="10"/>
  <c r="E178" i="10"/>
  <c r="B72" i="10"/>
  <c r="B78" i="10"/>
  <c r="C82" i="10"/>
  <c r="B85" i="10"/>
  <c r="C88" i="10"/>
  <c r="E90" i="10"/>
  <c r="C93" i="10"/>
  <c r="B96" i="10"/>
  <c r="C98" i="10"/>
  <c r="F100" i="10"/>
  <c r="F102" i="10"/>
  <c r="B105" i="10"/>
  <c r="E107" i="10"/>
  <c r="D109" i="10"/>
  <c r="C116" i="10"/>
  <c r="E118" i="10"/>
  <c r="E120" i="10"/>
  <c r="B123" i="10"/>
  <c r="B125" i="10"/>
  <c r="D127" i="10"/>
  <c r="F129" i="10"/>
  <c r="F131" i="10"/>
  <c r="B134" i="10"/>
  <c r="F142" i="10"/>
  <c r="E149" i="10"/>
  <c r="E167" i="10"/>
  <c r="C72" i="10"/>
  <c r="C78" i="10"/>
  <c r="D82" i="10"/>
  <c r="C85" i="10"/>
  <c r="D88" i="10"/>
  <c r="C91" i="10"/>
  <c r="D93" i="10"/>
  <c r="E73" i="10"/>
  <c r="C75" i="10"/>
  <c r="F80" i="10"/>
  <c r="F83" i="10"/>
  <c r="E86" i="10"/>
  <c r="E89" i="10"/>
  <c r="F91" i="10"/>
  <c r="E94" i="10"/>
  <c r="B97" i="10"/>
  <c r="E99" i="10"/>
  <c r="C106" i="10"/>
  <c r="D108" i="10"/>
  <c r="E110" i="10"/>
  <c r="B113" i="10"/>
  <c r="B115" i="10"/>
  <c r="D117" i="10"/>
  <c r="E119" i="10"/>
  <c r="F121" i="10"/>
  <c r="C124" i="10"/>
  <c r="B126" i="10"/>
  <c r="E128" i="10"/>
  <c r="E130" i="10"/>
  <c r="D135" i="10"/>
  <c r="C137" i="10"/>
  <c r="F139" i="10"/>
  <c r="F141" i="10"/>
  <c r="B144" i="10"/>
  <c r="D146" i="10"/>
  <c r="D148" i="10"/>
  <c r="F150" i="10"/>
  <c r="C155" i="10"/>
  <c r="E157" i="10"/>
  <c r="E159" i="10"/>
  <c r="B164" i="10"/>
  <c r="C166" i="10"/>
  <c r="F168" i="10"/>
  <c r="E170" i="10"/>
  <c r="B173" i="10"/>
  <c r="C175" i="10"/>
  <c r="D177" i="10"/>
  <c r="E181" i="10"/>
  <c r="E183" i="10"/>
  <c r="D185" i="10"/>
  <c r="C187" i="10"/>
  <c r="F188" i="10"/>
  <c r="C190" i="10"/>
  <c r="F191" i="10"/>
  <c r="B193" i="10"/>
  <c r="D194" i="10"/>
  <c r="C197" i="10"/>
  <c r="E198" i="10"/>
  <c r="B200" i="10"/>
  <c r="D201" i="10"/>
  <c r="F202" i="10"/>
  <c r="C204" i="10"/>
  <c r="E205" i="10"/>
  <c r="B207" i="10"/>
  <c r="D208" i="10"/>
  <c r="F209" i="10"/>
  <c r="C211" i="10"/>
  <c r="E47" i="10"/>
  <c r="C49" i="10"/>
  <c r="F50" i="10"/>
  <c r="D52" i="10"/>
  <c r="B54" i="10"/>
  <c r="E55" i="10"/>
  <c r="C57" i="10"/>
  <c r="F58" i="10"/>
  <c r="D60" i="10"/>
  <c r="B62" i="10"/>
  <c r="E63" i="10"/>
  <c r="C65" i="10"/>
  <c r="F66" i="10"/>
  <c r="B67" i="10"/>
  <c r="D147" i="10"/>
  <c r="D156" i="10"/>
  <c r="E169" i="10"/>
  <c r="F180" i="10"/>
  <c r="F73" i="10"/>
  <c r="B89" i="10"/>
  <c r="E98" i="10"/>
  <c r="F103" i="10"/>
  <c r="C110" i="10"/>
  <c r="D116" i="10"/>
  <c r="E121" i="10"/>
  <c r="C134" i="10"/>
  <c r="E139" i="10"/>
  <c r="E145" i="10"/>
  <c r="C152" i="10"/>
  <c r="B157" i="10"/>
  <c r="E163" i="10"/>
  <c r="B170" i="10"/>
  <c r="F174" i="10"/>
  <c r="C181" i="10"/>
  <c r="D188" i="10"/>
  <c r="D191" i="10"/>
  <c r="B194" i="10"/>
  <c r="F199" i="10"/>
  <c r="D202" i="10"/>
  <c r="C205" i="10"/>
  <c r="B208" i="10"/>
  <c r="F210" i="10"/>
  <c r="F48" i="10"/>
  <c r="B52" i="10"/>
  <c r="C55" i="10"/>
  <c r="D58" i="10"/>
  <c r="E61" i="10"/>
  <c r="F64" i="10"/>
  <c r="D141" i="10"/>
  <c r="D159" i="10"/>
  <c r="F182" i="10"/>
  <c r="E192" i="10"/>
  <c r="D206" i="10"/>
  <c r="C50" i="10"/>
  <c r="F59" i="10"/>
  <c r="B83" i="10"/>
  <c r="B119" i="10"/>
  <c r="C130" i="10"/>
  <c r="F154" i="10"/>
  <c r="F178" i="10"/>
  <c r="E195" i="10"/>
  <c r="D209" i="10"/>
  <c r="F56" i="10"/>
  <c r="D210" i="10"/>
  <c r="C61" i="10"/>
  <c r="E88" i="10"/>
  <c r="D121" i="10"/>
  <c r="E150" i="10"/>
  <c r="E174" i="10"/>
  <c r="C191" i="10"/>
  <c r="B205" i="10"/>
  <c r="E48" i="10"/>
  <c r="D61" i="10"/>
  <c r="E79" i="10"/>
  <c r="D91" i="10"/>
  <c r="C99" i="10"/>
  <c r="C105" i="10"/>
  <c r="D110" i="10"/>
  <c r="F116" i="10"/>
  <c r="C123" i="10"/>
  <c r="D128" i="10"/>
  <c r="D134" i="10"/>
  <c r="B141" i="10"/>
  <c r="D152" i="10"/>
  <c r="B159" i="10"/>
  <c r="F163" i="10"/>
  <c r="C170" i="10"/>
  <c r="E176" i="10"/>
  <c r="D181" i="10"/>
  <c r="B185" i="10"/>
  <c r="E188" i="10"/>
  <c r="E191" i="10"/>
  <c r="C194" i="10"/>
  <c r="B197" i="10"/>
  <c r="E202" i="10"/>
  <c r="D205" i="10"/>
  <c r="C208" i="10"/>
  <c r="B211" i="10"/>
  <c r="B49" i="10"/>
  <c r="C52" i="10"/>
  <c r="D55" i="10"/>
  <c r="E58" i="10"/>
  <c r="F61" i="10"/>
  <c r="B65" i="10"/>
  <c r="B130" i="10"/>
  <c r="C154" i="10"/>
  <c r="B172" i="10"/>
  <c r="D186" i="10"/>
  <c r="D195" i="10"/>
  <c r="C209" i="10"/>
  <c r="D53" i="10"/>
  <c r="B63" i="10"/>
  <c r="D94" i="10"/>
  <c r="F107" i="10"/>
  <c r="E125" i="10"/>
  <c r="C148" i="10"/>
  <c r="B166" i="10"/>
  <c r="B183" i="10"/>
  <c r="F192" i="10"/>
  <c r="B201" i="10"/>
  <c r="D50" i="10"/>
  <c r="B60" i="10"/>
  <c r="D66" i="10"/>
  <c r="F207" i="10"/>
  <c r="B58" i="10"/>
  <c r="E96" i="10"/>
  <c r="F114" i="10"/>
  <c r="D145" i="10"/>
  <c r="D163" i="10"/>
  <c r="E184" i="10"/>
  <c r="E199" i="10"/>
  <c r="E210" i="10"/>
  <c r="C58" i="10"/>
  <c r="F79" i="10"/>
  <c r="E91" i="10"/>
  <c r="D99" i="10"/>
  <c r="E105" i="10"/>
  <c r="B112" i="10"/>
  <c r="C117" i="10"/>
  <c r="D123" i="10"/>
  <c r="F134" i="10"/>
  <c r="C141" i="10"/>
  <c r="E152" i="10"/>
  <c r="C159" i="10"/>
  <c r="D165" i="10"/>
  <c r="D170" i="10"/>
  <c r="B177" i="10"/>
  <c r="E182" i="10"/>
  <c r="C186" i="10"/>
  <c r="E189" i="10"/>
  <c r="D192" i="10"/>
  <c r="C195" i="10"/>
  <c r="F200" i="10"/>
  <c r="E203" i="10"/>
  <c r="C206" i="10"/>
  <c r="B209" i="10"/>
  <c r="B50" i="10"/>
  <c r="C53" i="10"/>
  <c r="D56" i="10"/>
  <c r="E59" i="10"/>
  <c r="F62" i="10"/>
  <c r="B66" i="10"/>
  <c r="F136" i="10"/>
  <c r="C177" i="10"/>
  <c r="F189" i="10"/>
  <c r="B198" i="10"/>
  <c r="B47" i="10"/>
  <c r="E56" i="10"/>
  <c r="C66" i="10"/>
  <c r="B101" i="10"/>
  <c r="E112" i="10"/>
  <c r="C143" i="10"/>
  <c r="D172" i="10"/>
  <c r="F186" i="10"/>
  <c r="C198" i="10"/>
  <c r="E206" i="10"/>
  <c r="E53" i="10"/>
  <c r="C63" i="10"/>
  <c r="B202" i="10"/>
  <c r="E51" i="10"/>
  <c r="E67" i="10"/>
  <c r="F109" i="10"/>
  <c r="F132" i="10"/>
  <c r="F156" i="10"/>
  <c r="C188" i="10"/>
  <c r="C202" i="10"/>
  <c r="F51" i="10"/>
  <c r="E64" i="10"/>
  <c r="E82" i="10"/>
  <c r="F93" i="10"/>
  <c r="B106" i="10"/>
  <c r="C112" i="10"/>
  <c r="F118" i="10"/>
  <c r="F123" i="10"/>
  <c r="B148" i="10"/>
  <c r="F203" i="10"/>
  <c r="C47" i="10"/>
  <c r="F54" i="10"/>
  <c r="E127" i="10"/>
  <c r="D85" i="10"/>
  <c r="C96" i="10"/>
  <c r="D101" i="10"/>
  <c r="D114" i="10"/>
  <c r="C119" i="10"/>
  <c r="F125" i="10"/>
  <c r="B132" i="10"/>
  <c r="B137" i="10"/>
  <c r="F143" i="10"/>
  <c r="F149" i="10"/>
  <c r="B155" i="10"/>
  <c r="C161" i="10"/>
  <c r="F167" i="10"/>
  <c r="B179" i="10"/>
  <c r="C183" i="10"/>
  <c r="B187" i="10"/>
  <c r="B190" i="10"/>
  <c r="F195" i="10"/>
  <c r="D198" i="10"/>
  <c r="C201" i="10"/>
  <c r="B204" i="10"/>
  <c r="F206" i="10"/>
  <c r="E209" i="10"/>
  <c r="D47" i="10"/>
  <c r="E50" i="10"/>
  <c r="F53" i="10"/>
  <c r="B57" i="10"/>
  <c r="C60" i="10"/>
  <c r="D63" i="10"/>
  <c r="E66" i="10"/>
  <c r="F85" i="10"/>
  <c r="D96" i="10"/>
  <c r="D103" i="10"/>
  <c r="B108" i="10"/>
  <c r="E114" i="10"/>
  <c r="E132" i="10"/>
  <c r="E138" i="10"/>
  <c r="B150" i="10"/>
  <c r="E156" i="10"/>
  <c r="F161" i="10"/>
  <c r="D174" i="10"/>
  <c r="D179" i="10"/>
  <c r="D184" i="10"/>
  <c r="B188" i="10"/>
  <c r="B191" i="10"/>
  <c r="F193" i="10"/>
  <c r="E196" i="10"/>
  <c r="D199" i="10"/>
  <c r="D48" i="10"/>
  <c r="D64" i="10"/>
  <c r="E103" i="10"/>
  <c r="B139" i="10"/>
  <c r="C168" i="10"/>
  <c r="F196" i="10"/>
  <c r="B55" i="10"/>
  <c r="F67" i="10"/>
  <c r="B15" i="10"/>
  <c r="E13" i="10"/>
  <c r="C13" i="10"/>
  <c r="F13" i="10"/>
  <c r="D13" i="10"/>
  <c r="C14" i="10"/>
  <c r="E15" i="10"/>
  <c r="C15" i="10"/>
  <c r="F15" i="10"/>
  <c r="B14" i="10"/>
  <c r="D15" i="10"/>
  <c r="B13" i="10"/>
  <c r="F14" i="10"/>
  <c r="D14" i="10"/>
  <c r="E14" i="10"/>
  <c r="F21" i="10"/>
  <c r="D34" i="10"/>
  <c r="B36" i="10"/>
  <c r="C20" i="10"/>
  <c r="B17" i="10"/>
  <c r="F20" i="10"/>
  <c r="C39" i="10"/>
  <c r="E45" i="10"/>
  <c r="C19" i="10"/>
  <c r="E26" i="10"/>
  <c r="B29" i="10"/>
  <c r="B37" i="10"/>
  <c r="B46" i="10"/>
  <c r="C16" i="10"/>
  <c r="C45" i="10"/>
  <c r="D32" i="10"/>
  <c r="E43" i="10"/>
  <c r="D42" i="10"/>
  <c r="F16" i="10"/>
  <c r="B18" i="10"/>
  <c r="B33" i="10"/>
  <c r="C46" i="10"/>
  <c r="F24" i="10"/>
  <c r="E20" i="10"/>
  <c r="F17" i="10"/>
  <c r="F41" i="10"/>
  <c r="C32" i="10"/>
  <c r="C24" i="10"/>
  <c r="E16" i="10"/>
  <c r="B20" i="10"/>
  <c r="B44" i="10"/>
  <c r="F40" i="10"/>
  <c r="F28" i="10"/>
  <c r="F38" i="10"/>
  <c r="C18" i="10"/>
  <c r="E21" i="10"/>
  <c r="B42" i="10"/>
  <c r="E35" i="10"/>
  <c r="D28" i="10"/>
  <c r="C28" i="10"/>
  <c r="C36" i="10"/>
  <c r="D45" i="10"/>
  <c r="F29" i="10"/>
  <c r="F43" i="10"/>
  <c r="D23" i="10"/>
  <c r="C42" i="10"/>
  <c r="D46" i="10"/>
  <c r="E40" i="10"/>
  <c r="F34" i="10"/>
  <c r="C27" i="10"/>
  <c r="C25" i="10"/>
  <c r="B43" i="10"/>
  <c r="E17" i="10"/>
  <c r="D18" i="10"/>
  <c r="E18" i="10"/>
  <c r="C34" i="10"/>
  <c r="E36" i="10"/>
  <c r="E32" i="10"/>
  <c r="C30" i="10"/>
  <c r="B31" i="10"/>
  <c r="F23" i="10"/>
  <c r="D29" i="10"/>
  <c r="C41" i="10"/>
  <c r="F27" i="10"/>
  <c r="F45" i="10"/>
  <c r="B32" i="10"/>
  <c r="B22" i="10"/>
  <c r="E42" i="10"/>
  <c r="B41" i="10"/>
  <c r="D20" i="10"/>
  <c r="C21" i="10"/>
  <c r="D40" i="10"/>
  <c r="F37" i="10"/>
  <c r="C37" i="10"/>
  <c r="D31" i="10"/>
  <c r="B34" i="10"/>
  <c r="B25" i="10"/>
  <c r="F30" i="10"/>
  <c r="F46" i="10"/>
  <c r="B26" i="10"/>
  <c r="E33" i="10"/>
  <c r="B39" i="10"/>
  <c r="E24" i="10"/>
  <c r="B45" i="10"/>
  <c r="D19" i="10"/>
  <c r="F32" i="10"/>
  <c r="D21" i="10"/>
  <c r="C17" i="10"/>
  <c r="D16" i="10"/>
  <c r="F33" i="10"/>
  <c r="E30" i="10"/>
  <c r="D27" i="10"/>
  <c r="F25" i="10"/>
  <c r="E22" i="10"/>
  <c r="C43" i="10"/>
  <c r="B40" i="10"/>
  <c r="D38" i="10"/>
  <c r="C35" i="10"/>
  <c r="D36" i="10"/>
  <c r="C26" i="10"/>
  <c r="D24" i="10"/>
  <c r="D30" i="10"/>
  <c r="F19" i="10"/>
  <c r="E19" i="10"/>
  <c r="B24" i="10"/>
  <c r="C31" i="10"/>
  <c r="F39" i="10"/>
  <c r="E29" i="10"/>
  <c r="D33" i="10"/>
  <c r="B28" i="10"/>
  <c r="B27" i="10"/>
  <c r="D26" i="10"/>
  <c r="F42" i="10"/>
  <c r="E23" i="10"/>
  <c r="F35" i="10"/>
  <c r="F18" i="10"/>
  <c r="B21" i="10"/>
  <c r="D17" i="10"/>
  <c r="B19" i="10"/>
  <c r="B16" i="10"/>
  <c r="F31" i="10"/>
  <c r="B35" i="10"/>
  <c r="D25" i="10"/>
  <c r="E28" i="10"/>
  <c r="D44" i="10"/>
  <c r="C22" i="10"/>
  <c r="B38" i="10"/>
  <c r="E39" i="10"/>
  <c r="B30" i="10"/>
  <c r="F44" i="10"/>
  <c r="E27" i="10"/>
  <c r="F36" i="10"/>
  <c r="C44" i="10"/>
  <c r="C29" i="10"/>
  <c r="E31" i="10"/>
  <c r="D37" i="10"/>
  <c r="E25" i="10"/>
  <c r="B23" i="10"/>
  <c r="D39" i="10"/>
  <c r="E37" i="10"/>
  <c r="E41" i="10"/>
  <c r="C23" i="10"/>
  <c r="F26" i="10"/>
  <c r="E38" i="10"/>
  <c r="D35" i="10"/>
  <c r="C33" i="10"/>
  <c r="D43" i="10"/>
  <c r="C40" i="10"/>
  <c r="D41" i="10"/>
  <c r="C38" i="10"/>
  <c r="F22" i="10"/>
  <c r="E46" i="10"/>
  <c r="D22" i="10"/>
  <c r="E44" i="10"/>
  <c r="E34" i="10"/>
  <c r="B4" i="10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B5" i="21" s="1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E86" i="6"/>
  <c r="E20" i="6"/>
  <c r="C2" i="6"/>
  <c r="C2" i="3" s="1"/>
  <c r="O2" i="6"/>
  <c r="N139" i="18" l="1"/>
  <c r="M141" i="18"/>
  <c r="N124" i="18"/>
  <c r="M129" i="18"/>
  <c r="N18" i="18"/>
  <c r="M33" i="18"/>
  <c r="N46" i="18"/>
  <c r="M50" i="18"/>
  <c r="C9" i="20"/>
  <c r="B69" i="15"/>
  <c r="B69" i="19" s="1"/>
  <c r="D121" i="14"/>
  <c r="D33" i="18"/>
  <c r="E11" i="14"/>
  <c r="H11" i="14" s="1"/>
  <c r="D16" i="18"/>
  <c r="D11" i="14"/>
  <c r="E121" i="14"/>
  <c r="H121" i="14" s="1"/>
  <c r="D17" i="18"/>
  <c r="D12" i="13"/>
  <c r="E12" i="13"/>
  <c r="D11" i="13"/>
  <c r="D280" i="13" s="1"/>
  <c r="E11" i="13"/>
  <c r="D57" i="18"/>
  <c r="L50" i="24"/>
  <c r="D64" i="18"/>
  <c r="B73" i="14"/>
  <c r="B73" i="18" s="1"/>
  <c r="B136" i="14"/>
  <c r="B134" i="18" s="1"/>
  <c r="B146" i="14"/>
  <c r="B144" i="18" s="1"/>
  <c r="B137" i="14"/>
  <c r="B135" i="18" s="1"/>
  <c r="D58" i="18"/>
  <c r="B138" i="14"/>
  <c r="B136" i="18" s="1"/>
  <c r="B78" i="14"/>
  <c r="B78" i="18" s="1"/>
  <c r="B154" i="14"/>
  <c r="B152" i="18" s="1"/>
  <c r="D60" i="18"/>
  <c r="D56" i="18"/>
  <c r="D10" i="18"/>
  <c r="D9" i="18"/>
  <c r="D35" i="18"/>
  <c r="C9" i="10"/>
  <c r="S29" i="4"/>
  <c r="R51" i="4"/>
  <c r="R10" i="4"/>
  <c r="S14" i="4"/>
  <c r="S9" i="4"/>
  <c r="S45" i="4"/>
  <c r="S65" i="4"/>
  <c r="S24" i="4"/>
  <c r="R46" i="4"/>
  <c r="R30" i="4"/>
  <c r="R25" i="4"/>
  <c r="S60" i="4"/>
  <c r="S19" i="4"/>
  <c r="R41" i="4"/>
  <c r="S55" i="4"/>
  <c r="R36" i="4"/>
  <c r="S50" i="4"/>
  <c r="R66" i="4"/>
  <c r="S40" i="4"/>
  <c r="R61" i="4"/>
  <c r="R20" i="4"/>
  <c r="S34" i="4"/>
  <c r="R56" i="4"/>
  <c r="R15" i="4"/>
  <c r="L43" i="24"/>
  <c r="D59" i="18"/>
  <c r="K52" i="24"/>
  <c r="B70" i="14"/>
  <c r="B70" i="18" s="1"/>
  <c r="O19" i="24"/>
  <c r="H37" i="24"/>
  <c r="B133" i="14"/>
  <c r="B131" i="18" s="1"/>
  <c r="N30" i="24"/>
  <c r="L38" i="24"/>
  <c r="H46" i="24"/>
  <c r="D54" i="24"/>
  <c r="D62" i="18"/>
  <c r="B71" i="14"/>
  <c r="B71" i="18" s="1"/>
  <c r="B80" i="14"/>
  <c r="B134" i="14"/>
  <c r="B132" i="18" s="1"/>
  <c r="G39" i="24"/>
  <c r="G47" i="24"/>
  <c r="I55" i="24"/>
  <c r="B153" i="14"/>
  <c r="B151" i="18" s="1"/>
  <c r="F42" i="24"/>
  <c r="C2" i="12"/>
  <c r="C2" i="16" s="1"/>
  <c r="C2" i="17"/>
  <c r="F17" i="24"/>
  <c r="L35" i="24"/>
  <c r="B69" i="14"/>
  <c r="B69" i="18" s="1"/>
  <c r="M18" i="24"/>
  <c r="I36" i="24"/>
  <c r="G60" i="24"/>
  <c r="O29" i="24"/>
  <c r="D61" i="18"/>
  <c r="B79" i="14"/>
  <c r="D63" i="18"/>
  <c r="B72" i="14"/>
  <c r="B72" i="18" s="1"/>
  <c r="B81" i="14"/>
  <c r="B135" i="14"/>
  <c r="B133" i="18" s="1"/>
  <c r="N40" i="24"/>
  <c r="N76" i="24"/>
  <c r="F76" i="24"/>
  <c r="M76" i="24"/>
  <c r="E76" i="24"/>
  <c r="L76" i="24"/>
  <c r="D76" i="24"/>
  <c r="K76" i="24"/>
  <c r="I76" i="24"/>
  <c r="O76" i="24"/>
  <c r="G76" i="24"/>
  <c r="H76" i="24"/>
  <c r="H57" i="24"/>
  <c r="H53" i="24"/>
  <c r="H51" i="24"/>
  <c r="D50" i="24"/>
  <c r="H49" i="24"/>
  <c r="H45" i="24"/>
  <c r="L44" i="24"/>
  <c r="D44" i="24"/>
  <c r="H41" i="24"/>
  <c r="L34" i="24"/>
  <c r="D34" i="24"/>
  <c r="H33" i="24"/>
  <c r="L26" i="24"/>
  <c r="O57" i="24"/>
  <c r="G57" i="24"/>
  <c r="O53" i="24"/>
  <c r="G53" i="24"/>
  <c r="O51" i="24"/>
  <c r="G51" i="24"/>
  <c r="K50" i="24"/>
  <c r="O49" i="24"/>
  <c r="G49" i="24"/>
  <c r="O45" i="24"/>
  <c r="G45" i="24"/>
  <c r="K44" i="24"/>
  <c r="O41" i="24"/>
  <c r="G41" i="24"/>
  <c r="K34" i="24"/>
  <c r="O33" i="24"/>
  <c r="G33" i="24"/>
  <c r="I58" i="24"/>
  <c r="M57" i="24"/>
  <c r="E57" i="24"/>
  <c r="M53" i="24"/>
  <c r="E53" i="24"/>
  <c r="M51" i="24"/>
  <c r="E51" i="24"/>
  <c r="I50" i="24"/>
  <c r="M49" i="24"/>
  <c r="E49" i="24"/>
  <c r="M45" i="24"/>
  <c r="E45" i="24"/>
  <c r="I44" i="24"/>
  <c r="M41" i="24"/>
  <c r="E41" i="24"/>
  <c r="M37" i="24"/>
  <c r="I34" i="24"/>
  <c r="M33" i="24"/>
  <c r="E33" i="24"/>
  <c r="L57" i="24"/>
  <c r="D57" i="24"/>
  <c r="L53" i="24"/>
  <c r="D53" i="24"/>
  <c r="L51" i="24"/>
  <c r="D51" i="24"/>
  <c r="H50" i="24"/>
  <c r="L49" i="24"/>
  <c r="D49" i="24"/>
  <c r="L45" i="24"/>
  <c r="D45" i="24"/>
  <c r="H44" i="24"/>
  <c r="L41" i="24"/>
  <c r="D41" i="24"/>
  <c r="H34" i="24"/>
  <c r="L33" i="24"/>
  <c r="D33" i="24"/>
  <c r="O58" i="24"/>
  <c r="K57" i="24"/>
  <c r="K53" i="24"/>
  <c r="J76" i="24"/>
  <c r="F51" i="24"/>
  <c r="N49" i="24"/>
  <c r="N45" i="24"/>
  <c r="J44" i="24"/>
  <c r="N41" i="24"/>
  <c r="N33" i="24"/>
  <c r="M27" i="24"/>
  <c r="N57" i="24"/>
  <c r="O50" i="24"/>
  <c r="K49" i="24"/>
  <c r="K45" i="24"/>
  <c r="G44" i="24"/>
  <c r="K41" i="24"/>
  <c r="O34" i="24"/>
  <c r="K33" i="24"/>
  <c r="L27" i="24"/>
  <c r="O26" i="24"/>
  <c r="J57" i="24"/>
  <c r="N50" i="24"/>
  <c r="J49" i="24"/>
  <c r="J45" i="24"/>
  <c r="F44" i="24"/>
  <c r="J41" i="24"/>
  <c r="J37" i="24"/>
  <c r="N34" i="24"/>
  <c r="J33" i="24"/>
  <c r="K27" i="24"/>
  <c r="N26" i="24"/>
  <c r="I57" i="24"/>
  <c r="N53" i="24"/>
  <c r="M50" i="24"/>
  <c r="I49" i="24"/>
  <c r="M46" i="24"/>
  <c r="I45" i="24"/>
  <c r="E44" i="24"/>
  <c r="I41" i="24"/>
  <c r="M34" i="24"/>
  <c r="I33" i="24"/>
  <c r="J27" i="24"/>
  <c r="M26" i="24"/>
  <c r="N58" i="24"/>
  <c r="F57" i="24"/>
  <c r="J53" i="24"/>
  <c r="N51" i="24"/>
  <c r="J50" i="24"/>
  <c r="F49" i="24"/>
  <c r="F45" i="24"/>
  <c r="F41" i="24"/>
  <c r="J34" i="24"/>
  <c r="F33" i="24"/>
  <c r="I27" i="24"/>
  <c r="K26" i="24"/>
  <c r="N19" i="24"/>
  <c r="M58" i="24"/>
  <c r="I53" i="24"/>
  <c r="K51" i="24"/>
  <c r="G50" i="24"/>
  <c r="O44" i="24"/>
  <c r="O36" i="24"/>
  <c r="G34" i="24"/>
  <c r="J58" i="24"/>
  <c r="F53" i="24"/>
  <c r="J51" i="24"/>
  <c r="F50" i="24"/>
  <c r="N44" i="24"/>
  <c r="J39" i="24"/>
  <c r="F34" i="24"/>
  <c r="O27" i="24"/>
  <c r="I26" i="24"/>
  <c r="D19" i="24"/>
  <c r="I51" i="24"/>
  <c r="E50" i="24"/>
  <c r="J26" i="24"/>
  <c r="J20" i="24"/>
  <c r="M44" i="24"/>
  <c r="E34" i="24"/>
  <c r="N27" i="24"/>
  <c r="E19" i="24"/>
  <c r="Q16" i="4"/>
  <c r="J18" i="24"/>
  <c r="S2100" i="4"/>
  <c r="S768" i="4"/>
  <c r="S433" i="4"/>
  <c r="S426" i="4"/>
  <c r="S418" i="4"/>
  <c r="S410" i="4"/>
  <c r="S404" i="4"/>
  <c r="S396" i="4"/>
  <c r="S388" i="4"/>
  <c r="S382" i="4"/>
  <c r="S372" i="4"/>
  <c r="S364" i="4"/>
  <c r="S355" i="4"/>
  <c r="S348" i="4"/>
  <c r="S340" i="4"/>
  <c r="S331" i="4"/>
  <c r="S323" i="4"/>
  <c r="S315" i="4"/>
  <c r="S307" i="4"/>
  <c r="S299" i="4"/>
  <c r="S289" i="4"/>
  <c r="S281" i="4"/>
  <c r="S273" i="4"/>
  <c r="S267" i="4"/>
  <c r="S256" i="4"/>
  <c r="S248" i="4"/>
  <c r="S240" i="4"/>
  <c r="S228" i="4"/>
  <c r="S221" i="4"/>
  <c r="S207" i="4"/>
  <c r="S192" i="4"/>
  <c r="S185" i="4"/>
  <c r="S179" i="4"/>
  <c r="S172" i="4"/>
  <c r="S164" i="4"/>
  <c r="S156" i="4"/>
  <c r="S147" i="4"/>
  <c r="S139" i="4"/>
  <c r="S131" i="4"/>
  <c r="S123" i="4"/>
  <c r="S105" i="4"/>
  <c r="S97" i="4"/>
  <c r="S89" i="4"/>
  <c r="S81" i="4"/>
  <c r="S73" i="4"/>
  <c r="S57" i="4"/>
  <c r="S49" i="4"/>
  <c r="S41" i="4"/>
  <c r="S32" i="4"/>
  <c r="S16" i="4"/>
  <c r="R2104" i="4"/>
  <c r="R773" i="4"/>
  <c r="R436" i="4"/>
  <c r="R429" i="4"/>
  <c r="R422" i="4"/>
  <c r="R414" i="4"/>
  <c r="R408" i="4"/>
  <c r="R401" i="4"/>
  <c r="R386" i="4"/>
  <c r="R378" i="4"/>
  <c r="R368" i="4"/>
  <c r="R360" i="4"/>
  <c r="R352" i="4"/>
  <c r="R344" i="4"/>
  <c r="R336" i="4"/>
  <c r="R327" i="4"/>
  <c r="R319" i="4"/>
  <c r="R311" i="4"/>
  <c r="R303" i="4"/>
  <c r="R292" i="4"/>
  <c r="R285" i="4"/>
  <c r="R277" i="4"/>
  <c r="R270" i="4"/>
  <c r="R262" i="4"/>
  <c r="R252" i="4"/>
  <c r="R244" i="4"/>
  <c r="R234" i="4"/>
  <c r="R224" i="4"/>
  <c r="R217" i="4"/>
  <c r="R211" i="4"/>
  <c r="R203" i="4"/>
  <c r="R196" i="4"/>
  <c r="R189" i="4"/>
  <c r="R182" i="4"/>
  <c r="R175" i="4"/>
  <c r="R168" i="4"/>
  <c r="R160" i="4"/>
  <c r="R151" i="4"/>
  <c r="R143" i="4"/>
  <c r="R135" i="4"/>
  <c r="R127" i="4"/>
  <c r="R117" i="4"/>
  <c r="R110" i="4"/>
  <c r="R101" i="4"/>
  <c r="R93" i="4"/>
  <c r="R85" i="4"/>
  <c r="R77" i="4"/>
  <c r="R69" i="4"/>
  <c r="R53" i="4"/>
  <c r="R45" i="4"/>
  <c r="R37" i="4"/>
  <c r="R28" i="4"/>
  <c r="R12" i="4"/>
  <c r="Q2103" i="4"/>
  <c r="Q772" i="4"/>
  <c r="P431" i="4"/>
  <c r="P424" i="4"/>
  <c r="Q421" i="4"/>
  <c r="P416" i="4"/>
  <c r="Q413" i="4"/>
  <c r="Q407" i="4"/>
  <c r="P403" i="4"/>
  <c r="Q400" i="4"/>
  <c r="P394" i="4"/>
  <c r="Q391" i="4"/>
  <c r="Q385" i="4"/>
  <c r="P380" i="4"/>
  <c r="Q375" i="4"/>
  <c r="P370" i="4"/>
  <c r="Q367" i="4"/>
  <c r="P362" i="4"/>
  <c r="Q358" i="4"/>
  <c r="Q351" i="4"/>
  <c r="P346" i="4"/>
  <c r="Q343" i="4"/>
  <c r="P338" i="4"/>
  <c r="Q335" i="4"/>
  <c r="P329" i="4"/>
  <c r="Q326" i="4"/>
  <c r="P321" i="4"/>
  <c r="S2099" i="4"/>
  <c r="S767" i="4"/>
  <c r="S432" i="4"/>
  <c r="S425" i="4"/>
  <c r="S417" i="4"/>
  <c r="S395" i="4"/>
  <c r="S387" i="4"/>
  <c r="S381" i="4"/>
  <c r="S371" i="4"/>
  <c r="S363" i="4"/>
  <c r="S354" i="4"/>
  <c r="S347" i="4"/>
  <c r="S339" i="4"/>
  <c r="S330" i="4"/>
  <c r="S322" i="4"/>
  <c r="S314" i="4"/>
  <c r="S306" i="4"/>
  <c r="S295" i="4"/>
  <c r="S288" i="4"/>
  <c r="S280" i="4"/>
  <c r="S272" i="4"/>
  <c r="S266" i="4"/>
  <c r="S255" i="4"/>
  <c r="S247" i="4"/>
  <c r="S237" i="4"/>
  <c r="S227" i="4"/>
  <c r="S220" i="4"/>
  <c r="S206" i="4"/>
  <c r="S199" i="4"/>
  <c r="S191" i="4"/>
  <c r="S190" i="4"/>
  <c r="S178" i="4"/>
  <c r="S171" i="4"/>
  <c r="S163" i="4"/>
  <c r="S155" i="4"/>
  <c r="S146" i="4"/>
  <c r="S138" i="4"/>
  <c r="S130" i="4"/>
  <c r="S122" i="4"/>
  <c r="S114" i="4"/>
  <c r="S104" i="4"/>
  <c r="S96" i="4"/>
  <c r="S88" i="4"/>
  <c r="S80" i="4"/>
  <c r="S72" i="4"/>
  <c r="S64" i="4"/>
  <c r="S56" i="4"/>
  <c r="S48" i="4"/>
  <c r="S31" i="4"/>
  <c r="S23" i="4"/>
  <c r="S15" i="4"/>
  <c r="R2103" i="4"/>
  <c r="R772" i="4"/>
  <c r="R421" i="4"/>
  <c r="R413" i="4"/>
  <c r="R407" i="4"/>
  <c r="R400" i="4"/>
  <c r="R391" i="4"/>
  <c r="R385" i="4"/>
  <c r="R375" i="4"/>
  <c r="R367" i="4"/>
  <c r="R358" i="4"/>
  <c r="R351" i="4"/>
  <c r="R343" i="4"/>
  <c r="R335" i="4"/>
  <c r="R326" i="4"/>
  <c r="R318" i="4"/>
  <c r="R310" i="4"/>
  <c r="R302" i="4"/>
  <c r="R298" i="4"/>
  <c r="R291" i="4"/>
  <c r="R284" i="4"/>
  <c r="R276" i="4"/>
  <c r="R261" i="4"/>
  <c r="R251" i="4"/>
  <c r="R243" i="4"/>
  <c r="R233" i="4"/>
  <c r="R216" i="4"/>
  <c r="R210" i="4"/>
  <c r="R202" i="4"/>
  <c r="R195" i="4"/>
  <c r="R188" i="4"/>
  <c r="R174" i="4"/>
  <c r="R167" i="4"/>
  <c r="R159" i="4"/>
  <c r="R150" i="4"/>
  <c r="R142" i="4"/>
  <c r="R134" i="4"/>
  <c r="R126" i="4"/>
  <c r="R116" i="4"/>
  <c r="R109" i="4"/>
  <c r="R100" i="4"/>
  <c r="R92" i="4"/>
  <c r="R84" i="4"/>
  <c r="R76" i="4"/>
  <c r="R68" i="4"/>
  <c r="R60" i="4"/>
  <c r="R52" i="4"/>
  <c r="R44" i="4"/>
  <c r="R27" i="4"/>
  <c r="R19" i="4"/>
  <c r="R11" i="4"/>
  <c r="P2103" i="4"/>
  <c r="Q2100" i="4"/>
  <c r="P772" i="4"/>
  <c r="Q768" i="4"/>
  <c r="Q433" i="4"/>
  <c r="Q426" i="4"/>
  <c r="P421" i="4"/>
  <c r="Q418" i="4"/>
  <c r="P413" i="4"/>
  <c r="Q410" i="4"/>
  <c r="P407" i="4"/>
  <c r="Q404" i="4"/>
  <c r="P400" i="4"/>
  <c r="Q396" i="4"/>
  <c r="P391" i="4"/>
  <c r="Q388" i="4"/>
  <c r="P385" i="4"/>
  <c r="Q382" i="4"/>
  <c r="P375" i="4"/>
  <c r="Q372" i="4"/>
  <c r="P367" i="4"/>
  <c r="Q364" i="4"/>
  <c r="P358" i="4"/>
  <c r="Q355" i="4"/>
  <c r="P351" i="4"/>
  <c r="Q348" i="4"/>
  <c r="P343" i="4"/>
  <c r="S431" i="4"/>
  <c r="S424" i="4"/>
  <c r="S416" i="4"/>
  <c r="S403" i="4"/>
  <c r="S394" i="4"/>
  <c r="S380" i="4"/>
  <c r="S370" i="4"/>
  <c r="S362" i="4"/>
  <c r="S346" i="4"/>
  <c r="S338" i="4"/>
  <c r="S329" i="4"/>
  <c r="S321" i="4"/>
  <c r="S313" i="4"/>
  <c r="S305" i="4"/>
  <c r="S294" i="4"/>
  <c r="S287" i="4"/>
  <c r="S279" i="4"/>
  <c r="S271" i="4"/>
  <c r="S265" i="4"/>
  <c r="S254" i="4"/>
  <c r="S246" i="4"/>
  <c r="S236" i="4"/>
  <c r="S226" i="4"/>
  <c r="S219" i="4"/>
  <c r="S213" i="4"/>
  <c r="S205" i="4"/>
  <c r="S198" i="4"/>
  <c r="S184" i="4"/>
  <c r="S177" i="4"/>
  <c r="S170" i="4"/>
  <c r="S161" i="4"/>
  <c r="S154" i="4"/>
  <c r="S145" i="4"/>
  <c r="S137" i="4"/>
  <c r="S129" i="4"/>
  <c r="S121" i="4"/>
  <c r="S112" i="4"/>
  <c r="S103" i="4"/>
  <c r="S95" i="4"/>
  <c r="S87" i="4"/>
  <c r="S79" i="4"/>
  <c r="S71" i="4"/>
  <c r="S63" i="4"/>
  <c r="S47" i="4"/>
  <c r="S39" i="4"/>
  <c r="S30" i="4"/>
  <c r="S22" i="4"/>
  <c r="R2102" i="4"/>
  <c r="R771" i="4"/>
  <c r="R435" i="4"/>
  <c r="R428" i="4"/>
  <c r="R420" i="4"/>
  <c r="R412" i="4"/>
  <c r="R406" i="4"/>
  <c r="R398" i="4"/>
  <c r="R390" i="4"/>
  <c r="R384" i="4"/>
  <c r="R374" i="4"/>
  <c r="R366" i="4"/>
  <c r="R357" i="4"/>
  <c r="R350" i="4"/>
  <c r="R342" i="4"/>
  <c r="R334" i="4"/>
  <c r="R325" i="4"/>
  <c r="R317" i="4"/>
  <c r="R309" i="4"/>
  <c r="R301" i="4"/>
  <c r="R297" i="4"/>
  <c r="R290" i="4"/>
  <c r="R283" i="4"/>
  <c r="R275" i="4"/>
  <c r="R269" i="4"/>
  <c r="R258" i="4"/>
  <c r="R250" i="4"/>
  <c r="R242" i="4"/>
  <c r="R232" i="4"/>
  <c r="R223" i="4"/>
  <c r="R215" i="4"/>
  <c r="R209" i="4"/>
  <c r="R201" i="4"/>
  <c r="R194" i="4"/>
  <c r="R187" i="4"/>
  <c r="R180" i="4"/>
  <c r="R166" i="4"/>
  <c r="R158" i="4"/>
  <c r="R149" i="4"/>
  <c r="R141" i="4"/>
  <c r="R133" i="4"/>
  <c r="R125" i="4"/>
  <c r="R108" i="4"/>
  <c r="R99" i="4"/>
  <c r="R91" i="4"/>
  <c r="R83" i="4"/>
  <c r="R75" i="4"/>
  <c r="R67" i="4"/>
  <c r="R59" i="4"/>
  <c r="R43" i="4"/>
  <c r="R34" i="4"/>
  <c r="R26" i="4"/>
  <c r="R18" i="4"/>
  <c r="P2100" i="4"/>
  <c r="P768" i="4"/>
  <c r="Q437" i="4"/>
  <c r="P433" i="4"/>
  <c r="Q430" i="4"/>
  <c r="P426" i="4"/>
  <c r="Q423" i="4"/>
  <c r="P418" i="4"/>
  <c r="Q415" i="4"/>
  <c r="P410" i="4"/>
  <c r="Q409" i="4"/>
  <c r="P404" i="4"/>
  <c r="Q402" i="4"/>
  <c r="P396" i="4"/>
  <c r="Q392" i="4"/>
  <c r="P388" i="4"/>
  <c r="P382" i="4"/>
  <c r="Q379" i="4"/>
  <c r="P372" i="4"/>
  <c r="Q369" i="4"/>
  <c r="P364" i="4"/>
  <c r="Q361" i="4"/>
  <c r="P355" i="4"/>
  <c r="P348" i="4"/>
  <c r="E62" i="18"/>
  <c r="F62" i="18" s="1"/>
  <c r="G62" i="18" s="1"/>
  <c r="H62" i="18" s="1"/>
  <c r="I62" i="18" s="1"/>
  <c r="J62" i="18" s="1"/>
  <c r="K62" i="18" s="1"/>
  <c r="L62" i="18" s="1"/>
  <c r="M62" i="18" s="1"/>
  <c r="N62" i="18" s="1"/>
  <c r="O62" i="18" s="1"/>
  <c r="P62" i="18" s="1"/>
  <c r="Q62" i="18" s="1"/>
  <c r="S8" i="4"/>
  <c r="S437" i="4"/>
  <c r="S430" i="4"/>
  <c r="S423" i="4"/>
  <c r="S415" i="4"/>
  <c r="S409" i="4"/>
  <c r="S402" i="4"/>
  <c r="S392" i="4"/>
  <c r="S379" i="4"/>
  <c r="S369" i="4"/>
  <c r="S361" i="4"/>
  <c r="S345" i="4"/>
  <c r="S337" i="4"/>
  <c r="S328" i="4"/>
  <c r="S320" i="4"/>
  <c r="S312" i="4"/>
  <c r="S304" i="4"/>
  <c r="S293" i="4"/>
  <c r="S286" i="4"/>
  <c r="S278" i="4"/>
  <c r="S264" i="4"/>
  <c r="S253" i="4"/>
  <c r="S245" i="4"/>
  <c r="S235" i="4"/>
  <c r="S225" i="4"/>
  <c r="S218" i="4"/>
  <c r="S212" i="4"/>
  <c r="S204" i="4"/>
  <c r="S197" i="4"/>
  <c r="S183" i="4"/>
  <c r="S176" i="4"/>
  <c r="S169" i="4"/>
  <c r="S153" i="4"/>
  <c r="S144" i="4"/>
  <c r="S136" i="4"/>
  <c r="S128" i="4"/>
  <c r="S118" i="4"/>
  <c r="S111" i="4"/>
  <c r="S102" i="4"/>
  <c r="S94" i="4"/>
  <c r="S86" i="4"/>
  <c r="S78" i="4"/>
  <c r="S70" i="4"/>
  <c r="S62" i="4"/>
  <c r="S54" i="4"/>
  <c r="S46" i="4"/>
  <c r="S38" i="4"/>
  <c r="S21" i="4"/>
  <c r="S13" i="4"/>
  <c r="S2104" i="4"/>
  <c r="S773" i="4"/>
  <c r="S436" i="4"/>
  <c r="S429" i="4"/>
  <c r="S422" i="4"/>
  <c r="S414" i="4"/>
  <c r="S408" i="4"/>
  <c r="S401" i="4"/>
  <c r="S386" i="4"/>
  <c r="S378" i="4"/>
  <c r="S368" i="4"/>
  <c r="S360" i="4"/>
  <c r="S352" i="4"/>
  <c r="S344" i="4"/>
  <c r="S336" i="4"/>
  <c r="S327" i="4"/>
  <c r="S319" i="4"/>
  <c r="S311" i="4"/>
  <c r="S303" i="4"/>
  <c r="S292" i="4"/>
  <c r="S285" i="4"/>
  <c r="S277" i="4"/>
  <c r="S270" i="4"/>
  <c r="S262" i="4"/>
  <c r="S252" i="4"/>
  <c r="S244" i="4"/>
  <c r="S234" i="4"/>
  <c r="S224" i="4"/>
  <c r="S217" i="4"/>
  <c r="S211" i="4"/>
  <c r="S203" i="4"/>
  <c r="S196" i="4"/>
  <c r="S189" i="4"/>
  <c r="S182" i="4"/>
  <c r="S175" i="4"/>
  <c r="S168" i="4"/>
  <c r="S160" i="4"/>
  <c r="S151" i="4"/>
  <c r="S143" i="4"/>
  <c r="S135" i="4"/>
  <c r="S127" i="4"/>
  <c r="S117" i="4"/>
  <c r="S110" i="4"/>
  <c r="S101" i="4"/>
  <c r="S93" i="4"/>
  <c r="S85" i="4"/>
  <c r="S77" i="4"/>
  <c r="S69" i="4"/>
  <c r="S61" i="4"/>
  <c r="S53" i="4"/>
  <c r="S37" i="4"/>
  <c r="S28" i="4"/>
  <c r="S20" i="4"/>
  <c r="S12" i="4"/>
  <c r="R2100" i="4"/>
  <c r="R768" i="4"/>
  <c r="R433" i="4"/>
  <c r="R426" i="4"/>
  <c r="R418" i="4"/>
  <c r="R410" i="4"/>
  <c r="R404" i="4"/>
  <c r="R396" i="4"/>
  <c r="R388" i="4"/>
  <c r="R382" i="4"/>
  <c r="R372" i="4"/>
  <c r="R364" i="4"/>
  <c r="R355" i="4"/>
  <c r="R348" i="4"/>
  <c r="R340" i="4"/>
  <c r="R331" i="4"/>
  <c r="R323" i="4"/>
  <c r="R315" i="4"/>
  <c r="R307" i="4"/>
  <c r="R299" i="4"/>
  <c r="R289" i="4"/>
  <c r="R281" i="4"/>
  <c r="R273" i="4"/>
  <c r="R267" i="4"/>
  <c r="R256" i="4"/>
  <c r="R248" i="4"/>
  <c r="R240" i="4"/>
  <c r="R228" i="4"/>
  <c r="R221" i="4"/>
  <c r="R207" i="4"/>
  <c r="R192" i="4"/>
  <c r="R185" i="4"/>
  <c r="R179" i="4"/>
  <c r="R172" i="4"/>
  <c r="R164" i="4"/>
  <c r="R156" i="4"/>
  <c r="R147" i="4"/>
  <c r="R139" i="4"/>
  <c r="R131" i="4"/>
  <c r="R123" i="4"/>
  <c r="R105" i="4"/>
  <c r="R97" i="4"/>
  <c r="R89" i="4"/>
  <c r="R81" i="4"/>
  <c r="R73" i="4"/>
  <c r="R65" i="4"/>
  <c r="R57" i="4"/>
  <c r="R49" i="4"/>
  <c r="R32" i="4"/>
  <c r="R24" i="4"/>
  <c r="R16" i="4"/>
  <c r="R8" i="4"/>
  <c r="P2102" i="4"/>
  <c r="Q2099" i="4"/>
  <c r="P771" i="4"/>
  <c r="Q767" i="4"/>
  <c r="P435" i="4"/>
  <c r="Q432" i="4"/>
  <c r="P428" i="4"/>
  <c r="Q425" i="4"/>
  <c r="P420" i="4"/>
  <c r="Q417" i="4"/>
  <c r="P412" i="4"/>
  <c r="P406" i="4"/>
  <c r="P398" i="4"/>
  <c r="S2103" i="4"/>
  <c r="S772" i="4"/>
  <c r="S421" i="4"/>
  <c r="S413" i="4"/>
  <c r="S407" i="4"/>
  <c r="S400" i="4"/>
  <c r="S391" i="4"/>
  <c r="S385" i="4"/>
  <c r="S375" i="4"/>
  <c r="S367" i="4"/>
  <c r="S358" i="4"/>
  <c r="S351" i="4"/>
  <c r="S343" i="4"/>
  <c r="S335" i="4"/>
  <c r="S326" i="4"/>
  <c r="S318" i="4"/>
  <c r="S310" i="4"/>
  <c r="S302" i="4"/>
  <c r="S298" i="4"/>
  <c r="S291" i="4"/>
  <c r="S284" i="4"/>
  <c r="S276" i="4"/>
  <c r="S261" i="4"/>
  <c r="S251" i="4"/>
  <c r="S243" i="4"/>
  <c r="S233" i="4"/>
  <c r="S216" i="4"/>
  <c r="S210" i="4"/>
  <c r="S202" i="4"/>
  <c r="S195" i="4"/>
  <c r="S188" i="4"/>
  <c r="S174" i="4"/>
  <c r="S167" i="4"/>
  <c r="S159" i="4"/>
  <c r="S150" i="4"/>
  <c r="S142" i="4"/>
  <c r="S134" i="4"/>
  <c r="S126" i="4"/>
  <c r="S116" i="4"/>
  <c r="S109" i="4"/>
  <c r="S100" i="4"/>
  <c r="S92" i="4"/>
  <c r="S84" i="4"/>
  <c r="S76" i="4"/>
  <c r="S68" i="4"/>
  <c r="S52" i="4"/>
  <c r="S44" i="4"/>
  <c r="S36" i="4"/>
  <c r="S27" i="4"/>
  <c r="S11" i="4"/>
  <c r="R2099" i="4"/>
  <c r="R767" i="4"/>
  <c r="S2102" i="4"/>
  <c r="S771" i="4"/>
  <c r="S435" i="4"/>
  <c r="S428" i="4"/>
  <c r="S420" i="4"/>
  <c r="S412" i="4"/>
  <c r="S406" i="4"/>
  <c r="S398" i="4"/>
  <c r="S390" i="4"/>
  <c r="S384" i="4"/>
  <c r="S374" i="4"/>
  <c r="S366" i="4"/>
  <c r="S357" i="4"/>
  <c r="S350" i="4"/>
  <c r="S342" i="4"/>
  <c r="S334" i="4"/>
  <c r="S325" i="4"/>
  <c r="S317" i="4"/>
  <c r="S309" i="4"/>
  <c r="S301" i="4"/>
  <c r="S297" i="4"/>
  <c r="S290" i="4"/>
  <c r="S283" i="4"/>
  <c r="S275" i="4"/>
  <c r="S269" i="4"/>
  <c r="S258" i="4"/>
  <c r="S250" i="4"/>
  <c r="S242" i="4"/>
  <c r="S232" i="4"/>
  <c r="S223" i="4"/>
  <c r="S215" i="4"/>
  <c r="S209" i="4"/>
  <c r="S201" i="4"/>
  <c r="S194" i="4"/>
  <c r="S187" i="4"/>
  <c r="S180" i="4"/>
  <c r="S166" i="4"/>
  <c r="S158" i="4"/>
  <c r="S149" i="4"/>
  <c r="S141" i="4"/>
  <c r="S133" i="4"/>
  <c r="S125" i="4"/>
  <c r="S108" i="4"/>
  <c r="S99" i="4"/>
  <c r="S91" i="4"/>
  <c r="S83" i="4"/>
  <c r="S75" i="4"/>
  <c r="S67" i="4"/>
  <c r="S59" i="4"/>
  <c r="S51" i="4"/>
  <c r="S43" i="4"/>
  <c r="S2101" i="4"/>
  <c r="S770" i="4"/>
  <c r="S434" i="4"/>
  <c r="S427" i="4"/>
  <c r="S419" i="4"/>
  <c r="S411" i="4"/>
  <c r="S405" i="4"/>
  <c r="S397" i="4"/>
  <c r="S389" i="4"/>
  <c r="S383" i="4"/>
  <c r="S373" i="4"/>
  <c r="S365" i="4"/>
  <c r="S356" i="4"/>
  <c r="S349" i="4"/>
  <c r="S341" i="4"/>
  <c r="S333" i="4"/>
  <c r="S324" i="4"/>
  <c r="S316" i="4"/>
  <c r="S308" i="4"/>
  <c r="S300" i="4"/>
  <c r="S296" i="4"/>
  <c r="S282" i="4"/>
  <c r="S274" i="4"/>
  <c r="S268" i="4"/>
  <c r="S257" i="4"/>
  <c r="S249" i="4"/>
  <c r="S241" i="4"/>
  <c r="S231" i="4"/>
  <c r="S222" i="4"/>
  <c r="S214" i="4"/>
  <c r="S208" i="4"/>
  <c r="S200" i="4"/>
  <c r="S193" i="4"/>
  <c r="S186" i="4"/>
  <c r="S173" i="4"/>
  <c r="S165" i="4"/>
  <c r="S157" i="4"/>
  <c r="S148" i="4"/>
  <c r="S140" i="4"/>
  <c r="S132" i="4"/>
  <c r="S124" i="4"/>
  <c r="S107" i="4"/>
  <c r="S98" i="4"/>
  <c r="S90" i="4"/>
  <c r="S82" i="4"/>
  <c r="S74" i="4"/>
  <c r="S66" i="4"/>
  <c r="S58" i="4"/>
  <c r="S42" i="4"/>
  <c r="S33" i="4"/>
  <c r="S25" i="4"/>
  <c r="S17" i="4"/>
  <c r="R2101" i="4"/>
  <c r="R432" i="4"/>
  <c r="R417" i="4"/>
  <c r="R387" i="4"/>
  <c r="R371" i="4"/>
  <c r="R354" i="4"/>
  <c r="R339" i="4"/>
  <c r="R322" i="4"/>
  <c r="R306" i="4"/>
  <c r="R295" i="4"/>
  <c r="R280" i="4"/>
  <c r="R266" i="4"/>
  <c r="R247" i="4"/>
  <c r="R227" i="4"/>
  <c r="R199" i="4"/>
  <c r="R190" i="4"/>
  <c r="R171" i="4"/>
  <c r="R155" i="4"/>
  <c r="R138" i="4"/>
  <c r="R122" i="4"/>
  <c r="R104" i="4"/>
  <c r="R88" i="4"/>
  <c r="R72" i="4"/>
  <c r="R58" i="4"/>
  <c r="R31" i="4"/>
  <c r="R17" i="4"/>
  <c r="P2099" i="4"/>
  <c r="P767" i="4"/>
  <c r="P432" i="4"/>
  <c r="P425" i="4"/>
  <c r="P417" i="4"/>
  <c r="Q395" i="4"/>
  <c r="Q383" i="4"/>
  <c r="P374" i="4"/>
  <c r="Q363" i="4"/>
  <c r="P360" i="4"/>
  <c r="Q349" i="4"/>
  <c r="Q342" i="4"/>
  <c r="P330" i="4"/>
  <c r="P327" i="4"/>
  <c r="P324" i="4"/>
  <c r="Q321" i="4"/>
  <c r="Q318" i="4"/>
  <c r="P313" i="4"/>
  <c r="Q310" i="4"/>
  <c r="P305" i="4"/>
  <c r="Q302" i="4"/>
  <c r="Q298" i="4"/>
  <c r="P294" i="4"/>
  <c r="Q291" i="4"/>
  <c r="P287" i="4"/>
  <c r="Q284" i="4"/>
  <c r="P279" i="4"/>
  <c r="Q276" i="4"/>
  <c r="P271" i="4"/>
  <c r="P265" i="4"/>
  <c r="Q261" i="4"/>
  <c r="P254" i="4"/>
  <c r="Q251" i="4"/>
  <c r="P246" i="4"/>
  <c r="Q243" i="4"/>
  <c r="P236" i="4"/>
  <c r="Q233" i="4"/>
  <c r="P226" i="4"/>
  <c r="P219" i="4"/>
  <c r="Q216" i="4"/>
  <c r="P213" i="4"/>
  <c r="Q210" i="4"/>
  <c r="P205" i="4"/>
  <c r="Q202" i="4"/>
  <c r="P198" i="4"/>
  <c r="Q195" i="4"/>
  <c r="Q188" i="4"/>
  <c r="P184" i="4"/>
  <c r="P177" i="4"/>
  <c r="Q174" i="4"/>
  <c r="P170" i="4"/>
  <c r="Q167" i="4"/>
  <c r="P161" i="4"/>
  <c r="Q159" i="4"/>
  <c r="P154" i="4"/>
  <c r="Q150" i="4"/>
  <c r="P145" i="4"/>
  <c r="Q142" i="4"/>
  <c r="P137" i="4"/>
  <c r="Q134" i="4"/>
  <c r="P129" i="4"/>
  <c r="Q126" i="4"/>
  <c r="P121" i="4"/>
  <c r="Q116" i="4"/>
  <c r="P112" i="4"/>
  <c r="Q109" i="4"/>
  <c r="P103" i="4"/>
  <c r="Q100" i="4"/>
  <c r="P95" i="4"/>
  <c r="Q92" i="4"/>
  <c r="P87" i="4"/>
  <c r="Q84" i="4"/>
  <c r="P79" i="4"/>
  <c r="Q76" i="4"/>
  <c r="P71" i="4"/>
  <c r="Q68" i="4"/>
  <c r="P63" i="4"/>
  <c r="Q60" i="4"/>
  <c r="P55" i="4"/>
  <c r="Q52" i="4"/>
  <c r="P47" i="4"/>
  <c r="Q44" i="4"/>
  <c r="Q65" i="4"/>
  <c r="P60" i="4"/>
  <c r="P52" i="4"/>
  <c r="P44" i="4"/>
  <c r="Q41" i="4"/>
  <c r="P264" i="4"/>
  <c r="Q250" i="4"/>
  <c r="Q242" i="4"/>
  <c r="Q232" i="4"/>
  <c r="P218" i="4"/>
  <c r="P212" i="4"/>
  <c r="P204" i="4"/>
  <c r="Q194" i="4"/>
  <c r="P183" i="4"/>
  <c r="P176" i="4"/>
  <c r="P169" i="4"/>
  <c r="Q158" i="4"/>
  <c r="Q141" i="4"/>
  <c r="Q133" i="4"/>
  <c r="P118" i="4"/>
  <c r="Q108" i="4"/>
  <c r="Q99" i="4"/>
  <c r="Q91" i="4"/>
  <c r="P78" i="4"/>
  <c r="P70" i="4"/>
  <c r="P62" i="4"/>
  <c r="Q51" i="4"/>
  <c r="P51" i="4"/>
  <c r="S26" i="4"/>
  <c r="R431" i="4"/>
  <c r="R416" i="4"/>
  <c r="R403" i="4"/>
  <c r="R370" i="4"/>
  <c r="R338" i="4"/>
  <c r="R321" i="4"/>
  <c r="R305" i="4"/>
  <c r="R294" i="4"/>
  <c r="R279" i="4"/>
  <c r="R265" i="4"/>
  <c r="R246" i="4"/>
  <c r="R226" i="4"/>
  <c r="R213" i="4"/>
  <c r="R198" i="4"/>
  <c r="R184" i="4"/>
  <c r="R170" i="4"/>
  <c r="R154" i="4"/>
  <c r="R137" i="4"/>
  <c r="R121" i="4"/>
  <c r="R103" i="4"/>
  <c r="R87" i="4"/>
  <c r="R71" i="4"/>
  <c r="R42" i="4"/>
  <c r="P395" i="4"/>
  <c r="Q386" i="4"/>
  <c r="P383" i="4"/>
  <c r="P379" i="4"/>
  <c r="Q370" i="4"/>
  <c r="Q366" i="4"/>
  <c r="P363" i="4"/>
  <c r="Q352" i="4"/>
  <c r="P349" i="4"/>
  <c r="Q345" i="4"/>
  <c r="P342" i="4"/>
  <c r="Q339" i="4"/>
  <c r="Q336" i="4"/>
  <c r="Q333" i="4"/>
  <c r="P318" i="4"/>
  <c r="Q315" i="4"/>
  <c r="P310" i="4"/>
  <c r="Q307" i="4"/>
  <c r="P302" i="4"/>
  <c r="Q299" i="4"/>
  <c r="P298" i="4"/>
  <c r="P291" i="4"/>
  <c r="Q289" i="4"/>
  <c r="P284" i="4"/>
  <c r="Q281" i="4"/>
  <c r="P276" i="4"/>
  <c r="Q273" i="4"/>
  <c r="Q267" i="4"/>
  <c r="P261" i="4"/>
  <c r="Q256" i="4"/>
  <c r="P251" i="4"/>
  <c r="Q248" i="4"/>
  <c r="P243" i="4"/>
  <c r="Q240" i="4"/>
  <c r="P233" i="4"/>
  <c r="Q228" i="4"/>
  <c r="Q221" i="4"/>
  <c r="P216" i="4"/>
  <c r="P210" i="4"/>
  <c r="Q207" i="4"/>
  <c r="P202" i="4"/>
  <c r="P195" i="4"/>
  <c r="Q192" i="4"/>
  <c r="P188" i="4"/>
  <c r="Q185" i="4"/>
  <c r="Q179" i="4"/>
  <c r="P174" i="4"/>
  <c r="Q172" i="4"/>
  <c r="P167" i="4"/>
  <c r="Q164" i="4"/>
  <c r="P159" i="4"/>
  <c r="Q156" i="4"/>
  <c r="P150" i="4"/>
  <c r="Q147" i="4"/>
  <c r="P142" i="4"/>
  <c r="Q139" i="4"/>
  <c r="P134" i="4"/>
  <c r="Q131" i="4"/>
  <c r="P126" i="4"/>
  <c r="Q123" i="4"/>
  <c r="P116" i="4"/>
  <c r="P109" i="4"/>
  <c r="Q105" i="4"/>
  <c r="P100" i="4"/>
  <c r="Q97" i="4"/>
  <c r="P92" i="4"/>
  <c r="Q89" i="4"/>
  <c r="P84" i="4"/>
  <c r="Q81" i="4"/>
  <c r="P76" i="4"/>
  <c r="Q73" i="4"/>
  <c r="P68" i="4"/>
  <c r="Q57" i="4"/>
  <c r="Q49" i="4"/>
  <c r="P105" i="4"/>
  <c r="P97" i="4"/>
  <c r="P89" i="4"/>
  <c r="P81" i="4"/>
  <c r="Q78" i="4"/>
  <c r="Q70" i="4"/>
  <c r="Q62" i="4"/>
  <c r="Q54" i="4"/>
  <c r="P49" i="4"/>
  <c r="P41" i="4"/>
  <c r="Q275" i="4"/>
  <c r="Q258" i="4"/>
  <c r="P245" i="4"/>
  <c r="P235" i="4"/>
  <c r="P225" i="4"/>
  <c r="Q215" i="4"/>
  <c r="Q201" i="4"/>
  <c r="Q180" i="4"/>
  <c r="Q166" i="4"/>
  <c r="P153" i="4"/>
  <c r="P136" i="4"/>
  <c r="Q125" i="4"/>
  <c r="P102" i="4"/>
  <c r="P86" i="4"/>
  <c r="Q75" i="4"/>
  <c r="Q59" i="4"/>
  <c r="P46" i="4"/>
  <c r="P59" i="4"/>
  <c r="R770" i="4"/>
  <c r="R430" i="4"/>
  <c r="R415" i="4"/>
  <c r="R402" i="4"/>
  <c r="R369" i="4"/>
  <c r="R337" i="4"/>
  <c r="R320" i="4"/>
  <c r="R304" i="4"/>
  <c r="R293" i="4"/>
  <c r="R278" i="4"/>
  <c r="R264" i="4"/>
  <c r="R245" i="4"/>
  <c r="R225" i="4"/>
  <c r="R212" i="4"/>
  <c r="R197" i="4"/>
  <c r="R183" i="4"/>
  <c r="R169" i="4"/>
  <c r="R153" i="4"/>
  <c r="R136" i="4"/>
  <c r="R118" i="4"/>
  <c r="R102" i="4"/>
  <c r="R86" i="4"/>
  <c r="R70" i="4"/>
  <c r="R55" i="4"/>
  <c r="R29" i="4"/>
  <c r="R14" i="4"/>
  <c r="Q2102" i="4"/>
  <c r="Q771" i="4"/>
  <c r="Q435" i="4"/>
  <c r="Q431" i="4"/>
  <c r="Q428" i="4"/>
  <c r="Q424" i="4"/>
  <c r="Q420" i="4"/>
  <c r="Q416" i="4"/>
  <c r="Q412" i="4"/>
  <c r="Q406" i="4"/>
  <c r="Q403" i="4"/>
  <c r="Q398" i="4"/>
  <c r="Q387" i="4"/>
  <c r="P386" i="4"/>
  <c r="Q373" i="4"/>
  <c r="P366" i="4"/>
  <c r="Q354" i="4"/>
  <c r="P352" i="4"/>
  <c r="P345" i="4"/>
  <c r="P339" i="4"/>
  <c r="P336" i="4"/>
  <c r="P333" i="4"/>
  <c r="Q329" i="4"/>
  <c r="P326" i="4"/>
  <c r="Q323" i="4"/>
  <c r="Q320" i="4"/>
  <c r="P315" i="4"/>
  <c r="Q312" i="4"/>
  <c r="P307" i="4"/>
  <c r="Q304" i="4"/>
  <c r="P299" i="4"/>
  <c r="Q293" i="4"/>
  <c r="P289" i="4"/>
  <c r="Q286" i="4"/>
  <c r="P281" i="4"/>
  <c r="Q278" i="4"/>
  <c r="P273" i="4"/>
  <c r="P267" i="4"/>
  <c r="Q264" i="4"/>
  <c r="P256" i="4"/>
  <c r="Q253" i="4"/>
  <c r="P248" i="4"/>
  <c r="Q245" i="4"/>
  <c r="P240" i="4"/>
  <c r="Q235" i="4"/>
  <c r="P228" i="4"/>
  <c r="Q225" i="4"/>
  <c r="P221" i="4"/>
  <c r="Q218" i="4"/>
  <c r="Q212" i="4"/>
  <c r="P207" i="4"/>
  <c r="Q204" i="4"/>
  <c r="Q197" i="4"/>
  <c r="P192" i="4"/>
  <c r="P185" i="4"/>
  <c r="Q183" i="4"/>
  <c r="P179" i="4"/>
  <c r="Q176" i="4"/>
  <c r="P172" i="4"/>
  <c r="Q169" i="4"/>
  <c r="P164" i="4"/>
  <c r="P156" i="4"/>
  <c r="Q153" i="4"/>
  <c r="P147" i="4"/>
  <c r="Q144" i="4"/>
  <c r="P139" i="4"/>
  <c r="Q136" i="4"/>
  <c r="P131" i="4"/>
  <c r="Q128" i="4"/>
  <c r="P123" i="4"/>
  <c r="Q118" i="4"/>
  <c r="Q111" i="4"/>
  <c r="Q102" i="4"/>
  <c r="Q94" i="4"/>
  <c r="Q86" i="4"/>
  <c r="P73" i="4"/>
  <c r="P65" i="4"/>
  <c r="P57" i="4"/>
  <c r="Q46" i="4"/>
  <c r="Q223" i="4"/>
  <c r="Q209" i="4"/>
  <c r="P197" i="4"/>
  <c r="Q187" i="4"/>
  <c r="P144" i="4"/>
  <c r="P128" i="4"/>
  <c r="P111" i="4"/>
  <c r="P94" i="4"/>
  <c r="Q83" i="4"/>
  <c r="Q67" i="4"/>
  <c r="P54" i="4"/>
  <c r="Q43" i="4"/>
  <c r="P75" i="4"/>
  <c r="P67" i="4"/>
  <c r="Q56" i="4"/>
  <c r="R427" i="4"/>
  <c r="R411" i="4"/>
  <c r="R397" i="4"/>
  <c r="R383" i="4"/>
  <c r="R365" i="4"/>
  <c r="R349" i="4"/>
  <c r="R333" i="4"/>
  <c r="R316" i="4"/>
  <c r="R300" i="4"/>
  <c r="R274" i="4"/>
  <c r="R257" i="4"/>
  <c r="R241" i="4"/>
  <c r="R222" i="4"/>
  <c r="R208" i="4"/>
  <c r="R193" i="4"/>
  <c r="R165" i="4"/>
  <c r="R148" i="4"/>
  <c r="R132" i="4"/>
  <c r="R98" i="4"/>
  <c r="R82" i="4"/>
  <c r="R54" i="4"/>
  <c r="R40" i="4"/>
  <c r="R13" i="4"/>
  <c r="Q394" i="4"/>
  <c r="Q390" i="4"/>
  <c r="P387" i="4"/>
  <c r="Q378" i="4"/>
  <c r="P373" i="4"/>
  <c r="P369" i="4"/>
  <c r="Q362" i="4"/>
  <c r="Q357" i="4"/>
  <c r="P354" i="4"/>
  <c r="Q341" i="4"/>
  <c r="P323" i="4"/>
  <c r="P320" i="4"/>
  <c r="Q317" i="4"/>
  <c r="P312" i="4"/>
  <c r="Q309" i="4"/>
  <c r="P304" i="4"/>
  <c r="Q301" i="4"/>
  <c r="Q297" i="4"/>
  <c r="P293" i="4"/>
  <c r="Q290" i="4"/>
  <c r="P286" i="4"/>
  <c r="Q283" i="4"/>
  <c r="P278" i="4"/>
  <c r="Q269" i="4"/>
  <c r="P253" i="4"/>
  <c r="Q149" i="4"/>
  <c r="S18" i="4"/>
  <c r="R425" i="4"/>
  <c r="R395" i="4"/>
  <c r="R381" i="4"/>
  <c r="R363" i="4"/>
  <c r="R347" i="4"/>
  <c r="R330" i="4"/>
  <c r="R314" i="4"/>
  <c r="R288" i="4"/>
  <c r="R272" i="4"/>
  <c r="R255" i="4"/>
  <c r="R237" i="4"/>
  <c r="R220" i="4"/>
  <c r="R206" i="4"/>
  <c r="R191" i="4"/>
  <c r="R178" i="4"/>
  <c r="R163" i="4"/>
  <c r="R146" i="4"/>
  <c r="R130" i="4"/>
  <c r="R114" i="4"/>
  <c r="R96" i="4"/>
  <c r="R80" i="4"/>
  <c r="R64" i="4"/>
  <c r="R39" i="4"/>
  <c r="R23" i="4"/>
  <c r="Q2101" i="4"/>
  <c r="Q770" i="4"/>
  <c r="P437" i="4"/>
  <c r="Q434" i="4"/>
  <c r="P430" i="4"/>
  <c r="Q427" i="4"/>
  <c r="P423" i="4"/>
  <c r="Q419" i="4"/>
  <c r="P415" i="4"/>
  <c r="Q411" i="4"/>
  <c r="P409" i="4"/>
  <c r="Q405" i="4"/>
  <c r="P402" i="4"/>
  <c r="Q397" i="4"/>
  <c r="P390" i="4"/>
  <c r="Q381" i="4"/>
  <c r="P378" i="4"/>
  <c r="Q365" i="4"/>
  <c r="P357" i="4"/>
  <c r="Q347" i="4"/>
  <c r="Q344" i="4"/>
  <c r="P341" i="4"/>
  <c r="Q338" i="4"/>
  <c r="P335" i="4"/>
  <c r="Q331" i="4"/>
  <c r="Q328" i="4"/>
  <c r="Q325" i="4"/>
  <c r="P317" i="4"/>
  <c r="Q314" i="4"/>
  <c r="P309" i="4"/>
  <c r="Q306" i="4"/>
  <c r="P301" i="4"/>
  <c r="P297" i="4"/>
  <c r="Q295" i="4"/>
  <c r="P290" i="4"/>
  <c r="Q288" i="4"/>
  <c r="P283" i="4"/>
  <c r="Q280" i="4"/>
  <c r="P275" i="4"/>
  <c r="Q272" i="4"/>
  <c r="P269" i="4"/>
  <c r="Q266" i="4"/>
  <c r="P258" i="4"/>
  <c r="Q255" i="4"/>
  <c r="P250" i="4"/>
  <c r="Q247" i="4"/>
  <c r="P242" i="4"/>
  <c r="Q237" i="4"/>
  <c r="P232" i="4"/>
  <c r="Q227" i="4"/>
  <c r="P223" i="4"/>
  <c r="Q220" i="4"/>
  <c r="P215" i="4"/>
  <c r="P209" i="4"/>
  <c r="Q206" i="4"/>
  <c r="P201" i="4"/>
  <c r="Q199" i="4"/>
  <c r="P194" i="4"/>
  <c r="Q191" i="4"/>
  <c r="P187" i="4"/>
  <c r="Q190" i="4"/>
  <c r="P180" i="4"/>
  <c r="Q178" i="4"/>
  <c r="Q171" i="4"/>
  <c r="P166" i="4"/>
  <c r="Q163" i="4"/>
  <c r="P158" i="4"/>
  <c r="Q155" i="4"/>
  <c r="P149" i="4"/>
  <c r="Q146" i="4"/>
  <c r="P141" i="4"/>
  <c r="Q138" i="4"/>
  <c r="P133" i="4"/>
  <c r="Q130" i="4"/>
  <c r="P125" i="4"/>
  <c r="Q122" i="4"/>
  <c r="Q114" i="4"/>
  <c r="P108" i="4"/>
  <c r="Q104" i="4"/>
  <c r="P99" i="4"/>
  <c r="Q96" i="4"/>
  <c r="P91" i="4"/>
  <c r="Q88" i="4"/>
  <c r="P83" i="4"/>
  <c r="Q80" i="4"/>
  <c r="Q72" i="4"/>
  <c r="Q64" i="4"/>
  <c r="R424" i="4"/>
  <c r="R394" i="4"/>
  <c r="R380" i="4"/>
  <c r="R362" i="4"/>
  <c r="R346" i="4"/>
  <c r="R329" i="4"/>
  <c r="R313" i="4"/>
  <c r="R287" i="4"/>
  <c r="R271" i="4"/>
  <c r="R254" i="4"/>
  <c r="R236" i="4"/>
  <c r="R219" i="4"/>
  <c r="R205" i="4"/>
  <c r="R177" i="4"/>
  <c r="R161" i="4"/>
  <c r="R145" i="4"/>
  <c r="R129" i="4"/>
  <c r="R112" i="4"/>
  <c r="R95" i="4"/>
  <c r="R79" i="4"/>
  <c r="R63" i="4"/>
  <c r="R50" i="4"/>
  <c r="R38" i="4"/>
  <c r="R22" i="4"/>
  <c r="R9" i="4"/>
  <c r="P2101" i="4"/>
  <c r="P770" i="4"/>
  <c r="P434" i="4"/>
  <c r="P427" i="4"/>
  <c r="P419" i="4"/>
  <c r="P411" i="4"/>
  <c r="P405" i="4"/>
  <c r="P397" i="4"/>
  <c r="P392" i="4"/>
  <c r="Q384" i="4"/>
  <c r="P381" i="4"/>
  <c r="Q368" i="4"/>
  <c r="P365" i="4"/>
  <c r="P361" i="4"/>
  <c r="Q350" i="4"/>
  <c r="P347" i="4"/>
  <c r="P344" i="4"/>
  <c r="P331" i="4"/>
  <c r="P328" i="4"/>
  <c r="P325" i="4"/>
  <c r="Q322" i="4"/>
  <c r="Q319" i="4"/>
  <c r="P314" i="4"/>
  <c r="Q311" i="4"/>
  <c r="P306" i="4"/>
  <c r="Q303" i="4"/>
  <c r="P295" i="4"/>
  <c r="Q292" i="4"/>
  <c r="P288" i="4"/>
  <c r="Q285" i="4"/>
  <c r="P280" i="4"/>
  <c r="Q277" i="4"/>
  <c r="P272" i="4"/>
  <c r="Q270" i="4"/>
  <c r="P266" i="4"/>
  <c r="Q262" i="4"/>
  <c r="S10" i="4"/>
  <c r="R437" i="4"/>
  <c r="R423" i="4"/>
  <c r="R409" i="4"/>
  <c r="R392" i="4"/>
  <c r="R379" i="4"/>
  <c r="R361" i="4"/>
  <c r="R345" i="4"/>
  <c r="R328" i="4"/>
  <c r="R312" i="4"/>
  <c r="R286" i="4"/>
  <c r="R253" i="4"/>
  <c r="R235" i="4"/>
  <c r="R218" i="4"/>
  <c r="R204" i="4"/>
  <c r="R176" i="4"/>
  <c r="R144" i="4"/>
  <c r="R128" i="4"/>
  <c r="R111" i="4"/>
  <c r="R94" i="4"/>
  <c r="R78" i="4"/>
  <c r="R62" i="4"/>
  <c r="R48" i="4"/>
  <c r="R21" i="4"/>
  <c r="Q2104" i="4"/>
  <c r="Q773" i="4"/>
  <c r="Q436" i="4"/>
  <c r="Q429" i="4"/>
  <c r="Q422" i="4"/>
  <c r="Q414" i="4"/>
  <c r="Q408" i="4"/>
  <c r="Q401" i="4"/>
  <c r="Q389" i="4"/>
  <c r="P384" i="4"/>
  <c r="Q371" i="4"/>
  <c r="P368" i="4"/>
  <c r="Q356" i="4"/>
  <c r="P350" i="4"/>
  <c r="Q340" i="4"/>
  <c r="Q337" i="4"/>
  <c r="Q334" i="4"/>
  <c r="P322" i="4"/>
  <c r="P319" i="4"/>
  <c r="Q316" i="4"/>
  <c r="P311" i="4"/>
  <c r="Q308" i="4"/>
  <c r="P303" i="4"/>
  <c r="Q300" i="4"/>
  <c r="Q296" i="4"/>
  <c r="P292" i="4"/>
  <c r="P285" i="4"/>
  <c r="Q282" i="4"/>
  <c r="P277" i="4"/>
  <c r="Q274" i="4"/>
  <c r="P270" i="4"/>
  <c r="Q268" i="4"/>
  <c r="P262" i="4"/>
  <c r="Q257" i="4"/>
  <c r="P252" i="4"/>
  <c r="Q249" i="4"/>
  <c r="P244" i="4"/>
  <c r="Q241" i="4"/>
  <c r="P234" i="4"/>
  <c r="Q231" i="4"/>
  <c r="P224" i="4"/>
  <c r="Q222" i="4"/>
  <c r="P217" i="4"/>
  <c r="Q214" i="4"/>
  <c r="P211" i="4"/>
  <c r="Q208" i="4"/>
  <c r="P203" i="4"/>
  <c r="Q200" i="4"/>
  <c r="R434" i="4"/>
  <c r="R419" i="4"/>
  <c r="R405" i="4"/>
  <c r="R389" i="4"/>
  <c r="R373" i="4"/>
  <c r="R356" i="4"/>
  <c r="R341" i="4"/>
  <c r="R324" i="4"/>
  <c r="R308" i="4"/>
  <c r="R296" i="4"/>
  <c r="R282" i="4"/>
  <c r="R268" i="4"/>
  <c r="R249" i="4"/>
  <c r="R231" i="4"/>
  <c r="R214" i="4"/>
  <c r="R200" i="4"/>
  <c r="R186" i="4"/>
  <c r="R173" i="4"/>
  <c r="R157" i="4"/>
  <c r="R140" i="4"/>
  <c r="R124" i="4"/>
  <c r="R107" i="4"/>
  <c r="R90" i="4"/>
  <c r="R74" i="4"/>
  <c r="R47" i="4"/>
  <c r="R33" i="4"/>
  <c r="P2104" i="4"/>
  <c r="P773" i="4"/>
  <c r="P436" i="4"/>
  <c r="P429" i="4"/>
  <c r="P422" i="4"/>
  <c r="P414" i="4"/>
  <c r="P408" i="4"/>
  <c r="P401" i="4"/>
  <c r="P389" i="4"/>
  <c r="Q380" i="4"/>
  <c r="Q374" i="4"/>
  <c r="P371" i="4"/>
  <c r="Q360" i="4"/>
  <c r="P356" i="4"/>
  <c r="Q346" i="4"/>
  <c r="P340" i="4"/>
  <c r="P337" i="4"/>
  <c r="P334" i="4"/>
  <c r="Q330" i="4"/>
  <c r="Q327" i="4"/>
  <c r="Q324" i="4"/>
  <c r="P316" i="4"/>
  <c r="Q313" i="4"/>
  <c r="P308" i="4"/>
  <c r="Q305" i="4"/>
  <c r="P300" i="4"/>
  <c r="P296" i="4"/>
  <c r="Q294" i="4"/>
  <c r="Q287" i="4"/>
  <c r="P282" i="4"/>
  <c r="Q279" i="4"/>
  <c r="P274" i="4"/>
  <c r="Q271" i="4"/>
  <c r="P268" i="4"/>
  <c r="Q265" i="4"/>
  <c r="P257" i="4"/>
  <c r="Q254" i="4"/>
  <c r="P249" i="4"/>
  <c r="Q246" i="4"/>
  <c r="P241" i="4"/>
  <c r="Q236" i="4"/>
  <c r="P231" i="4"/>
  <c r="Q226" i="4"/>
  <c r="P222" i="4"/>
  <c r="Q219" i="4"/>
  <c r="P214" i="4"/>
  <c r="Q213" i="4"/>
  <c r="P247" i="4"/>
  <c r="Q224" i="4"/>
  <c r="P208" i="4"/>
  <c r="Q203" i="4"/>
  <c r="P186" i="4"/>
  <c r="Q182" i="4"/>
  <c r="P157" i="4"/>
  <c r="Q151" i="4"/>
  <c r="P124" i="4"/>
  <c r="Q117" i="4"/>
  <c r="P90" i="4"/>
  <c r="Q85" i="4"/>
  <c r="P58" i="4"/>
  <c r="Q53" i="4"/>
  <c r="P45" i="4"/>
  <c r="Q98" i="4"/>
  <c r="P80" i="4"/>
  <c r="Q66" i="4"/>
  <c r="Q173" i="4"/>
  <c r="P155" i="4"/>
  <c r="Q140" i="4"/>
  <c r="Q112" i="4"/>
  <c r="P88" i="4"/>
  <c r="Q79" i="4"/>
  <c r="P56" i="4"/>
  <c r="P107" i="4"/>
  <c r="Q47" i="4"/>
  <c r="P110" i="4"/>
  <c r="P72" i="4"/>
  <c r="Q45" i="4"/>
  <c r="Q198" i="4"/>
  <c r="Q193" i="4"/>
  <c r="P182" i="4"/>
  <c r="P178" i="4"/>
  <c r="Q170" i="4"/>
  <c r="Q165" i="4"/>
  <c r="P151" i="4"/>
  <c r="P146" i="4"/>
  <c r="Q137" i="4"/>
  <c r="Q132" i="4"/>
  <c r="P117" i="4"/>
  <c r="P114" i="4"/>
  <c r="Q103" i="4"/>
  <c r="P85" i="4"/>
  <c r="Q71" i="4"/>
  <c r="P53" i="4"/>
  <c r="Q48" i="4"/>
  <c r="Q40" i="4"/>
  <c r="P48" i="4"/>
  <c r="P40" i="4"/>
  <c r="P206" i="4"/>
  <c r="P190" i="4"/>
  <c r="Q177" i="4"/>
  <c r="P160" i="4"/>
  <c r="Q145" i="4"/>
  <c r="P127" i="4"/>
  <c r="Q107" i="4"/>
  <c r="Q74" i="4"/>
  <c r="P43" i="4"/>
  <c r="Q168" i="4"/>
  <c r="Q135" i="4"/>
  <c r="Q69" i="4"/>
  <c r="Q129" i="4"/>
  <c r="Q90" i="4"/>
  <c r="Q58" i="4"/>
  <c r="Q252" i="4"/>
  <c r="P237" i="4"/>
  <c r="Q217" i="4"/>
  <c r="P193" i="4"/>
  <c r="Q189" i="4"/>
  <c r="P165" i="4"/>
  <c r="Q160" i="4"/>
  <c r="P132" i="4"/>
  <c r="Q127" i="4"/>
  <c r="P98" i="4"/>
  <c r="Q93" i="4"/>
  <c r="P66" i="4"/>
  <c r="Q61" i="4"/>
  <c r="P122" i="4"/>
  <c r="P93" i="4"/>
  <c r="P61" i="4"/>
  <c r="P140" i="4"/>
  <c r="P74" i="4"/>
  <c r="Q124" i="4"/>
  <c r="Q95" i="4"/>
  <c r="Q63" i="4"/>
  <c r="P189" i="4"/>
  <c r="Q244" i="4"/>
  <c r="P227" i="4"/>
  <c r="Q211" i="4"/>
  <c r="P200" i="4"/>
  <c r="Q196" i="4"/>
  <c r="P173" i="4"/>
  <c r="Q101" i="4"/>
  <c r="Q205" i="4"/>
  <c r="P196" i="4"/>
  <c r="P191" i="4"/>
  <c r="Q184" i="4"/>
  <c r="P168" i="4"/>
  <c r="P163" i="4"/>
  <c r="Q154" i="4"/>
  <c r="Q148" i="4"/>
  <c r="P135" i="4"/>
  <c r="P130" i="4"/>
  <c r="Q121" i="4"/>
  <c r="P101" i="4"/>
  <c r="P96" i="4"/>
  <c r="Q87" i="4"/>
  <c r="Q82" i="4"/>
  <c r="P69" i="4"/>
  <c r="P64" i="4"/>
  <c r="Q55" i="4"/>
  <c r="Q50" i="4"/>
  <c r="Q42" i="4"/>
  <c r="P148" i="4"/>
  <c r="Q143" i="4"/>
  <c r="Q110" i="4"/>
  <c r="P82" i="4"/>
  <c r="Q77" i="4"/>
  <c r="P50" i="4"/>
  <c r="P42" i="4"/>
  <c r="P138" i="4"/>
  <c r="P77" i="4"/>
  <c r="P255" i="4"/>
  <c r="Q234" i="4"/>
  <c r="P220" i="4"/>
  <c r="Q175" i="4"/>
  <c r="P199" i="4"/>
  <c r="Q186" i="4"/>
  <c r="P175" i="4"/>
  <c r="P171" i="4"/>
  <c r="Q161" i="4"/>
  <c r="Q157" i="4"/>
  <c r="P143" i="4"/>
  <c r="P104" i="4"/>
  <c r="E58" i="18"/>
  <c r="F58" i="18" s="1"/>
  <c r="G58" i="18" s="1"/>
  <c r="H58" i="18" s="1"/>
  <c r="I58" i="18" s="1"/>
  <c r="J58" i="18" s="1"/>
  <c r="K58" i="18" s="1"/>
  <c r="L58" i="18" s="1"/>
  <c r="M58" i="18" s="1"/>
  <c r="N58" i="18" s="1"/>
  <c r="O58" i="18" s="1"/>
  <c r="P58" i="18" s="1"/>
  <c r="Q58" i="18" s="1"/>
  <c r="E60" i="18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E57" i="18"/>
  <c r="E59" i="18"/>
  <c r="F59" i="18" s="1"/>
  <c r="G59" i="18" s="1"/>
  <c r="H59" i="18" s="1"/>
  <c r="I59" i="18" s="1"/>
  <c r="J59" i="18" s="1"/>
  <c r="K59" i="18" s="1"/>
  <c r="L59" i="18" s="1"/>
  <c r="M59" i="18" s="1"/>
  <c r="N59" i="18" s="1"/>
  <c r="O59" i="18" s="1"/>
  <c r="P59" i="18" s="1"/>
  <c r="Q59" i="18" s="1"/>
  <c r="E64" i="18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E61" i="18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P8" i="4"/>
  <c r="B4" i="24"/>
  <c r="B4" i="25"/>
  <c r="B4" i="22"/>
  <c r="B4" i="19"/>
  <c r="B4" i="21"/>
  <c r="B4" i="16"/>
  <c r="B4" i="18"/>
  <c r="B4" i="12"/>
  <c r="B157" i="15"/>
  <c r="B157" i="19" s="1"/>
  <c r="B158" i="15"/>
  <c r="B158" i="19" s="1"/>
  <c r="B159" i="15"/>
  <c r="B159" i="19" s="1"/>
  <c r="Q9" i="4"/>
  <c r="Q17" i="4"/>
  <c r="Q25" i="4"/>
  <c r="Q33" i="4"/>
  <c r="Q8" i="4"/>
  <c r="P16" i="4"/>
  <c r="P24" i="4"/>
  <c r="P32" i="4"/>
  <c r="Q19" i="4"/>
  <c r="P10" i="4"/>
  <c r="P26" i="4"/>
  <c r="P28" i="4"/>
  <c r="Q10" i="4"/>
  <c r="Q18" i="4"/>
  <c r="Q26" i="4"/>
  <c r="Q34" i="4"/>
  <c r="P9" i="4"/>
  <c r="P17" i="4"/>
  <c r="P25" i="4"/>
  <c r="P33" i="4"/>
  <c r="Q27" i="4"/>
  <c r="P18" i="4"/>
  <c r="P34" i="4"/>
  <c r="P20" i="4"/>
  <c r="Q32" i="4"/>
  <c r="P31" i="4"/>
  <c r="Q11" i="4"/>
  <c r="Q36" i="4"/>
  <c r="Q12" i="4"/>
  <c r="Q20" i="4"/>
  <c r="Q28" i="4"/>
  <c r="Q37" i="4"/>
  <c r="P11" i="4"/>
  <c r="P19" i="4"/>
  <c r="P27" i="4"/>
  <c r="P36" i="4"/>
  <c r="Q29" i="4"/>
  <c r="Q38" i="4"/>
  <c r="P12" i="4"/>
  <c r="P37" i="4"/>
  <c r="P39" i="4"/>
  <c r="P15" i="4"/>
  <c r="Q13" i="4"/>
  <c r="Q21" i="4"/>
  <c r="Q14" i="4"/>
  <c r="Q22" i="4"/>
  <c r="Q30" i="4"/>
  <c r="Q39" i="4"/>
  <c r="P13" i="4"/>
  <c r="P21" i="4"/>
  <c r="P29" i="4"/>
  <c r="P38" i="4"/>
  <c r="Q31" i="4"/>
  <c r="P14" i="4"/>
  <c r="P22" i="4"/>
  <c r="P30" i="4"/>
  <c r="P23" i="4"/>
  <c r="Q15" i="4"/>
  <c r="Q23" i="4"/>
  <c r="Q24" i="4"/>
  <c r="B162" i="15"/>
  <c r="B162" i="19" s="1"/>
  <c r="B161" i="15"/>
  <c r="B161" i="19" s="1"/>
  <c r="B4" i="13"/>
  <c r="B4" i="15"/>
  <c r="B4" i="14"/>
  <c r="C2" i="4"/>
  <c r="C2" i="8"/>
  <c r="D105" i="14" l="1"/>
  <c r="E105" i="14"/>
  <c r="H105" i="14" s="1"/>
  <c r="D155" i="14"/>
  <c r="E155" i="14"/>
  <c r="H155" i="14" s="1"/>
  <c r="E151" i="15"/>
  <c r="H151" i="15" s="1"/>
  <c r="D151" i="15"/>
  <c r="E82" i="14"/>
  <c r="H82" i="14" s="1"/>
  <c r="D82" i="14"/>
  <c r="D161" i="19"/>
  <c r="K161" i="19"/>
  <c r="E161" i="19"/>
  <c r="J161" i="19"/>
  <c r="G161" i="19"/>
  <c r="I161" i="19"/>
  <c r="P161" i="19"/>
  <c r="H161" i="19"/>
  <c r="F161" i="19"/>
  <c r="L161" i="19"/>
  <c r="O161" i="19"/>
  <c r="N161" i="19"/>
  <c r="M161" i="19"/>
  <c r="D162" i="19"/>
  <c r="K162" i="19"/>
  <c r="E162" i="19"/>
  <c r="J162" i="19"/>
  <c r="G162" i="19"/>
  <c r="I162" i="19"/>
  <c r="P162" i="19"/>
  <c r="H162" i="19"/>
  <c r="F162" i="19"/>
  <c r="L162" i="19"/>
  <c r="O162" i="19"/>
  <c r="N162" i="19"/>
  <c r="M162" i="19"/>
  <c r="D159" i="19"/>
  <c r="K159" i="19"/>
  <c r="E159" i="19"/>
  <c r="J159" i="19"/>
  <c r="G159" i="19"/>
  <c r="I159" i="19"/>
  <c r="P159" i="19"/>
  <c r="H159" i="19"/>
  <c r="F159" i="19"/>
  <c r="L159" i="19"/>
  <c r="O159" i="19"/>
  <c r="N159" i="19"/>
  <c r="M159" i="19"/>
  <c r="D158" i="19"/>
  <c r="K158" i="19"/>
  <c r="E158" i="19"/>
  <c r="J158" i="19"/>
  <c r="G158" i="19"/>
  <c r="I158" i="19"/>
  <c r="P158" i="19"/>
  <c r="H158" i="19"/>
  <c r="F158" i="19"/>
  <c r="L158" i="19"/>
  <c r="O158" i="19"/>
  <c r="N158" i="19"/>
  <c r="M158" i="19"/>
  <c r="D157" i="19"/>
  <c r="K157" i="19"/>
  <c r="K163" i="19" s="1"/>
  <c r="E157" i="19"/>
  <c r="J157" i="19"/>
  <c r="J163" i="19" s="1"/>
  <c r="G157" i="19"/>
  <c r="G163" i="19" s="1"/>
  <c r="I157" i="19"/>
  <c r="I163" i="19" s="1"/>
  <c r="P157" i="19"/>
  <c r="P163" i="19" s="1"/>
  <c r="H157" i="19"/>
  <c r="H163" i="19" s="1"/>
  <c r="F157" i="19"/>
  <c r="F163" i="19" s="1"/>
  <c r="L157" i="19"/>
  <c r="L163" i="19" s="1"/>
  <c r="O157" i="19"/>
  <c r="O163" i="19" s="1"/>
  <c r="N157" i="19"/>
  <c r="N163" i="19" s="1"/>
  <c r="M157" i="19"/>
  <c r="M163" i="19" s="1"/>
  <c r="D69" i="19"/>
  <c r="K69" i="19"/>
  <c r="K93" i="19" s="1"/>
  <c r="K153" i="19" s="1"/>
  <c r="K154" i="19" s="1"/>
  <c r="K164" i="19" s="1"/>
  <c r="L152" i="18" s="1"/>
  <c r="E69" i="19"/>
  <c r="J69" i="19"/>
  <c r="J93" i="19" s="1"/>
  <c r="J153" i="19" s="1"/>
  <c r="J154" i="19" s="1"/>
  <c r="J164" i="19" s="1"/>
  <c r="K152" i="18" s="1"/>
  <c r="G69" i="19"/>
  <c r="G93" i="19" s="1"/>
  <c r="G153" i="19" s="1"/>
  <c r="G154" i="19" s="1"/>
  <c r="G164" i="19" s="1"/>
  <c r="H152" i="18" s="1"/>
  <c r="I69" i="19"/>
  <c r="I93" i="19" s="1"/>
  <c r="I153" i="19" s="1"/>
  <c r="I154" i="19" s="1"/>
  <c r="I164" i="19" s="1"/>
  <c r="J152" i="18" s="1"/>
  <c r="P69" i="19"/>
  <c r="P93" i="19" s="1"/>
  <c r="P153" i="19" s="1"/>
  <c r="P154" i="19" s="1"/>
  <c r="P164" i="19" s="1"/>
  <c r="Q152" i="18" s="1"/>
  <c r="S152" i="18" s="1"/>
  <c r="H69" i="19"/>
  <c r="H93" i="19" s="1"/>
  <c r="H153" i="19" s="1"/>
  <c r="H154" i="19" s="1"/>
  <c r="H164" i="19" s="1"/>
  <c r="I152" i="18" s="1"/>
  <c r="F69" i="19"/>
  <c r="F93" i="19" s="1"/>
  <c r="F153" i="19" s="1"/>
  <c r="F154" i="19" s="1"/>
  <c r="F164" i="19" s="1"/>
  <c r="L69" i="19"/>
  <c r="L93" i="19" s="1"/>
  <c r="L153" i="19" s="1"/>
  <c r="L154" i="19" s="1"/>
  <c r="L164" i="19" s="1"/>
  <c r="M152" i="18" s="1"/>
  <c r="O69" i="19"/>
  <c r="O93" i="19" s="1"/>
  <c r="O153" i="19" s="1"/>
  <c r="O154" i="19" s="1"/>
  <c r="O164" i="19" s="1"/>
  <c r="P152" i="18" s="1"/>
  <c r="N69" i="19"/>
  <c r="N93" i="19" s="1"/>
  <c r="N153" i="19" s="1"/>
  <c r="N154" i="19" s="1"/>
  <c r="N164" i="19" s="1"/>
  <c r="O152" i="18" s="1"/>
  <c r="M69" i="19"/>
  <c r="M93" i="19" s="1"/>
  <c r="M153" i="19" s="1"/>
  <c r="M154" i="19" s="1"/>
  <c r="M164" i="19" s="1"/>
  <c r="N152" i="18" s="1"/>
  <c r="E133" i="18"/>
  <c r="D133" i="18"/>
  <c r="F133" i="18"/>
  <c r="G133" i="18" s="1"/>
  <c r="H133" i="18" s="1"/>
  <c r="I133" i="18" s="1"/>
  <c r="J133" i="18" s="1"/>
  <c r="K133" i="18" s="1"/>
  <c r="L133" i="18" s="1"/>
  <c r="M133" i="18" s="1"/>
  <c r="N133" i="18" s="1"/>
  <c r="O133" i="18" s="1"/>
  <c r="P133" i="18" s="1"/>
  <c r="Q133" i="18" s="1"/>
  <c r="E151" i="18"/>
  <c r="D151" i="18"/>
  <c r="F151" i="18"/>
  <c r="G151" i="18" s="1"/>
  <c r="H151" i="18" s="1"/>
  <c r="I151" i="18" s="1"/>
  <c r="J151" i="18" s="1"/>
  <c r="K151" i="18" s="1"/>
  <c r="L151" i="18" s="1"/>
  <c r="M151" i="18" s="1"/>
  <c r="N151" i="18" s="1"/>
  <c r="O151" i="18" s="1"/>
  <c r="P151" i="18" s="1"/>
  <c r="Q151" i="18" s="1"/>
  <c r="S151" i="18" s="1"/>
  <c r="E132" i="18"/>
  <c r="D132" i="18"/>
  <c r="F132" i="18"/>
  <c r="G132" i="18"/>
  <c r="H132" i="18"/>
  <c r="I132" i="18"/>
  <c r="J132" i="18"/>
  <c r="K132" i="18"/>
  <c r="L132" i="18"/>
  <c r="M132" i="18"/>
  <c r="N132" i="18"/>
  <c r="E131" i="18"/>
  <c r="D131" i="18"/>
  <c r="F131" i="18"/>
  <c r="G131" i="18"/>
  <c r="H131" i="18"/>
  <c r="I131" i="18"/>
  <c r="J131" i="18"/>
  <c r="K131" i="18"/>
  <c r="L131" i="18"/>
  <c r="M131" i="18"/>
  <c r="N131" i="18"/>
  <c r="O131" i="18"/>
  <c r="P131" i="18"/>
  <c r="Q131" i="18"/>
  <c r="E152" i="18"/>
  <c r="D152" i="18"/>
  <c r="E136" i="18"/>
  <c r="D136" i="18"/>
  <c r="F136" i="18"/>
  <c r="G136" i="18" s="1"/>
  <c r="H136" i="18" s="1"/>
  <c r="I136" i="18" s="1"/>
  <c r="J136" i="18" s="1"/>
  <c r="K136" i="18" s="1"/>
  <c r="L136" i="18" s="1"/>
  <c r="M136" i="18" s="1"/>
  <c r="N136" i="18" s="1"/>
  <c r="O136" i="18" s="1"/>
  <c r="P136" i="18" s="1"/>
  <c r="Q136" i="18" s="1"/>
  <c r="E135" i="18"/>
  <c r="D135" i="18"/>
  <c r="F135" i="18"/>
  <c r="G135" i="18" s="1"/>
  <c r="H135" i="18" s="1"/>
  <c r="I135" i="18" s="1"/>
  <c r="J135" i="18" s="1"/>
  <c r="K135" i="18" s="1"/>
  <c r="L135" i="18" s="1"/>
  <c r="M135" i="18" s="1"/>
  <c r="N135" i="18" s="1"/>
  <c r="O135" i="18" s="1"/>
  <c r="P135" i="18" s="1"/>
  <c r="Q135" i="18" s="1"/>
  <c r="E144" i="18"/>
  <c r="E153" i="18" s="1"/>
  <c r="D144" i="18"/>
  <c r="F144" i="18"/>
  <c r="E134" i="18"/>
  <c r="D134" i="18"/>
  <c r="F134" i="18"/>
  <c r="G134" i="18" s="1"/>
  <c r="H134" i="18" s="1"/>
  <c r="I134" i="18" s="1"/>
  <c r="J134" i="18" s="1"/>
  <c r="K134" i="18" s="1"/>
  <c r="L134" i="18" s="1"/>
  <c r="M134" i="18" s="1"/>
  <c r="N134" i="18" s="1"/>
  <c r="O134" i="18" s="1"/>
  <c r="P134" i="18" s="1"/>
  <c r="Q134" i="18" s="1"/>
  <c r="O139" i="18"/>
  <c r="N141" i="18"/>
  <c r="O124" i="18"/>
  <c r="N129" i="18"/>
  <c r="O132" i="18"/>
  <c r="N137" i="18"/>
  <c r="S61" i="18"/>
  <c r="S64" i="18"/>
  <c r="S59" i="18"/>
  <c r="S60" i="18"/>
  <c r="S58" i="18"/>
  <c r="S62" i="18"/>
  <c r="B81" i="18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D72" i="18"/>
  <c r="B79" i="18"/>
  <c r="E69" i="18"/>
  <c r="D69" i="18"/>
  <c r="B80" i="18"/>
  <c r="E71" i="18"/>
  <c r="F71" i="18" s="1"/>
  <c r="G71" i="18" s="1"/>
  <c r="H71" i="18" s="1"/>
  <c r="I71" i="18" s="1"/>
  <c r="J71" i="18" s="1"/>
  <c r="K71" i="18" s="1"/>
  <c r="L71" i="18" s="1"/>
  <c r="M71" i="18" s="1"/>
  <c r="N71" i="18" s="1"/>
  <c r="O71" i="18" s="1"/>
  <c r="P71" i="18" s="1"/>
  <c r="Q71" i="18" s="1"/>
  <c r="D71" i="18"/>
  <c r="E70" i="18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D70" i="18"/>
  <c r="E78" i="18"/>
  <c r="F78" i="18" s="1"/>
  <c r="G78" i="18" s="1"/>
  <c r="H78" i="18" s="1"/>
  <c r="I78" i="18" s="1"/>
  <c r="J78" i="18" s="1"/>
  <c r="K78" i="18" s="1"/>
  <c r="L78" i="18" s="1"/>
  <c r="M78" i="18" s="1"/>
  <c r="N78" i="18" s="1"/>
  <c r="O78" i="18" s="1"/>
  <c r="P78" i="18" s="1"/>
  <c r="Q78" i="18" s="1"/>
  <c r="D78" i="18"/>
  <c r="E73" i="18"/>
  <c r="F73" i="18" s="1"/>
  <c r="G73" i="18" s="1"/>
  <c r="H73" i="18" s="1"/>
  <c r="I73" i="18" s="1"/>
  <c r="J73" i="18" s="1"/>
  <c r="K73" i="18" s="1"/>
  <c r="L73" i="18" s="1"/>
  <c r="M73" i="18" s="1"/>
  <c r="N73" i="18" s="1"/>
  <c r="O73" i="18" s="1"/>
  <c r="P73" i="18" s="1"/>
  <c r="Q73" i="18" s="1"/>
  <c r="D73" i="18"/>
  <c r="O46" i="18"/>
  <c r="N50" i="18"/>
  <c r="O18" i="18"/>
  <c r="N33" i="18"/>
  <c r="E42" i="14"/>
  <c r="E12" i="12"/>
  <c r="E13" i="12"/>
  <c r="E16" i="12"/>
  <c r="E14" i="12"/>
  <c r="E15" i="12"/>
  <c r="D128" i="14"/>
  <c r="D89" i="14"/>
  <c r="D126" i="14"/>
  <c r="D99" i="14"/>
  <c r="D104" i="14"/>
  <c r="D93" i="14"/>
  <c r="D49" i="14"/>
  <c r="D94" i="14"/>
  <c r="D111" i="14"/>
  <c r="D47" i="14"/>
  <c r="D124" i="14"/>
  <c r="D102" i="14"/>
  <c r="D110" i="14"/>
  <c r="D129" i="14"/>
  <c r="D87" i="14"/>
  <c r="D125" i="14"/>
  <c r="D130" i="14"/>
  <c r="D149" i="14"/>
  <c r="D13" i="12"/>
  <c r="F13" i="12" s="1"/>
  <c r="D150" i="14"/>
  <c r="D14" i="12"/>
  <c r="F14" i="12" s="1"/>
  <c r="D151" i="14"/>
  <c r="D15" i="12"/>
  <c r="F15" i="12" s="1"/>
  <c r="D123" i="14"/>
  <c r="D152" i="14"/>
  <c r="D16" i="12"/>
  <c r="F16" i="12" s="1"/>
  <c r="D127" i="14"/>
  <c r="D148" i="14"/>
  <c r="D12" i="12"/>
  <c r="F12" i="12" s="1"/>
  <c r="D48" i="14"/>
  <c r="D88" i="14"/>
  <c r="D46" i="14"/>
  <c r="D50" i="14" s="1"/>
  <c r="D95" i="14"/>
  <c r="D103" i="14"/>
  <c r="D96" i="14"/>
  <c r="D86" i="14"/>
  <c r="D90" i="14"/>
  <c r="D98" i="14"/>
  <c r="D91" i="14"/>
  <c r="D101" i="14"/>
  <c r="D115" i="14"/>
  <c r="D97" i="14"/>
  <c r="D92" i="14"/>
  <c r="D109" i="14"/>
  <c r="D112" i="14" s="1"/>
  <c r="D114" i="14"/>
  <c r="D116" i="14" s="1"/>
  <c r="D100" i="14"/>
  <c r="E21" i="14"/>
  <c r="H21" i="14" s="1"/>
  <c r="E22" i="14"/>
  <c r="E23" i="14"/>
  <c r="H23" i="14" s="1"/>
  <c r="E24" i="14"/>
  <c r="H24" i="14" s="1"/>
  <c r="E25" i="14"/>
  <c r="H25" i="14" s="1"/>
  <c r="E26" i="14"/>
  <c r="H26" i="14" s="1"/>
  <c r="E27" i="14"/>
  <c r="H27" i="14" s="1"/>
  <c r="E28" i="14"/>
  <c r="H28" i="14" s="1"/>
  <c r="E29" i="14"/>
  <c r="H29" i="14" s="1"/>
  <c r="E30" i="14"/>
  <c r="H30" i="14" s="1"/>
  <c r="E31" i="14"/>
  <c r="H31" i="14" s="1"/>
  <c r="E32" i="14"/>
  <c r="H32" i="14" s="1"/>
  <c r="E40" i="14"/>
  <c r="H40" i="14" s="1"/>
  <c r="E41" i="14"/>
  <c r="H41" i="14" s="1"/>
  <c r="E43" i="14"/>
  <c r="E74" i="14"/>
  <c r="E75" i="14"/>
  <c r="H75" i="14" s="1"/>
  <c r="E76" i="14"/>
  <c r="H76" i="14" s="1"/>
  <c r="E77" i="14"/>
  <c r="H77" i="14" s="1"/>
  <c r="D85" i="14"/>
  <c r="D12" i="15"/>
  <c r="E12" i="15"/>
  <c r="E13" i="15"/>
  <c r="D13" i="15"/>
  <c r="E14" i="15"/>
  <c r="H14" i="15" s="1"/>
  <c r="D14" i="15"/>
  <c r="E15" i="15"/>
  <c r="H15" i="15" s="1"/>
  <c r="D15" i="15"/>
  <c r="D16" i="15"/>
  <c r="E16" i="15"/>
  <c r="E19" i="15"/>
  <c r="D19" i="15"/>
  <c r="D20" i="15"/>
  <c r="E20" i="15"/>
  <c r="H20" i="15" s="1"/>
  <c r="E21" i="15"/>
  <c r="H21" i="15" s="1"/>
  <c r="D21" i="15"/>
  <c r="E22" i="15"/>
  <c r="H22" i="15" s="1"/>
  <c r="D22" i="15"/>
  <c r="E23" i="15"/>
  <c r="H23" i="15" s="1"/>
  <c r="D23" i="15"/>
  <c r="D24" i="15"/>
  <c r="E24" i="15"/>
  <c r="H24" i="15" s="1"/>
  <c r="E25" i="15"/>
  <c r="H25" i="15" s="1"/>
  <c r="D25" i="15"/>
  <c r="E33" i="15"/>
  <c r="H33" i="15" s="1"/>
  <c r="D33" i="15"/>
  <c r="E34" i="15"/>
  <c r="D34" i="15"/>
  <c r="E35" i="15"/>
  <c r="D35" i="15"/>
  <c r="E36" i="15"/>
  <c r="D36" i="15"/>
  <c r="E37" i="15"/>
  <c r="H37" i="15" s="1"/>
  <c r="D37" i="15"/>
  <c r="E38" i="15"/>
  <c r="H38" i="15" s="1"/>
  <c r="D38" i="15"/>
  <c r="E39" i="15"/>
  <c r="D39" i="15"/>
  <c r="D40" i="15"/>
  <c r="E40" i="15"/>
  <c r="H40" i="15" s="1"/>
  <c r="E41" i="15"/>
  <c r="D41" i="15"/>
  <c r="E42" i="15"/>
  <c r="D42" i="15"/>
  <c r="E43" i="15"/>
  <c r="D43" i="15"/>
  <c r="E44" i="15"/>
  <c r="D44" i="15"/>
  <c r="E45" i="15"/>
  <c r="D45" i="15"/>
  <c r="E46" i="15"/>
  <c r="D46" i="15"/>
  <c r="E47" i="15"/>
  <c r="H47" i="15" s="1"/>
  <c r="D47" i="15"/>
  <c r="E48" i="15"/>
  <c r="H48" i="15" s="1"/>
  <c r="D48" i="15"/>
  <c r="E49" i="15"/>
  <c r="H49" i="15" s="1"/>
  <c r="D49" i="15"/>
  <c r="E50" i="15"/>
  <c r="H50" i="15" s="1"/>
  <c r="D50" i="15"/>
  <c r="E51" i="15"/>
  <c r="D51" i="15"/>
  <c r="E52" i="15"/>
  <c r="H52" i="15" s="1"/>
  <c r="D52" i="15"/>
  <c r="D53" i="15"/>
  <c r="E53" i="15"/>
  <c r="H53" i="15" s="1"/>
  <c r="E56" i="15"/>
  <c r="D56" i="15"/>
  <c r="E57" i="15"/>
  <c r="H57" i="15" s="1"/>
  <c r="D57" i="15"/>
  <c r="E58" i="15"/>
  <c r="D58" i="15"/>
  <c r="E59" i="15"/>
  <c r="D59" i="15"/>
  <c r="E60" i="15"/>
  <c r="H60" i="15" s="1"/>
  <c r="D60" i="15"/>
  <c r="E98" i="15"/>
  <c r="D98" i="15"/>
  <c r="E99" i="15"/>
  <c r="D99" i="15"/>
  <c r="E100" i="15"/>
  <c r="H100" i="15" s="1"/>
  <c r="D100" i="15"/>
  <c r="D101" i="15"/>
  <c r="E101" i="15"/>
  <c r="E102" i="15"/>
  <c r="D102" i="15"/>
  <c r="E103" i="15"/>
  <c r="D103" i="15"/>
  <c r="E104" i="15"/>
  <c r="D104" i="15"/>
  <c r="E105" i="15"/>
  <c r="D105" i="15"/>
  <c r="E106" i="15"/>
  <c r="D106" i="15"/>
  <c r="E107" i="15"/>
  <c r="D107" i="15"/>
  <c r="E108" i="15"/>
  <c r="H108" i="15" s="1"/>
  <c r="D108" i="15"/>
  <c r="D109" i="15"/>
  <c r="E109" i="15"/>
  <c r="E110" i="15"/>
  <c r="D110" i="15"/>
  <c r="E111" i="15"/>
  <c r="D111" i="15"/>
  <c r="E112" i="15"/>
  <c r="D112" i="15"/>
  <c r="E113" i="15"/>
  <c r="H113" i="15" s="1"/>
  <c r="D113" i="15"/>
  <c r="E114" i="15"/>
  <c r="H114" i="15" s="1"/>
  <c r="D114" i="15"/>
  <c r="E115" i="15"/>
  <c r="D115" i="15"/>
  <c r="E116" i="15"/>
  <c r="D116" i="15"/>
  <c r="D117" i="15"/>
  <c r="E117" i="15"/>
  <c r="E118" i="15"/>
  <c r="D118" i="15"/>
  <c r="E119" i="15"/>
  <c r="H119" i="15" s="1"/>
  <c r="D119" i="15"/>
  <c r="E120" i="15"/>
  <c r="D120" i="15"/>
  <c r="E121" i="15"/>
  <c r="D121" i="15"/>
  <c r="E122" i="15"/>
  <c r="H122" i="15" s="1"/>
  <c r="D122" i="15"/>
  <c r="E123" i="15"/>
  <c r="D123" i="15"/>
  <c r="E124" i="15"/>
  <c r="H124" i="15" s="1"/>
  <c r="D124" i="15"/>
  <c r="D125" i="15"/>
  <c r="E125" i="15"/>
  <c r="E126" i="15"/>
  <c r="D126" i="15"/>
  <c r="E127" i="15"/>
  <c r="D127" i="15"/>
  <c r="E128" i="15"/>
  <c r="H128" i="15" s="1"/>
  <c r="D128" i="15"/>
  <c r="E129" i="15"/>
  <c r="H129" i="15" s="1"/>
  <c r="D129" i="15"/>
  <c r="E130" i="15"/>
  <c r="D130" i="15"/>
  <c r="E131" i="15"/>
  <c r="D131" i="15"/>
  <c r="E132" i="15"/>
  <c r="H132" i="15" s="1"/>
  <c r="D132" i="15"/>
  <c r="D133" i="15"/>
  <c r="E133" i="15"/>
  <c r="E134" i="15"/>
  <c r="D134" i="15"/>
  <c r="E135" i="15"/>
  <c r="H135" i="15" s="1"/>
  <c r="D135" i="15"/>
  <c r="E136" i="15"/>
  <c r="H136" i="15" s="1"/>
  <c r="D136" i="15"/>
  <c r="E139" i="15"/>
  <c r="D139" i="15"/>
  <c r="D140" i="15"/>
  <c r="E140" i="15"/>
  <c r="H140" i="15" s="1"/>
  <c r="E141" i="15"/>
  <c r="H141" i="15" s="1"/>
  <c r="D141" i="15"/>
  <c r="E144" i="15"/>
  <c r="D144" i="15"/>
  <c r="D145" i="15"/>
  <c r="E145" i="15"/>
  <c r="E146" i="15"/>
  <c r="D146" i="15"/>
  <c r="E147" i="15"/>
  <c r="D147" i="15"/>
  <c r="E148" i="15"/>
  <c r="D148" i="15"/>
  <c r="E149" i="15"/>
  <c r="H149" i="15" s="1"/>
  <c r="D149" i="15"/>
  <c r="E150" i="15"/>
  <c r="H150" i="15" s="1"/>
  <c r="D150" i="15"/>
  <c r="D75" i="14"/>
  <c r="D77" i="14"/>
  <c r="D74" i="14"/>
  <c r="D76" i="14"/>
  <c r="D40" i="14"/>
  <c r="D42" i="14"/>
  <c r="D41" i="14"/>
  <c r="D43" i="14"/>
  <c r="D21" i="14"/>
  <c r="D23" i="14"/>
  <c r="D25" i="14"/>
  <c r="D27" i="14"/>
  <c r="D29" i="14"/>
  <c r="D31" i="14"/>
  <c r="D22" i="14"/>
  <c r="D24" i="14"/>
  <c r="D26" i="14"/>
  <c r="D28" i="14"/>
  <c r="D30" i="14"/>
  <c r="D32" i="14"/>
  <c r="E129" i="14"/>
  <c r="H129" i="14" s="1"/>
  <c r="E97" i="14"/>
  <c r="H97" i="14" s="1"/>
  <c r="E47" i="14"/>
  <c r="E115" i="14"/>
  <c r="H115" i="14" s="1"/>
  <c r="E87" i="14"/>
  <c r="H87" i="14" s="1"/>
  <c r="E46" i="14"/>
  <c r="E99" i="14"/>
  <c r="H99" i="14" s="1"/>
  <c r="E93" i="14"/>
  <c r="H93" i="14" s="1"/>
  <c r="E101" i="14"/>
  <c r="H101" i="14" s="1"/>
  <c r="E48" i="14"/>
  <c r="E102" i="14"/>
  <c r="H102" i="14" s="1"/>
  <c r="E94" i="14"/>
  <c r="H94" i="14" s="1"/>
  <c r="E92" i="14"/>
  <c r="H92" i="14" s="1"/>
  <c r="E148" i="14"/>
  <c r="E149" i="14"/>
  <c r="E128" i="14"/>
  <c r="H128" i="14" s="1"/>
  <c r="E126" i="14"/>
  <c r="E130" i="14"/>
  <c r="H130" i="14" s="1"/>
  <c r="E127" i="14"/>
  <c r="H127" i="14" s="1"/>
  <c r="E151" i="14"/>
  <c r="E124" i="14"/>
  <c r="E152" i="14"/>
  <c r="E125" i="14"/>
  <c r="H125" i="14" s="1"/>
  <c r="E123" i="14"/>
  <c r="H123" i="14" s="1"/>
  <c r="E150" i="14"/>
  <c r="E96" i="14"/>
  <c r="H96" i="14" s="1"/>
  <c r="E104" i="14"/>
  <c r="H104" i="14" s="1"/>
  <c r="E49" i="14"/>
  <c r="E88" i="14"/>
  <c r="H88" i="14" s="1"/>
  <c r="E100" i="14"/>
  <c r="H100" i="14" s="1"/>
  <c r="E91" i="14"/>
  <c r="H91" i="14" s="1"/>
  <c r="E86" i="14"/>
  <c r="E98" i="14"/>
  <c r="H98" i="14" s="1"/>
  <c r="E95" i="14"/>
  <c r="H95" i="14" s="1"/>
  <c r="E109" i="14"/>
  <c r="E90" i="14"/>
  <c r="H90" i="14" s="1"/>
  <c r="E103" i="14"/>
  <c r="H103" i="14" s="1"/>
  <c r="E110" i="14"/>
  <c r="H110" i="14" s="1"/>
  <c r="E114" i="14"/>
  <c r="E89" i="14"/>
  <c r="H89" i="14" s="1"/>
  <c r="E11" i="15"/>
  <c r="D11" i="15"/>
  <c r="B17" i="12"/>
  <c r="D153" i="14"/>
  <c r="E153" i="14"/>
  <c r="D154" i="14"/>
  <c r="F57" i="6"/>
  <c r="F69" i="6" s="1"/>
  <c r="F42" i="6"/>
  <c r="F41" i="6"/>
  <c r="F53" i="6" s="1"/>
  <c r="F27" i="6"/>
  <c r="F26" i="6"/>
  <c r="F25" i="6"/>
  <c r="F37" i="6" s="1"/>
  <c r="F75" i="6"/>
  <c r="F74" i="6"/>
  <c r="H57" i="6"/>
  <c r="H69" i="6" s="1"/>
  <c r="H42" i="6"/>
  <c r="H41" i="6"/>
  <c r="H53" i="6" s="1"/>
  <c r="H27" i="6"/>
  <c r="H26" i="6"/>
  <c r="H25" i="6"/>
  <c r="H37" i="6" s="1"/>
  <c r="G57" i="6"/>
  <c r="G42" i="6"/>
  <c r="I42" i="6" s="1"/>
  <c r="G41" i="6"/>
  <c r="G27" i="6"/>
  <c r="I27" i="6" s="1"/>
  <c r="G26" i="6"/>
  <c r="I26" i="6" s="1"/>
  <c r="G25" i="6"/>
  <c r="C2" i="24"/>
  <c r="C2" i="19"/>
  <c r="C2" i="20" s="1"/>
  <c r="C2" i="15"/>
  <c r="O11" i="13"/>
  <c r="G17" i="18"/>
  <c r="E17" i="18"/>
  <c r="H17" i="18"/>
  <c r="I17" i="18" s="1"/>
  <c r="J17" i="18" s="1"/>
  <c r="K17" i="18" s="1"/>
  <c r="L17" i="18" s="1"/>
  <c r="M17" i="18" s="1"/>
  <c r="N17" i="18" s="1"/>
  <c r="O17" i="18" s="1"/>
  <c r="P17" i="18" s="1"/>
  <c r="Q17" i="18" s="1"/>
  <c r="O12" i="13"/>
  <c r="B28" i="24"/>
  <c r="G8" i="10"/>
  <c r="G50" i="10"/>
  <c r="G68" i="10"/>
  <c r="G61" i="10"/>
  <c r="G57" i="10"/>
  <c r="G47" i="10"/>
  <c r="G66" i="10"/>
  <c r="G48" i="10"/>
  <c r="G64" i="10"/>
  <c r="G71" i="10"/>
  <c r="G58" i="10"/>
  <c r="G60" i="10"/>
  <c r="G54" i="10"/>
  <c r="G63" i="10"/>
  <c r="G53" i="10"/>
  <c r="G49" i="10"/>
  <c r="G55" i="10"/>
  <c r="G67" i="10"/>
  <c r="G59" i="10"/>
  <c r="G52" i="10"/>
  <c r="G51" i="10"/>
  <c r="G62" i="10"/>
  <c r="G56" i="10"/>
  <c r="G65" i="10"/>
  <c r="G70" i="10"/>
  <c r="G72" i="10"/>
  <c r="G69" i="10"/>
  <c r="G31" i="10"/>
  <c r="G45" i="10"/>
  <c r="G40" i="10"/>
  <c r="G46" i="10"/>
  <c r="G32" i="10"/>
  <c r="G39" i="10"/>
  <c r="G33" i="10"/>
  <c r="G35" i="10"/>
  <c r="G42" i="10"/>
  <c r="G21" i="10"/>
  <c r="G36" i="10"/>
  <c r="G41" i="10"/>
  <c r="G30" i="10"/>
  <c r="G37" i="10"/>
  <c r="G44" i="10"/>
  <c r="G23" i="10"/>
  <c r="G43" i="10"/>
  <c r="G38" i="10"/>
  <c r="B69" i="24"/>
  <c r="O69" i="24" s="1"/>
  <c r="B73" i="24"/>
  <c r="I73" i="24" s="1"/>
  <c r="B65" i="24"/>
  <c r="I65" i="24" s="1"/>
  <c r="B71" i="24"/>
  <c r="B75" i="24"/>
  <c r="N75" i="24" s="1"/>
  <c r="B67" i="24"/>
  <c r="B72" i="24"/>
  <c r="B74" i="24"/>
  <c r="H74" i="24" s="1"/>
  <c r="B68" i="24"/>
  <c r="G68" i="24" s="1"/>
  <c r="B66" i="24"/>
  <c r="I66" i="24" s="1"/>
  <c r="D38" i="14"/>
  <c r="D136" i="14"/>
  <c r="D58" i="14"/>
  <c r="E147" i="14"/>
  <c r="H147" i="14" s="1"/>
  <c r="E19" i="14"/>
  <c r="D147" i="14"/>
  <c r="E141" i="14"/>
  <c r="E61" i="14"/>
  <c r="H61" i="14" s="1"/>
  <c r="D57" i="14"/>
  <c r="D59" i="14"/>
  <c r="E38" i="14"/>
  <c r="D61" i="14"/>
  <c r="E62" i="14"/>
  <c r="H62" i="14" s="1"/>
  <c r="D53" i="14"/>
  <c r="D20" i="14"/>
  <c r="D36" i="14"/>
  <c r="D12" i="14"/>
  <c r="E58" i="14"/>
  <c r="H58" i="14" s="1"/>
  <c r="E122" i="14"/>
  <c r="H122" i="14" s="1"/>
  <c r="E60" i="14"/>
  <c r="H60" i="14" s="1"/>
  <c r="E142" i="14"/>
  <c r="H142" i="14" s="1"/>
  <c r="D133" i="14"/>
  <c r="E15" i="14"/>
  <c r="H15" i="14" s="1"/>
  <c r="D141" i="14"/>
  <c r="D37" i="14"/>
  <c r="E85" i="14"/>
  <c r="E18" i="14"/>
  <c r="E59" i="14"/>
  <c r="E57" i="14"/>
  <c r="E14" i="14"/>
  <c r="H14" i="14" s="1"/>
  <c r="E13" i="14"/>
  <c r="E54" i="14"/>
  <c r="D64" i="14"/>
  <c r="E138" i="14"/>
  <c r="H138" i="14" s="1"/>
  <c r="D60" i="14"/>
  <c r="D14" i="14"/>
  <c r="D137" i="14"/>
  <c r="D138" i="14"/>
  <c r="E37" i="14"/>
  <c r="H37" i="14" s="1"/>
  <c r="E133" i="14"/>
  <c r="E12" i="14"/>
  <c r="E134" i="14"/>
  <c r="E63" i="14"/>
  <c r="H63" i="14" s="1"/>
  <c r="E36" i="14"/>
  <c r="E53" i="14"/>
  <c r="D19" i="14"/>
  <c r="E135" i="14"/>
  <c r="H135" i="14" s="1"/>
  <c r="D62" i="14"/>
  <c r="D135" i="14"/>
  <c r="D63" i="14"/>
  <c r="D39" i="14"/>
  <c r="D134" i="14"/>
  <c r="E20" i="14"/>
  <c r="E39" i="14"/>
  <c r="E137" i="14"/>
  <c r="H137" i="14" s="1"/>
  <c r="D122" i="14"/>
  <c r="D131" i="14" s="1"/>
  <c r="D54" i="14"/>
  <c r="D13" i="14"/>
  <c r="D18" i="14"/>
  <c r="D15" i="14"/>
  <c r="D142" i="14"/>
  <c r="E136" i="14"/>
  <c r="H136" i="14" s="1"/>
  <c r="E64" i="14"/>
  <c r="H64" i="14" s="1"/>
  <c r="G76" i="6"/>
  <c r="G75" i="6"/>
  <c r="G74" i="6"/>
  <c r="H76" i="6"/>
  <c r="H74" i="6"/>
  <c r="H75" i="6"/>
  <c r="B18" i="12"/>
  <c r="D18" i="12" s="1"/>
  <c r="B10" i="12"/>
  <c r="E10" i="12" s="1"/>
  <c r="D146" i="14"/>
  <c r="E146" i="14"/>
  <c r="L19" i="24"/>
  <c r="H19" i="24"/>
  <c r="N38" i="24"/>
  <c r="J19" i="24"/>
  <c r="N69" i="24"/>
  <c r="K19" i="24"/>
  <c r="G19" i="24"/>
  <c r="I19" i="24"/>
  <c r="F19" i="24"/>
  <c r="M19" i="24"/>
  <c r="P9" i="18"/>
  <c r="E9" i="18"/>
  <c r="O9" i="18"/>
  <c r="N9" i="18"/>
  <c r="M9" i="18"/>
  <c r="H9" i="18"/>
  <c r="L9" i="18"/>
  <c r="F9" i="18"/>
  <c r="J9" i="18"/>
  <c r="Q9" i="18"/>
  <c r="S9" i="18" s="1"/>
  <c r="I9" i="18"/>
  <c r="G9" i="18"/>
  <c r="K9" i="18"/>
  <c r="P10" i="18"/>
  <c r="H10" i="18"/>
  <c r="F10" i="18"/>
  <c r="O10" i="18"/>
  <c r="G10" i="18"/>
  <c r="N10" i="18"/>
  <c r="M10" i="18"/>
  <c r="E10" i="18"/>
  <c r="I10" i="18"/>
  <c r="L10" i="18"/>
  <c r="J10" i="18"/>
  <c r="Q10" i="18"/>
  <c r="S10" i="18" s="1"/>
  <c r="K10" i="18"/>
  <c r="E79" i="14"/>
  <c r="H79" i="14" s="1"/>
  <c r="D79" i="14"/>
  <c r="E80" i="14"/>
  <c r="H80" i="14" s="1"/>
  <c r="D80" i="14"/>
  <c r="E73" i="14"/>
  <c r="H73" i="14" s="1"/>
  <c r="D73" i="14"/>
  <c r="E71" i="14"/>
  <c r="H71" i="14" s="1"/>
  <c r="D71" i="14"/>
  <c r="E70" i="14"/>
  <c r="H70" i="14" s="1"/>
  <c r="D70" i="14"/>
  <c r="E81" i="14"/>
  <c r="H81" i="14" s="1"/>
  <c r="D81" i="14"/>
  <c r="E78" i="14"/>
  <c r="H78" i="14" s="1"/>
  <c r="D78" i="14"/>
  <c r="E72" i="14"/>
  <c r="H72" i="14" s="1"/>
  <c r="D72" i="14"/>
  <c r="E69" i="14"/>
  <c r="D69" i="14"/>
  <c r="N43" i="24"/>
  <c r="N36" i="24"/>
  <c r="E54" i="24"/>
  <c r="N52" i="24"/>
  <c r="J30" i="24"/>
  <c r="K43" i="24"/>
  <c r="I43" i="24"/>
  <c r="M36" i="24"/>
  <c r="M54" i="24"/>
  <c r="J43" i="24"/>
  <c r="N46" i="24"/>
  <c r="J47" i="24"/>
  <c r="H36" i="24"/>
  <c r="J52" i="24"/>
  <c r="M52" i="24"/>
  <c r="O46" i="24"/>
  <c r="G52" i="24"/>
  <c r="H54" i="24"/>
  <c r="I46" i="24"/>
  <c r="E46" i="24"/>
  <c r="F46" i="24"/>
  <c r="F37" i="24"/>
  <c r="E52" i="24"/>
  <c r="I47" i="24"/>
  <c r="F36" i="24"/>
  <c r="O54" i="24"/>
  <c r="L55" i="24"/>
  <c r="G36" i="24"/>
  <c r="F47" i="24"/>
  <c r="D60" i="24"/>
  <c r="K37" i="24"/>
  <c r="J36" i="24"/>
  <c r="J54" i="24"/>
  <c r="G54" i="24"/>
  <c r="D52" i="24"/>
  <c r="N47" i="24"/>
  <c r="K47" i="24"/>
  <c r="I37" i="24"/>
  <c r="L37" i="24"/>
  <c r="M47" i="24"/>
  <c r="K46" i="24"/>
  <c r="O30" i="24"/>
  <c r="M30" i="24"/>
  <c r="F43" i="24"/>
  <c r="H43" i="24"/>
  <c r="E43" i="24"/>
  <c r="L30" i="24"/>
  <c r="D37" i="24"/>
  <c r="O37" i="24"/>
  <c r="L52" i="24"/>
  <c r="H52" i="24"/>
  <c r="I30" i="24"/>
  <c r="M43" i="24"/>
  <c r="G43" i="24"/>
  <c r="D46" i="24"/>
  <c r="D43" i="24"/>
  <c r="K30" i="24"/>
  <c r="O43" i="24"/>
  <c r="H47" i="24"/>
  <c r="L54" i="24"/>
  <c r="M39" i="24"/>
  <c r="L36" i="24"/>
  <c r="N17" i="24"/>
  <c r="M17" i="24"/>
  <c r="L17" i="24"/>
  <c r="H38" i="24"/>
  <c r="D40" i="24"/>
  <c r="I18" i="24"/>
  <c r="F38" i="24"/>
  <c r="J38" i="24"/>
  <c r="F39" i="24"/>
  <c r="I39" i="24"/>
  <c r="N60" i="24"/>
  <c r="E40" i="24"/>
  <c r="O52" i="24"/>
  <c r="D47" i="24"/>
  <c r="I54" i="24"/>
  <c r="K54" i="24"/>
  <c r="I29" i="24"/>
  <c r="E63" i="18"/>
  <c r="L46" i="24"/>
  <c r="M29" i="24"/>
  <c r="O40" i="24"/>
  <c r="J40" i="24"/>
  <c r="C2" i="25"/>
  <c r="C2" i="22"/>
  <c r="C2" i="21"/>
  <c r="I31" i="24"/>
  <c r="N31" i="24"/>
  <c r="D59" i="24"/>
  <c r="F59" i="24"/>
  <c r="N20" i="24"/>
  <c r="G20" i="24"/>
  <c r="K20" i="24"/>
  <c r="L20" i="24"/>
  <c r="O38" i="24"/>
  <c r="K38" i="24"/>
  <c r="L29" i="24"/>
  <c r="J29" i="24"/>
  <c r="G32" i="24"/>
  <c r="N32" i="24"/>
  <c r="J32" i="24"/>
  <c r="M32" i="24"/>
  <c r="D17" i="24"/>
  <c r="K17" i="24"/>
  <c r="L42" i="24"/>
  <c r="J42" i="24"/>
  <c r="D42" i="24"/>
  <c r="H18" i="24"/>
  <c r="M60" i="24"/>
  <c r="L60" i="24"/>
  <c r="J17" i="24"/>
  <c r="I60" i="24"/>
  <c r="K40" i="24"/>
  <c r="M40" i="24"/>
  <c r="L31" i="24"/>
  <c r="F60" i="24"/>
  <c r="G42" i="24"/>
  <c r="N55" i="24"/>
  <c r="F18" i="24"/>
  <c r="E17" i="24"/>
  <c r="E60" i="24"/>
  <c r="O17" i="24"/>
  <c r="H17" i="24"/>
  <c r="N18" i="24"/>
  <c r="I32" i="24"/>
  <c r="O18" i="24"/>
  <c r="K18" i="24"/>
  <c r="J55" i="24"/>
  <c r="L18" i="24"/>
  <c r="I42" i="24"/>
  <c r="K32" i="24"/>
  <c r="K42" i="24"/>
  <c r="E42" i="24"/>
  <c r="I17" i="24"/>
  <c r="D55" i="24"/>
  <c r="E55" i="24"/>
  <c r="D20" i="24"/>
  <c r="D39" i="24"/>
  <c r="G59" i="24"/>
  <c r="G38" i="24"/>
  <c r="M20" i="24"/>
  <c r="O20" i="24"/>
  <c r="O60" i="24"/>
  <c r="K60" i="24"/>
  <c r="H60" i="24"/>
  <c r="J60" i="24"/>
  <c r="H42" i="24"/>
  <c r="O42" i="24"/>
  <c r="H55" i="24"/>
  <c r="G55" i="24"/>
  <c r="I40" i="24"/>
  <c r="G40" i="24"/>
  <c r="F40" i="24"/>
  <c r="O31" i="24"/>
  <c r="M31" i="24"/>
  <c r="K31" i="24"/>
  <c r="J31" i="24"/>
  <c r="L48" i="24"/>
  <c r="M38" i="24"/>
  <c r="D38" i="24"/>
  <c r="I38" i="24"/>
  <c r="E38" i="24"/>
  <c r="K36" i="24"/>
  <c r="D36" i="24"/>
  <c r="E36" i="24"/>
  <c r="N54" i="24"/>
  <c r="G46" i="24"/>
  <c r="J46" i="24"/>
  <c r="F52" i="24"/>
  <c r="F54" i="24"/>
  <c r="N37" i="24"/>
  <c r="L47" i="24"/>
  <c r="G37" i="24"/>
  <c r="E37" i="24"/>
  <c r="O47" i="24"/>
  <c r="I35" i="24"/>
  <c r="K59" i="24"/>
  <c r="F35" i="24"/>
  <c r="N59" i="24"/>
  <c r="E32" i="24"/>
  <c r="O32" i="24"/>
  <c r="D32" i="24"/>
  <c r="H32" i="24"/>
  <c r="F32" i="24"/>
  <c r="D18" i="24"/>
  <c r="E18" i="24"/>
  <c r="G18" i="24"/>
  <c r="M42" i="24"/>
  <c r="N42" i="24"/>
  <c r="F55" i="24"/>
  <c r="O55" i="24"/>
  <c r="M55" i="24"/>
  <c r="K55" i="24"/>
  <c r="O35" i="24"/>
  <c r="M35" i="24"/>
  <c r="N35" i="24"/>
  <c r="I59" i="24"/>
  <c r="H59" i="24"/>
  <c r="L59" i="24"/>
  <c r="J59" i="24"/>
  <c r="E59" i="24"/>
  <c r="O59" i="24"/>
  <c r="H20" i="24"/>
  <c r="E20" i="24"/>
  <c r="F20" i="24"/>
  <c r="I20" i="24"/>
  <c r="H39" i="24"/>
  <c r="L39" i="24"/>
  <c r="N39" i="24"/>
  <c r="O39" i="24"/>
  <c r="E39" i="24"/>
  <c r="K39" i="24"/>
  <c r="J35" i="24"/>
  <c r="K35" i="24"/>
  <c r="M59" i="24"/>
  <c r="G35" i="24"/>
  <c r="H35" i="24"/>
  <c r="N29" i="24"/>
  <c r="K29" i="24"/>
  <c r="E47" i="24"/>
  <c r="I52" i="24"/>
  <c r="G25" i="10"/>
  <c r="G9" i="10"/>
  <c r="L40" i="24"/>
  <c r="H40" i="24"/>
  <c r="G26" i="10"/>
  <c r="G14" i="10"/>
  <c r="G20" i="10"/>
  <c r="G24" i="10"/>
  <c r="G15" i="10"/>
  <c r="G22" i="10"/>
  <c r="G18" i="10"/>
  <c r="G16" i="10"/>
  <c r="G28" i="10"/>
  <c r="G17" i="10"/>
  <c r="G27" i="10"/>
  <c r="C2" i="10"/>
  <c r="C2" i="29"/>
  <c r="C2" i="30"/>
  <c r="D12" i="18"/>
  <c r="C2" i="14"/>
  <c r="C2" i="13" s="1"/>
  <c r="D11" i="18"/>
  <c r="G19" i="10"/>
  <c r="G13" i="10"/>
  <c r="F57" i="18"/>
  <c r="T8" i="4"/>
  <c r="U8" i="4" s="1"/>
  <c r="P33" i="24"/>
  <c r="R33" i="24" s="1"/>
  <c r="P49" i="24"/>
  <c r="R49" i="24" s="1"/>
  <c r="P34" i="24"/>
  <c r="R34" i="24" s="1"/>
  <c r="P50" i="24"/>
  <c r="R50" i="24" s="1"/>
  <c r="P76" i="24"/>
  <c r="R76" i="24" s="1"/>
  <c r="P45" i="24"/>
  <c r="R45" i="24" s="1"/>
  <c r="P51" i="24"/>
  <c r="R51" i="24" s="1"/>
  <c r="P41" i="24"/>
  <c r="R41" i="24" s="1"/>
  <c r="P57" i="24"/>
  <c r="R57" i="24" s="1"/>
  <c r="P53" i="24"/>
  <c r="R53" i="24" s="1"/>
  <c r="P44" i="24"/>
  <c r="R44" i="24" s="1"/>
  <c r="W90" i="4"/>
  <c r="V90" i="4"/>
  <c r="T90" i="4"/>
  <c r="W214" i="4"/>
  <c r="T214" i="4"/>
  <c r="U214" i="4" s="1"/>
  <c r="V214" i="4"/>
  <c r="W341" i="4"/>
  <c r="V341" i="4"/>
  <c r="T341" i="4"/>
  <c r="U341" i="4" s="1"/>
  <c r="V21" i="4"/>
  <c r="W21" i="4"/>
  <c r="T21" i="4"/>
  <c r="E35" i="24"/>
  <c r="V286" i="4"/>
  <c r="T286" i="4"/>
  <c r="U286" i="4" s="1"/>
  <c r="W286" i="4"/>
  <c r="V409" i="4"/>
  <c r="W409" i="4"/>
  <c r="T409" i="4"/>
  <c r="U409" i="4" s="1"/>
  <c r="V79" i="4"/>
  <c r="W79" i="4"/>
  <c r="T79" i="4"/>
  <c r="V205" i="4"/>
  <c r="W205" i="4"/>
  <c r="T205" i="4"/>
  <c r="U205" i="4" s="1"/>
  <c r="V329" i="4"/>
  <c r="W329" i="4"/>
  <c r="T329" i="4"/>
  <c r="U329" i="4" s="1"/>
  <c r="W23" i="4"/>
  <c r="V23" i="4"/>
  <c r="T23" i="4"/>
  <c r="W163" i="4"/>
  <c r="V163" i="4"/>
  <c r="T163" i="4"/>
  <c r="U163" i="4" s="1"/>
  <c r="W288" i="4"/>
  <c r="V288" i="4"/>
  <c r="T288" i="4"/>
  <c r="U288" i="4" s="1"/>
  <c r="W132" i="4"/>
  <c r="V132" i="4"/>
  <c r="T132" i="4"/>
  <c r="U132" i="4" s="1"/>
  <c r="W257" i="4"/>
  <c r="V257" i="4"/>
  <c r="T257" i="4"/>
  <c r="U257" i="4" s="1"/>
  <c r="W383" i="4"/>
  <c r="V383" i="4"/>
  <c r="T383" i="4"/>
  <c r="U383" i="4" s="1"/>
  <c r="V86" i="4"/>
  <c r="T86" i="4"/>
  <c r="U86" i="4" s="1"/>
  <c r="W86" i="4"/>
  <c r="V212" i="4"/>
  <c r="T212" i="4"/>
  <c r="U212" i="4" s="1"/>
  <c r="W212" i="4"/>
  <c r="V337" i="4"/>
  <c r="T337" i="4"/>
  <c r="U337" i="4" s="1"/>
  <c r="W337" i="4"/>
  <c r="W170" i="4"/>
  <c r="V170" i="4"/>
  <c r="T170" i="4"/>
  <c r="U170" i="4" s="1"/>
  <c r="W294" i="4"/>
  <c r="V294" i="4"/>
  <c r="T294" i="4"/>
  <c r="U294" i="4" s="1"/>
  <c r="W416" i="4"/>
  <c r="H30" i="24" s="1"/>
  <c r="T416" i="4"/>
  <c r="U416" i="4" s="1"/>
  <c r="V416" i="4"/>
  <c r="V138" i="4"/>
  <c r="W138" i="4"/>
  <c r="O48" i="24" s="1"/>
  <c r="T138" i="4"/>
  <c r="U138" i="4" s="1"/>
  <c r="V266" i="4"/>
  <c r="W266" i="4"/>
  <c r="T266" i="4"/>
  <c r="U266" i="4" s="1"/>
  <c r="V387" i="4"/>
  <c r="W387" i="4"/>
  <c r="T387" i="4"/>
  <c r="U387" i="4" s="1"/>
  <c r="T51" i="4"/>
  <c r="U51" i="4" s="1"/>
  <c r="V51" i="4"/>
  <c r="W51" i="4"/>
  <c r="V8" i="4"/>
  <c r="W8" i="4"/>
  <c r="D10" i="24" s="1"/>
  <c r="F8" i="6"/>
  <c r="F10" i="6"/>
  <c r="F9" i="6"/>
  <c r="W81" i="4"/>
  <c r="J48" i="24" s="1"/>
  <c r="T81" i="4"/>
  <c r="U81" i="4" s="1"/>
  <c r="V81" i="4"/>
  <c r="W147" i="4"/>
  <c r="T147" i="4"/>
  <c r="U147" i="4" s="1"/>
  <c r="V147" i="4"/>
  <c r="W207" i="4"/>
  <c r="T207" i="4"/>
  <c r="U207" i="4" s="1"/>
  <c r="V207" i="4"/>
  <c r="W273" i="4"/>
  <c r="G12" i="24" s="1"/>
  <c r="T273" i="4"/>
  <c r="U273" i="4" s="1"/>
  <c r="V273" i="4"/>
  <c r="W331" i="4"/>
  <c r="T331" i="4"/>
  <c r="U331" i="4" s="1"/>
  <c r="V331" i="4"/>
  <c r="W396" i="4"/>
  <c r="T396" i="4"/>
  <c r="U396" i="4" s="1"/>
  <c r="V396" i="4"/>
  <c r="W43" i="4"/>
  <c r="V43" i="4"/>
  <c r="T43" i="4"/>
  <c r="U43" i="4" s="1"/>
  <c r="W180" i="4"/>
  <c r="V180" i="4"/>
  <c r="T180" i="4"/>
  <c r="U180" i="4" s="1"/>
  <c r="W242" i="4"/>
  <c r="V242" i="4"/>
  <c r="T242" i="4"/>
  <c r="U242" i="4" s="1"/>
  <c r="W301" i="4"/>
  <c r="V301" i="4"/>
  <c r="T301" i="4"/>
  <c r="U301" i="4" s="1"/>
  <c r="W366" i="4"/>
  <c r="V366" i="4"/>
  <c r="T366" i="4"/>
  <c r="U366" i="4" s="1"/>
  <c r="W428" i="4"/>
  <c r="V428" i="4"/>
  <c r="T428" i="4"/>
  <c r="U428" i="4" s="1"/>
  <c r="W2102" i="4"/>
  <c r="V2102" i="4"/>
  <c r="T2102" i="4"/>
  <c r="U2102" i="4" s="1"/>
  <c r="V52" i="4"/>
  <c r="W52" i="4"/>
  <c r="T52" i="4"/>
  <c r="V116" i="4"/>
  <c r="W116" i="4"/>
  <c r="T116" i="4"/>
  <c r="U116" i="4" s="1"/>
  <c r="V243" i="4"/>
  <c r="W243" i="4"/>
  <c r="T243" i="4"/>
  <c r="U243" i="4" s="1"/>
  <c r="V302" i="4"/>
  <c r="W302" i="4"/>
  <c r="T302" i="4"/>
  <c r="U302" i="4" s="1"/>
  <c r="V367" i="4"/>
  <c r="W367" i="4"/>
  <c r="T367" i="4"/>
  <c r="U367" i="4" s="1"/>
  <c r="V2103" i="4"/>
  <c r="W2103" i="4"/>
  <c r="T2103" i="4"/>
  <c r="U2103" i="4" s="1"/>
  <c r="W77" i="4"/>
  <c r="V77" i="4"/>
  <c r="T77" i="4"/>
  <c r="V143" i="4"/>
  <c r="W143" i="4"/>
  <c r="T143" i="4"/>
  <c r="U143" i="4" s="1"/>
  <c r="W203" i="4"/>
  <c r="V203" i="4"/>
  <c r="T203" i="4"/>
  <c r="U203" i="4" s="1"/>
  <c r="V270" i="4"/>
  <c r="W270" i="4"/>
  <c r="T270" i="4"/>
  <c r="U270" i="4" s="1"/>
  <c r="W327" i="4"/>
  <c r="V327" i="4"/>
  <c r="T327" i="4"/>
  <c r="U327" i="4" s="1"/>
  <c r="W41" i="4"/>
  <c r="V41" i="4"/>
  <c r="T41" i="4"/>
  <c r="W107" i="4"/>
  <c r="V107" i="4"/>
  <c r="T107" i="4"/>
  <c r="U107" i="4" s="1"/>
  <c r="W231" i="4"/>
  <c r="V231" i="4"/>
  <c r="T231" i="4"/>
  <c r="U231" i="4" s="1"/>
  <c r="W356" i="4"/>
  <c r="H12" i="24" s="1"/>
  <c r="V356" i="4"/>
  <c r="T356" i="4"/>
  <c r="U356" i="4" s="1"/>
  <c r="T48" i="4"/>
  <c r="U48" i="4" s="1"/>
  <c r="W48" i="4"/>
  <c r="G48" i="24" s="1"/>
  <c r="V48" i="4"/>
  <c r="W176" i="4"/>
  <c r="V176" i="4"/>
  <c r="T176" i="4"/>
  <c r="U176" i="4" s="1"/>
  <c r="W423" i="4"/>
  <c r="V423" i="4"/>
  <c r="T423" i="4"/>
  <c r="U423" i="4" s="1"/>
  <c r="V95" i="4"/>
  <c r="W95" i="4"/>
  <c r="T95" i="4"/>
  <c r="U95" i="4" s="1"/>
  <c r="W219" i="4"/>
  <c r="V219" i="4"/>
  <c r="T219" i="4"/>
  <c r="U219" i="4" s="1"/>
  <c r="V346" i="4"/>
  <c r="W346" i="4"/>
  <c r="T346" i="4"/>
  <c r="U346" i="4" s="1"/>
  <c r="W39" i="4"/>
  <c r="V39" i="4"/>
  <c r="T39" i="4"/>
  <c r="U39" i="4" s="1"/>
  <c r="W178" i="4"/>
  <c r="V178" i="4"/>
  <c r="T178" i="4"/>
  <c r="U178" i="4" s="1"/>
  <c r="W425" i="4"/>
  <c r="V425" i="4"/>
  <c r="T425" i="4"/>
  <c r="U425" i="4" s="1"/>
  <c r="W148" i="4"/>
  <c r="T148" i="4"/>
  <c r="U148" i="4" s="1"/>
  <c r="V148" i="4"/>
  <c r="W274" i="4"/>
  <c r="V274" i="4"/>
  <c r="T274" i="4"/>
  <c r="U274" i="4" s="1"/>
  <c r="W397" i="4"/>
  <c r="V397" i="4"/>
  <c r="T397" i="4"/>
  <c r="U397" i="4" s="1"/>
  <c r="W102" i="4"/>
  <c r="V102" i="4"/>
  <c r="T102" i="4"/>
  <c r="U102" i="4" s="1"/>
  <c r="V225" i="4"/>
  <c r="W225" i="4"/>
  <c r="T225" i="4"/>
  <c r="U225" i="4" s="1"/>
  <c r="W770" i="4"/>
  <c r="V770" i="4"/>
  <c r="T770" i="4"/>
  <c r="U770" i="4" s="1"/>
  <c r="V42" i="4"/>
  <c r="W42" i="4"/>
  <c r="T42" i="4"/>
  <c r="U42" i="4" s="1"/>
  <c r="W184" i="4"/>
  <c r="T184" i="4"/>
  <c r="U184" i="4" s="1"/>
  <c r="V184" i="4"/>
  <c r="W305" i="4"/>
  <c r="T305" i="4"/>
  <c r="U305" i="4" s="1"/>
  <c r="V305" i="4"/>
  <c r="W431" i="4"/>
  <c r="T431" i="4"/>
  <c r="U431" i="4" s="1"/>
  <c r="V431" i="4"/>
  <c r="W17" i="4"/>
  <c r="D16" i="24" s="1"/>
  <c r="V17" i="4"/>
  <c r="T17" i="4"/>
  <c r="U17" i="4" s="1"/>
  <c r="W155" i="4"/>
  <c r="E26" i="24" s="1"/>
  <c r="T155" i="4"/>
  <c r="U155" i="4" s="1"/>
  <c r="V155" i="4"/>
  <c r="W280" i="4"/>
  <c r="V280" i="4"/>
  <c r="T280" i="4"/>
  <c r="U280" i="4" s="1"/>
  <c r="W767" i="4"/>
  <c r="T767" i="4"/>
  <c r="U767" i="4" s="1"/>
  <c r="V767" i="4"/>
  <c r="V16" i="4"/>
  <c r="W16" i="4"/>
  <c r="T16" i="4"/>
  <c r="U16" i="4" s="1"/>
  <c r="W89" i="4"/>
  <c r="V89" i="4"/>
  <c r="T89" i="4"/>
  <c r="W156" i="4"/>
  <c r="E27" i="24" s="1"/>
  <c r="T156" i="4"/>
  <c r="U156" i="4" s="1"/>
  <c r="V156" i="4"/>
  <c r="W281" i="4"/>
  <c r="V281" i="4"/>
  <c r="T281" i="4"/>
  <c r="U281" i="4" s="1"/>
  <c r="W340" i="4"/>
  <c r="T340" i="4"/>
  <c r="U340" i="4" s="1"/>
  <c r="V340" i="4"/>
  <c r="W404" i="4"/>
  <c r="V404" i="4"/>
  <c r="T404" i="4"/>
  <c r="U404" i="4" s="1"/>
  <c r="W59" i="4"/>
  <c r="H48" i="24" s="1"/>
  <c r="V59" i="4"/>
  <c r="T59" i="4"/>
  <c r="U59" i="4" s="1"/>
  <c r="W125" i="4"/>
  <c r="V125" i="4"/>
  <c r="T125" i="4"/>
  <c r="W187" i="4"/>
  <c r="V187" i="4"/>
  <c r="T187" i="4"/>
  <c r="U187" i="4" s="1"/>
  <c r="W250" i="4"/>
  <c r="V250" i="4"/>
  <c r="T250" i="4"/>
  <c r="U250" i="4" s="1"/>
  <c r="W309" i="4"/>
  <c r="V309" i="4"/>
  <c r="T309" i="4"/>
  <c r="U309" i="4" s="1"/>
  <c r="W374" i="4"/>
  <c r="V374" i="4"/>
  <c r="T374" i="4"/>
  <c r="U374" i="4" s="1"/>
  <c r="W435" i="4"/>
  <c r="V435" i="4"/>
  <c r="T435" i="4"/>
  <c r="U435" i="4" s="1"/>
  <c r="W60" i="4"/>
  <c r="V60" i="4"/>
  <c r="T60" i="4"/>
  <c r="U60" i="4" s="1"/>
  <c r="W126" i="4"/>
  <c r="V126" i="4"/>
  <c r="T126" i="4"/>
  <c r="U126" i="4" s="1"/>
  <c r="W188" i="4"/>
  <c r="V188" i="4"/>
  <c r="T188" i="4"/>
  <c r="U188" i="4" s="1"/>
  <c r="W251" i="4"/>
  <c r="V251" i="4"/>
  <c r="T251" i="4"/>
  <c r="U251" i="4" s="1"/>
  <c r="W310" i="4"/>
  <c r="V310" i="4"/>
  <c r="T310" i="4"/>
  <c r="U310" i="4" s="1"/>
  <c r="W375" i="4"/>
  <c r="V375" i="4"/>
  <c r="T375" i="4"/>
  <c r="U375" i="4" s="1"/>
  <c r="W15" i="4"/>
  <c r="D48" i="24" s="1"/>
  <c r="V15" i="4"/>
  <c r="T15" i="4"/>
  <c r="U15" i="4" s="1"/>
  <c r="W85" i="4"/>
  <c r="T85" i="4"/>
  <c r="V85" i="4"/>
  <c r="W151" i="4"/>
  <c r="T151" i="4"/>
  <c r="U151" i="4" s="1"/>
  <c r="V151" i="4"/>
  <c r="T211" i="4"/>
  <c r="U211" i="4" s="1"/>
  <c r="W211" i="4"/>
  <c r="V211" i="4"/>
  <c r="T277" i="4"/>
  <c r="U277" i="4" s="1"/>
  <c r="V277" i="4"/>
  <c r="W277" i="4"/>
  <c r="T336" i="4"/>
  <c r="U336" i="4" s="1"/>
  <c r="W336" i="4"/>
  <c r="V336" i="4"/>
  <c r="W401" i="4"/>
  <c r="T401" i="4"/>
  <c r="U401" i="4" s="1"/>
  <c r="V401" i="4"/>
  <c r="W124" i="4"/>
  <c r="V124" i="4"/>
  <c r="T124" i="4"/>
  <c r="W249" i="4"/>
  <c r="V249" i="4"/>
  <c r="T249" i="4"/>
  <c r="U249" i="4" s="1"/>
  <c r="W373" i="4"/>
  <c r="V373" i="4"/>
  <c r="T373" i="4"/>
  <c r="U373" i="4" s="1"/>
  <c r="W312" i="4"/>
  <c r="V312" i="4"/>
  <c r="T312" i="4"/>
  <c r="U312" i="4" s="1"/>
  <c r="V64" i="4"/>
  <c r="W64" i="4"/>
  <c r="T64" i="4"/>
  <c r="U64" i="4" s="1"/>
  <c r="V191" i="4"/>
  <c r="W191" i="4"/>
  <c r="T191" i="4"/>
  <c r="U191" i="4" s="1"/>
  <c r="V314" i="4"/>
  <c r="W314" i="4"/>
  <c r="T314" i="4"/>
  <c r="U314" i="4" s="1"/>
  <c r="W13" i="4"/>
  <c r="V13" i="4"/>
  <c r="T13" i="4"/>
  <c r="W165" i="4"/>
  <c r="V165" i="4"/>
  <c r="T165" i="4"/>
  <c r="U165" i="4" s="1"/>
  <c r="W411" i="4"/>
  <c r="V411" i="4"/>
  <c r="T411" i="4"/>
  <c r="U411" i="4" s="1"/>
  <c r="V71" i="4"/>
  <c r="T71" i="4"/>
  <c r="U71" i="4" s="1"/>
  <c r="W71" i="4"/>
  <c r="V321" i="4"/>
  <c r="W321" i="4"/>
  <c r="T321" i="4"/>
  <c r="U321" i="4" s="1"/>
  <c r="W171" i="4"/>
  <c r="V171" i="4"/>
  <c r="T171" i="4"/>
  <c r="U171" i="4" s="1"/>
  <c r="W295" i="4"/>
  <c r="T295" i="4"/>
  <c r="U295" i="4" s="1"/>
  <c r="V295" i="4"/>
  <c r="W97" i="4"/>
  <c r="V97" i="4"/>
  <c r="T97" i="4"/>
  <c r="U97" i="4" s="1"/>
  <c r="W164" i="4"/>
  <c r="V164" i="4"/>
  <c r="T164" i="4"/>
  <c r="U164" i="4" s="1"/>
  <c r="W221" i="4"/>
  <c r="T221" i="4"/>
  <c r="U221" i="4" s="1"/>
  <c r="V221" i="4"/>
  <c r="W289" i="4"/>
  <c r="V289" i="4"/>
  <c r="T289" i="4"/>
  <c r="U289" i="4" s="1"/>
  <c r="W348" i="4"/>
  <c r="T348" i="4"/>
  <c r="U348" i="4" s="1"/>
  <c r="V348" i="4"/>
  <c r="W410" i="4"/>
  <c r="V410" i="4"/>
  <c r="T410" i="4"/>
  <c r="U410" i="4" s="1"/>
  <c r="V67" i="4"/>
  <c r="W67" i="4"/>
  <c r="D27" i="24" s="1"/>
  <c r="T67" i="4"/>
  <c r="W133" i="4"/>
  <c r="V133" i="4"/>
  <c r="T133" i="4"/>
  <c r="U133" i="4" s="1"/>
  <c r="W194" i="4"/>
  <c r="V194" i="4"/>
  <c r="T194" i="4"/>
  <c r="U194" i="4" s="1"/>
  <c r="W258" i="4"/>
  <c r="V258" i="4"/>
  <c r="T258" i="4"/>
  <c r="U258" i="4" s="1"/>
  <c r="W317" i="4"/>
  <c r="V317" i="4"/>
  <c r="T317" i="4"/>
  <c r="U317" i="4" s="1"/>
  <c r="W384" i="4"/>
  <c r="V384" i="4"/>
  <c r="T384" i="4"/>
  <c r="U384" i="4" s="1"/>
  <c r="V30" i="4"/>
  <c r="W30" i="4"/>
  <c r="T30" i="4"/>
  <c r="U30" i="4" s="1"/>
  <c r="V68" i="4"/>
  <c r="W68" i="4"/>
  <c r="T68" i="4"/>
  <c r="V134" i="4"/>
  <c r="W134" i="4"/>
  <c r="T134" i="4"/>
  <c r="V195" i="4"/>
  <c r="W195" i="4"/>
  <c r="T195" i="4"/>
  <c r="U195" i="4" s="1"/>
  <c r="V261" i="4"/>
  <c r="W261" i="4"/>
  <c r="T261" i="4"/>
  <c r="U261" i="4" s="1"/>
  <c r="V318" i="4"/>
  <c r="W318" i="4"/>
  <c r="T318" i="4"/>
  <c r="U318" i="4" s="1"/>
  <c r="V385" i="4"/>
  <c r="W385" i="4"/>
  <c r="T385" i="4"/>
  <c r="U385" i="4" s="1"/>
  <c r="W12" i="4"/>
  <c r="V12" i="4"/>
  <c r="T12" i="4"/>
  <c r="W93" i="4"/>
  <c r="V93" i="4"/>
  <c r="T93" i="4"/>
  <c r="U93" i="4" s="1"/>
  <c r="W160" i="4"/>
  <c r="V160" i="4"/>
  <c r="T160" i="4"/>
  <c r="U160" i="4" s="1"/>
  <c r="W217" i="4"/>
  <c r="V217" i="4"/>
  <c r="T217" i="4"/>
  <c r="U217" i="4" s="1"/>
  <c r="W285" i="4"/>
  <c r="V285" i="4"/>
  <c r="T285" i="4"/>
  <c r="U285" i="4" s="1"/>
  <c r="W344" i="4"/>
  <c r="V344" i="4"/>
  <c r="T344" i="4"/>
  <c r="U344" i="4" s="1"/>
  <c r="W408" i="4"/>
  <c r="V408" i="4"/>
  <c r="T408" i="4"/>
  <c r="U408" i="4" s="1"/>
  <c r="V62" i="4"/>
  <c r="W62" i="4"/>
  <c r="T62" i="4"/>
  <c r="U62" i="4" s="1"/>
  <c r="W437" i="4"/>
  <c r="V437" i="4"/>
  <c r="T437" i="4"/>
  <c r="U437" i="4" s="1"/>
  <c r="V112" i="4"/>
  <c r="W112" i="4"/>
  <c r="T112" i="4"/>
  <c r="V236" i="4"/>
  <c r="W236" i="4"/>
  <c r="T236" i="4"/>
  <c r="U236" i="4" s="1"/>
  <c r="V362" i="4"/>
  <c r="W362" i="4"/>
  <c r="T362" i="4"/>
  <c r="U362" i="4" s="1"/>
  <c r="W118" i="4"/>
  <c r="T118" i="4"/>
  <c r="V118" i="4"/>
  <c r="W245" i="4"/>
  <c r="F29" i="24" s="1"/>
  <c r="T245" i="4"/>
  <c r="U245" i="4" s="1"/>
  <c r="V245" i="4"/>
  <c r="W369" i="4"/>
  <c r="T369" i="4"/>
  <c r="U369" i="4" s="1"/>
  <c r="V369" i="4"/>
  <c r="V198" i="4"/>
  <c r="W198" i="4"/>
  <c r="T198" i="4"/>
  <c r="U198" i="4" s="1"/>
  <c r="W31" i="4"/>
  <c r="V31" i="4"/>
  <c r="T31" i="4"/>
  <c r="U31" i="4" s="1"/>
  <c r="W417" i="4"/>
  <c r="H31" i="24" s="1"/>
  <c r="T417" i="4"/>
  <c r="U417" i="4" s="1"/>
  <c r="V417" i="4"/>
  <c r="V2099" i="4"/>
  <c r="W2099" i="4"/>
  <c r="T2099" i="4"/>
  <c r="U2099" i="4" s="1"/>
  <c r="W24" i="4"/>
  <c r="V24" i="4"/>
  <c r="T24" i="4"/>
  <c r="U24" i="4" s="1"/>
  <c r="W61" i="4"/>
  <c r="H16" i="24" s="1"/>
  <c r="T61" i="4"/>
  <c r="U61" i="4" s="1"/>
  <c r="V61" i="4"/>
  <c r="W140" i="4"/>
  <c r="O16" i="24" s="1"/>
  <c r="V140" i="4"/>
  <c r="T140" i="4"/>
  <c r="U140" i="4" s="1"/>
  <c r="W268" i="4"/>
  <c r="V268" i="4"/>
  <c r="T268" i="4"/>
  <c r="U268" i="4" s="1"/>
  <c r="W389" i="4"/>
  <c r="V389" i="4"/>
  <c r="T389" i="4"/>
  <c r="U389" i="4" s="1"/>
  <c r="V78" i="4"/>
  <c r="W78" i="4"/>
  <c r="T78" i="4"/>
  <c r="W204" i="4"/>
  <c r="T204" i="4"/>
  <c r="U204" i="4" s="1"/>
  <c r="V204" i="4"/>
  <c r="W328" i="4"/>
  <c r="V328" i="4"/>
  <c r="T328" i="4"/>
  <c r="U328" i="4" s="1"/>
  <c r="W9" i="4"/>
  <c r="V9" i="4"/>
  <c r="T9" i="4"/>
  <c r="U9" i="4" s="1"/>
  <c r="W129" i="4"/>
  <c r="V129" i="4"/>
  <c r="T129" i="4"/>
  <c r="U129" i="4" s="1"/>
  <c r="W254" i="4"/>
  <c r="V254" i="4"/>
  <c r="T254" i="4"/>
  <c r="U254" i="4" s="1"/>
  <c r="W380" i="4"/>
  <c r="V380" i="4"/>
  <c r="T380" i="4"/>
  <c r="U380" i="4" s="1"/>
  <c r="V80" i="4"/>
  <c r="W80" i="4"/>
  <c r="J25" i="24" s="1"/>
  <c r="T80" i="4"/>
  <c r="U80" i="4" s="1"/>
  <c r="V206" i="4"/>
  <c r="T206" i="4"/>
  <c r="U206" i="4" s="1"/>
  <c r="W206" i="4"/>
  <c r="V330" i="4"/>
  <c r="T330" i="4"/>
  <c r="U330" i="4" s="1"/>
  <c r="W330" i="4"/>
  <c r="G30" i="24" s="1"/>
  <c r="V40" i="4"/>
  <c r="W40" i="4"/>
  <c r="T40" i="4"/>
  <c r="U40" i="4" s="1"/>
  <c r="W300" i="4"/>
  <c r="V300" i="4"/>
  <c r="T300" i="4"/>
  <c r="U300" i="4" s="1"/>
  <c r="W427" i="4"/>
  <c r="V427" i="4"/>
  <c r="T427" i="4"/>
  <c r="U427" i="4" s="1"/>
  <c r="W136" i="4"/>
  <c r="T136" i="4"/>
  <c r="V136" i="4"/>
  <c r="W264" i="4"/>
  <c r="V264" i="4"/>
  <c r="T264" i="4"/>
  <c r="U264" i="4" s="1"/>
  <c r="V87" i="4"/>
  <c r="W87" i="4"/>
  <c r="T87" i="4"/>
  <c r="U87" i="4" s="1"/>
  <c r="V213" i="4"/>
  <c r="W213" i="4"/>
  <c r="T213" i="4"/>
  <c r="U213" i="4" s="1"/>
  <c r="W338" i="4"/>
  <c r="V338" i="4"/>
  <c r="T338" i="4"/>
  <c r="U338" i="4" s="1"/>
  <c r="W58" i="4"/>
  <c r="H25" i="24" s="1"/>
  <c r="T58" i="4"/>
  <c r="U58" i="4" s="1"/>
  <c r="V58" i="4"/>
  <c r="V190" i="4"/>
  <c r="T190" i="4"/>
  <c r="U190" i="4" s="1"/>
  <c r="W190" i="4"/>
  <c r="V306" i="4"/>
  <c r="T306" i="4"/>
  <c r="U306" i="4" s="1"/>
  <c r="W306" i="4"/>
  <c r="V432" i="4"/>
  <c r="T432" i="4"/>
  <c r="U432" i="4" s="1"/>
  <c r="W432" i="4"/>
  <c r="W25" i="4"/>
  <c r="E48" i="24" s="1"/>
  <c r="V25" i="4"/>
  <c r="T25" i="4"/>
  <c r="U25" i="4" s="1"/>
  <c r="W32" i="4"/>
  <c r="V32" i="4"/>
  <c r="T32" i="4"/>
  <c r="W105" i="4"/>
  <c r="L16" i="24" s="1"/>
  <c r="V105" i="4"/>
  <c r="T105" i="4"/>
  <c r="U105" i="4" s="1"/>
  <c r="W172" i="4"/>
  <c r="V172" i="4"/>
  <c r="T172" i="4"/>
  <c r="U172" i="4" s="1"/>
  <c r="W228" i="4"/>
  <c r="V228" i="4"/>
  <c r="T228" i="4"/>
  <c r="U228" i="4" s="1"/>
  <c r="W355" i="4"/>
  <c r="H11" i="24" s="1"/>
  <c r="V355" i="4"/>
  <c r="H11" i="22" s="1"/>
  <c r="T355" i="4"/>
  <c r="U355" i="4" s="1"/>
  <c r="W418" i="4"/>
  <c r="H58" i="24" s="1"/>
  <c r="V418" i="4"/>
  <c r="T418" i="4"/>
  <c r="U418" i="4" s="1"/>
  <c r="W768" i="4"/>
  <c r="V768" i="4"/>
  <c r="T768" i="4"/>
  <c r="U768" i="4" s="1"/>
  <c r="W75" i="4"/>
  <c r="V75" i="4"/>
  <c r="T75" i="4"/>
  <c r="U75" i="4" s="1"/>
  <c r="W141" i="4"/>
  <c r="V141" i="4"/>
  <c r="T141" i="4"/>
  <c r="U141" i="4" s="1"/>
  <c r="W201" i="4"/>
  <c r="T201" i="4"/>
  <c r="U201" i="4" s="1"/>
  <c r="V201" i="4"/>
  <c r="W269" i="4"/>
  <c r="V269" i="4"/>
  <c r="T269" i="4"/>
  <c r="U269" i="4" s="1"/>
  <c r="W325" i="4"/>
  <c r="T325" i="4"/>
  <c r="U325" i="4" s="1"/>
  <c r="V325" i="4"/>
  <c r="W390" i="4"/>
  <c r="V390" i="4"/>
  <c r="T390" i="4"/>
  <c r="U390" i="4" s="1"/>
  <c r="V76" i="4"/>
  <c r="W76" i="4"/>
  <c r="T76" i="4"/>
  <c r="U76" i="4" s="1"/>
  <c r="V142" i="4"/>
  <c r="W142" i="4"/>
  <c r="T142" i="4"/>
  <c r="U142" i="4" s="1"/>
  <c r="V202" i="4"/>
  <c r="W202" i="4"/>
  <c r="T202" i="4"/>
  <c r="U202" i="4" s="1"/>
  <c r="V326" i="4"/>
  <c r="W326" i="4"/>
  <c r="T326" i="4"/>
  <c r="U326" i="4" s="1"/>
  <c r="V391" i="4"/>
  <c r="W391" i="4"/>
  <c r="T391" i="4"/>
  <c r="U391" i="4" s="1"/>
  <c r="V28" i="4"/>
  <c r="W28" i="4"/>
  <c r="T28" i="4"/>
  <c r="U28" i="4" s="1"/>
  <c r="V101" i="4"/>
  <c r="W101" i="4"/>
  <c r="T101" i="4"/>
  <c r="V168" i="4"/>
  <c r="W168" i="4"/>
  <c r="T168" i="4"/>
  <c r="U168" i="4" s="1"/>
  <c r="W224" i="4"/>
  <c r="V224" i="4"/>
  <c r="T224" i="4"/>
  <c r="U224" i="4" s="1"/>
  <c r="V292" i="4"/>
  <c r="W292" i="4"/>
  <c r="T292" i="4"/>
  <c r="U292" i="4" s="1"/>
  <c r="V352" i="4"/>
  <c r="W352" i="4"/>
  <c r="T352" i="4"/>
  <c r="U352" i="4" s="1"/>
  <c r="V414" i="4"/>
  <c r="W414" i="4"/>
  <c r="T414" i="4"/>
  <c r="U414" i="4" s="1"/>
  <c r="W157" i="4"/>
  <c r="T157" i="4"/>
  <c r="U157" i="4" s="1"/>
  <c r="V157" i="4"/>
  <c r="W282" i="4"/>
  <c r="V282" i="4"/>
  <c r="T282" i="4"/>
  <c r="U282" i="4" s="1"/>
  <c r="W405" i="4"/>
  <c r="V405" i="4"/>
  <c r="T405" i="4"/>
  <c r="U405" i="4" s="1"/>
  <c r="T94" i="4"/>
  <c r="U94" i="4" s="1"/>
  <c r="V94" i="4"/>
  <c r="W94" i="4"/>
  <c r="E10" i="24" s="1"/>
  <c r="V218" i="4"/>
  <c r="T218" i="4"/>
  <c r="U218" i="4" s="1"/>
  <c r="W218" i="4"/>
  <c r="V345" i="4"/>
  <c r="W345" i="4"/>
  <c r="T345" i="4"/>
  <c r="U345" i="4" s="1"/>
  <c r="W22" i="4"/>
  <c r="V22" i="4"/>
  <c r="T22" i="4"/>
  <c r="V145" i="4"/>
  <c r="W145" i="4"/>
  <c r="T145" i="4"/>
  <c r="U145" i="4" s="1"/>
  <c r="V271" i="4"/>
  <c r="T271" i="4"/>
  <c r="U271" i="4" s="1"/>
  <c r="W271" i="4"/>
  <c r="G10" i="24" s="1"/>
  <c r="V394" i="4"/>
  <c r="W394" i="4"/>
  <c r="T394" i="4"/>
  <c r="U394" i="4" s="1"/>
  <c r="W96" i="4"/>
  <c r="E12" i="24" s="1"/>
  <c r="V96" i="4"/>
  <c r="T96" i="4"/>
  <c r="W220" i="4"/>
  <c r="V220" i="4"/>
  <c r="T220" i="4"/>
  <c r="U220" i="4" s="1"/>
  <c r="W347" i="4"/>
  <c r="V347" i="4"/>
  <c r="T347" i="4"/>
  <c r="U347" i="4" s="1"/>
  <c r="T54" i="4"/>
  <c r="U54" i="4" s="1"/>
  <c r="W54" i="4"/>
  <c r="V54" i="4"/>
  <c r="W193" i="4"/>
  <c r="T193" i="4"/>
  <c r="U193" i="4" s="1"/>
  <c r="V193" i="4"/>
  <c r="W316" i="4"/>
  <c r="T316" i="4"/>
  <c r="U316" i="4" s="1"/>
  <c r="V316" i="4"/>
  <c r="W14" i="4"/>
  <c r="V14" i="4"/>
  <c r="T14" i="4"/>
  <c r="U14" i="4" s="1"/>
  <c r="T153" i="4"/>
  <c r="U153" i="4" s="1"/>
  <c r="V153" i="4"/>
  <c r="W153" i="4"/>
  <c r="V278" i="4"/>
  <c r="T278" i="4"/>
  <c r="U278" i="4" s="1"/>
  <c r="W278" i="4"/>
  <c r="V402" i="4"/>
  <c r="T402" i="4"/>
  <c r="U402" i="4" s="1"/>
  <c r="W402" i="4"/>
  <c r="V103" i="4"/>
  <c r="W103" i="4"/>
  <c r="T103" i="4"/>
  <c r="U103" i="4" s="1"/>
  <c r="V226" i="4"/>
  <c r="T226" i="4"/>
  <c r="U226" i="4" s="1"/>
  <c r="W226" i="4"/>
  <c r="V72" i="4"/>
  <c r="T72" i="4"/>
  <c r="U72" i="4" s="1"/>
  <c r="W72" i="4"/>
  <c r="V199" i="4"/>
  <c r="T199" i="4"/>
  <c r="U199" i="4" s="1"/>
  <c r="W199" i="4"/>
  <c r="V322" i="4"/>
  <c r="T322" i="4"/>
  <c r="U322" i="4" s="1"/>
  <c r="W322" i="4"/>
  <c r="G17" i="24" s="1"/>
  <c r="W49" i="4"/>
  <c r="T49" i="4"/>
  <c r="U49" i="4" s="1"/>
  <c r="V49" i="4"/>
  <c r="W179" i="4"/>
  <c r="T179" i="4"/>
  <c r="U179" i="4" s="1"/>
  <c r="V179" i="4"/>
  <c r="W240" i="4"/>
  <c r="V240" i="4"/>
  <c r="T240" i="4"/>
  <c r="U240" i="4" s="1"/>
  <c r="W299" i="4"/>
  <c r="T299" i="4"/>
  <c r="U299" i="4" s="1"/>
  <c r="V299" i="4"/>
  <c r="W364" i="4"/>
  <c r="V364" i="4"/>
  <c r="T364" i="4"/>
  <c r="U364" i="4" s="1"/>
  <c r="W426" i="4"/>
  <c r="V426" i="4"/>
  <c r="T426" i="4"/>
  <c r="U426" i="4" s="1"/>
  <c r="T2100" i="4"/>
  <c r="U2100" i="4" s="1"/>
  <c r="V2100" i="4"/>
  <c r="W2100" i="4"/>
  <c r="W83" i="4"/>
  <c r="J16" i="24" s="1"/>
  <c r="T83" i="4"/>
  <c r="U83" i="4" s="1"/>
  <c r="V83" i="4"/>
  <c r="W149" i="4"/>
  <c r="T149" i="4"/>
  <c r="U149" i="4" s="1"/>
  <c r="V149" i="4"/>
  <c r="W209" i="4"/>
  <c r="T209" i="4"/>
  <c r="U209" i="4" s="1"/>
  <c r="V209" i="4"/>
  <c r="W275" i="4"/>
  <c r="V275" i="4"/>
  <c r="T275" i="4"/>
  <c r="U275" i="4" s="1"/>
  <c r="W334" i="4"/>
  <c r="T334" i="4"/>
  <c r="U334" i="4" s="1"/>
  <c r="V334" i="4"/>
  <c r="W398" i="4"/>
  <c r="V398" i="4"/>
  <c r="T398" i="4"/>
  <c r="U398" i="4" s="1"/>
  <c r="V11" i="4"/>
  <c r="W11" i="4"/>
  <c r="T11" i="4"/>
  <c r="V84" i="4"/>
  <c r="W84" i="4"/>
  <c r="T84" i="4"/>
  <c r="U84" i="4" s="1"/>
  <c r="V150" i="4"/>
  <c r="W150" i="4"/>
  <c r="T150" i="4"/>
  <c r="U150" i="4" s="1"/>
  <c r="V210" i="4"/>
  <c r="W210" i="4"/>
  <c r="T210" i="4"/>
  <c r="U210" i="4" s="1"/>
  <c r="V276" i="4"/>
  <c r="W276" i="4"/>
  <c r="T276" i="4"/>
  <c r="U276" i="4" s="1"/>
  <c r="V335" i="4"/>
  <c r="W335" i="4"/>
  <c r="T335" i="4"/>
  <c r="U335" i="4" s="1"/>
  <c r="V400" i="4"/>
  <c r="W400" i="4"/>
  <c r="T400" i="4"/>
  <c r="U400" i="4" s="1"/>
  <c r="V37" i="4"/>
  <c r="W37" i="4"/>
  <c r="T37" i="4"/>
  <c r="U37" i="4" s="1"/>
  <c r="V110" i="4"/>
  <c r="W110" i="4"/>
  <c r="T110" i="4"/>
  <c r="U110" i="4" s="1"/>
  <c r="W175" i="4"/>
  <c r="V175" i="4"/>
  <c r="T175" i="4"/>
  <c r="U175" i="4" s="1"/>
  <c r="V234" i="4"/>
  <c r="W234" i="4"/>
  <c r="T234" i="4"/>
  <c r="U234" i="4" s="1"/>
  <c r="V360" i="4"/>
  <c r="W360" i="4"/>
  <c r="T360" i="4"/>
  <c r="U360" i="4" s="1"/>
  <c r="V422" i="4"/>
  <c r="W422" i="4"/>
  <c r="T422" i="4"/>
  <c r="U422" i="4" s="1"/>
  <c r="V773" i="4"/>
  <c r="W773" i="4"/>
  <c r="T773" i="4"/>
  <c r="U773" i="4" s="1"/>
  <c r="W173" i="4"/>
  <c r="V173" i="4"/>
  <c r="T173" i="4"/>
  <c r="U173" i="4" s="1"/>
  <c r="W235" i="4"/>
  <c r="V235" i="4"/>
  <c r="T235" i="4"/>
  <c r="U235" i="4" s="1"/>
  <c r="W361" i="4"/>
  <c r="V361" i="4"/>
  <c r="T361" i="4"/>
  <c r="U361" i="4" s="1"/>
  <c r="V38" i="4"/>
  <c r="W38" i="4"/>
  <c r="T38" i="4"/>
  <c r="U38" i="4" s="1"/>
  <c r="W287" i="4"/>
  <c r="V287" i="4"/>
  <c r="T287" i="4"/>
  <c r="U287" i="4" s="1"/>
  <c r="W114" i="4"/>
  <c r="T114" i="4"/>
  <c r="V114" i="4"/>
  <c r="H10" i="6"/>
  <c r="H8" i="6"/>
  <c r="H9" i="6"/>
  <c r="W82" i="4"/>
  <c r="V82" i="4"/>
  <c r="T82" i="4"/>
  <c r="U82" i="4" s="1"/>
  <c r="W333" i="4"/>
  <c r="G58" i="24" s="1"/>
  <c r="T333" i="4"/>
  <c r="U333" i="4" s="1"/>
  <c r="V333" i="4"/>
  <c r="V169" i="4"/>
  <c r="W169" i="4"/>
  <c r="T169" i="4"/>
  <c r="U169" i="4" s="1"/>
  <c r="V415" i="4"/>
  <c r="W415" i="4"/>
  <c r="H29" i="24" s="1"/>
  <c r="T415" i="4"/>
  <c r="U415" i="4" s="1"/>
  <c r="V246" i="4"/>
  <c r="W246" i="4"/>
  <c r="F30" i="24" s="1"/>
  <c r="T246" i="4"/>
  <c r="U246" i="4" s="1"/>
  <c r="W339" i="4"/>
  <c r="V339" i="4"/>
  <c r="T339" i="4"/>
  <c r="U339" i="4" s="1"/>
  <c r="V36" i="4"/>
  <c r="W36" i="4"/>
  <c r="T36" i="4"/>
  <c r="U36" i="4" s="1"/>
  <c r="W123" i="4"/>
  <c r="T123" i="4"/>
  <c r="V123" i="4"/>
  <c r="W248" i="4"/>
  <c r="F58" i="24" s="1"/>
  <c r="V248" i="4"/>
  <c r="T248" i="4"/>
  <c r="U248" i="4" s="1"/>
  <c r="W433" i="4"/>
  <c r="V433" i="4"/>
  <c r="T433" i="4"/>
  <c r="U433" i="4" s="1"/>
  <c r="T46" i="4"/>
  <c r="W46" i="4"/>
  <c r="V46" i="4"/>
  <c r="W18" i="4"/>
  <c r="V18" i="4"/>
  <c r="G8" i="6"/>
  <c r="G9" i="6"/>
  <c r="G10" i="6"/>
  <c r="T18" i="4"/>
  <c r="W158" i="4"/>
  <c r="E29" i="24" s="1"/>
  <c r="V158" i="4"/>
  <c r="T158" i="4"/>
  <c r="U158" i="4" s="1"/>
  <c r="W283" i="4"/>
  <c r="V283" i="4"/>
  <c r="T283" i="4"/>
  <c r="U283" i="4" s="1"/>
  <c r="W406" i="4"/>
  <c r="V406" i="4"/>
  <c r="T406" i="4"/>
  <c r="U406" i="4" s="1"/>
  <c r="V19" i="4"/>
  <c r="W19" i="4"/>
  <c r="T19" i="4"/>
  <c r="U19" i="4" s="1"/>
  <c r="W159" i="4"/>
  <c r="E30" i="24" s="1"/>
  <c r="V159" i="4"/>
  <c r="T159" i="4"/>
  <c r="U159" i="4" s="1"/>
  <c r="W284" i="4"/>
  <c r="V284" i="4"/>
  <c r="T284" i="4"/>
  <c r="U284" i="4" s="1"/>
  <c r="W343" i="4"/>
  <c r="V343" i="4"/>
  <c r="T343" i="4"/>
  <c r="U343" i="4" s="1"/>
  <c r="V56" i="4"/>
  <c r="T56" i="4"/>
  <c r="W56" i="4"/>
  <c r="W45" i="4"/>
  <c r="V45" i="4"/>
  <c r="T45" i="4"/>
  <c r="V117" i="4"/>
  <c r="W117" i="4"/>
  <c r="T117" i="4"/>
  <c r="U117" i="4" s="1"/>
  <c r="V182" i="4"/>
  <c r="W182" i="4"/>
  <c r="T182" i="4"/>
  <c r="U182" i="4" s="1"/>
  <c r="W244" i="4"/>
  <c r="V244" i="4"/>
  <c r="T244" i="4"/>
  <c r="U244" i="4" s="1"/>
  <c r="W303" i="4"/>
  <c r="V303" i="4"/>
  <c r="T303" i="4"/>
  <c r="U303" i="4" s="1"/>
  <c r="V368" i="4"/>
  <c r="T368" i="4"/>
  <c r="U368" i="4" s="1"/>
  <c r="W368" i="4"/>
  <c r="W429" i="4"/>
  <c r="V429" i="4"/>
  <c r="T429" i="4"/>
  <c r="U429" i="4" s="1"/>
  <c r="V2104" i="4"/>
  <c r="T2104" i="4"/>
  <c r="U2104" i="4" s="1"/>
  <c r="W2104" i="4"/>
  <c r="W47" i="4"/>
  <c r="V47" i="4"/>
  <c r="T47" i="4"/>
  <c r="U47" i="4" s="1"/>
  <c r="W186" i="4"/>
  <c r="V186" i="4"/>
  <c r="T186" i="4"/>
  <c r="U186" i="4" s="1"/>
  <c r="W308" i="4"/>
  <c r="V308" i="4"/>
  <c r="T308" i="4"/>
  <c r="U308" i="4" s="1"/>
  <c r="W434" i="4"/>
  <c r="V434" i="4"/>
  <c r="T434" i="4"/>
  <c r="U434" i="4" s="1"/>
  <c r="W128" i="4"/>
  <c r="T128" i="4"/>
  <c r="U128" i="4" s="1"/>
  <c r="V128" i="4"/>
  <c r="W253" i="4"/>
  <c r="T253" i="4"/>
  <c r="U253" i="4" s="1"/>
  <c r="V253" i="4"/>
  <c r="W379" i="4"/>
  <c r="V379" i="4"/>
  <c r="T379" i="4"/>
  <c r="U379" i="4" s="1"/>
  <c r="V50" i="4"/>
  <c r="W50" i="4"/>
  <c r="T50" i="4"/>
  <c r="U50" i="4" s="1"/>
  <c r="W177" i="4"/>
  <c r="V177" i="4"/>
  <c r="T177" i="4"/>
  <c r="U177" i="4" s="1"/>
  <c r="W424" i="4"/>
  <c r="V424" i="4"/>
  <c r="T424" i="4"/>
  <c r="U424" i="4" s="1"/>
  <c r="V130" i="4"/>
  <c r="W130" i="4"/>
  <c r="T130" i="4"/>
  <c r="U130" i="4" s="1"/>
  <c r="V255" i="4"/>
  <c r="W255" i="4"/>
  <c r="T255" i="4"/>
  <c r="U255" i="4" s="1"/>
  <c r="V381" i="4"/>
  <c r="W381" i="4"/>
  <c r="T381" i="4"/>
  <c r="U381" i="4" s="1"/>
  <c r="W98" i="4"/>
  <c r="V98" i="4"/>
  <c r="T98" i="4"/>
  <c r="U98" i="4" s="1"/>
  <c r="W222" i="4"/>
  <c r="V222" i="4"/>
  <c r="T222" i="4"/>
  <c r="U222" i="4" s="1"/>
  <c r="W349" i="4"/>
  <c r="V349" i="4"/>
  <c r="T349" i="4"/>
  <c r="U349" i="4" s="1"/>
  <c r="V55" i="4"/>
  <c r="T55" i="4"/>
  <c r="W55" i="4"/>
  <c r="W183" i="4"/>
  <c r="F10" i="24" s="1"/>
  <c r="T183" i="4"/>
  <c r="U183" i="4" s="1"/>
  <c r="V183" i="4"/>
  <c r="W304" i="4"/>
  <c r="T304" i="4"/>
  <c r="U304" i="4" s="1"/>
  <c r="V304" i="4"/>
  <c r="W430" i="4"/>
  <c r="T430" i="4"/>
  <c r="U430" i="4" s="1"/>
  <c r="V430" i="4"/>
  <c r="W137" i="4"/>
  <c r="O25" i="24" s="1"/>
  <c r="V137" i="4"/>
  <c r="T137" i="4"/>
  <c r="U137" i="4" s="1"/>
  <c r="W265" i="4"/>
  <c r="V265" i="4"/>
  <c r="T265" i="4"/>
  <c r="U265" i="4" s="1"/>
  <c r="T104" i="4"/>
  <c r="U104" i="4" s="1"/>
  <c r="W104" i="4"/>
  <c r="V104" i="4"/>
  <c r="W227" i="4"/>
  <c r="T227" i="4"/>
  <c r="U227" i="4" s="1"/>
  <c r="V227" i="4"/>
  <c r="W354" i="4"/>
  <c r="H10" i="24" s="1"/>
  <c r="V354" i="4"/>
  <c r="T354" i="4"/>
  <c r="U354" i="4" s="1"/>
  <c r="V2101" i="4"/>
  <c r="W2101" i="4"/>
  <c r="T2101" i="4"/>
  <c r="U2101" i="4" s="1"/>
  <c r="V65" i="4"/>
  <c r="W65" i="4"/>
  <c r="T65" i="4"/>
  <c r="U65" i="4" s="1"/>
  <c r="W131" i="4"/>
  <c r="T131" i="4"/>
  <c r="V131" i="4"/>
  <c r="W192" i="4"/>
  <c r="V192" i="4"/>
  <c r="T192" i="4"/>
  <c r="U192" i="4" s="1"/>
  <c r="W256" i="4"/>
  <c r="T256" i="4"/>
  <c r="U256" i="4" s="1"/>
  <c r="V256" i="4"/>
  <c r="W315" i="4"/>
  <c r="V315" i="4"/>
  <c r="T315" i="4"/>
  <c r="U315" i="4" s="1"/>
  <c r="W382" i="4"/>
  <c r="T382" i="4"/>
  <c r="U382" i="4" s="1"/>
  <c r="V382" i="4"/>
  <c r="V20" i="4"/>
  <c r="W20" i="4"/>
  <c r="T20" i="4"/>
  <c r="U20" i="4" s="1"/>
  <c r="V26" i="4"/>
  <c r="W26" i="4"/>
  <c r="T26" i="4"/>
  <c r="U26" i="4" s="1"/>
  <c r="W99" i="4"/>
  <c r="T99" i="4"/>
  <c r="V99" i="4"/>
  <c r="W166" i="4"/>
  <c r="V166" i="4"/>
  <c r="T166" i="4"/>
  <c r="U166" i="4" s="1"/>
  <c r="W223" i="4"/>
  <c r="T223" i="4"/>
  <c r="U223" i="4" s="1"/>
  <c r="V223" i="4"/>
  <c r="W290" i="4"/>
  <c r="V290" i="4"/>
  <c r="T290" i="4"/>
  <c r="U290" i="4" s="1"/>
  <c r="W350" i="4"/>
  <c r="V350" i="4"/>
  <c r="T350" i="4"/>
  <c r="U350" i="4" s="1"/>
  <c r="W412" i="4"/>
  <c r="H26" i="24" s="1"/>
  <c r="V412" i="4"/>
  <c r="T412" i="4"/>
  <c r="U412" i="4" s="1"/>
  <c r="W27" i="4"/>
  <c r="V27" i="4"/>
  <c r="T27" i="4"/>
  <c r="U27" i="4" s="1"/>
  <c r="V100" i="4"/>
  <c r="W100" i="4"/>
  <c r="T100" i="4"/>
  <c r="V167" i="4"/>
  <c r="W167" i="4"/>
  <c r="T167" i="4"/>
  <c r="U167" i="4" s="1"/>
  <c r="V291" i="4"/>
  <c r="W291" i="4"/>
  <c r="T291" i="4"/>
  <c r="U291" i="4" s="1"/>
  <c r="V351" i="4"/>
  <c r="W351" i="4"/>
  <c r="T351" i="4"/>
  <c r="U351" i="4" s="1"/>
  <c r="V413" i="4"/>
  <c r="W413" i="4"/>
  <c r="H27" i="24" s="1"/>
  <c r="T413" i="4"/>
  <c r="U413" i="4" s="1"/>
  <c r="W53" i="4"/>
  <c r="V53" i="4"/>
  <c r="T53" i="4"/>
  <c r="U53" i="4" s="1"/>
  <c r="W127" i="4"/>
  <c r="V127" i="4"/>
  <c r="T127" i="4"/>
  <c r="U127" i="4" s="1"/>
  <c r="W189" i="4"/>
  <c r="V189" i="4"/>
  <c r="T189" i="4"/>
  <c r="U189" i="4" s="1"/>
  <c r="W252" i="4"/>
  <c r="V252" i="4"/>
  <c r="T252" i="4"/>
  <c r="U252" i="4" s="1"/>
  <c r="W311" i="4"/>
  <c r="V311" i="4"/>
  <c r="T311" i="4"/>
  <c r="U311" i="4" s="1"/>
  <c r="W378" i="4"/>
  <c r="V378" i="4"/>
  <c r="T378" i="4"/>
  <c r="U378" i="4" s="1"/>
  <c r="W436" i="4"/>
  <c r="V436" i="4"/>
  <c r="T436" i="4"/>
  <c r="U436" i="4" s="1"/>
  <c r="W33" i="4"/>
  <c r="V33" i="4"/>
  <c r="T33" i="4"/>
  <c r="W296" i="4"/>
  <c r="V296" i="4"/>
  <c r="T296" i="4"/>
  <c r="U296" i="4" s="1"/>
  <c r="W419" i="4"/>
  <c r="V419" i="4"/>
  <c r="T419" i="4"/>
  <c r="U419" i="4" s="1"/>
  <c r="W111" i="4"/>
  <c r="T111" i="4"/>
  <c r="V111" i="4"/>
  <c r="W10" i="4"/>
  <c r="D12" i="24" s="1"/>
  <c r="V10" i="4"/>
  <c r="T10" i="4"/>
  <c r="W161" i="4"/>
  <c r="E58" i="24" s="1"/>
  <c r="T161" i="4"/>
  <c r="U161" i="4" s="1"/>
  <c r="V161" i="4"/>
  <c r="W237" i="4"/>
  <c r="T237" i="4"/>
  <c r="U237" i="4" s="1"/>
  <c r="V237" i="4"/>
  <c r="W363" i="4"/>
  <c r="V363" i="4"/>
  <c r="T363" i="4"/>
  <c r="U363" i="4" s="1"/>
  <c r="W208" i="4"/>
  <c r="V208" i="4"/>
  <c r="T208" i="4"/>
  <c r="U208" i="4" s="1"/>
  <c r="V29" i="4"/>
  <c r="W29" i="4"/>
  <c r="T29" i="4"/>
  <c r="V293" i="4"/>
  <c r="W293" i="4"/>
  <c r="T293" i="4"/>
  <c r="U293" i="4" s="1"/>
  <c r="T121" i="4"/>
  <c r="U121" i="4" s="1"/>
  <c r="V121" i="4"/>
  <c r="W121" i="4"/>
  <c r="V370" i="4"/>
  <c r="T370" i="4"/>
  <c r="U370" i="4" s="1"/>
  <c r="W370" i="4"/>
  <c r="W88" i="4"/>
  <c r="V88" i="4"/>
  <c r="T88" i="4"/>
  <c r="V57" i="4"/>
  <c r="W57" i="4"/>
  <c r="T57" i="4"/>
  <c r="W185" i="4"/>
  <c r="F12" i="24" s="1"/>
  <c r="V185" i="4"/>
  <c r="T185" i="4"/>
  <c r="U185" i="4" s="1"/>
  <c r="W307" i="4"/>
  <c r="T307" i="4"/>
  <c r="U307" i="4" s="1"/>
  <c r="V307" i="4"/>
  <c r="W372" i="4"/>
  <c r="V372" i="4"/>
  <c r="T372" i="4"/>
  <c r="U372" i="4" s="1"/>
  <c r="W91" i="4"/>
  <c r="K25" i="24" s="1"/>
  <c r="V91" i="4"/>
  <c r="T91" i="4"/>
  <c r="U91" i="4" s="1"/>
  <c r="W215" i="4"/>
  <c r="V215" i="4"/>
  <c r="T215" i="4"/>
  <c r="U215" i="4" s="1"/>
  <c r="W342" i="4"/>
  <c r="V342" i="4"/>
  <c r="T342" i="4"/>
  <c r="U342" i="4" s="1"/>
  <c r="W92" i="4"/>
  <c r="K48" i="24" s="1"/>
  <c r="V92" i="4"/>
  <c r="T92" i="4"/>
  <c r="U92" i="4" s="1"/>
  <c r="W216" i="4"/>
  <c r="V216" i="4"/>
  <c r="T216" i="4"/>
  <c r="U216" i="4" s="1"/>
  <c r="W407" i="4"/>
  <c r="V407" i="4"/>
  <c r="T407" i="4"/>
  <c r="U407" i="4" s="1"/>
  <c r="W74" i="4"/>
  <c r="V74" i="4"/>
  <c r="T74" i="4"/>
  <c r="W200" i="4"/>
  <c r="V200" i="4"/>
  <c r="T200" i="4"/>
  <c r="U200" i="4" s="1"/>
  <c r="W324" i="4"/>
  <c r="V324" i="4"/>
  <c r="T324" i="4"/>
  <c r="U324" i="4" s="1"/>
  <c r="V144" i="4"/>
  <c r="W144" i="4"/>
  <c r="T144" i="4"/>
  <c r="U144" i="4" s="1"/>
  <c r="W392" i="4"/>
  <c r="T392" i="4"/>
  <c r="U392" i="4" s="1"/>
  <c r="V392" i="4"/>
  <c r="W63" i="4"/>
  <c r="V63" i="4"/>
  <c r="T63" i="4"/>
  <c r="T313" i="4"/>
  <c r="U313" i="4" s="1"/>
  <c r="W313" i="4"/>
  <c r="V313" i="4"/>
  <c r="W146" i="4"/>
  <c r="V146" i="4"/>
  <c r="T146" i="4"/>
  <c r="U146" i="4" s="1"/>
  <c r="W272" i="4"/>
  <c r="G11" i="24" s="1"/>
  <c r="V272" i="4"/>
  <c r="G11" i="22" s="1"/>
  <c r="T272" i="4"/>
  <c r="U272" i="4" s="1"/>
  <c r="W395" i="4"/>
  <c r="V395" i="4"/>
  <c r="T395" i="4"/>
  <c r="U395" i="4" s="1"/>
  <c r="W241" i="4"/>
  <c r="V241" i="4"/>
  <c r="T241" i="4"/>
  <c r="U241" i="4" s="1"/>
  <c r="W365" i="4"/>
  <c r="V365" i="4"/>
  <c r="T365" i="4"/>
  <c r="U365" i="4" s="1"/>
  <c r="W70" i="4"/>
  <c r="T70" i="4"/>
  <c r="U70" i="4" s="1"/>
  <c r="V70" i="4"/>
  <c r="W197" i="4"/>
  <c r="V197" i="4"/>
  <c r="T197" i="4"/>
  <c r="U197" i="4" s="1"/>
  <c r="W320" i="4"/>
  <c r="V320" i="4"/>
  <c r="T320" i="4"/>
  <c r="U320" i="4" s="1"/>
  <c r="V154" i="4"/>
  <c r="T154" i="4"/>
  <c r="U154" i="4" s="1"/>
  <c r="W154" i="4"/>
  <c r="W279" i="4"/>
  <c r="G65" i="24" s="1"/>
  <c r="V279" i="4"/>
  <c r="T279" i="4"/>
  <c r="U279" i="4" s="1"/>
  <c r="W403" i="4"/>
  <c r="V403" i="4"/>
  <c r="T403" i="4"/>
  <c r="U403" i="4" s="1"/>
  <c r="V122" i="4"/>
  <c r="W122" i="4"/>
  <c r="T122" i="4"/>
  <c r="U122" i="4" s="1"/>
  <c r="V247" i="4"/>
  <c r="T247" i="4"/>
  <c r="U247" i="4" s="1"/>
  <c r="W247" i="4"/>
  <c r="F31" i="24" s="1"/>
  <c r="V371" i="4"/>
  <c r="T371" i="4"/>
  <c r="U371" i="4" s="1"/>
  <c r="W371" i="4"/>
  <c r="W66" i="4"/>
  <c r="D26" i="24" s="1"/>
  <c r="T66" i="4"/>
  <c r="V66" i="4"/>
  <c r="W73" i="4"/>
  <c r="D58" i="24" s="1"/>
  <c r="T73" i="4"/>
  <c r="U73" i="4" s="1"/>
  <c r="V73" i="4"/>
  <c r="W139" i="4"/>
  <c r="V139" i="4"/>
  <c r="T139" i="4"/>
  <c r="U139" i="4" s="1"/>
  <c r="W267" i="4"/>
  <c r="V267" i="4"/>
  <c r="T267" i="4"/>
  <c r="U267" i="4" s="1"/>
  <c r="W323" i="4"/>
  <c r="V323" i="4"/>
  <c r="T323" i="4"/>
  <c r="U323" i="4" s="1"/>
  <c r="W388" i="4"/>
  <c r="V388" i="4"/>
  <c r="T388" i="4"/>
  <c r="U388" i="4" s="1"/>
  <c r="W34" i="4"/>
  <c r="V34" i="4"/>
  <c r="T34" i="4"/>
  <c r="W108" i="4"/>
  <c r="T108" i="4"/>
  <c r="V108" i="4"/>
  <c r="W232" i="4"/>
  <c r="V232" i="4"/>
  <c r="T232" i="4"/>
  <c r="U232" i="4" s="1"/>
  <c r="W297" i="4"/>
  <c r="T297" i="4"/>
  <c r="U297" i="4" s="1"/>
  <c r="V297" i="4"/>
  <c r="W357" i="4"/>
  <c r="T357" i="4"/>
  <c r="U357" i="4" s="1"/>
  <c r="V357" i="4"/>
  <c r="W420" i="4"/>
  <c r="T420" i="4"/>
  <c r="U420" i="4" s="1"/>
  <c r="V420" i="4"/>
  <c r="W771" i="4"/>
  <c r="V771" i="4"/>
  <c r="T771" i="4"/>
  <c r="U771" i="4" s="1"/>
  <c r="V44" i="4"/>
  <c r="W44" i="4"/>
  <c r="T44" i="4"/>
  <c r="V109" i="4"/>
  <c r="W109" i="4"/>
  <c r="T109" i="4"/>
  <c r="U109" i="4" s="1"/>
  <c r="V174" i="4"/>
  <c r="W174" i="4"/>
  <c r="T174" i="4"/>
  <c r="U174" i="4" s="1"/>
  <c r="V233" i="4"/>
  <c r="W233" i="4"/>
  <c r="T233" i="4"/>
  <c r="U233" i="4" s="1"/>
  <c r="V298" i="4"/>
  <c r="W298" i="4"/>
  <c r="T298" i="4"/>
  <c r="U298" i="4" s="1"/>
  <c r="V358" i="4"/>
  <c r="W358" i="4"/>
  <c r="T358" i="4"/>
  <c r="U358" i="4" s="1"/>
  <c r="V421" i="4"/>
  <c r="W421" i="4"/>
  <c r="T421" i="4"/>
  <c r="U421" i="4" s="1"/>
  <c r="V772" i="4"/>
  <c r="W772" i="4"/>
  <c r="T772" i="4"/>
  <c r="U772" i="4" s="1"/>
  <c r="W69" i="4"/>
  <c r="V69" i="4"/>
  <c r="T69" i="4"/>
  <c r="U69" i="4" s="1"/>
  <c r="W135" i="4"/>
  <c r="V135" i="4"/>
  <c r="T135" i="4"/>
  <c r="U135" i="4" s="1"/>
  <c r="W196" i="4"/>
  <c r="V196" i="4"/>
  <c r="T196" i="4"/>
  <c r="U196" i="4" s="1"/>
  <c r="W262" i="4"/>
  <c r="V262" i="4"/>
  <c r="T262" i="4"/>
  <c r="U262" i="4" s="1"/>
  <c r="W319" i="4"/>
  <c r="V319" i="4"/>
  <c r="T319" i="4"/>
  <c r="U319" i="4" s="1"/>
  <c r="V386" i="4"/>
  <c r="W386" i="4"/>
  <c r="T386" i="4"/>
  <c r="U386" i="4" s="1"/>
  <c r="C2" i="18"/>
  <c r="E11" i="12"/>
  <c r="D11" i="12"/>
  <c r="D10" i="12"/>
  <c r="F17" i="2"/>
  <c r="F9" i="2"/>
  <c r="D10" i="16" s="1"/>
  <c r="F18" i="2"/>
  <c r="F10" i="2"/>
  <c r="D18" i="16" s="1"/>
  <c r="F16" i="2"/>
  <c r="D24" i="16" s="1"/>
  <c r="F8" i="2"/>
  <c r="F14" i="2"/>
  <c r="D12" i="16" s="1"/>
  <c r="F6" i="2"/>
  <c r="F21" i="2"/>
  <c r="F13" i="2"/>
  <c r="F7" i="2"/>
  <c r="F15" i="2"/>
  <c r="D23" i="16" s="1"/>
  <c r="E25" i="16" s="1"/>
  <c r="F11" i="2"/>
  <c r="F19" i="2"/>
  <c r="F12" i="2"/>
  <c r="D19" i="16" s="1"/>
  <c r="F20" i="2"/>
  <c r="D13" i="16" s="1"/>
  <c r="F5" i="2"/>
  <c r="D80" i="15"/>
  <c r="D83" i="15"/>
  <c r="D10" i="15"/>
  <c r="D89" i="15"/>
  <c r="D69" i="15"/>
  <c r="D72" i="15"/>
  <c r="D75" i="15"/>
  <c r="D31" i="15"/>
  <c r="D162" i="15"/>
  <c r="E75" i="15"/>
  <c r="H75" i="15" s="1"/>
  <c r="E80" i="15"/>
  <c r="H80" i="15" s="1"/>
  <c r="E87" i="15"/>
  <c r="H87" i="15" s="1"/>
  <c r="E161" i="15"/>
  <c r="H161" i="15" s="1"/>
  <c r="E72" i="15"/>
  <c r="E31" i="15"/>
  <c r="E30" i="15"/>
  <c r="E71" i="15"/>
  <c r="E85" i="15"/>
  <c r="H85" i="15" s="1"/>
  <c r="E97" i="15"/>
  <c r="H97" i="15" s="1"/>
  <c r="E70" i="15"/>
  <c r="E92" i="15"/>
  <c r="E10" i="15"/>
  <c r="E158" i="15"/>
  <c r="H158" i="15" s="1"/>
  <c r="E90" i="15"/>
  <c r="H90" i="15" s="1"/>
  <c r="E73" i="15"/>
  <c r="H73" i="15" s="1"/>
  <c r="E159" i="15"/>
  <c r="H159" i="15" s="1"/>
  <c r="E162" i="15"/>
  <c r="H162" i="15" s="1"/>
  <c r="E96" i="15"/>
  <c r="E86" i="15"/>
  <c r="H86" i="15" s="1"/>
  <c r="E69" i="15"/>
  <c r="E88" i="15"/>
  <c r="H88" i="15" s="1"/>
  <c r="E68" i="15"/>
  <c r="E79" i="15"/>
  <c r="E78" i="15"/>
  <c r="H78" i="15" s="1"/>
  <c r="E89" i="15"/>
  <c r="H89" i="15" s="1"/>
  <c r="E81" i="15"/>
  <c r="H81" i="15" s="1"/>
  <c r="E66" i="15"/>
  <c r="E76" i="15"/>
  <c r="E95" i="15"/>
  <c r="H94" i="15"/>
  <c r="E157" i="15"/>
  <c r="E74" i="15"/>
  <c r="H74" i="15" s="1"/>
  <c r="E83" i="15"/>
  <c r="H83" i="15" s="1"/>
  <c r="E77" i="15"/>
  <c r="H77" i="15" s="1"/>
  <c r="E84" i="15"/>
  <c r="H84" i="15" s="1"/>
  <c r="E67" i="15"/>
  <c r="E82" i="15"/>
  <c r="H82" i="15" s="1"/>
  <c r="E32" i="15"/>
  <c r="H32" i="15" s="1"/>
  <c r="E91" i="15"/>
  <c r="H91" i="15" s="1"/>
  <c r="D30" i="15"/>
  <c r="D92" i="15"/>
  <c r="D77" i="15"/>
  <c r="D86" i="15"/>
  <c r="D78" i="15"/>
  <c r="D74" i="15"/>
  <c r="D82" i="15"/>
  <c r="D161" i="15"/>
  <c r="D81" i="15"/>
  <c r="D71" i="15"/>
  <c r="D157" i="15"/>
  <c r="D73" i="15"/>
  <c r="D66" i="15"/>
  <c r="D70" i="15"/>
  <c r="D88" i="15"/>
  <c r="D76" i="15"/>
  <c r="D87" i="15"/>
  <c r="D159" i="15"/>
  <c r="D90" i="15"/>
  <c r="D91" i="15"/>
  <c r="D67" i="15"/>
  <c r="D85" i="15"/>
  <c r="D79" i="15"/>
  <c r="D95" i="15"/>
  <c r="D96" i="15"/>
  <c r="D158" i="15"/>
  <c r="D68" i="15"/>
  <c r="D97" i="15"/>
  <c r="D32" i="15"/>
  <c r="D84" i="15"/>
  <c r="F33" i="14" l="1"/>
  <c r="H148" i="15"/>
  <c r="H147" i="15"/>
  <c r="H146" i="15"/>
  <c r="H145" i="15"/>
  <c r="H134" i="15"/>
  <c r="H112" i="15"/>
  <c r="H133" i="15"/>
  <c r="H131" i="15"/>
  <c r="H130" i="15"/>
  <c r="H127" i="15"/>
  <c r="H126" i="15"/>
  <c r="H125" i="15"/>
  <c r="H123" i="15"/>
  <c r="H121" i="15"/>
  <c r="H120" i="15"/>
  <c r="H118" i="15"/>
  <c r="H117" i="15"/>
  <c r="H116" i="15"/>
  <c r="H115" i="15"/>
  <c r="H111" i="15"/>
  <c r="H110" i="15"/>
  <c r="H109" i="15"/>
  <c r="H107" i="15"/>
  <c r="H106" i="15"/>
  <c r="H105" i="15"/>
  <c r="H104" i="15"/>
  <c r="H103" i="15"/>
  <c r="H102" i="15"/>
  <c r="H101" i="15"/>
  <c r="H67" i="15"/>
  <c r="H76" i="15"/>
  <c r="H79" i="15"/>
  <c r="H68" i="15"/>
  <c r="H69" i="15"/>
  <c r="H96" i="15"/>
  <c r="H92" i="15"/>
  <c r="H70" i="15"/>
  <c r="H71" i="15"/>
  <c r="H31" i="15"/>
  <c r="H72" i="15"/>
  <c r="H146" i="14"/>
  <c r="H134" i="14"/>
  <c r="G212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H124" i="14"/>
  <c r="H126" i="14"/>
  <c r="H99" i="15"/>
  <c r="H98" i="15"/>
  <c r="H59" i="15"/>
  <c r="H58" i="15"/>
  <c r="H51" i="15"/>
  <c r="H46" i="15"/>
  <c r="H45" i="15"/>
  <c r="H44" i="15"/>
  <c r="H42" i="15"/>
  <c r="H41" i="15"/>
  <c r="H36" i="15"/>
  <c r="H35" i="15"/>
  <c r="H11" i="15"/>
  <c r="H43" i="15"/>
  <c r="H39" i="15"/>
  <c r="H34" i="15"/>
  <c r="H16" i="15"/>
  <c r="H13" i="15"/>
  <c r="H12" i="15"/>
  <c r="H74" i="14"/>
  <c r="F107" i="14"/>
  <c r="Q158" i="19"/>
  <c r="S158" i="19" s="1"/>
  <c r="Q159" i="19"/>
  <c r="S159" i="19" s="1"/>
  <c r="Q162" i="19"/>
  <c r="S162" i="19" s="1"/>
  <c r="Q161" i="19"/>
  <c r="S161" i="19" s="1"/>
  <c r="Q69" i="19"/>
  <c r="E93" i="19"/>
  <c r="E153" i="19" s="1"/>
  <c r="E154" i="19" s="1"/>
  <c r="Q157" i="19"/>
  <c r="E163" i="19"/>
  <c r="H39" i="14"/>
  <c r="H20" i="14"/>
  <c r="H54" i="14"/>
  <c r="H13" i="14"/>
  <c r="H59" i="14"/>
  <c r="H38" i="14"/>
  <c r="H19" i="14"/>
  <c r="H43" i="14"/>
  <c r="H22" i="14"/>
  <c r="H42" i="14"/>
  <c r="S134" i="18"/>
  <c r="G144" i="18"/>
  <c r="S135" i="18"/>
  <c r="S136" i="18"/>
  <c r="S131" i="18"/>
  <c r="M137" i="18"/>
  <c r="M142" i="18" s="1"/>
  <c r="L137" i="18"/>
  <c r="L142" i="18" s="1"/>
  <c r="K137" i="18"/>
  <c r="K142" i="18" s="1"/>
  <c r="J137" i="18"/>
  <c r="J142" i="18" s="1"/>
  <c r="I137" i="18"/>
  <c r="I142" i="18" s="1"/>
  <c r="H137" i="18"/>
  <c r="H142" i="18" s="1"/>
  <c r="G137" i="18"/>
  <c r="G142" i="18" s="1"/>
  <c r="F137" i="18"/>
  <c r="F142" i="18" s="1"/>
  <c r="E137" i="18"/>
  <c r="E142" i="18" s="1"/>
  <c r="E154" i="18" s="1"/>
  <c r="S133" i="18"/>
  <c r="P139" i="18"/>
  <c r="O141" i="18"/>
  <c r="P12" i="24"/>
  <c r="R12" i="24" s="1"/>
  <c r="P10" i="24"/>
  <c r="R10" i="24" s="1"/>
  <c r="P132" i="18"/>
  <c r="O137" i="18"/>
  <c r="N142" i="18"/>
  <c r="P124" i="18"/>
  <c r="O129" i="18"/>
  <c r="O142" i="18" s="1"/>
  <c r="S17" i="18"/>
  <c r="S73" i="18"/>
  <c r="S78" i="18"/>
  <c r="S70" i="18"/>
  <c r="S71" i="18"/>
  <c r="S72" i="18"/>
  <c r="H69" i="14"/>
  <c r="F83" i="14"/>
  <c r="H133" i="14"/>
  <c r="F139" i="14"/>
  <c r="F152" i="15"/>
  <c r="F69" i="18"/>
  <c r="E80" i="18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D80" i="18"/>
  <c r="E79" i="18"/>
  <c r="D79" i="18"/>
  <c r="E81" i="18"/>
  <c r="F81" i="18" s="1"/>
  <c r="G81" i="18" s="1"/>
  <c r="H81" i="18" s="1"/>
  <c r="I81" i="18" s="1"/>
  <c r="J81" i="18" s="1"/>
  <c r="K81" i="18" s="1"/>
  <c r="L81" i="18" s="1"/>
  <c r="M81" i="18" s="1"/>
  <c r="N81" i="18" s="1"/>
  <c r="O81" i="18" s="1"/>
  <c r="P81" i="18" s="1"/>
  <c r="Q81" i="18" s="1"/>
  <c r="D81" i="18"/>
  <c r="F63" i="18"/>
  <c r="E65" i="18"/>
  <c r="P18" i="18"/>
  <c r="O33" i="18"/>
  <c r="P46" i="18"/>
  <c r="O50" i="18"/>
  <c r="F19" i="25"/>
  <c r="E19" i="25"/>
  <c r="D19" i="25"/>
  <c r="P19" i="25" s="1"/>
  <c r="R19" i="25" s="1"/>
  <c r="F16" i="25"/>
  <c r="E16" i="25"/>
  <c r="D16" i="25"/>
  <c r="P16" i="25" s="1"/>
  <c r="R16" i="25" s="1"/>
  <c r="F9" i="25"/>
  <c r="E9" i="25"/>
  <c r="D9" i="25"/>
  <c r="P9" i="25" s="1"/>
  <c r="R9" i="25" s="1"/>
  <c r="E17" i="12"/>
  <c r="D17" i="12"/>
  <c r="F17" i="12" s="1"/>
  <c r="F116" i="14"/>
  <c r="H114" i="14"/>
  <c r="H109" i="14"/>
  <c r="F112" i="14"/>
  <c r="H86" i="14"/>
  <c r="F50" i="14"/>
  <c r="D152" i="15"/>
  <c r="H144" i="15"/>
  <c r="D142" i="15"/>
  <c r="H139" i="15"/>
  <c r="F142" i="15"/>
  <c r="D61" i="15"/>
  <c r="H56" i="15"/>
  <c r="F61" i="15"/>
  <c r="D26" i="15"/>
  <c r="H19" i="15"/>
  <c r="F26" i="15"/>
  <c r="D107" i="14"/>
  <c r="D117" i="14" s="1"/>
  <c r="G139" i="10"/>
  <c r="G191" i="10"/>
  <c r="G188" i="10"/>
  <c r="G150" i="10"/>
  <c r="G204" i="10"/>
  <c r="G190" i="10"/>
  <c r="G187" i="10"/>
  <c r="G179" i="10"/>
  <c r="G155" i="10"/>
  <c r="G137" i="10"/>
  <c r="G132" i="10"/>
  <c r="G148" i="10"/>
  <c r="G202" i="10"/>
  <c r="G198" i="10"/>
  <c r="G209" i="10"/>
  <c r="G177" i="10"/>
  <c r="G201" i="10"/>
  <c r="G183" i="10"/>
  <c r="G166" i="10"/>
  <c r="G172" i="10"/>
  <c r="G130" i="10"/>
  <c r="G211" i="10"/>
  <c r="G197" i="10"/>
  <c r="G185" i="10"/>
  <c r="G159" i="10"/>
  <c r="G141" i="10"/>
  <c r="G205" i="10"/>
  <c r="G119" i="10"/>
  <c r="G208" i="10"/>
  <c r="G194" i="10"/>
  <c r="G170" i="10"/>
  <c r="G157" i="10"/>
  <c r="G207" i="10"/>
  <c r="G200" i="10"/>
  <c r="G193" i="10"/>
  <c r="G173" i="10"/>
  <c r="G164" i="10"/>
  <c r="G144" i="10"/>
  <c r="G126" i="10"/>
  <c r="G134" i="10"/>
  <c r="G125" i="10"/>
  <c r="G123" i="10"/>
  <c r="G165" i="10"/>
  <c r="G206" i="10"/>
  <c r="G195" i="10"/>
  <c r="G176" i="10"/>
  <c r="G158" i="10"/>
  <c r="G147" i="10"/>
  <c r="G145" i="10"/>
  <c r="G118" i="10"/>
  <c r="G116" i="10"/>
  <c r="G152" i="10"/>
  <c r="G210" i="10"/>
  <c r="G199" i="10"/>
  <c r="G192" i="10"/>
  <c r="G184" i="10"/>
  <c r="G182" i="10"/>
  <c r="G169" i="10"/>
  <c r="G140" i="10"/>
  <c r="G138" i="10"/>
  <c r="G127" i="10"/>
  <c r="G203" i="10"/>
  <c r="G196" i="10"/>
  <c r="G189" i="10"/>
  <c r="G180" i="10"/>
  <c r="G171" i="10"/>
  <c r="G162" i="10"/>
  <c r="G151" i="10"/>
  <c r="G133" i="10"/>
  <c r="G120" i="10"/>
  <c r="G186" i="10"/>
  <c r="G175" i="10"/>
  <c r="G168" i="10"/>
  <c r="G161" i="10"/>
  <c r="G154" i="10"/>
  <c r="G143" i="10"/>
  <c r="G136" i="10"/>
  <c r="G129" i="10"/>
  <c r="G122" i="10"/>
  <c r="G181" i="10"/>
  <c r="G174" i="10"/>
  <c r="G163" i="10"/>
  <c r="G156" i="10"/>
  <c r="G149" i="10"/>
  <c r="G142" i="10"/>
  <c r="G131" i="10"/>
  <c r="G124" i="10"/>
  <c r="G117" i="10"/>
  <c r="G178" i="10"/>
  <c r="G167" i="10"/>
  <c r="G160" i="10"/>
  <c r="G153" i="10"/>
  <c r="G146" i="10"/>
  <c r="G135" i="10"/>
  <c r="G128" i="10"/>
  <c r="G121" i="10"/>
  <c r="K58" i="24"/>
  <c r="L58" i="24"/>
  <c r="G108" i="10"/>
  <c r="G106" i="10"/>
  <c r="G101" i="10"/>
  <c r="G112" i="10"/>
  <c r="G83" i="10"/>
  <c r="G89" i="10"/>
  <c r="G115" i="10"/>
  <c r="G113" i="10"/>
  <c r="G97" i="10"/>
  <c r="G105" i="10"/>
  <c r="G96" i="10"/>
  <c r="G85" i="10"/>
  <c r="G107" i="10"/>
  <c r="G98" i="10"/>
  <c r="G93" i="10"/>
  <c r="G109" i="10"/>
  <c r="G100" i="10"/>
  <c r="G95" i="10"/>
  <c r="G90" i="10"/>
  <c r="G87" i="10"/>
  <c r="G84" i="10"/>
  <c r="G81" i="10"/>
  <c r="G102" i="10"/>
  <c r="G80" i="10"/>
  <c r="G111" i="10"/>
  <c r="G104" i="10"/>
  <c r="G92" i="10"/>
  <c r="G88" i="10"/>
  <c r="G82" i="10"/>
  <c r="G110" i="10"/>
  <c r="G99" i="10"/>
  <c r="G91" i="10"/>
  <c r="G79" i="10"/>
  <c r="G114" i="10"/>
  <c r="G103" i="10"/>
  <c r="G94" i="10"/>
  <c r="G86" i="10"/>
  <c r="G78" i="10"/>
  <c r="G77" i="10"/>
  <c r="G74" i="10"/>
  <c r="G75" i="10"/>
  <c r="G76" i="10"/>
  <c r="G73" i="10"/>
  <c r="E16" i="29"/>
  <c r="F16" i="29"/>
  <c r="G16" i="29"/>
  <c r="H16" i="29" s="1"/>
  <c r="E11" i="29"/>
  <c r="E12" i="29"/>
  <c r="E13" i="29"/>
  <c r="E14" i="29"/>
  <c r="E15" i="29"/>
  <c r="H71" i="24"/>
  <c r="G26" i="24"/>
  <c r="G27" i="24"/>
  <c r="G31" i="24"/>
  <c r="G29" i="24"/>
  <c r="G16" i="24"/>
  <c r="F11" i="22"/>
  <c r="F11" i="24"/>
  <c r="F27" i="24"/>
  <c r="P27" i="24" s="1"/>
  <c r="R27" i="24" s="1"/>
  <c r="F26" i="24"/>
  <c r="P26" i="24" s="1"/>
  <c r="R26" i="24" s="1"/>
  <c r="G34" i="10"/>
  <c r="G29" i="10"/>
  <c r="E31" i="24"/>
  <c r="E11" i="24"/>
  <c r="E11" i="22"/>
  <c r="E25" i="24"/>
  <c r="K16" i="24"/>
  <c r="E67" i="24"/>
  <c r="D31" i="24"/>
  <c r="D137" i="15"/>
  <c r="H95" i="15"/>
  <c r="F137" i="15"/>
  <c r="D93" i="15"/>
  <c r="D153" i="15" s="1"/>
  <c r="F93" i="15"/>
  <c r="I16" i="24"/>
  <c r="D35" i="24"/>
  <c r="I48" i="24"/>
  <c r="D30" i="24"/>
  <c r="I25" i="24"/>
  <c r="D29" i="24"/>
  <c r="D28" i="24"/>
  <c r="D25" i="24"/>
  <c r="D11" i="24"/>
  <c r="P11" i="24" s="1"/>
  <c r="R11" i="24" s="1"/>
  <c r="D11" i="22"/>
  <c r="P11" i="22" s="1"/>
  <c r="R11" i="22" s="1"/>
  <c r="G37" i="6"/>
  <c r="I25" i="6"/>
  <c r="I37" i="6" s="1"/>
  <c r="G53" i="6"/>
  <c r="I41" i="6"/>
  <c r="I53" i="6" s="1"/>
  <c r="G69" i="6"/>
  <c r="I57" i="6"/>
  <c r="I69" i="6" s="1"/>
  <c r="D54" i="15"/>
  <c r="D62" i="15" s="1"/>
  <c r="F54" i="15"/>
  <c r="F62" i="15" s="1"/>
  <c r="F74" i="24"/>
  <c r="H66" i="15"/>
  <c r="F153" i="15"/>
  <c r="J153" i="15" s="1"/>
  <c r="L153" i="15" s="1"/>
  <c r="F28" i="24"/>
  <c r="I28" i="24"/>
  <c r="D17" i="15"/>
  <c r="D27" i="15" s="1"/>
  <c r="D63" i="15" s="1"/>
  <c r="H10" i="15"/>
  <c r="F17" i="15"/>
  <c r="F27" i="15" s="1"/>
  <c r="F63" i="15" s="1"/>
  <c r="M68" i="24"/>
  <c r="L28" i="24"/>
  <c r="G28" i="24"/>
  <c r="I74" i="24"/>
  <c r="E28" i="24"/>
  <c r="E74" i="24"/>
  <c r="N28" i="24"/>
  <c r="K28" i="24"/>
  <c r="J28" i="24"/>
  <c r="D74" i="24"/>
  <c r="P74" i="24" s="1"/>
  <c r="R74" i="24" s="1"/>
  <c r="H141" i="14"/>
  <c r="F143" i="14"/>
  <c r="D143" i="14"/>
  <c r="D139" i="14"/>
  <c r="F131" i="14"/>
  <c r="H85" i="14"/>
  <c r="F85" i="14"/>
  <c r="F117" i="14" s="1"/>
  <c r="D65" i="14"/>
  <c r="D83" i="14"/>
  <c r="D55" i="14"/>
  <c r="D44" i="14"/>
  <c r="D51" i="14" s="1"/>
  <c r="H36" i="14"/>
  <c r="F44" i="14"/>
  <c r="F51" i="14" s="1"/>
  <c r="D33" i="14"/>
  <c r="K68" i="24"/>
  <c r="M66" i="24"/>
  <c r="O68" i="24"/>
  <c r="E65" i="24"/>
  <c r="H65" i="24"/>
  <c r="K65" i="24"/>
  <c r="J68" i="24"/>
  <c r="N68" i="24"/>
  <c r="F68" i="24"/>
  <c r="D68" i="24"/>
  <c r="P68" i="24" s="1"/>
  <c r="R68" i="24" s="1"/>
  <c r="E68" i="24"/>
  <c r="L71" i="24"/>
  <c r="L68" i="24"/>
  <c r="I68" i="24"/>
  <c r="H68" i="24"/>
  <c r="L65" i="24"/>
  <c r="G74" i="24"/>
  <c r="F65" i="24"/>
  <c r="M65" i="24"/>
  <c r="D66" i="24"/>
  <c r="N65" i="24"/>
  <c r="O74" i="24"/>
  <c r="O28" i="24"/>
  <c r="M74" i="24"/>
  <c r="J74" i="24"/>
  <c r="H28" i="24"/>
  <c r="N74" i="24"/>
  <c r="G69" i="24"/>
  <c r="K74" i="24"/>
  <c r="M28" i="24"/>
  <c r="L74" i="24"/>
  <c r="I69" i="24"/>
  <c r="I67" i="24"/>
  <c r="I75" i="24"/>
  <c r="D65" i="24"/>
  <c r="J65" i="24"/>
  <c r="O75" i="24"/>
  <c r="D75" i="24"/>
  <c r="P75" i="24" s="1"/>
  <c r="R75" i="24" s="1"/>
  <c r="K69" i="24"/>
  <c r="H75" i="24"/>
  <c r="L75" i="24"/>
  <c r="G75" i="24"/>
  <c r="M75" i="24"/>
  <c r="K75" i="24"/>
  <c r="J71" i="24"/>
  <c r="J75" i="24"/>
  <c r="D71" i="24"/>
  <c r="F75" i="24"/>
  <c r="E66" i="24"/>
  <c r="E75" i="24"/>
  <c r="O66" i="24"/>
  <c r="O71" i="24"/>
  <c r="O65" i="24"/>
  <c r="F69" i="24"/>
  <c r="G66" i="24"/>
  <c r="N71" i="24"/>
  <c r="E71" i="24"/>
  <c r="F71" i="24"/>
  <c r="G71" i="24"/>
  <c r="J66" i="24"/>
  <c r="M71" i="24"/>
  <c r="I71" i="24"/>
  <c r="H66" i="24"/>
  <c r="N66" i="24"/>
  <c r="M69" i="24"/>
  <c r="L66" i="24"/>
  <c r="J69" i="24"/>
  <c r="M67" i="24"/>
  <c r="K71" i="24"/>
  <c r="K66" i="24"/>
  <c r="K67" i="24"/>
  <c r="F66" i="24"/>
  <c r="J67" i="24"/>
  <c r="L67" i="24"/>
  <c r="H67" i="24"/>
  <c r="N67" i="24"/>
  <c r="U131" i="4"/>
  <c r="U12" i="4"/>
  <c r="U45" i="4"/>
  <c r="U78" i="4"/>
  <c r="U112" i="4"/>
  <c r="U41" i="4"/>
  <c r="U96" i="4"/>
  <c r="U85" i="4"/>
  <c r="U63" i="4"/>
  <c r="U33" i="4"/>
  <c r="U56" i="4"/>
  <c r="U67" i="4"/>
  <c r="U124" i="4"/>
  <c r="U108" i="4"/>
  <c r="U89" i="4"/>
  <c r="U74" i="4"/>
  <c r="U29" i="4"/>
  <c r="U100" i="4"/>
  <c r="U18" i="4"/>
  <c r="U22" i="4"/>
  <c r="U118" i="4"/>
  <c r="U52" i="4"/>
  <c r="U134" i="4"/>
  <c r="U136" i="4"/>
  <c r="U111" i="4"/>
  <c r="U68" i="4"/>
  <c r="U32" i="4"/>
  <c r="U46" i="4"/>
  <c r="U77" i="4"/>
  <c r="U114" i="4"/>
  <c r="U57" i="4"/>
  <c r="U99" i="4"/>
  <c r="U101" i="4"/>
  <c r="U79" i="4"/>
  <c r="U90" i="4"/>
  <c r="U44" i="4"/>
  <c r="U34" i="4"/>
  <c r="U88" i="4"/>
  <c r="U66" i="4"/>
  <c r="U55" i="4"/>
  <c r="G14" i="24"/>
  <c r="F25" i="24"/>
  <c r="G25" i="24"/>
  <c r="G61" i="24" s="1"/>
  <c r="K14" i="24"/>
  <c r="I14" i="24"/>
  <c r="O14" i="24"/>
  <c r="H14" i="24"/>
  <c r="M48" i="24"/>
  <c r="L14" i="24"/>
  <c r="U123" i="4"/>
  <c r="U125" i="4"/>
  <c r="F48" i="24"/>
  <c r="F16" i="24"/>
  <c r="F21" i="24" s="1"/>
  <c r="J14" i="24"/>
  <c r="E16" i="24"/>
  <c r="E21" i="24" s="1"/>
  <c r="E14" i="24"/>
  <c r="O67" i="24"/>
  <c r="F67" i="24"/>
  <c r="G67" i="24"/>
  <c r="D67" i="24"/>
  <c r="J73" i="24"/>
  <c r="O73" i="24"/>
  <c r="L73" i="24"/>
  <c r="G73" i="24"/>
  <c r="M73" i="24"/>
  <c r="D73" i="24"/>
  <c r="E73" i="24"/>
  <c r="K73" i="24"/>
  <c r="F73" i="24"/>
  <c r="N73" i="24"/>
  <c r="H73" i="24"/>
  <c r="E69" i="24"/>
  <c r="D69" i="24"/>
  <c r="H69" i="24"/>
  <c r="L69" i="24"/>
  <c r="E72" i="24"/>
  <c r="N72" i="24"/>
  <c r="K72" i="24"/>
  <c r="H72" i="24"/>
  <c r="F72" i="24"/>
  <c r="L72" i="24"/>
  <c r="I72" i="24"/>
  <c r="I77" i="24" s="1"/>
  <c r="G72" i="24"/>
  <c r="O72" i="24"/>
  <c r="D72" i="24"/>
  <c r="J72" i="24"/>
  <c r="M72" i="24"/>
  <c r="N25" i="24"/>
  <c r="M25" i="24"/>
  <c r="M61" i="24" s="1"/>
  <c r="N16" i="24"/>
  <c r="N21" i="24" s="1"/>
  <c r="M16" i="24"/>
  <c r="M21" i="24" s="1"/>
  <c r="M14" i="24"/>
  <c r="U23" i="4"/>
  <c r="U21" i="4"/>
  <c r="N48" i="24"/>
  <c r="H12" i="14"/>
  <c r="F16" i="14"/>
  <c r="H57" i="14"/>
  <c r="F65" i="14"/>
  <c r="U11" i="4"/>
  <c r="H53" i="14"/>
  <c r="F55" i="14"/>
  <c r="H18" i="14"/>
  <c r="D16" i="14"/>
  <c r="U13" i="4"/>
  <c r="N14" i="24"/>
  <c r="L32" i="24"/>
  <c r="P32" i="24" s="1"/>
  <c r="R32" i="24" s="1"/>
  <c r="L25" i="24"/>
  <c r="U10" i="4"/>
  <c r="D14" i="24"/>
  <c r="P19" i="24"/>
  <c r="R19" i="24" s="1"/>
  <c r="D163" i="15"/>
  <c r="F163" i="15"/>
  <c r="G20" i="6"/>
  <c r="D20" i="12"/>
  <c r="F86" i="6"/>
  <c r="F20" i="6"/>
  <c r="E12" i="18"/>
  <c r="E16" i="18" s="1"/>
  <c r="E34" i="18" s="1"/>
  <c r="G11" i="18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S11" i="18" s="1"/>
  <c r="E11" i="18"/>
  <c r="F11" i="18"/>
  <c r="P43" i="24"/>
  <c r="R43" i="24" s="1"/>
  <c r="P30" i="24"/>
  <c r="R30" i="24" s="1"/>
  <c r="P47" i="24"/>
  <c r="R47" i="24" s="1"/>
  <c r="P29" i="24"/>
  <c r="R29" i="24" s="1"/>
  <c r="P60" i="24"/>
  <c r="R60" i="24" s="1"/>
  <c r="K61" i="24"/>
  <c r="P37" i="24"/>
  <c r="R37" i="24" s="1"/>
  <c r="P54" i="24"/>
  <c r="R54" i="24" s="1"/>
  <c r="P42" i="24"/>
  <c r="R42" i="24" s="1"/>
  <c r="I21" i="24"/>
  <c r="P17" i="24"/>
  <c r="R17" i="24" s="1"/>
  <c r="L21" i="24"/>
  <c r="K21" i="24"/>
  <c r="G21" i="24"/>
  <c r="P28" i="24"/>
  <c r="R28" i="24" s="1"/>
  <c r="O21" i="24"/>
  <c r="P31" i="24"/>
  <c r="R31" i="24" s="1"/>
  <c r="P59" i="24"/>
  <c r="R59" i="24" s="1"/>
  <c r="P46" i="24"/>
  <c r="R46" i="24" s="1"/>
  <c r="P52" i="24"/>
  <c r="R52" i="24" s="1"/>
  <c r="P18" i="24"/>
  <c r="R18" i="24" s="1"/>
  <c r="P40" i="24"/>
  <c r="R40" i="24" s="1"/>
  <c r="J21" i="24"/>
  <c r="P39" i="24"/>
  <c r="R39" i="24" s="1"/>
  <c r="P38" i="24"/>
  <c r="R38" i="24" s="1"/>
  <c r="P55" i="24"/>
  <c r="R55" i="24" s="1"/>
  <c r="P35" i="24"/>
  <c r="R35" i="24" s="1"/>
  <c r="J61" i="24"/>
  <c r="H21" i="24"/>
  <c r="H61" i="24"/>
  <c r="E61" i="24"/>
  <c r="I61" i="24"/>
  <c r="P20" i="24"/>
  <c r="R20" i="24" s="1"/>
  <c r="O61" i="24"/>
  <c r="P36" i="24"/>
  <c r="R36" i="24" s="1"/>
  <c r="G11" i="29"/>
  <c r="G13" i="29"/>
  <c r="G15" i="29"/>
  <c r="F11" i="29"/>
  <c r="F13" i="29"/>
  <c r="G14" i="29"/>
  <c r="F15" i="29"/>
  <c r="F14" i="29"/>
  <c r="F12" i="29"/>
  <c r="G12" i="29"/>
  <c r="G57" i="18"/>
  <c r="D10" i="21"/>
  <c r="G10" i="21" s="1"/>
  <c r="D61" i="24"/>
  <c r="D21" i="24"/>
  <c r="F10" i="12"/>
  <c r="H86" i="6"/>
  <c r="I76" i="6"/>
  <c r="I75" i="6"/>
  <c r="I8" i="6"/>
  <c r="D8" i="3"/>
  <c r="E9" i="3"/>
  <c r="D9" i="3"/>
  <c r="D10" i="3"/>
  <c r="E10" i="3"/>
  <c r="E8" i="3"/>
  <c r="H20" i="6"/>
  <c r="F14" i="24"/>
  <c r="I9" i="6"/>
  <c r="I10" i="6"/>
  <c r="G8" i="20"/>
  <c r="G86" i="6"/>
  <c r="I74" i="6"/>
  <c r="F11" i="12"/>
  <c r="E44" i="18"/>
  <c r="D11" i="16"/>
  <c r="G11" i="16" s="1"/>
  <c r="E20" i="16"/>
  <c r="D14" i="16"/>
  <c r="D9" i="16"/>
  <c r="L280" i="13"/>
  <c r="H30" i="15"/>
  <c r="G10" i="16"/>
  <c r="H157" i="15"/>
  <c r="K280" i="13"/>
  <c r="H280" i="13"/>
  <c r="J280" i="13"/>
  <c r="E164" i="19" l="1"/>
  <c r="F152" i="18" s="1"/>
  <c r="S157" i="19"/>
  <c r="Q163" i="19"/>
  <c r="S163" i="19" s="1"/>
  <c r="S69" i="19"/>
  <c r="Q93" i="19"/>
  <c r="H144" i="18"/>
  <c r="Q139" i="18"/>
  <c r="P141" i="18"/>
  <c r="Q124" i="18"/>
  <c r="P129" i="18"/>
  <c r="Q132" i="18"/>
  <c r="P137" i="18"/>
  <c r="S81" i="18"/>
  <c r="S80" i="18"/>
  <c r="F79" i="18"/>
  <c r="G79" i="18" s="1"/>
  <c r="H79" i="18" s="1"/>
  <c r="I79" i="18" s="1"/>
  <c r="J79" i="18" s="1"/>
  <c r="K79" i="18" s="1"/>
  <c r="L79" i="18" s="1"/>
  <c r="M79" i="18" s="1"/>
  <c r="N79" i="18" s="1"/>
  <c r="O79" i="18" s="1"/>
  <c r="P79" i="18" s="1"/>
  <c r="Q79" i="18" s="1"/>
  <c r="E83" i="18"/>
  <c r="E115" i="18" s="1"/>
  <c r="G69" i="18"/>
  <c r="F83" i="18"/>
  <c r="F115" i="18" s="1"/>
  <c r="G63" i="18"/>
  <c r="F65" i="18"/>
  <c r="E51" i="18"/>
  <c r="E66" i="18" s="1"/>
  <c r="E116" i="18" s="1"/>
  <c r="Q46" i="18"/>
  <c r="P50" i="18"/>
  <c r="Q18" i="18"/>
  <c r="P33" i="18"/>
  <c r="P58" i="24"/>
  <c r="R58" i="24" s="1"/>
  <c r="P71" i="24"/>
  <c r="R71" i="24" s="1"/>
  <c r="P65" i="24"/>
  <c r="R65" i="24" s="1"/>
  <c r="P66" i="24"/>
  <c r="R66" i="24" s="1"/>
  <c r="J77" i="24"/>
  <c r="K77" i="24"/>
  <c r="M18" i="2"/>
  <c r="L21" i="2"/>
  <c r="K19" i="2"/>
  <c r="F61" i="24"/>
  <c r="M21" i="2"/>
  <c r="M77" i="24"/>
  <c r="R17" i="2"/>
  <c r="O18" i="2"/>
  <c r="L18" i="2"/>
  <c r="J14" i="2"/>
  <c r="T14" i="2" s="1"/>
  <c r="J12" i="2"/>
  <c r="T12" i="2" s="1"/>
  <c r="H21" i="2"/>
  <c r="O77" i="24"/>
  <c r="P67" i="24"/>
  <c r="R67" i="24" s="1"/>
  <c r="F77" i="24"/>
  <c r="H77" i="24"/>
  <c r="G77" i="24"/>
  <c r="R21" i="2"/>
  <c r="N77" i="24"/>
  <c r="D77" i="24"/>
  <c r="E77" i="24"/>
  <c r="L77" i="24"/>
  <c r="K20" i="2"/>
  <c r="M20" i="2"/>
  <c r="P21" i="2"/>
  <c r="R20" i="2"/>
  <c r="P69" i="24"/>
  <c r="R69" i="24" s="1"/>
  <c r="P73" i="24"/>
  <c r="R73" i="24" s="1"/>
  <c r="D34" i="14"/>
  <c r="E28" i="16" s="1"/>
  <c r="S20" i="2"/>
  <c r="O20" i="2"/>
  <c r="N61" i="24"/>
  <c r="I20" i="2"/>
  <c r="H20" i="2"/>
  <c r="L19" i="2"/>
  <c r="K21" i="2"/>
  <c r="H18" i="2"/>
  <c r="H19" i="2"/>
  <c r="O19" i="2"/>
  <c r="K17" i="2"/>
  <c r="J18" i="2"/>
  <c r="H17" i="2"/>
  <c r="I17" i="2"/>
  <c r="Q20" i="2"/>
  <c r="W20" i="2" s="1"/>
  <c r="S17" i="2"/>
  <c r="P48" i="24"/>
  <c r="R48" i="24" s="1"/>
  <c r="R19" i="2"/>
  <c r="M17" i="2"/>
  <c r="N18" i="2"/>
  <c r="P19" i="2"/>
  <c r="P18" i="2"/>
  <c r="P20" i="2"/>
  <c r="O21" i="2"/>
  <c r="Q21" i="2"/>
  <c r="S19" i="2"/>
  <c r="S18" i="2"/>
  <c r="L17" i="2"/>
  <c r="N19" i="2"/>
  <c r="S21" i="2"/>
  <c r="R18" i="2"/>
  <c r="M19" i="2"/>
  <c r="I21" i="2"/>
  <c r="I18" i="2"/>
  <c r="N21" i="2"/>
  <c r="P17" i="2"/>
  <c r="J19" i="2"/>
  <c r="L20" i="2"/>
  <c r="J21" i="2"/>
  <c r="Q19" i="2"/>
  <c r="J20" i="2"/>
  <c r="I19" i="2"/>
  <c r="O17" i="2"/>
  <c r="N20" i="2"/>
  <c r="Q17" i="2"/>
  <c r="J17" i="2"/>
  <c r="K18" i="2"/>
  <c r="N17" i="2"/>
  <c r="Q18" i="2"/>
  <c r="P72" i="24"/>
  <c r="R72" i="24" s="1"/>
  <c r="P25" i="24"/>
  <c r="R25" i="24" s="1"/>
  <c r="B13" i="20"/>
  <c r="P16" i="24"/>
  <c r="R16" i="24" s="1"/>
  <c r="E41" i="20"/>
  <c r="F41" i="20" s="1"/>
  <c r="E42" i="20"/>
  <c r="F42" i="20" s="1"/>
  <c r="E38" i="20"/>
  <c r="F38" i="20" s="1"/>
  <c r="E15" i="20"/>
  <c r="F15" i="20" s="1"/>
  <c r="F34" i="14"/>
  <c r="E20" i="20"/>
  <c r="F20" i="20" s="1"/>
  <c r="E36" i="20"/>
  <c r="F36" i="20" s="1"/>
  <c r="E17" i="20"/>
  <c r="F17" i="20" s="1"/>
  <c r="E45" i="20"/>
  <c r="F45" i="20" s="1"/>
  <c r="E39" i="20"/>
  <c r="F39" i="20" s="1"/>
  <c r="E27" i="20"/>
  <c r="F27" i="20" s="1"/>
  <c r="E21" i="20"/>
  <c r="F21" i="20" s="1"/>
  <c r="E32" i="20"/>
  <c r="F32" i="20" s="1"/>
  <c r="E30" i="20"/>
  <c r="F30" i="20" s="1"/>
  <c r="E35" i="20"/>
  <c r="F35" i="20" s="1"/>
  <c r="E37" i="20"/>
  <c r="F37" i="20" s="1"/>
  <c r="E40" i="20"/>
  <c r="F40" i="20" s="1"/>
  <c r="E46" i="20"/>
  <c r="F46" i="20" s="1"/>
  <c r="E43" i="20"/>
  <c r="F43" i="20" s="1"/>
  <c r="E22" i="20"/>
  <c r="F22" i="20" s="1"/>
  <c r="E18" i="20"/>
  <c r="F18" i="20" s="1"/>
  <c r="E23" i="20"/>
  <c r="F23" i="20" s="1"/>
  <c r="E26" i="20"/>
  <c r="F26" i="20" s="1"/>
  <c r="E31" i="20"/>
  <c r="F31" i="20" s="1"/>
  <c r="E13" i="20"/>
  <c r="F13" i="20" s="1"/>
  <c r="E25" i="20"/>
  <c r="F25" i="20" s="1"/>
  <c r="E34" i="20"/>
  <c r="F34" i="20" s="1"/>
  <c r="E28" i="20"/>
  <c r="F28" i="20" s="1"/>
  <c r="E16" i="20"/>
  <c r="F16" i="20" s="1"/>
  <c r="E29" i="20"/>
  <c r="F29" i="20" s="1"/>
  <c r="E33" i="20"/>
  <c r="F33" i="20" s="1"/>
  <c r="C13" i="20"/>
  <c r="E19" i="20"/>
  <c r="E44" i="20"/>
  <c r="F44" i="20" s="1"/>
  <c r="E24" i="20"/>
  <c r="F24" i="20" s="1"/>
  <c r="E14" i="20"/>
  <c r="F14" i="20" s="1"/>
  <c r="K281" i="13"/>
  <c r="H11" i="2"/>
  <c r="I14" i="2"/>
  <c r="L61" i="24"/>
  <c r="H14" i="2"/>
  <c r="H9" i="2"/>
  <c r="H13" i="2"/>
  <c r="I12" i="2"/>
  <c r="H10" i="2"/>
  <c r="G11" i="2"/>
  <c r="G10" i="2"/>
  <c r="G14" i="2"/>
  <c r="I13" i="2"/>
  <c r="G12" i="2"/>
  <c r="H8" i="2"/>
  <c r="H15" i="2"/>
  <c r="H12" i="2"/>
  <c r="G6" i="2"/>
  <c r="J11" i="2"/>
  <c r="T11" i="2" s="1"/>
  <c r="G15" i="2"/>
  <c r="G8" i="2"/>
  <c r="I11" i="2"/>
  <c r="I9" i="2"/>
  <c r="H6" i="2"/>
  <c r="G13" i="2"/>
  <c r="G9" i="2"/>
  <c r="G7" i="2"/>
  <c r="G16" i="2"/>
  <c r="K22" i="24"/>
  <c r="K62" i="24" s="1"/>
  <c r="K78" i="24" s="1"/>
  <c r="I10" i="2"/>
  <c r="M22" i="24"/>
  <c r="M62" i="24" s="1"/>
  <c r="G5" i="2"/>
  <c r="F12" i="18"/>
  <c r="L22" i="24"/>
  <c r="D144" i="14"/>
  <c r="N22" i="24"/>
  <c r="G22" i="24"/>
  <c r="G62" i="24" s="1"/>
  <c r="F22" i="24"/>
  <c r="J22" i="24"/>
  <c r="J62" i="24" s="1"/>
  <c r="J78" i="24" s="1"/>
  <c r="O22" i="24"/>
  <c r="O62" i="24" s="1"/>
  <c r="H22" i="24"/>
  <c r="H62" i="24" s="1"/>
  <c r="I22" i="24"/>
  <c r="I62" i="24" s="1"/>
  <c r="I78" i="24" s="1"/>
  <c r="E22" i="24"/>
  <c r="E62" i="24" s="1"/>
  <c r="J13" i="2"/>
  <c r="T13" i="2" s="1"/>
  <c r="H57" i="18"/>
  <c r="J8" i="2"/>
  <c r="T8" i="2" s="1"/>
  <c r="I8" i="2"/>
  <c r="H13" i="29"/>
  <c r="G8" i="29"/>
  <c r="E8" i="29"/>
  <c r="H11" i="29"/>
  <c r="I6" i="2"/>
  <c r="H14" i="29"/>
  <c r="F8" i="29"/>
  <c r="H12" i="29"/>
  <c r="H15" i="29"/>
  <c r="F44" i="18"/>
  <c r="H7" i="2"/>
  <c r="I7" i="2"/>
  <c r="K11" i="2"/>
  <c r="X11" i="2" s="1"/>
  <c r="B14" i="20"/>
  <c r="D22" i="24"/>
  <c r="D62" i="24" s="1"/>
  <c r="B32" i="20"/>
  <c r="F9" i="3"/>
  <c r="D17" i="20"/>
  <c r="C17" i="20"/>
  <c r="C44" i="20"/>
  <c r="B36" i="20"/>
  <c r="B15" i="20"/>
  <c r="I86" i="6"/>
  <c r="C15" i="20"/>
  <c r="C40" i="20"/>
  <c r="D13" i="20"/>
  <c r="C16" i="20"/>
  <c r="C42" i="20"/>
  <c r="B27" i="20"/>
  <c r="D16" i="20"/>
  <c r="D15" i="20"/>
  <c r="C34" i="20"/>
  <c r="B21" i="20"/>
  <c r="B23" i="20"/>
  <c r="B16" i="20"/>
  <c r="B41" i="20"/>
  <c r="G41" i="20" s="1"/>
  <c r="D46" i="20"/>
  <c r="D14" i="20"/>
  <c r="C22" i="20"/>
  <c r="B17" i="20"/>
  <c r="D42" i="20"/>
  <c r="C14" i="20"/>
  <c r="B40" i="20"/>
  <c r="G40" i="20" s="1"/>
  <c r="D38" i="20"/>
  <c r="C18" i="20"/>
  <c r="B30" i="20"/>
  <c r="B39" i="20"/>
  <c r="G39" i="20" s="1"/>
  <c r="C45" i="20"/>
  <c r="B38" i="20"/>
  <c r="G38" i="20" s="1"/>
  <c r="D37" i="20"/>
  <c r="B34" i="20"/>
  <c r="C31" i="20"/>
  <c r="B28" i="20"/>
  <c r="D33" i="20"/>
  <c r="F10" i="3"/>
  <c r="D26" i="20"/>
  <c r="B22" i="20"/>
  <c r="C33" i="20"/>
  <c r="D22" i="20"/>
  <c r="B42" i="20"/>
  <c r="G42" i="20" s="1"/>
  <c r="D27" i="20"/>
  <c r="C23" i="20"/>
  <c r="C30" i="20"/>
  <c r="D44" i="20"/>
  <c r="B19" i="20"/>
  <c r="C24" i="20"/>
  <c r="C32" i="20"/>
  <c r="B25" i="20"/>
  <c r="C26" i="20"/>
  <c r="B45" i="20"/>
  <c r="G45" i="20" s="1"/>
  <c r="B29" i="20"/>
  <c r="C37" i="20"/>
  <c r="D40" i="20"/>
  <c r="D19" i="20"/>
  <c r="B18" i="20"/>
  <c r="D18" i="20"/>
  <c r="D36" i="20"/>
  <c r="C46" i="20"/>
  <c r="D28" i="20"/>
  <c r="C38" i="20"/>
  <c r="B46" i="20"/>
  <c r="G46" i="20" s="1"/>
  <c r="D30" i="20"/>
  <c r="D45" i="20"/>
  <c r="D31" i="20"/>
  <c r="C28" i="20"/>
  <c r="B33" i="20"/>
  <c r="D29" i="20"/>
  <c r="D21" i="20"/>
  <c r="C19" i="20"/>
  <c r="D24" i="20"/>
  <c r="B20" i="20"/>
  <c r="D25" i="20"/>
  <c r="C29" i="20"/>
  <c r="C41" i="20"/>
  <c r="D32" i="20"/>
  <c r="C39" i="20"/>
  <c r="D39" i="20"/>
  <c r="D35" i="20"/>
  <c r="C36" i="20"/>
  <c r="B37" i="20"/>
  <c r="G37" i="20" s="1"/>
  <c r="C35" i="20"/>
  <c r="B26" i="20"/>
  <c r="C25" i="20"/>
  <c r="B31" i="20"/>
  <c r="B44" i="20"/>
  <c r="G44" i="20" s="1"/>
  <c r="B35" i="20"/>
  <c r="C27" i="20"/>
  <c r="C20" i="20"/>
  <c r="C21" i="20"/>
  <c r="D34" i="20"/>
  <c r="B43" i="20"/>
  <c r="G43" i="20" s="1"/>
  <c r="F19" i="20"/>
  <c r="D43" i="20"/>
  <c r="D23" i="20"/>
  <c r="C43" i="20"/>
  <c r="D20" i="20"/>
  <c r="D41" i="20"/>
  <c r="B24" i="20"/>
  <c r="E25" i="3"/>
  <c r="I20" i="6"/>
  <c r="K12" i="2"/>
  <c r="X12" i="2" s="1"/>
  <c r="D25" i="3"/>
  <c r="F8" i="3"/>
  <c r="K14" i="2"/>
  <c r="X14" i="2" s="1"/>
  <c r="G44" i="18"/>
  <c r="J7" i="2"/>
  <c r="T7" i="2" s="1"/>
  <c r="F154" i="15"/>
  <c r="F164" i="15" s="1"/>
  <c r="E154" i="14" s="1"/>
  <c r="F156" i="14" s="1"/>
  <c r="E15" i="16"/>
  <c r="E27" i="16" s="1"/>
  <c r="D154" i="15"/>
  <c r="D164" i="15" s="1"/>
  <c r="G152" i="18" l="1"/>
  <c r="G153" i="18" s="1"/>
  <c r="G154" i="18" s="1"/>
  <c r="F153" i="18"/>
  <c r="F154" i="18" s="1"/>
  <c r="Q153" i="19"/>
  <c r="S93" i="19"/>
  <c r="I144" i="18"/>
  <c r="H153" i="18"/>
  <c r="H154" i="18" s="1"/>
  <c r="S139" i="18"/>
  <c r="Q141" i="18"/>
  <c r="S132" i="18"/>
  <c r="Q137" i="18"/>
  <c r="P142" i="18"/>
  <c r="S124" i="18"/>
  <c r="Q129" i="18"/>
  <c r="S79" i="18"/>
  <c r="H69" i="18"/>
  <c r="G83" i="18"/>
  <c r="G115" i="18" s="1"/>
  <c r="H63" i="18"/>
  <c r="G65" i="18"/>
  <c r="F16" i="18"/>
  <c r="S18" i="18"/>
  <c r="Q33" i="18"/>
  <c r="S46" i="18"/>
  <c r="Q50" i="18"/>
  <c r="H162" i="14"/>
  <c r="S33" i="18"/>
  <c r="F62" i="24"/>
  <c r="F78" i="24" s="1"/>
  <c r="U18" i="2"/>
  <c r="N62" i="24"/>
  <c r="N78" i="24" s="1"/>
  <c r="P21" i="24"/>
  <c r="R21" i="24" s="1"/>
  <c r="H78" i="24"/>
  <c r="G36" i="20"/>
  <c r="G35" i="20"/>
  <c r="G33" i="20"/>
  <c r="G34" i="20"/>
  <c r="U21" i="2"/>
  <c r="Z21" i="2"/>
  <c r="Y18" i="2"/>
  <c r="G78" i="24"/>
  <c r="M78" i="24"/>
  <c r="W21" i="2"/>
  <c r="O78" i="24"/>
  <c r="E29" i="16"/>
  <c r="V18" i="2"/>
  <c r="Y21" i="2"/>
  <c r="E78" i="24"/>
  <c r="AB17" i="2"/>
  <c r="T18" i="2"/>
  <c r="W17" i="2"/>
  <c r="D78" i="24"/>
  <c r="U20" i="2"/>
  <c r="T17" i="2"/>
  <c r="U19" i="2"/>
  <c r="V21" i="2"/>
  <c r="AB21" i="2"/>
  <c r="X19" i="2"/>
  <c r="AA19" i="2"/>
  <c r="D66" i="14"/>
  <c r="D118" i="14" s="1"/>
  <c r="Z20" i="2"/>
  <c r="Z17" i="2"/>
  <c r="AA20" i="2"/>
  <c r="V17" i="2"/>
  <c r="T20" i="2"/>
  <c r="V20" i="2"/>
  <c r="X20" i="2"/>
  <c r="Y19" i="2"/>
  <c r="V19" i="2"/>
  <c r="Z18" i="2"/>
  <c r="P77" i="24"/>
  <c r="R77" i="24" s="1"/>
  <c r="AB20" i="2"/>
  <c r="T19" i="2"/>
  <c r="P61" i="24"/>
  <c r="R61" i="24" s="1"/>
  <c r="Z19" i="2"/>
  <c r="U17" i="2"/>
  <c r="W18" i="2"/>
  <c r="T21" i="2"/>
  <c r="X17" i="2"/>
  <c r="AB18" i="2"/>
  <c r="AA21" i="2"/>
  <c r="Y17" i="2"/>
  <c r="AA17" i="2"/>
  <c r="X21" i="2"/>
  <c r="AA18" i="2"/>
  <c r="X18" i="2"/>
  <c r="Y20" i="2"/>
  <c r="AB19" i="2"/>
  <c r="W19" i="2"/>
  <c r="L62" i="24"/>
  <c r="L78" i="24" s="1"/>
  <c r="H5" i="2"/>
  <c r="F34" i="18"/>
  <c r="J10" i="2"/>
  <c r="T10" i="2" s="1"/>
  <c r="M281" i="13"/>
  <c r="I281" i="13"/>
  <c r="G12" i="18"/>
  <c r="G16" i="18" s="1"/>
  <c r="G34" i="18" s="1"/>
  <c r="I15" i="2"/>
  <c r="F144" i="14"/>
  <c r="F25" i="3"/>
  <c r="I57" i="18"/>
  <c r="K13" i="2"/>
  <c r="X13" i="2" s="1"/>
  <c r="K8" i="2"/>
  <c r="X8" i="2" s="1"/>
  <c r="J6" i="2"/>
  <c r="T6" i="2" s="1"/>
  <c r="H8" i="29"/>
  <c r="L11" i="2"/>
  <c r="P14" i="24"/>
  <c r="R14" i="24" s="1"/>
  <c r="G17" i="20"/>
  <c r="G25" i="20"/>
  <c r="G24" i="20"/>
  <c r="G31" i="20"/>
  <c r="G20" i="20"/>
  <c r="G28" i="20"/>
  <c r="G32" i="20"/>
  <c r="G19" i="20"/>
  <c r="G30" i="20"/>
  <c r="G29" i="20"/>
  <c r="G22" i="20"/>
  <c r="G16" i="20"/>
  <c r="G27" i="20"/>
  <c r="G15" i="20"/>
  <c r="G26" i="20"/>
  <c r="G18" i="20"/>
  <c r="G23" i="20"/>
  <c r="G21" i="20"/>
  <c r="G14" i="20"/>
  <c r="G13" i="20"/>
  <c r="G9" i="20"/>
  <c r="L12" i="2"/>
  <c r="H44" i="18"/>
  <c r="K7" i="2"/>
  <c r="X7" i="2" s="1"/>
  <c r="L14" i="2"/>
  <c r="F66" i="14"/>
  <c r="F118" i="14" s="1"/>
  <c r="H154" i="14"/>
  <c r="E18" i="12"/>
  <c r="D156" i="14"/>
  <c r="D157" i="14" s="1"/>
  <c r="L281" i="13"/>
  <c r="L282" i="13" s="1"/>
  <c r="S153" i="19" l="1"/>
  <c r="Q154" i="19"/>
  <c r="J144" i="18"/>
  <c r="I153" i="18"/>
  <c r="I154" i="18" s="1"/>
  <c r="S141" i="18"/>
  <c r="Q142" i="18"/>
  <c r="S129" i="18"/>
  <c r="S137" i="18"/>
  <c r="S50" i="18"/>
  <c r="I69" i="18"/>
  <c r="H83" i="18"/>
  <c r="H115" i="18" s="1"/>
  <c r="I63" i="18"/>
  <c r="J9" i="2"/>
  <c r="T9" i="2" s="1"/>
  <c r="H65" i="18"/>
  <c r="G51" i="18"/>
  <c r="G66" i="18" s="1"/>
  <c r="G116" i="18" s="1"/>
  <c r="F51" i="18"/>
  <c r="F66" i="18" s="1"/>
  <c r="F116" i="18" s="1"/>
  <c r="H168" i="15"/>
  <c r="H153" i="14"/>
  <c r="AC18" i="2"/>
  <c r="AC19" i="2"/>
  <c r="AC17" i="2"/>
  <c r="AC21" i="2"/>
  <c r="AC20" i="2"/>
  <c r="K10" i="2"/>
  <c r="X10" i="2" s="1"/>
  <c r="H12" i="18"/>
  <c r="J5" i="2" s="1"/>
  <c r="T5" i="2" s="1"/>
  <c r="I5" i="2"/>
  <c r="J15" i="2"/>
  <c r="T15" i="2" s="1"/>
  <c r="J57" i="18"/>
  <c r="L13" i="2"/>
  <c r="L8" i="2"/>
  <c r="K6" i="2"/>
  <c r="X6" i="2" s="1"/>
  <c r="M11" i="2"/>
  <c r="U11" i="2" s="1"/>
  <c r="H16" i="2"/>
  <c r="P22" i="24"/>
  <c r="R22" i="24" s="1"/>
  <c r="M12" i="2"/>
  <c r="M14" i="2"/>
  <c r="I44" i="18"/>
  <c r="L7" i="2"/>
  <c r="E20" i="12"/>
  <c r="F18" i="12"/>
  <c r="S154" i="19" l="1"/>
  <c r="Q164" i="19"/>
  <c r="S164" i="19" s="1"/>
  <c r="K144" i="18"/>
  <c r="J153" i="18"/>
  <c r="J154" i="18" s="1"/>
  <c r="S142" i="18"/>
  <c r="J69" i="18"/>
  <c r="I83" i="18"/>
  <c r="I115" i="18" s="1"/>
  <c r="J63" i="18"/>
  <c r="K9" i="2"/>
  <c r="X9" i="2" s="1"/>
  <c r="I65" i="18"/>
  <c r="H170" i="15"/>
  <c r="H169" i="15"/>
  <c r="L10" i="2"/>
  <c r="I12" i="18"/>
  <c r="K5" i="2" s="1"/>
  <c r="X5" i="2" s="1"/>
  <c r="H16" i="18"/>
  <c r="H34" i="18" s="1"/>
  <c r="K57" i="18"/>
  <c r="K15" i="2"/>
  <c r="X15" i="2" s="1"/>
  <c r="M13" i="2"/>
  <c r="AA13" i="2" s="1"/>
  <c r="M8" i="2"/>
  <c r="AA8" i="2" s="1"/>
  <c r="L6" i="2"/>
  <c r="AA11" i="2"/>
  <c r="N11" i="2"/>
  <c r="AA12" i="2"/>
  <c r="U12" i="2"/>
  <c r="AA14" i="2"/>
  <c r="U14" i="2"/>
  <c r="J16" i="2"/>
  <c r="T16" i="2" s="1"/>
  <c r="I16" i="2"/>
  <c r="P62" i="24"/>
  <c r="J44" i="18"/>
  <c r="M7" i="2"/>
  <c r="N12" i="2"/>
  <c r="N14" i="2"/>
  <c r="L144" i="18" l="1"/>
  <c r="K153" i="18"/>
  <c r="K154" i="18" s="1"/>
  <c r="K69" i="18"/>
  <c r="J83" i="18"/>
  <c r="J115" i="18" s="1"/>
  <c r="K63" i="18"/>
  <c r="L9" i="2"/>
  <c r="J65" i="18"/>
  <c r="H51" i="18"/>
  <c r="H66" i="18" s="1"/>
  <c r="H116" i="18" s="1"/>
  <c r="M10" i="2"/>
  <c r="AA10" i="2" s="1"/>
  <c r="J12" i="18"/>
  <c r="J16" i="18" s="1"/>
  <c r="J34" i="18" s="1"/>
  <c r="P78" i="24"/>
  <c r="R78" i="24" s="1"/>
  <c r="R62" i="24"/>
  <c r="I16" i="18"/>
  <c r="I34" i="18" s="1"/>
  <c r="L57" i="18"/>
  <c r="L15" i="2"/>
  <c r="N13" i="2"/>
  <c r="U13" i="2"/>
  <c r="U8" i="2"/>
  <c r="N8" i="2"/>
  <c r="O11" i="2"/>
  <c r="M6" i="2"/>
  <c r="U7" i="2"/>
  <c r="AA7" i="2"/>
  <c r="K16" i="2"/>
  <c r="X16" i="2" s="1"/>
  <c r="O14" i="2"/>
  <c r="Y14" i="2" s="1"/>
  <c r="O12" i="2"/>
  <c r="Y12" i="2" s="1"/>
  <c r="K44" i="18"/>
  <c r="N7" i="2"/>
  <c r="F20" i="12"/>
  <c r="E280" i="13"/>
  <c r="M144" i="18" l="1"/>
  <c r="L153" i="18"/>
  <c r="L154" i="18" s="1"/>
  <c r="L69" i="18"/>
  <c r="K83" i="18"/>
  <c r="K115" i="18" s="1"/>
  <c r="L63" i="18"/>
  <c r="M9" i="2"/>
  <c r="K65" i="18"/>
  <c r="I51" i="18"/>
  <c r="I66" i="18" s="1"/>
  <c r="I116" i="18" s="1"/>
  <c r="J51" i="18"/>
  <c r="J66" i="18" s="1"/>
  <c r="J116" i="18" s="1"/>
  <c r="K12" i="18"/>
  <c r="M5" i="2" s="1"/>
  <c r="AA5" i="2" s="1"/>
  <c r="U10" i="2"/>
  <c r="N10" i="2"/>
  <c r="L5" i="2"/>
  <c r="Y11" i="2"/>
  <c r="M57" i="18"/>
  <c r="M15" i="2"/>
  <c r="O13" i="2"/>
  <c r="Y13" i="2" s="1"/>
  <c r="P11" i="2"/>
  <c r="V11" i="2" s="1"/>
  <c r="O8" i="2"/>
  <c r="Y8" i="2" s="1"/>
  <c r="N6" i="2"/>
  <c r="U6" i="2"/>
  <c r="AA6" i="2"/>
  <c r="L16" i="2"/>
  <c r="P14" i="2"/>
  <c r="V14" i="2" s="1"/>
  <c r="P12" i="2"/>
  <c r="V12" i="2" s="1"/>
  <c r="L44" i="18"/>
  <c r="I280" i="13"/>
  <c r="M280" i="13"/>
  <c r="M282" i="13" s="1"/>
  <c r="K282" i="13" s="1"/>
  <c r="N144" i="18" l="1"/>
  <c r="M153" i="18"/>
  <c r="M154" i="18" s="1"/>
  <c r="M69" i="18"/>
  <c r="L83" i="18"/>
  <c r="L115" i="18" s="1"/>
  <c r="U9" i="2"/>
  <c r="AA9" i="2"/>
  <c r="M63" i="18"/>
  <c r="N9" i="2"/>
  <c r="L65" i="18"/>
  <c r="L12" i="18"/>
  <c r="L16" i="18" s="1"/>
  <c r="L34" i="18" s="1"/>
  <c r="K16" i="18"/>
  <c r="K34" i="18" s="1"/>
  <c r="U5" i="2"/>
  <c r="N57" i="18"/>
  <c r="P13" i="2"/>
  <c r="V13" i="2" s="1"/>
  <c r="N15" i="2"/>
  <c r="AA15" i="2"/>
  <c r="U15" i="2"/>
  <c r="Q11" i="2"/>
  <c r="P8" i="2"/>
  <c r="V8" i="2" s="1"/>
  <c r="O6" i="2"/>
  <c r="M16" i="2"/>
  <c r="AA16" i="2" s="1"/>
  <c r="P7" i="2"/>
  <c r="V7" i="2" s="1"/>
  <c r="O7" i="2"/>
  <c r="Y7" i="2" s="1"/>
  <c r="Q12" i="2"/>
  <c r="M44" i="18"/>
  <c r="Q14" i="2"/>
  <c r="F157" i="14"/>
  <c r="H160" i="14" s="1"/>
  <c r="O144" i="18" l="1"/>
  <c r="N153" i="18"/>
  <c r="N154" i="18" s="1"/>
  <c r="N69" i="18"/>
  <c r="M83" i="18"/>
  <c r="M115" i="18" s="1"/>
  <c r="N63" i="18"/>
  <c r="O9" i="2"/>
  <c r="Y9" i="2" s="1"/>
  <c r="M65" i="18"/>
  <c r="K51" i="18"/>
  <c r="K66" i="18" s="1"/>
  <c r="K116" i="18" s="1"/>
  <c r="L51" i="18"/>
  <c r="L66" i="18" s="1"/>
  <c r="L116" i="18" s="1"/>
  <c r="H161" i="14"/>
  <c r="M12" i="18"/>
  <c r="O5" i="2" s="1"/>
  <c r="Y5" i="2" s="1"/>
  <c r="N5" i="2"/>
  <c r="O10" i="2"/>
  <c r="Y10" i="2" s="1"/>
  <c r="P10" i="2"/>
  <c r="V10" i="2" s="1"/>
  <c r="O57" i="18"/>
  <c r="Y6" i="2"/>
  <c r="Q13" i="2"/>
  <c r="O15" i="2"/>
  <c r="Y15" i="2" s="1"/>
  <c r="R11" i="2"/>
  <c r="Q8" i="2"/>
  <c r="P6" i="2"/>
  <c r="V6" i="2" s="1"/>
  <c r="N16" i="2"/>
  <c r="U16" i="2"/>
  <c r="R12" i="2"/>
  <c r="N44" i="18"/>
  <c r="Q7" i="2"/>
  <c r="R14" i="2"/>
  <c r="F158" i="14"/>
  <c r="P144" i="18" l="1"/>
  <c r="O153" i="18"/>
  <c r="O154" i="18" s="1"/>
  <c r="O69" i="18"/>
  <c r="N83" i="18"/>
  <c r="N115" i="18" s="1"/>
  <c r="O63" i="18"/>
  <c r="P9" i="2"/>
  <c r="V9" i="2" s="1"/>
  <c r="N65" i="18"/>
  <c r="N12" i="18"/>
  <c r="N16" i="18" s="1"/>
  <c r="N34" i="18" s="1"/>
  <c r="M16" i="18"/>
  <c r="M34" i="18" s="1"/>
  <c r="Q10" i="2"/>
  <c r="P57" i="18"/>
  <c r="R13" i="2"/>
  <c r="P15" i="2"/>
  <c r="V15" i="2" s="1"/>
  <c r="R8" i="2"/>
  <c r="O16" i="2"/>
  <c r="Q6" i="2"/>
  <c r="O44" i="18"/>
  <c r="R7" i="2"/>
  <c r="F7" i="1"/>
  <c r="Q144" i="18" l="1"/>
  <c r="P153" i="18"/>
  <c r="P154" i="18" s="1"/>
  <c r="P69" i="18"/>
  <c r="O83" i="18"/>
  <c r="O115" i="18" s="1"/>
  <c r="P63" i="18"/>
  <c r="Q9" i="2"/>
  <c r="O65" i="18"/>
  <c r="M51" i="18"/>
  <c r="M66" i="18" s="1"/>
  <c r="M116" i="18" s="1"/>
  <c r="N51" i="18"/>
  <c r="N66" i="18" s="1"/>
  <c r="N116" i="18" s="1"/>
  <c r="O12" i="18"/>
  <c r="Q5" i="2" s="1"/>
  <c r="P5" i="2"/>
  <c r="V5" i="2" s="1"/>
  <c r="R10" i="2"/>
  <c r="Q57" i="18"/>
  <c r="S14" i="2"/>
  <c r="S12" i="2"/>
  <c r="S11" i="2"/>
  <c r="Y16" i="2"/>
  <c r="D7" i="1"/>
  <c r="Q15" i="2"/>
  <c r="P16" i="2"/>
  <c r="V16" i="2" s="1"/>
  <c r="S8" i="2"/>
  <c r="R6" i="2"/>
  <c r="P44" i="18"/>
  <c r="S144" i="18" l="1"/>
  <c r="Q153" i="18"/>
  <c r="W8" i="2"/>
  <c r="AB11" i="2"/>
  <c r="W12" i="2"/>
  <c r="Z14" i="2"/>
  <c r="Q69" i="18"/>
  <c r="P83" i="18"/>
  <c r="P115" i="18" s="1"/>
  <c r="Q63" i="18"/>
  <c r="R9" i="2"/>
  <c r="P65" i="18"/>
  <c r="P12" i="18"/>
  <c r="O16" i="18"/>
  <c r="O34" i="18" s="1"/>
  <c r="AB14" i="2"/>
  <c r="S57" i="18"/>
  <c r="W14" i="2"/>
  <c r="AC14" i="2"/>
  <c r="AB12" i="2"/>
  <c r="Z12" i="2"/>
  <c r="AC12" i="2"/>
  <c r="Z11" i="2"/>
  <c r="AC11" i="2"/>
  <c r="S7" i="2"/>
  <c r="W11" i="2"/>
  <c r="S13" i="2"/>
  <c r="S10" i="2"/>
  <c r="R15" i="2"/>
  <c r="Q12" i="18"/>
  <c r="P16" i="18"/>
  <c r="P34" i="18" s="1"/>
  <c r="R5" i="2"/>
  <c r="Q16" i="2"/>
  <c r="AB8" i="2"/>
  <c r="AC8" i="2"/>
  <c r="Z8" i="2"/>
  <c r="S6" i="2"/>
  <c r="Q44" i="18"/>
  <c r="S153" i="18" l="1"/>
  <c r="Q154" i="18"/>
  <c r="S154" i="18" s="1"/>
  <c r="S44" i="18"/>
  <c r="W10" i="2"/>
  <c r="Z13" i="2"/>
  <c r="AC7" i="2"/>
  <c r="S69" i="18"/>
  <c r="Q83" i="18"/>
  <c r="S63" i="18"/>
  <c r="S9" i="2"/>
  <c r="Q65" i="18"/>
  <c r="P51" i="18"/>
  <c r="P66" i="18" s="1"/>
  <c r="P116" i="18" s="1"/>
  <c r="O51" i="18"/>
  <c r="O66" i="18" s="1"/>
  <c r="O116" i="18" s="1"/>
  <c r="AB7" i="2"/>
  <c r="AC13" i="2"/>
  <c r="Q16" i="18"/>
  <c r="S12" i="18"/>
  <c r="AB13" i="2"/>
  <c r="W7" i="2"/>
  <c r="W13" i="2"/>
  <c r="Z7" i="2"/>
  <c r="Z10" i="2"/>
  <c r="AB10" i="2"/>
  <c r="AC10" i="2"/>
  <c r="S15" i="2"/>
  <c r="S5" i="2"/>
  <c r="R16" i="2"/>
  <c r="W6" i="2"/>
  <c r="AB6" i="2"/>
  <c r="Z6" i="2"/>
  <c r="AC6" i="2"/>
  <c r="Q34" i="18" l="1"/>
  <c r="S34" i="18"/>
  <c r="Z5" i="2"/>
  <c r="S83" i="18"/>
  <c r="Q115" i="18"/>
  <c r="S65" i="18"/>
  <c r="Z9" i="2"/>
  <c r="AB9" i="2"/>
  <c r="W9" i="2"/>
  <c r="AC9" i="2"/>
  <c r="Q51" i="18"/>
  <c r="S16" i="18"/>
  <c r="AB15" i="2"/>
  <c r="W15" i="2"/>
  <c r="AC15" i="2"/>
  <c r="Z15" i="2"/>
  <c r="AC5" i="2"/>
  <c r="AB5" i="2"/>
  <c r="S16" i="2"/>
  <c r="W5" i="2"/>
  <c r="S115" i="18" l="1"/>
  <c r="W16" i="2"/>
  <c r="S51" i="18"/>
  <c r="Q66" i="18"/>
  <c r="AB16" i="2"/>
  <c r="Z16" i="2"/>
  <c r="AC16" i="2"/>
  <c r="S66" i="18" l="1"/>
  <c r="Q116" i="18"/>
  <c r="S116" i="18" l="1"/>
  <c r="I75" i="1" l="1"/>
  <c r="J75" i="1" s="1"/>
  <c r="I127" i="1"/>
  <c r="J127" i="1" s="1"/>
  <c r="I73" i="1"/>
  <c r="J73" i="1" s="1"/>
  <c r="I56" i="1"/>
  <c r="J56" i="1" s="1"/>
  <c r="I104" i="1"/>
  <c r="J104" i="1" s="1"/>
  <c r="I121" i="1"/>
  <c r="J121" i="1" s="1"/>
  <c r="I14" i="1"/>
  <c r="J14" i="1" s="1"/>
  <c r="I39" i="1"/>
  <c r="J39" i="1" s="1"/>
  <c r="I96" i="1"/>
  <c r="J96" i="1" s="1"/>
  <c r="I103" i="1"/>
  <c r="J103" i="1" s="1"/>
  <c r="I44" i="1"/>
  <c r="J44" i="1" s="1"/>
  <c r="I184" i="1"/>
  <c r="J184" i="1" s="1"/>
  <c r="I72" i="1"/>
  <c r="J72" i="1" s="1"/>
  <c r="I105" i="1"/>
  <c r="J105" i="1" s="1"/>
  <c r="I9" i="1"/>
  <c r="J9" i="1" s="1"/>
  <c r="I100" i="1"/>
  <c r="J100" i="1" s="1"/>
  <c r="I137" i="1"/>
  <c r="J137" i="1" s="1"/>
  <c r="I47" i="1"/>
  <c r="J47" i="1" s="1"/>
  <c r="I66" i="1"/>
  <c r="J66" i="1" s="1"/>
  <c r="I178" i="1"/>
  <c r="J178" i="1" s="1"/>
  <c r="I256" i="1"/>
  <c r="J256" i="1" s="1"/>
  <c r="I136" i="1"/>
  <c r="J136" i="1" s="1"/>
  <c r="I185" i="1"/>
  <c r="J185" i="1" s="1"/>
  <c r="I213" i="1"/>
  <c r="J213" i="1" s="1"/>
  <c r="I114" i="1"/>
  <c r="J114" i="1" s="1"/>
  <c r="I153" i="1"/>
  <c r="J153" i="1" s="1"/>
  <c r="I145" i="1"/>
  <c r="J145" i="1" s="1"/>
  <c r="I273" i="1"/>
  <c r="J273" i="1" s="1"/>
  <c r="I260" i="1"/>
  <c r="J260" i="1" s="1"/>
  <c r="I269" i="1"/>
  <c r="J269" i="1" s="1"/>
  <c r="I124" i="1"/>
  <c r="J124" i="1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13" i="6"/>
  <c r="M13" i="6" s="1"/>
  <c r="L11" i="6"/>
  <c r="M11" i="6" s="1"/>
  <c r="L17" i="6"/>
  <c r="M17" i="6" s="1"/>
  <c r="L71" i="6"/>
  <c r="M71" i="6" s="1"/>
  <c r="L77" i="6"/>
  <c r="M77" i="6" s="1"/>
  <c r="L14" i="6"/>
  <c r="M14" i="6" s="1"/>
  <c r="L72" i="6"/>
  <c r="M72" i="6" s="1"/>
  <c r="L83" i="6"/>
  <c r="M83" i="6" s="1"/>
  <c r="L18" i="6"/>
  <c r="M18" i="6" s="1"/>
  <c r="L15" i="6"/>
  <c r="M15" i="6" s="1"/>
  <c r="L73" i="6"/>
  <c r="M73" i="6" s="1"/>
  <c r="L12" i="6"/>
  <c r="M12" i="6" s="1"/>
  <c r="L85" i="6"/>
  <c r="M85" i="6" s="1"/>
  <c r="L82" i="6"/>
  <c r="M82" i="6" s="1"/>
  <c r="L16" i="6"/>
  <c r="M16" i="6" s="1"/>
  <c r="L78" i="6"/>
  <c r="M78" i="6" s="1"/>
  <c r="L80" i="6"/>
  <c r="M80" i="6" s="1"/>
  <c r="L19" i="6"/>
  <c r="M19" i="6" s="1"/>
  <c r="L20" i="6"/>
  <c r="M20" i="6" s="1"/>
  <c r="L81" i="6"/>
  <c r="M81" i="6" s="1"/>
  <c r="L84" i="6"/>
  <c r="M84" i="6" s="1"/>
  <c r="L86" i="6"/>
  <c r="M86" i="6" s="1"/>
  <c r="L79" i="6"/>
  <c r="M79" i="6" s="1"/>
  <c r="L27" i="6"/>
  <c r="L57" i="6"/>
  <c r="L58" i="6"/>
  <c r="M58" i="6" s="1"/>
  <c r="L41" i="6"/>
  <c r="L42" i="6"/>
  <c r="L25" i="6"/>
  <c r="L26" i="6"/>
  <c r="L75" i="6"/>
  <c r="L76" i="6"/>
  <c r="M76" i="6" s="1"/>
  <c r="L74" i="6"/>
  <c r="L10" i="6"/>
  <c r="M10" i="6" s="1"/>
  <c r="L9" i="6"/>
  <c r="I71" i="1"/>
  <c r="I268" i="1"/>
  <c r="L8" i="6"/>
  <c r="M8" i="6"/>
  <c r="I101" i="1"/>
  <c r="I91" i="1"/>
  <c r="I38" i="1"/>
  <c r="I40" i="1"/>
  <c r="I63" i="1"/>
  <c r="I62" i="1"/>
  <c r="I99" i="1"/>
  <c r="I28" i="1"/>
  <c r="I42" i="1"/>
  <c r="I195" i="1"/>
  <c r="I109" i="1"/>
  <c r="I34" i="1"/>
  <c r="I110" i="1"/>
  <c r="I41" i="1"/>
  <c r="I83" i="1"/>
  <c r="I168" i="1"/>
  <c r="I232" i="1"/>
  <c r="I53" i="1"/>
  <c r="I118" i="1"/>
  <c r="I242" i="1"/>
  <c r="I183" i="1"/>
  <c r="I247" i="1"/>
  <c r="I206" i="1"/>
  <c r="I144" i="1"/>
  <c r="I258" i="1"/>
  <c r="I231" i="1"/>
  <c r="I172" i="1"/>
  <c r="I252" i="1"/>
  <c r="I89" i="1"/>
  <c r="I74" i="1"/>
  <c r="I97" i="1"/>
  <c r="I155" i="1"/>
  <c r="I59" i="1"/>
  <c r="I253" i="1"/>
  <c r="I181" i="1"/>
  <c r="I93" i="1"/>
  <c r="I23" i="1"/>
  <c r="I87" i="1"/>
  <c r="I200" i="1"/>
  <c r="I215" i="1"/>
  <c r="I199" i="1"/>
  <c r="I16" i="1"/>
  <c r="I15" i="1"/>
  <c r="I157" i="1"/>
  <c r="I125" i="1"/>
  <c r="I94" i="1"/>
  <c r="I126" i="1"/>
  <c r="I76" i="1"/>
  <c r="I170" i="1"/>
  <c r="I208" i="1"/>
  <c r="I218" i="1"/>
  <c r="I108" i="1"/>
  <c r="I26" i="1"/>
  <c r="I152" i="1"/>
  <c r="I209" i="1"/>
  <c r="I214" i="1"/>
  <c r="I174" i="1"/>
  <c r="I222" i="1"/>
  <c r="I220" i="1"/>
  <c r="I20" i="1"/>
  <c r="I86" i="1"/>
  <c r="I46" i="1"/>
  <c r="I48" i="1"/>
  <c r="I70" i="1"/>
  <c r="I116" i="1"/>
  <c r="I11" i="1"/>
  <c r="I65" i="1"/>
  <c r="I37" i="1"/>
  <c r="I78" i="1"/>
  <c r="I225" i="1"/>
  <c r="I135" i="1"/>
  <c r="I43" i="1"/>
  <c r="I122" i="1"/>
  <c r="I80" i="1"/>
  <c r="I92" i="1"/>
  <c r="I173" i="1"/>
  <c r="I237" i="1"/>
  <c r="I55" i="1"/>
  <c r="I146" i="1"/>
  <c r="I246" i="1"/>
  <c r="I192" i="1"/>
  <c r="I234" i="1"/>
  <c r="I148" i="1"/>
  <c r="I263" i="1"/>
  <c r="I240" i="1"/>
  <c r="I167" i="1"/>
  <c r="I154" i="1"/>
  <c r="I259" i="1"/>
  <c r="I244" i="1"/>
  <c r="I77" i="1"/>
  <c r="I216" i="1"/>
  <c r="I79" i="1"/>
  <c r="I142" i="1"/>
  <c r="I191" i="1"/>
  <c r="I265" i="1"/>
  <c r="I166" i="1"/>
  <c r="I264" i="1"/>
  <c r="I147" i="1"/>
  <c r="I119" i="1"/>
  <c r="I138" i="1"/>
  <c r="I189" i="1"/>
  <c r="I45" i="1"/>
  <c r="I271" i="1"/>
  <c r="I194" i="1"/>
  <c r="I120" i="1"/>
  <c r="I82" i="1"/>
  <c r="I54" i="1"/>
  <c r="I113" i="1"/>
  <c r="I85" i="1"/>
  <c r="I129" i="1"/>
  <c r="I18" i="1"/>
  <c r="I69" i="1"/>
  <c r="I132" i="1"/>
  <c r="I33" i="1"/>
  <c r="I203" i="1"/>
  <c r="I61" i="1"/>
  <c r="I130" i="1"/>
  <c r="I143" i="1"/>
  <c r="I177" i="1"/>
  <c r="I241" i="1"/>
  <c r="I57" i="1"/>
  <c r="I150" i="1"/>
  <c r="I251" i="1"/>
  <c r="I197" i="1"/>
  <c r="I261" i="1"/>
  <c r="I238" i="1"/>
  <c r="I162" i="1"/>
  <c r="I117" i="1"/>
  <c r="I245" i="1"/>
  <c r="I176" i="1"/>
  <c r="I158" i="1"/>
  <c r="I270" i="1"/>
  <c r="I188" i="1"/>
  <c r="I67" i="1"/>
  <c r="I111" i="1"/>
  <c r="I68" i="1"/>
  <c r="I255" i="1"/>
  <c r="I201" i="1"/>
  <c r="I186" i="1"/>
  <c r="I36" i="1"/>
  <c r="I239" i="1"/>
  <c r="I171" i="1"/>
  <c r="I161" i="1"/>
  <c r="I272" i="1"/>
  <c r="I274" i="1"/>
  <c r="I204" i="1"/>
  <c r="I19" i="1"/>
  <c r="I151" i="1"/>
  <c r="I84" i="1"/>
  <c r="I179" i="1"/>
  <c r="I227" i="1"/>
  <c r="I205" i="1"/>
  <c r="I210" i="1"/>
  <c r="I224" i="1"/>
  <c r="I198" i="1"/>
  <c r="I131" i="1"/>
  <c r="I212" i="1"/>
  <c r="I24" i="1"/>
  <c r="I64" i="1"/>
  <c r="I12" i="1"/>
  <c r="I102" i="1"/>
  <c r="I107" i="1"/>
  <c r="I229" i="1"/>
  <c r="I267" i="1"/>
  <c r="I140" i="1"/>
  <c r="I156" i="1"/>
  <c r="I81" i="1"/>
  <c r="I50" i="1"/>
  <c r="I58" i="1"/>
  <c r="I90" i="1"/>
  <c r="I22" i="1"/>
  <c r="I35" i="1"/>
  <c r="I17" i="1"/>
  <c r="I98" i="1"/>
  <c r="I52" i="1"/>
  <c r="I21" i="1"/>
  <c r="I207" i="1"/>
  <c r="I187" i="1"/>
  <c r="I27" i="1"/>
  <c r="I106" i="1"/>
  <c r="I25" i="1"/>
  <c r="I243" i="1"/>
  <c r="I159" i="1"/>
  <c r="I223" i="1"/>
  <c r="I51" i="1"/>
  <c r="I115" i="1"/>
  <c r="I219" i="1"/>
  <c r="I169" i="1"/>
  <c r="I233" i="1"/>
  <c r="I202" i="1"/>
  <c r="I230" i="1"/>
  <c r="I217" i="1"/>
  <c r="I149" i="1"/>
  <c r="I141" i="1"/>
  <c r="I250" i="1"/>
  <c r="I164" i="1"/>
  <c r="I228" i="1"/>
  <c r="I275" i="1"/>
  <c r="I254" i="1"/>
  <c r="I236" i="1"/>
  <c r="I180" i="1"/>
  <c r="I139" i="1"/>
  <c r="I221" i="1"/>
  <c r="I211" i="1"/>
  <c r="I112" i="1"/>
  <c r="I266" i="1"/>
  <c r="I249" i="1"/>
  <c r="I196" i="1"/>
  <c r="I10" i="1"/>
  <c r="I133" i="1"/>
  <c r="I248" i="1"/>
  <c r="I123" i="1"/>
  <c r="I182" i="1"/>
  <c r="I257" i="1"/>
  <c r="I190" i="1"/>
  <c r="I60" i="1"/>
  <c r="I163" i="1"/>
  <c r="I175" i="1"/>
  <c r="I160" i="1"/>
  <c r="I262" i="1"/>
  <c r="I128" i="1"/>
  <c r="I193" i="1"/>
  <c r="I88" i="1"/>
  <c r="I13" i="1"/>
  <c r="I235" i="1"/>
  <c r="I49" i="1"/>
  <c r="I165" i="1"/>
  <c r="I226" i="1"/>
  <c r="I134" i="1"/>
  <c r="I95" i="1"/>
  <c r="I8" i="1"/>
  <c r="J8" i="1"/>
  <c r="I32" i="1"/>
  <c r="I31" i="1"/>
  <c r="I29" i="1"/>
  <c r="J29" i="1"/>
  <c r="I30" i="1"/>
  <c r="J30" i="1"/>
  <c r="J32" i="1" l="1"/>
  <c r="J31" i="1"/>
  <c r="J95" i="1"/>
  <c r="J134" i="1"/>
  <c r="J226" i="1"/>
  <c r="J165" i="1"/>
  <c r="J49" i="1"/>
  <c r="J235" i="1"/>
  <c r="J13" i="1"/>
  <c r="J88" i="1"/>
  <c r="J193" i="1"/>
  <c r="J128" i="1"/>
  <c r="J262" i="1"/>
  <c r="J160" i="1"/>
  <c r="J175" i="1"/>
  <c r="J163" i="1"/>
  <c r="J60" i="1"/>
  <c r="J190" i="1"/>
  <c r="J257" i="1"/>
  <c r="J182" i="1"/>
  <c r="J123" i="1"/>
  <c r="J248" i="1"/>
  <c r="J133" i="1"/>
  <c r="J10" i="1"/>
  <c r="J196" i="1"/>
  <c r="J249" i="1"/>
  <c r="J266" i="1"/>
  <c r="J112" i="1"/>
  <c r="J211" i="1"/>
  <c r="J221" i="1"/>
  <c r="J139" i="1"/>
  <c r="J180" i="1"/>
  <c r="J236" i="1"/>
  <c r="J254" i="1"/>
  <c r="J275" i="1"/>
  <c r="J228" i="1"/>
  <c r="J164" i="1"/>
  <c r="J250" i="1"/>
  <c r="J141" i="1"/>
  <c r="J149" i="1"/>
  <c r="J217" i="1"/>
  <c r="J230" i="1"/>
  <c r="J202" i="1"/>
  <c r="J233" i="1"/>
  <c r="J169" i="1"/>
  <c r="J219" i="1"/>
  <c r="J115" i="1"/>
  <c r="J51" i="1"/>
  <c r="J223" i="1"/>
  <c r="J159" i="1"/>
  <c r="J243" i="1"/>
  <c r="J25" i="1"/>
  <c r="J106" i="1"/>
  <c r="J27" i="1"/>
  <c r="J187" i="1"/>
  <c r="J207" i="1"/>
  <c r="J21" i="1"/>
  <c r="J52" i="1"/>
  <c r="J98" i="1"/>
  <c r="J17" i="1"/>
  <c r="J35" i="1"/>
  <c r="J22" i="1"/>
  <c r="J90" i="1"/>
  <c r="J58" i="1"/>
  <c r="J50" i="1"/>
  <c r="J81" i="1"/>
  <c r="J156" i="1"/>
  <c r="J140" i="1"/>
  <c r="J267" i="1"/>
  <c r="J229" i="1"/>
  <c r="J107" i="1"/>
  <c r="J102" i="1"/>
  <c r="J12" i="1"/>
  <c r="J64" i="1"/>
  <c r="J24" i="1"/>
  <c r="J212" i="1"/>
  <c r="J131" i="1"/>
  <c r="J198" i="1"/>
  <c r="J224" i="1"/>
  <c r="J210" i="1"/>
  <c r="J205" i="1"/>
  <c r="J227" i="1"/>
  <c r="J179" i="1"/>
  <c r="J84" i="1"/>
  <c r="J151" i="1"/>
  <c r="J19" i="1"/>
  <c r="J204" i="1"/>
  <c r="J274" i="1"/>
  <c r="J272" i="1"/>
  <c r="J161" i="1"/>
  <c r="J171" i="1"/>
  <c r="J239" i="1"/>
  <c r="J36" i="1"/>
  <c r="J186" i="1"/>
  <c r="J201" i="1"/>
  <c r="J255" i="1"/>
  <c r="J68" i="1"/>
  <c r="J111" i="1"/>
  <c r="J67" i="1"/>
  <c r="J188" i="1"/>
  <c r="J270" i="1"/>
  <c r="J158" i="1"/>
  <c r="J176" i="1"/>
  <c r="J245" i="1"/>
  <c r="J117" i="1"/>
  <c r="J162" i="1"/>
  <c r="J238" i="1"/>
  <c r="J261" i="1"/>
  <c r="J197" i="1"/>
  <c r="J251" i="1"/>
  <c r="J150" i="1"/>
  <c r="J57" i="1"/>
  <c r="J241" i="1"/>
  <c r="J177" i="1"/>
  <c r="J143" i="1"/>
  <c r="J130" i="1"/>
  <c r="J61" i="1"/>
  <c r="J203" i="1"/>
  <c r="J33" i="1"/>
  <c r="J132" i="1"/>
  <c r="J69" i="1"/>
  <c r="J18" i="1"/>
  <c r="J129" i="1"/>
  <c r="J85" i="1"/>
  <c r="J113" i="1"/>
  <c r="J54" i="1"/>
  <c r="J82" i="1"/>
  <c r="J120" i="1"/>
  <c r="J194" i="1"/>
  <c r="J271" i="1"/>
  <c r="J45" i="1"/>
  <c r="J189" i="1"/>
  <c r="J138" i="1"/>
  <c r="J119" i="1"/>
  <c r="J147" i="1"/>
  <c r="J264" i="1"/>
  <c r="J166" i="1"/>
  <c r="J265" i="1"/>
  <c r="J191" i="1"/>
  <c r="J142" i="1"/>
  <c r="J79" i="1"/>
  <c r="J216" i="1"/>
  <c r="J77" i="1"/>
  <c r="J244" i="1"/>
  <c r="J259" i="1"/>
  <c r="J154" i="1"/>
  <c r="J167" i="1"/>
  <c r="J240" i="1"/>
  <c r="J263" i="1"/>
  <c r="J148" i="1"/>
  <c r="J234" i="1"/>
  <c r="J192" i="1"/>
  <c r="J246" i="1"/>
  <c r="J146" i="1"/>
  <c r="J55" i="1"/>
  <c r="J237" i="1"/>
  <c r="J173" i="1"/>
  <c r="J92" i="1"/>
  <c r="J80" i="1"/>
  <c r="J122" i="1"/>
  <c r="J43" i="1"/>
  <c r="J135" i="1"/>
  <c r="J225" i="1"/>
  <c r="J78" i="1"/>
  <c r="J37" i="1"/>
  <c r="J65" i="1"/>
  <c r="J11" i="1"/>
  <c r="J116" i="1"/>
  <c r="J70" i="1"/>
  <c r="J48" i="1"/>
  <c r="J46" i="1"/>
  <c r="J86" i="1"/>
  <c r="J20" i="1"/>
  <c r="J220" i="1"/>
  <c r="J222" i="1"/>
  <c r="J174" i="1"/>
  <c r="J214" i="1"/>
  <c r="J209" i="1"/>
  <c r="J152" i="1"/>
  <c r="J26" i="1"/>
  <c r="J108" i="1"/>
  <c r="J218" i="1"/>
  <c r="J208" i="1"/>
  <c r="J170" i="1"/>
  <c r="J76" i="1"/>
  <c r="J126" i="1"/>
  <c r="J94" i="1"/>
  <c r="J125" i="1"/>
  <c r="J157" i="1"/>
  <c r="J15" i="1"/>
  <c r="J16" i="1"/>
  <c r="J199" i="1"/>
  <c r="J215" i="1"/>
  <c r="J200" i="1"/>
  <c r="J87" i="1"/>
  <c r="J23" i="1"/>
  <c r="J93" i="1"/>
  <c r="J181" i="1"/>
  <c r="J253" i="1"/>
  <c r="J59" i="1"/>
  <c r="J155" i="1"/>
  <c r="J97" i="1"/>
  <c r="J74" i="1"/>
  <c r="J89" i="1"/>
  <c r="J252" i="1"/>
  <c r="J172" i="1"/>
  <c r="J231" i="1"/>
  <c r="J258" i="1"/>
  <c r="J144" i="1"/>
  <c r="J206" i="1"/>
  <c r="J247" i="1"/>
  <c r="J183" i="1"/>
  <c r="J242" i="1"/>
  <c r="J118" i="1"/>
  <c r="J53" i="1"/>
  <c r="J232" i="1"/>
  <c r="J168" i="1"/>
  <c r="J83" i="1"/>
  <c r="J41" i="1"/>
  <c r="J110" i="1"/>
  <c r="J34" i="1"/>
  <c r="J109" i="1"/>
  <c r="J195" i="1"/>
  <c r="J42" i="1"/>
  <c r="J28" i="1"/>
  <c r="J99" i="1"/>
  <c r="J62" i="1"/>
  <c r="J63" i="1"/>
  <c r="J40" i="1"/>
  <c r="J38" i="1"/>
  <c r="J91" i="1"/>
  <c r="J101" i="1"/>
  <c r="J268" i="1"/>
  <c r="J71" i="1"/>
  <c r="M9" i="6"/>
  <c r="M74" i="6"/>
  <c r="M75" i="6"/>
  <c r="M26" i="6"/>
  <c r="M25" i="6"/>
  <c r="M42" i="6"/>
  <c r="M41" i="6"/>
  <c r="M57" i="6"/>
  <c r="M27" i="6"/>
  <c r="K8" i="1"/>
  <c r="K95" i="1"/>
  <c r="K71" i="1"/>
  <c r="K268" i="1"/>
  <c r="K275" i="1"/>
  <c r="K274" i="1"/>
  <c r="K269" i="1"/>
  <c r="K265" i="1"/>
  <c r="K260" i="1"/>
  <c r="K257" i="1"/>
  <c r="K252" i="1"/>
  <c r="K249" i="1"/>
  <c r="K244" i="1"/>
  <c r="K241" i="1"/>
  <c r="K236" i="1"/>
  <c r="K233" i="1"/>
  <c r="K228" i="1"/>
  <c r="K225" i="1"/>
  <c r="K220" i="1"/>
  <c r="K217" i="1"/>
  <c r="K212" i="1"/>
  <c r="K209" i="1"/>
  <c r="K204" i="1"/>
  <c r="K201" i="1"/>
  <c r="K196" i="1"/>
  <c r="K193" i="1"/>
  <c r="K188" i="1"/>
  <c r="K185" i="1"/>
  <c r="K180" i="1"/>
  <c r="K177" i="1"/>
  <c r="K172" i="1"/>
  <c r="K169" i="1"/>
  <c r="K164" i="1"/>
  <c r="K161" i="1"/>
  <c r="K156" i="1"/>
  <c r="K153" i="1"/>
  <c r="K148" i="1"/>
  <c r="K145" i="1"/>
  <c r="K140" i="1"/>
  <c r="K137" i="1"/>
  <c r="K128" i="1"/>
  <c r="K121" i="1"/>
  <c r="K112" i="1"/>
  <c r="K105" i="1"/>
  <c r="K103" i="1"/>
  <c r="K101" i="1"/>
  <c r="K99" i="1"/>
  <c r="K97" i="1"/>
  <c r="K94" i="1"/>
  <c r="K92" i="1"/>
  <c r="K90" i="1"/>
  <c r="K88" i="1"/>
  <c r="K86" i="1"/>
  <c r="K84" i="1"/>
  <c r="K82" i="1"/>
  <c r="K80" i="1"/>
  <c r="K78" i="1"/>
  <c r="K76" i="1"/>
  <c r="K74" i="1"/>
  <c r="K72" i="1"/>
  <c r="K69" i="1"/>
  <c r="K67" i="1"/>
  <c r="K65" i="1"/>
  <c r="K63" i="1"/>
  <c r="K61" i="1"/>
  <c r="K59" i="1"/>
  <c r="K271" i="1"/>
  <c r="K267" i="1"/>
  <c r="K262" i="1"/>
  <c r="K259" i="1"/>
  <c r="K254" i="1"/>
  <c r="K251" i="1"/>
  <c r="K246" i="1"/>
  <c r="K243" i="1"/>
  <c r="K238" i="1"/>
  <c r="K235" i="1"/>
  <c r="K230" i="1"/>
  <c r="K227" i="1"/>
  <c r="K222" i="1"/>
  <c r="K219" i="1"/>
  <c r="K214" i="1"/>
  <c r="K211" i="1"/>
  <c r="K206" i="1"/>
  <c r="K203" i="1"/>
  <c r="K198" i="1"/>
  <c r="K195" i="1"/>
  <c r="K190" i="1"/>
  <c r="K187" i="1"/>
  <c r="K182" i="1"/>
  <c r="K179" i="1"/>
  <c r="K174" i="1"/>
  <c r="K171" i="1"/>
  <c r="K166" i="1"/>
  <c r="K163" i="1"/>
  <c r="K158" i="1"/>
  <c r="K155" i="1"/>
  <c r="K150" i="1"/>
  <c r="K147" i="1"/>
  <c r="K142" i="1"/>
  <c r="K139" i="1"/>
  <c r="K132" i="1"/>
  <c r="K125" i="1"/>
  <c r="K116" i="1"/>
  <c r="K272" i="1"/>
  <c r="K266" i="1"/>
  <c r="K263" i="1"/>
  <c r="K258" i="1"/>
  <c r="K255" i="1"/>
  <c r="K250" i="1"/>
  <c r="K247" i="1"/>
  <c r="K242" i="1"/>
  <c r="K239" i="1"/>
  <c r="K234" i="1"/>
  <c r="K231" i="1"/>
  <c r="K226" i="1"/>
  <c r="K223" i="1"/>
  <c r="K218" i="1"/>
  <c r="K215" i="1"/>
  <c r="K210" i="1"/>
  <c r="K207" i="1"/>
  <c r="K202" i="1"/>
  <c r="K199" i="1"/>
  <c r="K194" i="1"/>
  <c r="K191" i="1"/>
  <c r="K186" i="1"/>
  <c r="K183" i="1"/>
  <c r="K178" i="1"/>
  <c r="K175" i="1"/>
  <c r="K170" i="1"/>
  <c r="K167" i="1"/>
  <c r="K162" i="1"/>
  <c r="K159" i="1"/>
  <c r="K154" i="1"/>
  <c r="K151" i="1"/>
  <c r="K146" i="1"/>
  <c r="K143" i="1"/>
  <c r="K138" i="1"/>
  <c r="K240" i="1"/>
  <c r="K208" i="1"/>
  <c r="K176" i="1"/>
  <c r="K136" i="1"/>
  <c r="K114" i="1"/>
  <c r="K111" i="1"/>
  <c r="K89" i="1"/>
  <c r="K73" i="1"/>
  <c r="K157" i="1"/>
  <c r="K144" i="1"/>
  <c r="K133" i="1"/>
  <c r="K122" i="1"/>
  <c r="K119" i="1"/>
  <c r="K106" i="1"/>
  <c r="K91" i="1"/>
  <c r="K58" i="1"/>
  <c r="K54" i="1"/>
  <c r="K50" i="1"/>
  <c r="K253" i="1"/>
  <c r="K221" i="1"/>
  <c r="K189" i="1"/>
  <c r="K75" i="1"/>
  <c r="K56" i="1"/>
  <c r="K52" i="1"/>
  <c r="K273" i="1"/>
  <c r="K248" i="1"/>
  <c r="K216" i="1"/>
  <c r="K184" i="1"/>
  <c r="K152" i="1"/>
  <c r="K130" i="1"/>
  <c r="K261" i="1"/>
  <c r="K256" i="1"/>
  <c r="K224" i="1"/>
  <c r="K192" i="1"/>
  <c r="K237" i="1"/>
  <c r="K205" i="1"/>
  <c r="K173" i="1"/>
  <c r="K232" i="1"/>
  <c r="K200" i="1"/>
  <c r="K168" i="1"/>
  <c r="K141" i="1"/>
  <c r="K134" i="1"/>
  <c r="K131" i="1"/>
  <c r="K126" i="1"/>
  <c r="K123" i="1"/>
  <c r="K120" i="1"/>
  <c r="K109" i="1"/>
  <c r="K102" i="1"/>
  <c r="K85" i="1"/>
  <c r="K68" i="1"/>
  <c r="K70" i="1"/>
  <c r="K270" i="1"/>
  <c r="K264" i="1"/>
  <c r="K245" i="1"/>
  <c r="K213" i="1"/>
  <c r="K181" i="1"/>
  <c r="K149" i="1"/>
  <c r="K117" i="1"/>
  <c r="K104" i="1"/>
  <c r="K87" i="1"/>
  <c r="K197" i="1"/>
  <c r="K110" i="1"/>
  <c r="K48" i="1"/>
  <c r="K43" i="1"/>
  <c r="K36" i="1"/>
  <c r="K27" i="1"/>
  <c r="K20" i="1"/>
  <c r="K11" i="1"/>
  <c r="K37" i="1"/>
  <c r="K160" i="1"/>
  <c r="K135" i="1"/>
  <c r="K113" i="1"/>
  <c r="K98" i="1"/>
  <c r="K83" i="1"/>
  <c r="K79" i="1"/>
  <c r="K64" i="1"/>
  <c r="K51" i="1"/>
  <c r="K38" i="1"/>
  <c r="K22" i="1"/>
  <c r="K30" i="1"/>
  <c r="K21" i="1"/>
  <c r="K14" i="1"/>
  <c r="K165" i="1"/>
  <c r="K129" i="1"/>
  <c r="K93" i="1"/>
  <c r="K60" i="1"/>
  <c r="K57" i="1"/>
  <c r="K45" i="1"/>
  <c r="K40" i="1"/>
  <c r="K31" i="1"/>
  <c r="K24" i="1"/>
  <c r="K15" i="1"/>
  <c r="K44" i="1"/>
  <c r="K19" i="1"/>
  <c r="K12" i="1"/>
  <c r="K108" i="1"/>
  <c r="K33" i="1"/>
  <c r="K26" i="1"/>
  <c r="K17" i="1"/>
  <c r="K10" i="1"/>
  <c r="K100" i="1"/>
  <c r="K229" i="1"/>
  <c r="K127" i="1"/>
  <c r="K107" i="1"/>
  <c r="K77" i="1"/>
  <c r="K49" i="1"/>
  <c r="K46" i="1"/>
  <c r="K39" i="1"/>
  <c r="K32" i="1"/>
  <c r="K23" i="1"/>
  <c r="K16" i="1"/>
  <c r="K124" i="1"/>
  <c r="K53" i="1"/>
  <c r="K47" i="1"/>
  <c r="K35" i="1"/>
  <c r="K118" i="1"/>
  <c r="K55" i="1"/>
  <c r="K41" i="1"/>
  <c r="K34" i="1"/>
  <c r="K25" i="1"/>
  <c r="K18" i="1"/>
  <c r="K9" i="1"/>
  <c r="K29" i="1"/>
  <c r="K13" i="1"/>
  <c r="K42" i="1"/>
  <c r="K28" i="1"/>
  <c r="K115" i="1"/>
  <c r="K96" i="1"/>
  <c r="K81" i="1"/>
  <c r="K66" i="1"/>
  <c r="K62" i="1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11" i="6"/>
  <c r="N12" i="6"/>
  <c r="N116" i="6"/>
  <c r="N131" i="6"/>
  <c r="N243" i="6"/>
  <c r="N234" i="6"/>
  <c r="N245" i="6"/>
  <c r="N15" i="6"/>
  <c r="N246" i="6"/>
  <c r="N236" i="6"/>
  <c r="N194" i="6"/>
  <c r="N249" i="6"/>
  <c r="N170" i="6"/>
  <c r="N81" i="6"/>
  <c r="N118" i="6"/>
  <c r="N130" i="6"/>
  <c r="N127" i="6"/>
  <c r="N185" i="6"/>
  <c r="N142" i="6"/>
  <c r="N207" i="6"/>
  <c r="N228" i="6"/>
  <c r="N149" i="6"/>
  <c r="N147" i="6"/>
  <c r="N74" i="6"/>
  <c r="N167" i="6"/>
  <c r="N211" i="6"/>
  <c r="N101" i="6"/>
  <c r="N159" i="6"/>
  <c r="N212" i="6"/>
  <c r="N122" i="6"/>
  <c r="N84" i="6"/>
  <c r="N140" i="6"/>
  <c r="N183" i="6"/>
  <c r="N205" i="6"/>
  <c r="N126" i="6"/>
  <c r="N204" i="6"/>
  <c r="N220" i="6"/>
  <c r="N187" i="6"/>
  <c r="N93" i="6"/>
  <c r="N199" i="6"/>
  <c r="N192" i="6"/>
  <c r="N102" i="6"/>
  <c r="N144" i="6"/>
  <c r="N174" i="6"/>
  <c r="N133" i="6"/>
  <c r="N232" i="6"/>
  <c r="N213" i="6"/>
  <c r="N191" i="6"/>
  <c r="N108" i="6"/>
  <c r="N85" i="6"/>
  <c r="N98" i="6"/>
  <c r="N238" i="6"/>
  <c r="N9" i="6"/>
  <c r="N19" i="6"/>
  <c r="N80" i="6"/>
  <c r="N206" i="6"/>
  <c r="N201" i="6"/>
  <c r="N157" i="6"/>
  <c r="N153" i="6"/>
  <c r="N225" i="6"/>
  <c r="N198" i="6"/>
  <c r="N137" i="6"/>
  <c r="N92" i="6"/>
  <c r="N203" i="6"/>
  <c r="N171" i="6"/>
  <c r="N160" i="6"/>
  <c r="N218" i="6"/>
  <c r="N151" i="6"/>
  <c r="N104" i="6"/>
  <c r="N226" i="6"/>
  <c r="N210" i="6"/>
  <c r="N138" i="6"/>
  <c r="N233" i="6"/>
  <c r="N164" i="6"/>
  <c r="N230" i="6"/>
  <c r="N189" i="6"/>
  <c r="N214" i="6"/>
  <c r="N219" i="6"/>
  <c r="N215" i="6"/>
  <c r="N103" i="6"/>
  <c r="N76" i="6"/>
  <c r="N77" i="6"/>
  <c r="N154" i="6"/>
  <c r="N106" i="6"/>
  <c r="N95" i="6"/>
  <c r="N195" i="6"/>
  <c r="N97" i="6"/>
  <c r="N125" i="6"/>
  <c r="N166" i="6"/>
  <c r="N87" i="6"/>
  <c r="N177" i="6"/>
  <c r="N197" i="6"/>
  <c r="N239" i="6"/>
  <c r="N162" i="6"/>
  <c r="N168" i="6"/>
  <c r="N119" i="6"/>
  <c r="N184" i="6"/>
  <c r="N71" i="6"/>
  <c r="N155" i="6"/>
  <c r="N143" i="6"/>
  <c r="N89" i="6"/>
  <c r="N88" i="6"/>
  <c r="N190" i="6"/>
  <c r="N173" i="6"/>
  <c r="N242" i="6"/>
  <c r="N182" i="6"/>
  <c r="N156" i="6"/>
  <c r="N150" i="6"/>
  <c r="N79" i="6"/>
  <c r="N163" i="6"/>
  <c r="N216" i="6"/>
  <c r="N91" i="6"/>
  <c r="N248" i="6"/>
  <c r="N82" i="6"/>
  <c r="N180" i="6"/>
  <c r="N229" i="6"/>
  <c r="N240" i="6"/>
  <c r="N172" i="6"/>
  <c r="N141" i="6"/>
  <c r="N8" i="6"/>
  <c r="N115" i="6"/>
  <c r="N200" i="6"/>
  <c r="N176" i="6"/>
  <c r="N222" i="6"/>
  <c r="N231" i="6"/>
  <c r="N120" i="6"/>
  <c r="N16" i="6"/>
  <c r="N223" i="6"/>
  <c r="N244" i="6"/>
  <c r="N117" i="6"/>
  <c r="N73" i="6"/>
  <c r="N110" i="6"/>
  <c r="N196" i="6"/>
  <c r="N99" i="6"/>
  <c r="N112" i="6"/>
  <c r="N235" i="6"/>
  <c r="N111" i="6"/>
  <c r="N136" i="6"/>
  <c r="N109" i="6"/>
  <c r="N165" i="6"/>
  <c r="N100" i="6"/>
  <c r="N227" i="6"/>
  <c r="N94" i="6"/>
  <c r="N186" i="6"/>
  <c r="N145" i="6"/>
  <c r="N146" i="6"/>
  <c r="N96" i="6"/>
  <c r="N129" i="6"/>
  <c r="N86" i="6"/>
  <c r="N107" i="6"/>
  <c r="N114" i="6"/>
  <c r="N209" i="6"/>
  <c r="N83" i="6"/>
  <c r="N217" i="6"/>
  <c r="N221" i="6"/>
  <c r="N14" i="6"/>
  <c r="N72" i="6"/>
  <c r="N128" i="6"/>
  <c r="N10" i="6"/>
  <c r="N152" i="6"/>
  <c r="N158" i="6"/>
  <c r="N75" i="6"/>
  <c r="N161" i="6"/>
  <c r="N134" i="6"/>
  <c r="N188" i="6"/>
  <c r="N181" i="6"/>
  <c r="N123" i="6"/>
  <c r="N237" i="6"/>
  <c r="N208" i="6"/>
  <c r="N241" i="6"/>
  <c r="N20" i="6"/>
  <c r="N124" i="6"/>
  <c r="N175" i="6"/>
  <c r="N135" i="6"/>
  <c r="N148" i="6"/>
  <c r="N121" i="6"/>
  <c r="N224" i="6"/>
  <c r="N113" i="6"/>
  <c r="N193" i="6"/>
  <c r="N139" i="6"/>
  <c r="N169" i="6"/>
  <c r="N132" i="6"/>
  <c r="N202" i="6"/>
  <c r="N179" i="6"/>
  <c r="N178" i="6"/>
  <c r="N18" i="6"/>
  <c r="N247" i="6"/>
  <c r="N250" i="6"/>
  <c r="N105" i="6"/>
  <c r="N78" i="6"/>
  <c r="N13" i="6"/>
  <c r="N90" i="6"/>
  <c r="N17" i="6" l="1"/>
</calcChain>
</file>

<file path=xl/sharedStrings.xml><?xml version="1.0" encoding="utf-8"?>
<sst xmlns="http://schemas.openxmlformats.org/spreadsheetml/2006/main" count="4655" uniqueCount="861">
  <si>
    <t>DAFTAR AKUN</t>
  </si>
  <si>
    <t>Tanggal</t>
  </si>
  <si>
    <t>Nama Akun</t>
  </si>
  <si>
    <t>Kode</t>
  </si>
  <si>
    <t>Type Akun</t>
  </si>
  <si>
    <t>Debet</t>
  </si>
  <si>
    <t>Kredit</t>
  </si>
  <si>
    <t>Kas</t>
  </si>
  <si>
    <t>TYPE AKUN</t>
  </si>
  <si>
    <t>Keterangan</t>
  </si>
  <si>
    <t>Posisi</t>
  </si>
  <si>
    <t>Bank</t>
  </si>
  <si>
    <t>Piutang</t>
  </si>
  <si>
    <t>Akun Piutang</t>
  </si>
  <si>
    <t>Persediaan</t>
  </si>
  <si>
    <t>Aktiva Lancar Lainnya</t>
  </si>
  <si>
    <t>Aktiva Tetap</t>
  </si>
  <si>
    <t>Depresiasi &amp; Amortisasi</t>
  </si>
  <si>
    <t>Aktiva Lainnya</t>
  </si>
  <si>
    <t>Akun Hutang</t>
  </si>
  <si>
    <t>Kewajiban Lancar Lainnya</t>
  </si>
  <si>
    <t>Kewajiban Jangka Panjang</t>
  </si>
  <si>
    <t>Ekuitas</t>
  </si>
  <si>
    <t>Pendapatan</t>
  </si>
  <si>
    <t>Harga Pokok Penjualan</t>
  </si>
  <si>
    <t>Beban</t>
  </si>
  <si>
    <t>Pendapatan Lainnya</t>
  </si>
  <si>
    <t>Beban Lainnya</t>
  </si>
  <si>
    <t>Neraca</t>
  </si>
  <si>
    <t>Nrc</t>
  </si>
  <si>
    <t>Lr</t>
  </si>
  <si>
    <t>Db</t>
  </si>
  <si>
    <t>Kr</t>
  </si>
  <si>
    <t>Sn</t>
  </si>
  <si>
    <t>DAFTAR DIVISI</t>
  </si>
  <si>
    <t>Nama Divisi</t>
  </si>
  <si>
    <t>Saldo Awal</t>
  </si>
  <si>
    <t>Penerimaan</t>
  </si>
  <si>
    <t>Pengeluaran</t>
  </si>
  <si>
    <t>Saldo Akhir</t>
  </si>
  <si>
    <t>Pusat</t>
  </si>
  <si>
    <t>D1</t>
  </si>
  <si>
    <t>D2</t>
  </si>
  <si>
    <t>D3</t>
  </si>
  <si>
    <t>Cabang 1</t>
  </si>
  <si>
    <t>Cabang 2</t>
  </si>
  <si>
    <t>DAFTAR KODE BANTU</t>
  </si>
  <si>
    <t>C1</t>
  </si>
  <si>
    <t>C2</t>
  </si>
  <si>
    <t>Customer 1</t>
  </si>
  <si>
    <t>Customer 2</t>
  </si>
  <si>
    <t>Penambahan</t>
  </si>
  <si>
    <t>Pengurangan</t>
  </si>
  <si>
    <t>Jenis</t>
  </si>
  <si>
    <t>KB</t>
  </si>
  <si>
    <t>KB2</t>
  </si>
  <si>
    <t>MASTER DATA</t>
  </si>
  <si>
    <t>TRANSAKSI</t>
  </si>
  <si>
    <t>MENU</t>
  </si>
  <si>
    <t>DIVISI</t>
  </si>
  <si>
    <t>PROJECT</t>
  </si>
  <si>
    <t>PROFIL USAHA</t>
  </si>
  <si>
    <t>Nama Usaha</t>
  </si>
  <si>
    <t>Alamat</t>
  </si>
  <si>
    <t>Tahun Buku</t>
  </si>
  <si>
    <t>Kebutuhan Laporan</t>
  </si>
  <si>
    <t>Dibuat Oleh,</t>
  </si>
  <si>
    <t>Diketahui Oleh,</t>
  </si>
  <si>
    <t>Disetujui Oleh</t>
  </si>
  <si>
    <t>Data Usaha</t>
  </si>
  <si>
    <t>Email</t>
  </si>
  <si>
    <t>Kontak/No. Hp</t>
  </si>
  <si>
    <t>Total</t>
  </si>
  <si>
    <t>Hutang</t>
  </si>
  <si>
    <t>S1</t>
  </si>
  <si>
    <t>S2</t>
  </si>
  <si>
    <t>Supplier 1</t>
  </si>
  <si>
    <t>Supplier 2</t>
  </si>
  <si>
    <t>JURNAL TRANSAKSI HARIAN</t>
  </si>
  <si>
    <t>Ref</t>
  </si>
  <si>
    <t>Kode Bantu</t>
  </si>
  <si>
    <t>Divisi</t>
  </si>
  <si>
    <t>Project</t>
  </si>
  <si>
    <t>Akun Debet</t>
  </si>
  <si>
    <t>Akun Kredit</t>
  </si>
  <si>
    <t>Saldo</t>
  </si>
  <si>
    <t>Kode2</t>
  </si>
  <si>
    <t>Index</t>
  </si>
  <si>
    <t>List</t>
  </si>
  <si>
    <t>Kb1</t>
  </si>
  <si>
    <t>Kb2</t>
  </si>
  <si>
    <t>Kb3</t>
  </si>
  <si>
    <t>D1 | Pusat</t>
  </si>
  <si>
    <t>P1 | Project 1</t>
  </si>
  <si>
    <t>D2 | Cabang 1</t>
  </si>
  <si>
    <t>Buku Besar</t>
  </si>
  <si>
    <t>Akun</t>
  </si>
  <si>
    <t>Jenis Akun</t>
  </si>
  <si>
    <t>LAP. KEUANGAN</t>
  </si>
  <si>
    <t>LAP. PENDUKUNG</t>
  </si>
  <si>
    <t>Daftar Akun</t>
  </si>
  <si>
    <t>Input Jurnal</t>
  </si>
  <si>
    <t>Laba Rugi</t>
  </si>
  <si>
    <t>Arus Kas</t>
  </si>
  <si>
    <t>Perubahan Ekuitas</t>
  </si>
  <si>
    <t>Buku Pembantu</t>
  </si>
  <si>
    <t>Neraca Lajur</t>
  </si>
  <si>
    <t>Neraca 12 Bulan</t>
  </si>
  <si>
    <t>Laba Rugi 12 Bulan</t>
  </si>
  <si>
    <t>LAP. 12 BULAN</t>
  </si>
  <si>
    <t>LR. Divisi</t>
  </si>
  <si>
    <t>LR. Project</t>
  </si>
  <si>
    <t>LR. Project 12 Bulan</t>
  </si>
  <si>
    <t>LR. Divisi 12 Bulan</t>
  </si>
  <si>
    <t>BUKTI TRANSAKSI</t>
  </si>
  <si>
    <t>Bukti Jurnal</t>
  </si>
  <si>
    <t>s/d</t>
  </si>
  <si>
    <t>PERIODE LAPORAN</t>
  </si>
  <si>
    <t>AKTIVASI PROGRAM</t>
  </si>
  <si>
    <t>Serial Number</t>
  </si>
  <si>
    <t>Aktivasi</t>
  </si>
  <si>
    <t>Lisensi Untuk</t>
  </si>
  <si>
    <t>KB1</t>
  </si>
  <si>
    <t>KB0</t>
  </si>
  <si>
    <t>Pergerakan</t>
  </si>
  <si>
    <t>NERACA</t>
  </si>
  <si>
    <t>KAS DAN BANK</t>
  </si>
  <si>
    <t>TOTAL KAS DAN BANK</t>
  </si>
  <si>
    <t>TOTAL PIUTANG</t>
  </si>
  <si>
    <t>PERSEDIAAN</t>
  </si>
  <si>
    <t>TOTAL PERSEDIAAN</t>
  </si>
  <si>
    <t>AKTIVA LANCAR LAINNYA</t>
  </si>
  <si>
    <t>TOTAL AKTIVA</t>
  </si>
  <si>
    <t>TOTAL KEWAJIBAN LANCAR</t>
  </si>
  <si>
    <t>TOTAL KEWAJIBAN LANCAR LAINNYA</t>
  </si>
  <si>
    <t>KEWAJIBAN JANGKA PANJANG</t>
  </si>
  <si>
    <t>TOTAL KEWAJIBAN JANGKA PANJANG</t>
  </si>
  <si>
    <t>MODAL</t>
  </si>
  <si>
    <t>TOTAL MODAL</t>
  </si>
  <si>
    <t>TOTAL KEWAJIBAN DAN MODAL</t>
  </si>
  <si>
    <t>TOTAL KEWAJIBAN</t>
  </si>
  <si>
    <t>Disetujui Oleh,</t>
  </si>
  <si>
    <t>Filter</t>
  </si>
  <si>
    <t>LABA RUGI</t>
  </si>
  <si>
    <t>PENDAPATAN</t>
  </si>
  <si>
    <t>TOTAL PENDAPATAN</t>
  </si>
  <si>
    <t>LABA KOTOR</t>
  </si>
  <si>
    <t>BIAYA OPERASIONAL</t>
  </si>
  <si>
    <t>TOTAL BIAYA OPERASIONAL</t>
  </si>
  <si>
    <t>LABA OPERASIONAL</t>
  </si>
  <si>
    <t>PENDAPATAN (BEBAN) LAINNYA</t>
  </si>
  <si>
    <t>PENDAPATAN LAINNYA</t>
  </si>
  <si>
    <t>BEBAN LAINNYA</t>
  </si>
  <si>
    <t>TOTAL PENDAPATAN (BEBAN) LAINNYA</t>
  </si>
  <si>
    <t>LABA (RUGI)</t>
  </si>
  <si>
    <t>LAPORAN ARUS KAS</t>
  </si>
  <si>
    <t>AKTIVITAS OPERASIONAL</t>
  </si>
  <si>
    <t>AK</t>
  </si>
  <si>
    <t>AK2</t>
  </si>
  <si>
    <t>AKTIVITAS INVESTASI</t>
  </si>
  <si>
    <t>Aset lancar lainnya</t>
  </si>
  <si>
    <t>liabilitas jangka pendek lainnya</t>
  </si>
  <si>
    <t>Pendapatan lainnya</t>
  </si>
  <si>
    <t>Pengeluaran operasional</t>
  </si>
  <si>
    <t>Perolehan/Penjualan aset</t>
  </si>
  <si>
    <t>Aktivitas investasi lainnya</t>
  </si>
  <si>
    <t>Pembayaran/Penerimaan pinjaman</t>
  </si>
  <si>
    <t>Ekuitas/Modal</t>
  </si>
  <si>
    <t>KAS BERSIH YANG DIPEROLEH DARI AKTIVITAS OPERASIONAL</t>
  </si>
  <si>
    <t>AKTIVITAS PENDANAAN</t>
  </si>
  <si>
    <t>KENAIKAN (PENURUNAN) KAS</t>
  </si>
  <si>
    <t>SALDO AWAL</t>
  </si>
  <si>
    <t>SALDO AKHIR KAS</t>
  </si>
  <si>
    <t>SALDO AWAL KAS</t>
  </si>
  <si>
    <t>LAPORAN PERUBAHAN EKUITAS</t>
  </si>
  <si>
    <t>KODE</t>
  </si>
  <si>
    <t>NAMA AKUN</t>
  </si>
  <si>
    <t>PERGERAKAN</t>
  </si>
  <si>
    <t>SALDO AKHIR</t>
  </si>
  <si>
    <t>DB</t>
  </si>
  <si>
    <t>KR</t>
  </si>
  <si>
    <t>NERACA 12 BULAN</t>
  </si>
  <si>
    <t>BLN</t>
  </si>
  <si>
    <t>KDB1</t>
  </si>
  <si>
    <t>KDB2</t>
  </si>
  <si>
    <t>D3 | Cabang 2</t>
  </si>
  <si>
    <t>LABA RUGI 12 BULAN DIVISI</t>
  </si>
  <si>
    <t>PRJ</t>
  </si>
  <si>
    <t>LABA RUGI 12 BULAN PROJECT</t>
  </si>
  <si>
    <t>LR. Sanding Divisi</t>
  </si>
  <si>
    <t>Periode</t>
  </si>
  <si>
    <t>LABA RUGI SANDING DIVISI</t>
  </si>
  <si>
    <t>JURNAL VOUCHER</t>
  </si>
  <si>
    <t>No. Voucher</t>
  </si>
  <si>
    <t>VOUCHER</t>
  </si>
  <si>
    <t>Profil Usaha</t>
  </si>
  <si>
    <t>A</t>
  </si>
  <si>
    <t>C</t>
  </si>
  <si>
    <t>S</t>
  </si>
  <si>
    <t>B</t>
  </si>
  <si>
    <t>U</t>
  </si>
  <si>
    <t>H</t>
  </si>
  <si>
    <t>M</t>
  </si>
  <si>
    <t>N</t>
  </si>
  <si>
    <t>G</t>
  </si>
  <si>
    <t>O</t>
  </si>
  <si>
    <t>J</t>
  </si>
  <si>
    <t>Z</t>
  </si>
  <si>
    <t>E</t>
  </si>
  <si>
    <t>D</t>
  </si>
  <si>
    <t>I</t>
  </si>
  <si>
    <t>F</t>
  </si>
  <si>
    <t>Q</t>
  </si>
  <si>
    <t>R</t>
  </si>
  <si>
    <t>K</t>
  </si>
  <si>
    <t>P</t>
  </si>
  <si>
    <t>X</t>
  </si>
  <si>
    <t>Y</t>
  </si>
  <si>
    <t>T</t>
  </si>
  <si>
    <t>V</t>
  </si>
  <si>
    <t>L</t>
  </si>
  <si>
    <t>W</t>
  </si>
  <si>
    <t>-</t>
  </si>
  <si>
    <t>LABA RUGI 12 BULAN</t>
  </si>
  <si>
    <t>Tahun</t>
  </si>
  <si>
    <t>Type</t>
  </si>
  <si>
    <t>Triwulan 1</t>
  </si>
  <si>
    <t>Triwulan 2</t>
  </si>
  <si>
    <t>Triwulan 3</t>
  </si>
  <si>
    <t>Triwulan 4</t>
  </si>
  <si>
    <t>Kuartal 1</t>
  </si>
  <si>
    <t>Kuartal 2</t>
  </si>
  <si>
    <t>Kuartal 3</t>
  </si>
  <si>
    <t>Semester 1</t>
  </si>
  <si>
    <t>Semester 2</t>
  </si>
  <si>
    <t>ASET TETAP</t>
  </si>
  <si>
    <t>Jenis Aset</t>
  </si>
  <si>
    <t>Daftar Aset Tetap</t>
  </si>
  <si>
    <t>Jenis Aset Tetap</t>
  </si>
  <si>
    <t>Nilai Perolehan</t>
  </si>
  <si>
    <t>Nilai Buku</t>
  </si>
  <si>
    <t>Tanah</t>
  </si>
  <si>
    <t>Tdk Tersusutkan</t>
  </si>
  <si>
    <t>Bangunan</t>
  </si>
  <si>
    <t>Tersusutkan</t>
  </si>
  <si>
    <t>Kendaraan</t>
  </si>
  <si>
    <t>Mesin dan Peralatan</t>
  </si>
  <si>
    <t>UE (Tahun)</t>
  </si>
  <si>
    <t>Akum. Penyusutan</t>
  </si>
  <si>
    <t>Kode Aktiva</t>
  </si>
  <si>
    <t>Type Aktiva</t>
  </si>
  <si>
    <t>Tanggal Beli</t>
  </si>
  <si>
    <t>Bulan Penyusutan</t>
  </si>
  <si>
    <t>Tahun Penyusutan</t>
  </si>
  <si>
    <t>Qty</t>
  </si>
  <si>
    <t>Harga Perolehan</t>
  </si>
  <si>
    <t>Total Perolehan</t>
  </si>
  <si>
    <t>Nilai Sisa</t>
  </si>
  <si>
    <t>Hasil</t>
  </si>
  <si>
    <t>AKT-001</t>
  </si>
  <si>
    <t>AKT-002</t>
  </si>
  <si>
    <t>Aktiva 1</t>
  </si>
  <si>
    <t>January</t>
  </si>
  <si>
    <t>UE (Bln)</t>
  </si>
  <si>
    <t>Sisa (Bln)</t>
  </si>
  <si>
    <t>Bulan Pakai (Bulan)</t>
  </si>
  <si>
    <t>KAS</t>
  </si>
  <si>
    <t>ASET LANCAR</t>
  </si>
  <si>
    <t>BANK</t>
  </si>
  <si>
    <t>PIUTANG USAHA</t>
  </si>
  <si>
    <t>ASET LAINNYA</t>
  </si>
  <si>
    <t>ASET</t>
  </si>
  <si>
    <t>TOTAL KAS</t>
  </si>
  <si>
    <t>TOTAL BANK</t>
  </si>
  <si>
    <t>TOTAL ASET LANCAR</t>
  </si>
  <si>
    <t>TOTAL ASET TETAP</t>
  </si>
  <si>
    <t>HARGA POKOK PENDAPATAN</t>
  </si>
  <si>
    <t>TOTAL HARGA POKOK PENDAPATAN</t>
  </si>
  <si>
    <t>S1 | Supplier 1</t>
  </si>
  <si>
    <t>JU-004</t>
  </si>
  <si>
    <t>*Ganti Periode</t>
  </si>
  <si>
    <t>KAS BENDAHARA PENERIMAAN</t>
  </si>
  <si>
    <t>KAS BENDAHARA PENGELUARAN</t>
  </si>
  <si>
    <t>KAS DALAM PERJALANAN</t>
  </si>
  <si>
    <t>PENYETORAN KEMBALI KE KAS PD.PARKIR</t>
  </si>
  <si>
    <t>BANK BPD SULSELBAR</t>
  </si>
  <si>
    <t>BANK BRI</t>
  </si>
  <si>
    <t>BANK BTN</t>
  </si>
  <si>
    <t>BANK BTN 2</t>
  </si>
  <si>
    <t>PIUTANG USAHA PARKIR TEPI JALAN UMUM</t>
  </si>
  <si>
    <t>PIUTANG USAHA PARKIR INSIDENTIL</t>
  </si>
  <si>
    <t>PIUTANG USAHA PARKIR KOMERSIAL</t>
  </si>
  <si>
    <t>PIUTANG USAHA PARKIR LANGGANA BULANAN (PLB)</t>
  </si>
  <si>
    <t>PIUTANG INSIDENTIL ONLINE</t>
  </si>
  <si>
    <t>PIUTANG PARKIR KHUSUS BADAN USAHA</t>
  </si>
  <si>
    <t>PIUTANG PARKIR TEKHNOLOGI / ONLINE</t>
  </si>
  <si>
    <t>PIUTANG PT.KTI (Kinarya Terbaik Indonesia)</t>
  </si>
  <si>
    <t>PIUTANG NON USAHA</t>
  </si>
  <si>
    <t>PIUTANG DIREKSI</t>
  </si>
  <si>
    <t>PIUTANG BADAN PENGAWAS</t>
  </si>
  <si>
    <t>PIUTANG KARYAWAN</t>
  </si>
  <si>
    <t>CADANGAN KERUGIAN PIUTANG</t>
  </si>
  <si>
    <t>PERSEDIAAN KARCIS RODA 4 (R4)</t>
  </si>
  <si>
    <t>PERSEDIAAN KARCIS RODA 2 (R2)</t>
  </si>
  <si>
    <t>UANG MUKA</t>
  </si>
  <si>
    <t>TANAH</t>
  </si>
  <si>
    <t>BANGUNAN KANTOR</t>
  </si>
  <si>
    <t>KENDARAAN</t>
  </si>
  <si>
    <t>RAMBU RAMBU</t>
  </si>
  <si>
    <t>INVENTARIS KANTOR</t>
  </si>
  <si>
    <t>PENGADAAN LAPTOP</t>
  </si>
  <si>
    <t>PENGADAAN KOMPUTER (PC) DAN HARD DISK</t>
  </si>
  <si>
    <t>PENGADAAN PRINTER,SCANNER DAN INFOCUS</t>
  </si>
  <si>
    <t>AKUMULASI PENYUSUTAN</t>
  </si>
  <si>
    <t>AKUMULASI PENYUSUTAN BANGUNAN KANTOR</t>
  </si>
  <si>
    <t>AKUMULASI PENYUSUTAN KENDARAAN</t>
  </si>
  <si>
    <t>AKUMULASI PENYUSUTAN RAMBU RAMBU</t>
  </si>
  <si>
    <t>AKUMULASI PENYUSUTAN INVENTARIS KANTOR</t>
  </si>
  <si>
    <t>ASET TETAP LAINNYA</t>
  </si>
  <si>
    <t>GOODWILL</t>
  </si>
  <si>
    <t>BEBAN DITANGGUHKAN</t>
  </si>
  <si>
    <t>AKUMULASI AMORTISASI BEBAN DITANGGUHKAN</t>
  </si>
  <si>
    <t>AKUMULASI AMORTISASI GOODWILL</t>
  </si>
  <si>
    <t>AKUMULASI AMORTISASI LAINNYA</t>
  </si>
  <si>
    <t>CADANGAN DANA PENSIUN (DPLK) PEGAWAI</t>
  </si>
  <si>
    <t>CADANGAN DANA PENSIUN (DPLK) DIREKSI</t>
  </si>
  <si>
    <t>LIABILITY</t>
  </si>
  <si>
    <t>HUTANG LANCAR</t>
  </si>
  <si>
    <t>HUTANG USAHA</t>
  </si>
  <si>
    <t>HUTANG BIAYA</t>
  </si>
  <si>
    <t>DEPOSIT KOLEKTOR</t>
  </si>
  <si>
    <t>HUTANG GAJI</t>
  </si>
  <si>
    <t>HUTANG ACC ANGSURAN MOBIL OPERASIONAL</t>
  </si>
  <si>
    <t>HUTANG DEVIDEN</t>
  </si>
  <si>
    <t>HUTANG BANK JANGKA PENDEK</t>
  </si>
  <si>
    <t>HUTANG JASPRO DIREKSI</t>
  </si>
  <si>
    <t>HUTANG JASPRO KARYAWAN</t>
  </si>
  <si>
    <t>HUTANG PAJAK</t>
  </si>
  <si>
    <t>HUTANG PAJAK (PPH BADAN)</t>
  </si>
  <si>
    <t>HUTANG PAJAK PARKIR PLB</t>
  </si>
  <si>
    <t>HUTANG PAJAK PPH 21</t>
  </si>
  <si>
    <t>HUTANG PAJAK PPH 25</t>
  </si>
  <si>
    <t>HUTANG PAJAK PPH 23</t>
  </si>
  <si>
    <t>PPN KELUARAN</t>
  </si>
  <si>
    <t>HUTANG JANGKA PANJANG</t>
  </si>
  <si>
    <t>HUTANG JK JANGKA PANJANG - KMK</t>
  </si>
  <si>
    <t>HUTANG JK JANGKA PANJANG - KI</t>
  </si>
  <si>
    <t>MODAL SAHAM</t>
  </si>
  <si>
    <t>ASET PEMKOT DIPISAHKAN</t>
  </si>
  <si>
    <t>LABA DITAHAN</t>
  </si>
  <si>
    <t>LABA DITAHAN - DANA CSR</t>
  </si>
  <si>
    <t>LABA DITAHAN - DANA SOSIAL</t>
  </si>
  <si>
    <t>LABA DITAHAN - DANA PENSIUN DAN SOKONGAN</t>
  </si>
  <si>
    <t>LABA DITAHAN - CADANGAN</t>
  </si>
  <si>
    <t>LABA TAHUN SEBELUMNYA</t>
  </si>
  <si>
    <t>LABA TAHUN BERJALAN</t>
  </si>
  <si>
    <t>KOREKSI LABA</t>
  </si>
  <si>
    <t>PENDAPATAN OPERASIONAL</t>
  </si>
  <si>
    <t>PENDAPATAN PARKIR TEPI JALAN UMUM (TJU)</t>
  </si>
  <si>
    <t>PENDAPATAN PARKIR INSIDENTIL</t>
  </si>
  <si>
    <t>PENDAPATAN PARKIR KOMERSIL</t>
  </si>
  <si>
    <t>PENDAPATAN PARKIR LANGGANAN BULANAN</t>
  </si>
  <si>
    <t>PENDAPATAN SEWA LAHAN PARKIR</t>
  </si>
  <si>
    <t xml:space="preserve">PENDAPATAN PARKIR </t>
  </si>
  <si>
    <t>PENDAPATAN PARKIR TEKHNOLOGI / ONLINE</t>
  </si>
  <si>
    <t>POTONGAN/PENGURANG PENDAPATAN</t>
  </si>
  <si>
    <t>POTONGAN / PENGURANG PENDAPATAN - TJU</t>
  </si>
  <si>
    <t>POTONGAN / PENGURANG PENDAPATAN - INSIDENTIL</t>
  </si>
  <si>
    <t>POTONGAN / PENGURANG PENDAPATAN - KOMERSIAL</t>
  </si>
  <si>
    <t>POTONGAN / PENGURANG PENDAPATAN - PLB</t>
  </si>
  <si>
    <t>POTONGAN / PENGURANG PENDAPATAN - INSIDENTIL ONLIN</t>
  </si>
  <si>
    <t>POTONGAN / PENGURANG PENDAPATAN - KHUSUS BADAN USA</t>
  </si>
  <si>
    <t>POTONGAN / PENGURANG PENDAPATAN - TEKNOLOGI / ONLI</t>
  </si>
  <si>
    <t>BIAYA CETAKAN</t>
  </si>
  <si>
    <t>BIAYA SURVEY / UJI PETIK</t>
  </si>
  <si>
    <t>BIAYA OPERASIONAL TIM PATROLI KHUSUS</t>
  </si>
  <si>
    <t>BIAYA OPERASIONAL TIM PATUH PARKIR</t>
  </si>
  <si>
    <t>BIAYA OPERASIONAL PEGAWAI</t>
  </si>
  <si>
    <t>BIAYA PAKET THR</t>
  </si>
  <si>
    <t>BIAYA SHARING PARKIR ELEKTRONIK</t>
  </si>
  <si>
    <t>BIAYA ASURANSI JUKIR</t>
  </si>
  <si>
    <t>BIAYA PAKAIAN JUKIR</t>
  </si>
  <si>
    <t>BIAYA TIM PENEGAK PERDA</t>
  </si>
  <si>
    <t>BIAYA UPAH PUNGUT KOLEKTOR</t>
  </si>
  <si>
    <t>BIAYA PAJAK PARKIR PLB</t>
  </si>
  <si>
    <t>BIAYA ID CARD</t>
  </si>
  <si>
    <t>BIAYA BAHAN BAKAR KENDARAAN OPERASIONAL</t>
  </si>
  <si>
    <t>BIAYA MAINTENANCE KENDARAAN OPERASIONAL</t>
  </si>
  <si>
    <t>BIAYA SURAT KENDARAAN (STNK)</t>
  </si>
  <si>
    <t>BIAYA SHARING PENETAPAN BARU PLB</t>
  </si>
  <si>
    <t>BIAYA CSR</t>
  </si>
  <si>
    <t>BIAYA PEMBINAAN LORONG</t>
  </si>
  <si>
    <t>BIAYA KARTU CASHLESS</t>
  </si>
  <si>
    <t>BIAYA OPERASIONAL JUKIR</t>
  </si>
  <si>
    <t>BIAYA PERBAIKAN LAHAN PARKIR</t>
  </si>
  <si>
    <t>BIAYA SHARING KTI</t>
  </si>
  <si>
    <t>BIAYA PENERAPAN MEMBER PARKING KENDARAAN</t>
  </si>
  <si>
    <t>BIAYA PUNGUT KOLEKOR</t>
  </si>
  <si>
    <t>BIAYA ADM UMUM</t>
  </si>
  <si>
    <t>BIAYA GAJI DAN SDM</t>
  </si>
  <si>
    <t>BIAYA HONOR BADAN PENGAWAS DAN STAF BP</t>
  </si>
  <si>
    <t>BIAYA TUNJANGAN BBM BADAN PENGAWAS</t>
  </si>
  <si>
    <t>BIAYA TUNJANGAN MONITORING, EVALUASI DAN PELAPORAN</t>
  </si>
  <si>
    <t>BIAYA GAJI DIREKSI</t>
  </si>
  <si>
    <t>BIAYA GAJI DAN TUNJANGAN PEGAWAI ORGANIK</t>
  </si>
  <si>
    <t>BIAYA UPAH TENAGA KONTRAK</t>
  </si>
  <si>
    <t>BIAYA UPAH TENAGA HONOR</t>
  </si>
  <si>
    <t>BIAYA INSENTIF DIREKSI DAN KARYAWAN</t>
  </si>
  <si>
    <t>BIAYA TUNJANGAN TELEKOMUNIKASI DIREKSI DAN KABAG</t>
  </si>
  <si>
    <t>BIAYA TUNJANGAN KOORDINASI DIREKSI</t>
  </si>
  <si>
    <t>BIAYA CUTI DIREKSI</t>
  </si>
  <si>
    <t>BIAYA LEMBUR DIREKSI DAN PEGAWAI</t>
  </si>
  <si>
    <t>BIAYA TUNJANGAN HARI RAYA (GAJI 13)</t>
  </si>
  <si>
    <t>BIAYA HONOR TIM PENYUSUN RANPERDA PERUMDA</t>
  </si>
  <si>
    <t>BIAYA HONOR TENAGA SUKARELA</t>
  </si>
  <si>
    <t>BIAYA TUNJANGAN JABATAN</t>
  </si>
  <si>
    <t>TUNJANGAN JAMSOSTEK KESEHATAN</t>
  </si>
  <si>
    <t>TUNJANGAN JAMSOSTEK KETENAGAKERJAAN</t>
  </si>
  <si>
    <t>TUNJANGAN ISTRI DAN ANAK</t>
  </si>
  <si>
    <t>TUNJANGAN TRANSPORT</t>
  </si>
  <si>
    <t>REFRESENTASI DIREKSI</t>
  </si>
  <si>
    <t>GAJI POKOK PEGAWAI</t>
  </si>
  <si>
    <t>TUNJANGAN KESEHATAN DAN BPJS TK-PEGAWAI</t>
  </si>
  <si>
    <t>TUNJANGAN MAKAN MINUM TRANSPORTASI &amp; T. KELUARGA</t>
  </si>
  <si>
    <t>BIAYA TUNJANGAN HARI RAYA</t>
  </si>
  <si>
    <t>BIAYA HONOR KOMITE AUDIT</t>
  </si>
  <si>
    <t>BIAYA DANA REFRESENTASI DIREKSI</t>
  </si>
  <si>
    <t>BIAYA KOORDINASI PEMBINA PERUSDA</t>
  </si>
  <si>
    <t>BIAYA PENINGKATAN SDM PEGAWAI</t>
  </si>
  <si>
    <t>BIAYA SOSIALISASI</t>
  </si>
  <si>
    <t>BIAYA MEDIA CETAK DAN ELEKTRONIK</t>
  </si>
  <si>
    <t>BIAYA HONOR PANITIA DAN PEMERIKSA BARANG</t>
  </si>
  <si>
    <t>BIAYA ALAT TULIS KANTOR (ATK)</t>
  </si>
  <si>
    <t>BIAYA BENDA BENDA POS DAN MATERAI</t>
  </si>
  <si>
    <t>BIAYA PEMELIHARAAN BANGUNAN KANTOR</t>
  </si>
  <si>
    <t>BIAYA PEMELIHARAAN INVENTARIS KANTOR</t>
  </si>
  <si>
    <t>BIAYA TELEPON KANTOR</t>
  </si>
  <si>
    <t>BIAYA LISTRIK DAN ENERGI KANTOR</t>
  </si>
  <si>
    <t>BIAYA SEWA FOTO COPY DAN PERJILIDAN</t>
  </si>
  <si>
    <t>TUNJANGAN UANG MAKAN DIREKSI</t>
  </si>
  <si>
    <t>BIAYA TAMU</t>
  </si>
  <si>
    <t>BIAYA PERALATAN DAN PERLENGKAPAN KANTOR</t>
  </si>
  <si>
    <t>BIAYA PERJALANAN DINAS</t>
  </si>
  <si>
    <t>BIAYA PAKAIAN DINAS DAN UPACARA RESMI</t>
  </si>
  <si>
    <t>BIAYA PAKAIAN OLAHRAGA</t>
  </si>
  <si>
    <t>BIAYA KEGIATAN DHARMA WANITA DAN KORPRI</t>
  </si>
  <si>
    <t>BIAYA PEMBINAAN KEAGAMAAN DAN OLAHRAGA</t>
  </si>
  <si>
    <t>BIAYA PERAYAAN DAERAH DAN NASIONAL</t>
  </si>
  <si>
    <t>BIAYA JASA AUDIT</t>
  </si>
  <si>
    <t>BIAYA FAMILY GATHERING</t>
  </si>
  <si>
    <t>BIAYA PENDIDIKAN</t>
  </si>
  <si>
    <t>BIAYA REWARD PEGAWAI</t>
  </si>
  <si>
    <t>BIAYA ASURANSI DAN SANTUNAN JUKIR DAN PEGAWAI</t>
  </si>
  <si>
    <t>BIAYA PAJAK PPH BADAN</t>
  </si>
  <si>
    <t>BIAYA ADMINISTRASI BANK</t>
  </si>
  <si>
    <t>BIAYA INSENTIF PEMBUATAN RKAP DAN PERDA</t>
  </si>
  <si>
    <t>BIAYA HONOR TIM AHLI</t>
  </si>
  <si>
    <t>BIAYA ASSESMENT PEGAWAI</t>
  </si>
  <si>
    <t>BIAYA RAKORD DAN RAPAT KERJA PD. PARKIR</t>
  </si>
  <si>
    <t>BEBAN PESANGON</t>
  </si>
  <si>
    <t>BEBAN DIVIDEN</t>
  </si>
  <si>
    <t>BEBAN PEMBUATAN DOKUMENT 6</t>
  </si>
  <si>
    <t>BIAYA KEUANGAN (FINANCING)</t>
  </si>
  <si>
    <t>BUNGA PINJAMAN (KREDIT INVESTASI)</t>
  </si>
  <si>
    <t>BUNGA PINJAMAN (MODAL KERJA)</t>
  </si>
  <si>
    <t>BUNGA LEASING</t>
  </si>
  <si>
    <t>BIAYA PENYUSUTAN DAN AMORTISASI</t>
  </si>
  <si>
    <t>BEBAN PENYUSUTAN BANGUNAN KANTOR</t>
  </si>
  <si>
    <t>BEBAN PENYUSUTAN KENDARAAN</t>
  </si>
  <si>
    <t>BEBAN PENYUSUTAN RAMBU RAMBU</t>
  </si>
  <si>
    <t>BEBAN PENYUSUTAN INVENTARIS KANTOR</t>
  </si>
  <si>
    <t>BEBAN AMORTISASI GOODWIL</t>
  </si>
  <si>
    <t>AMORTISASI BEBAN DITANGGUHKAN</t>
  </si>
  <si>
    <t>BEBAN AMORTISASI LAINNYA</t>
  </si>
  <si>
    <t>PENDAPATAN LAIN-LAIN</t>
  </si>
  <si>
    <t>PENDAPATAN JASA GIRO</t>
  </si>
  <si>
    <t>PENDAPATAN PENJUALAN ASSET</t>
  </si>
  <si>
    <t>PENDAPATAN LAIN LAIN</t>
  </si>
  <si>
    <t>BIAYA LAIN-LAIN</t>
  </si>
  <si>
    <t>BIAYA PAJAK JASA GIRO</t>
  </si>
  <si>
    <t>TOTAL PIUTANG USAHA</t>
  </si>
  <si>
    <t>TOTAL PIUTANG NON USAHA</t>
  </si>
  <si>
    <t>TOTAL UANG MUKA</t>
  </si>
  <si>
    <t>UANG MUKA PPH BADAN</t>
  </si>
  <si>
    <t>UANG MUKA PPH PSL. 21</t>
  </si>
  <si>
    <t>UANG MUKA PPH PSL. 25</t>
  </si>
  <si>
    <t>UANG MUKA PPH PSL. 23</t>
  </si>
  <si>
    <t>UANG MUKA PPN</t>
  </si>
  <si>
    <t>UANG MUKA BIAYA PARKIR TEKHNOLOGI</t>
  </si>
  <si>
    <t>UANG MUKA LAINNYA</t>
  </si>
  <si>
    <t>UANG MUKA PAJAK PLB</t>
  </si>
  <si>
    <t>TOTAL BEBAN DITANGGUHKAN</t>
  </si>
  <si>
    <t>TOTAL AKUMULASI AMORTISASI BEBAN DITANGGUHKAN</t>
  </si>
  <si>
    <t>TOTAL ASET LAINNYA</t>
  </si>
  <si>
    <t>TOTAL ASET TETAP LAINNYA DAN ASET LAINNYA</t>
  </si>
  <si>
    <t>TOTAL POTONGAN/PENGURANG PENDAPATAN</t>
  </si>
  <si>
    <t>BIAYA OPERASI</t>
  </si>
  <si>
    <t>TOTAL BIAYA UPAH PUNGUT KOLEKTOR</t>
  </si>
  <si>
    <t>TOTAL BIAYA OPERASI</t>
  </si>
  <si>
    <t>BIAYA ADMINISTRASI UMUM</t>
  </si>
  <si>
    <t>Kahfizul13@gmail.com</t>
  </si>
  <si>
    <t>PERUMDA PARKIR MAKASSAR RAYA</t>
  </si>
  <si>
    <t>Jln. Hati Mulya No. 7 Makassar</t>
  </si>
  <si>
    <t>410101 | PENDAPATAN PARKIR TEPI JALAN UMUM (TJU)</t>
  </si>
  <si>
    <t>410107 | PENDAPATAN PARKIR TEKHNOLOGI / ONLINE</t>
  </si>
  <si>
    <t>BANK BPD SULSELBAR 1300030000329814</t>
  </si>
  <si>
    <t>BANK BPD SULSELBAR 130003123456789-2</t>
  </si>
  <si>
    <t>BANK MEGA SYARIAH</t>
  </si>
  <si>
    <t>BANK PANIN DUBAI SYARIAH - 7009001988</t>
  </si>
  <si>
    <t>BANK PANIN DUBAI SYARIAH - TABUNGAN</t>
  </si>
  <si>
    <t>BANK BJB</t>
  </si>
  <si>
    <t>BANK MANDIRI</t>
  </si>
  <si>
    <t>BANK MANDIRI TASPEN</t>
  </si>
  <si>
    <t>BANK BNI</t>
  </si>
  <si>
    <t>BANK 1</t>
  </si>
  <si>
    <t>BANK 2</t>
  </si>
  <si>
    <t>PD1</t>
  </si>
  <si>
    <t>PD2</t>
  </si>
  <si>
    <t>CCT-ALF-YLI-AWE</t>
  </si>
  <si>
    <t>GAZ-HAG-RXE-HUQ</t>
  </si>
  <si>
    <t>Zulkahfi</t>
  </si>
  <si>
    <t>PBP1</t>
  </si>
  <si>
    <t>PBP2</t>
  </si>
  <si>
    <t>Ir. H. A. Mappincara</t>
  </si>
  <si>
    <t>Ir. Haeruddin Hafied</t>
  </si>
  <si>
    <t>PD3</t>
  </si>
  <si>
    <t>Drs. Aryanto Dammar, MM</t>
  </si>
  <si>
    <t>Ir. H. Muh. Irianto Ahmad, MM</t>
  </si>
  <si>
    <t>Ir. Rusdi Muhadir</t>
  </si>
  <si>
    <t>PK1</t>
  </si>
  <si>
    <t>Karyawan</t>
  </si>
  <si>
    <t>SISTEM INFORMASI KEUANGAN</t>
  </si>
  <si>
    <t>RENSTRA</t>
  </si>
  <si>
    <t>PEDOMAN AKUNTANSI</t>
  </si>
  <si>
    <t>PEDOMAN PENYUSUNAN RKAP</t>
  </si>
  <si>
    <t>ISO</t>
  </si>
  <si>
    <t>PEMBUATAN SISTEM KWITANSI</t>
  </si>
  <si>
    <t>MAP PARKING</t>
  </si>
  <si>
    <t>PENYUSUNAN REGULASI PERDA</t>
  </si>
  <si>
    <t>BIAYA PEMBUATAN SIM KEU</t>
  </si>
  <si>
    <t>BIAYA PEMBUATAN SIM KEU 2</t>
  </si>
  <si>
    <t>BIAYA PENGEMBANGAN SIM KEU</t>
  </si>
  <si>
    <t>DESIGN GAMBAR PARKIRAN TAMAN</t>
  </si>
  <si>
    <t>PEMBUATAN SOP</t>
  </si>
  <si>
    <t>PEMBUATAN CORPORATE PLAN</t>
  </si>
  <si>
    <t>SISTEM INFORMASI JUKIR DAN TITIK PARKIR</t>
  </si>
  <si>
    <t>SISTEM INFORMASI PEGAWAI</t>
  </si>
  <si>
    <t>APLIKASI GO PARKIR APP MOBILE</t>
  </si>
  <si>
    <t>SIMKEU 2021</t>
  </si>
  <si>
    <t>DIVIDEN</t>
  </si>
  <si>
    <t>Pendapatan Parkir TJU</t>
  </si>
  <si>
    <t>110301 | PIUTANG USAHA PARKIR TEPI JALAN UMUM</t>
  </si>
  <si>
    <t>Pendapatan Parkir Insedentil</t>
  </si>
  <si>
    <t>410102 | PENDAPATAN PARKIR INSIDENTIL</t>
  </si>
  <si>
    <t>110101 | KAS BENDAHARA PENERIMAAN</t>
  </si>
  <si>
    <t>Pendapatan Parkir Komersial</t>
  </si>
  <si>
    <t>410103 | PENDAPATAN PARKIR KOMERSIL</t>
  </si>
  <si>
    <t>110303 | PIUTANG USAHA PARKIR KOMERSIAL</t>
  </si>
  <si>
    <t>Pendapatan Parkir PLB</t>
  </si>
  <si>
    <t>110304 | PIUTANG USAHA PARKIR LANGGANA BULANAN (PLB)</t>
  </si>
  <si>
    <t>410104 | PENDAPATAN PARKIR LANGGANAN BULANAN</t>
  </si>
  <si>
    <t>110307 | PIUTANG PARKIR TEKHNOLOGI / ONLINE</t>
  </si>
  <si>
    <t>Pendapatan Parkir Teknologi Online</t>
  </si>
  <si>
    <t>Potongan/Pengurangan Pndapatan TJU</t>
  </si>
  <si>
    <t>Potongan/Pengurangan Pendapatan PLB</t>
  </si>
  <si>
    <t>420101 | POTONGAN / PENGURANG PENDAPATAN - TJU</t>
  </si>
  <si>
    <t>420104 | POTONGAN / PENGURANG PENDAPATAN - PLB</t>
  </si>
  <si>
    <t>Pendapatan Jasa Giro Januari 2022</t>
  </si>
  <si>
    <t>110204 | BANK BPD SULSELBAR</t>
  </si>
  <si>
    <t>710101 | PENDAPATAN JASA GIRO</t>
  </si>
  <si>
    <t>Biaya Pajak Bank</t>
  </si>
  <si>
    <t>720102 | BIAYA PAJAK JASA GIRO</t>
  </si>
  <si>
    <t>Biaya Admin Bank</t>
  </si>
  <si>
    <t>Pembayaran Piutang PLB</t>
  </si>
  <si>
    <t>Penyesuaian Saldo Rekening</t>
  </si>
  <si>
    <t>110207 | BANK BRI</t>
  </si>
  <si>
    <t>Pendapatan Jasa Giro januari 2022</t>
  </si>
  <si>
    <t>110201 | BANK BTN</t>
  </si>
  <si>
    <t>Biaya materai bank</t>
  </si>
  <si>
    <t>110208 | BANK PANIN DUBAI SYARIAH - 7009001988</t>
  </si>
  <si>
    <t>Biaya Warkat</t>
  </si>
  <si>
    <t>Penarikan Tunai</t>
  </si>
  <si>
    <t>110102 | KAS BENDAHARA PENGELUARAN</t>
  </si>
  <si>
    <t>110211 | BANK MANDIRI</t>
  </si>
  <si>
    <t>Pembayaran Piutang Online</t>
  </si>
  <si>
    <t>110212 | BANK MANDIRI TASPEN</t>
  </si>
  <si>
    <t>110205 | BANK BPD SULSELBAR 1300030000329814</t>
  </si>
  <si>
    <t>110302 | PIUTANG USAHA PARKIR INSIDENTIL</t>
  </si>
  <si>
    <t>Pembayaran Piutang Teknologi Online</t>
  </si>
  <si>
    <t>Pembayaran Piutang TJU</t>
  </si>
  <si>
    <t>Penyetoran Tunai Ke Bank BPD</t>
  </si>
  <si>
    <t>Penarikan Tunai Untuk Gaji</t>
  </si>
  <si>
    <t>110213 | BANK BNI</t>
  </si>
  <si>
    <t>110206 | BANK BPD SULSELBAR 130003123456789-2</t>
  </si>
  <si>
    <t>110703 | UANG MUKA PPH PSL. 25</t>
  </si>
  <si>
    <t>Pembayaran PPH 25</t>
  </si>
  <si>
    <t>pembayaran DPLK Pegawai</t>
  </si>
  <si>
    <t>130301 | CADANGAN DANA PENSIUN (DPLK) PEGAWAI</t>
  </si>
  <si>
    <t>Pembayaran Cicilan Mobil</t>
  </si>
  <si>
    <t>210204 | HUTANG ACC ANGSURAN MOBIL OPERASIONAL</t>
  </si>
  <si>
    <t>Pembayaran Pajak PLB</t>
  </si>
  <si>
    <t>210207 | HUTANG PAJAK PARKIR PLB</t>
  </si>
  <si>
    <t>510107 | BIAYA SHARING PARKIR ELEKTRONIK</t>
  </si>
  <si>
    <t>510110 | BIAYA TIM PENEGAK PERDA</t>
  </si>
  <si>
    <t>Pembayaran Sharing Parkir Elektronik</t>
  </si>
  <si>
    <t>Pembayaran tim penegak Perda</t>
  </si>
  <si>
    <t>510114 | BIAYA BAHAN BAKAR KENDARAAN OPERASIONAL</t>
  </si>
  <si>
    <t>510115 | BIAYA MAINTENANCE KENDARAAN OPERASIONAL</t>
  </si>
  <si>
    <t>510116 | BIAYA SURAT KENDARAAN (STNK)</t>
  </si>
  <si>
    <t>Pembelian BBM Kendaraan Operasional</t>
  </si>
  <si>
    <t>Pembayaran Biaya Maintenance Kendaraan Ops</t>
  </si>
  <si>
    <t>Pembayaran Surat kendaraan (STNK)</t>
  </si>
  <si>
    <t>Pembayaran Biaya Operasional pegawai</t>
  </si>
  <si>
    <t>510105 | BIAYA OPERASIONAL PEGAWAI</t>
  </si>
  <si>
    <t>610101 | BIAYA HONOR BADAN PENGAWAS DAN STAF BP</t>
  </si>
  <si>
    <t>610102 | BIAYA TUNJANGAN BBM BADAN PENGAWAS</t>
  </si>
  <si>
    <t>610103 | BIAYA TUNJANGAN MONITORING, EVALUASI DAN PELAPORAN</t>
  </si>
  <si>
    <t>610104 | BIAYA GAJI DIREKSI</t>
  </si>
  <si>
    <t>610105 | BIAYA GAJI DAN TUNJANGAN PEGAWAI ORGANIK</t>
  </si>
  <si>
    <t>610106 | BIAYA UPAH TENAGA KONTRAK</t>
  </si>
  <si>
    <t>610107 | BIAYA UPAH TENAGA HONOR</t>
  </si>
  <si>
    <t>Pembayaran Honor Badan Pegawas dan Staf BP</t>
  </si>
  <si>
    <t>Pembayaran Tunjangan BBM Badan Pengawas</t>
  </si>
  <si>
    <t>Pembayaran Tunjangan Monitoring, Evaluasi dan pelaporan</t>
  </si>
  <si>
    <t>Pembayaran Gaji Direksi</t>
  </si>
  <si>
    <t>Pembayaran Gaji dan Tunjangan Pegawai Organik</t>
  </si>
  <si>
    <t>Pembayaran Upah Tenaga Kontrak</t>
  </si>
  <si>
    <t>Pembayaran Upah Tenaga Honor</t>
  </si>
  <si>
    <t>610202 | BIAYA KOORDINASI PEMBINA PERUSDA</t>
  </si>
  <si>
    <t>610205 | BIAYA MEDIA CETAK DAN ELEKTRONIK</t>
  </si>
  <si>
    <t>610207 | BIAYA ALAT TULIS KANTOR (ATK)</t>
  </si>
  <si>
    <t>610208 | BIAYA BENDA BENDA POS DAN MATERAI</t>
  </si>
  <si>
    <t>610210 | BIAYA PEMELIHARAAN INVENTARIS KANTOR</t>
  </si>
  <si>
    <t>610211 | BIAYA TELEPON KANTOR</t>
  </si>
  <si>
    <t>610212 | BIAYA LISTRIK DAN ENERGI KANTOR</t>
  </si>
  <si>
    <t>610213 | BIAYA SEWA FOTO COPY DAN PERJILIDAN</t>
  </si>
  <si>
    <t>610215 | BIAYA TAMU</t>
  </si>
  <si>
    <t>610216 | BIAYA PERALATAN DAN PERLENGKAPAN KANTOR</t>
  </si>
  <si>
    <t>610227 | BIAYA REWARD PEGAWAI</t>
  </si>
  <si>
    <t>610228 | BIAYA ASURANSI DAN SANTUNAN JUKIR DAN PEGAWAI</t>
  </si>
  <si>
    <t>720101 | BIAYA ADMINISTRASI BANK</t>
  </si>
  <si>
    <t>BIAYA PENGHARGAAN</t>
  </si>
  <si>
    <t>BEBAN PENGHAPUSAN PIUTANG TAK TERTAGIH</t>
  </si>
  <si>
    <t>610232 | BIAYA ASSESMENT PEGAWAI</t>
  </si>
  <si>
    <t>Pembayaran Koordinasi Pembina Perusda</t>
  </si>
  <si>
    <t>Pembayaran Biaya Media Cetak dan Elktronik</t>
  </si>
  <si>
    <t>Pembelian ATK</t>
  </si>
  <si>
    <t>Pembelian Materai</t>
  </si>
  <si>
    <t>Pembayaran Biaya Pemeliharaan Inventaris kantor</t>
  </si>
  <si>
    <t>Pembayaran Biaya telepon Kantor</t>
  </si>
  <si>
    <t>Pembayaran Biaya Listrik</t>
  </si>
  <si>
    <t>Pembayaran Sewa Foto Copy dan Jilid</t>
  </si>
  <si>
    <t>Pembayaran Biaya Tamu</t>
  </si>
  <si>
    <t>Pembayaran Biaya Peralatan dan Perlengkapan Kantor</t>
  </si>
  <si>
    <t>Pembayaran Reward pegawai</t>
  </si>
  <si>
    <t>Pembayaran Asuransi Jukir dan Pegawai</t>
  </si>
  <si>
    <t>Pembayaran Biaya Assesment Pegawai</t>
  </si>
  <si>
    <t>BEBAN DENDA PAJAK</t>
  </si>
  <si>
    <t>610401 | BEBAN PENYUSUTAN BANGUNAN KANTOR</t>
  </si>
  <si>
    <t>120202 | AKUMULASI PENYUSUTAN KENDARAAN</t>
  </si>
  <si>
    <t>610402 | BEBAN PENYUSUTAN KENDARAAN</t>
  </si>
  <si>
    <t>610403 | BEBAN PENYUSUTAN RAMBU RAMBU</t>
  </si>
  <si>
    <t>610404 | BEBAN PENYUSUTAN INVENTARIS KANTOR</t>
  </si>
  <si>
    <t>Pengakuan Beban Penyusutan Bangunan Kantor</t>
  </si>
  <si>
    <t>Pengakuan Beban Penyusutan Kendaraan</t>
  </si>
  <si>
    <t>Pengakuan Beban Penyusutan Rambu-Rambu</t>
  </si>
  <si>
    <t>Pengakuan Beban Penyusutan Inventaris kantor</t>
  </si>
  <si>
    <t>610405 | BEBAN AMORTISASI GOODWIL</t>
  </si>
  <si>
    <t>610406 | AMORTISASI BEBAN DITANGGUHKAN</t>
  </si>
  <si>
    <t>Pengakuan Beban Amortisasi Goodwill</t>
  </si>
  <si>
    <t>Pengakuan Beban Amortisasi Biaya Ditangguhkan</t>
  </si>
  <si>
    <t>120201 | AKUMULASI PENYUSUTAN BANGUNAN KANTOR</t>
  </si>
  <si>
    <t>120203 | AKUMULASI PENYUSUTAN RAMBU RAMBU</t>
  </si>
  <si>
    <t>120204 | AKUMULASI PENYUSUTAN INVENTARIS KANTOR</t>
  </si>
  <si>
    <t>130201 | AKUMULASI AMORTISASI GOODWILL</t>
  </si>
  <si>
    <t>130202 | AKUMULASI AMORTISASI BEBAN DITANGGUHKAN</t>
  </si>
  <si>
    <t>Pembayaran Denda pajak</t>
  </si>
  <si>
    <t>610237 | BEBAN DENDA PAJAK</t>
  </si>
  <si>
    <t>BIAYA GAJI</t>
  </si>
  <si>
    <t>TOTAL BIAYA GAJI</t>
  </si>
  <si>
    <t>TOTAL BIAYA UMUM</t>
  </si>
  <si>
    <t>TOTAL BIAYA KEUANGAN</t>
  </si>
  <si>
    <t>TOTAL BIAYA PENYUSUTAN</t>
  </si>
  <si>
    <t>Pendapatan Lain-lain januari 2022</t>
  </si>
  <si>
    <t>710103 | PENDAPATAN LAIN LAIN</t>
  </si>
  <si>
    <t>Biaya Administrasi Bank</t>
  </si>
  <si>
    <t>Penerimaan Parkir</t>
  </si>
  <si>
    <t>Pendapatan Jasa Giro Februari 2022</t>
  </si>
  <si>
    <t>Pendapatan Lain-lain Koreksi Pembayaran PLB</t>
  </si>
  <si>
    <t>Biaya Admin bank</t>
  </si>
  <si>
    <t>Pembayaran Piutang Insidentil</t>
  </si>
  <si>
    <t>Pembuatan ID Card</t>
  </si>
  <si>
    <t>510113 | BIAYA ID CARD</t>
  </si>
  <si>
    <t>Pembayaran Biaya Sosialisasi</t>
  </si>
  <si>
    <t>610204 | BIAYA SOSIALISASI</t>
  </si>
  <si>
    <t>510101 | BIAYA CETAKAN</t>
  </si>
  <si>
    <t>Pembuatan Karcis Parkir</t>
  </si>
  <si>
    <t>Pembelian Buku Cek</t>
  </si>
  <si>
    <t>Pembayaran Piutang Parkir Insedentil</t>
  </si>
  <si>
    <t>Penyesuaian biaya tahun 2021</t>
  </si>
  <si>
    <t>210205 | HUTANG DEVIDEN</t>
  </si>
  <si>
    <t>310201 | DIVIDEN</t>
  </si>
  <si>
    <t>Pengumuman Pembayaran Dividen</t>
  </si>
  <si>
    <t>Pengakuan Pembayaran Jaspro Karyawan</t>
  </si>
  <si>
    <t>210216 | HUTANG JASPRO KARYAWAN</t>
  </si>
  <si>
    <t>210215 | HUTANG JASPRO DIREKSI</t>
  </si>
  <si>
    <t>310205 | LABA DITAHAN - CADANGAN</t>
  </si>
  <si>
    <t>Pembayaran Jasa Audit KAP</t>
  </si>
  <si>
    <t>610223 | BIAYA JASA AUDIT</t>
  </si>
  <si>
    <t>610233 | BIAYA RAKORD DAN RAPAT KERJA PD. PARKIR</t>
  </si>
  <si>
    <t>Pembayaran Biaya Rakord</t>
  </si>
  <si>
    <t>Pembelian Printer</t>
  </si>
  <si>
    <t>120105 | INVENTARIS KANTOR</t>
  </si>
  <si>
    <t>510106 | BIAYA PAKET THR</t>
  </si>
  <si>
    <t>Pemberian Paket THR</t>
  </si>
  <si>
    <t>510102 | BIAYA SURVEY / UJI PETIK</t>
  </si>
  <si>
    <t>Pembayaran Biaya Uji Petik</t>
  </si>
  <si>
    <t>610114 | BIAYA TUNJANGAN HARI RAYA (GAJI 13)</t>
  </si>
  <si>
    <t>Pembayaran THR</t>
  </si>
  <si>
    <t>610221 | BIAYA PEMBINAAN KEAGAMAAN DAN OLAHRAGA</t>
  </si>
  <si>
    <t>Pembayaran Pembinaan Keagamaan dan Olah Raga</t>
  </si>
  <si>
    <t>AKT-003</t>
  </si>
  <si>
    <t xml:space="preserve">Inventaris Kantor </t>
  </si>
  <si>
    <t>Printer</t>
  </si>
  <si>
    <t>April</t>
  </si>
  <si>
    <t>110209 | BANK PANIN DUBAI SYARIAH - TABUNGAN</t>
  </si>
  <si>
    <t>Pemindahbukuan</t>
  </si>
  <si>
    <t>110308 | PIUTANG PT.KTI (Kinarya Terbaik Indonesia)</t>
  </si>
  <si>
    <t>Pembayaran Piutang Parkir Online</t>
  </si>
  <si>
    <t>Pendapatan Jasa Giro Mei 2022</t>
  </si>
  <si>
    <t>Pendapatan Jasa Giro Mei  2022</t>
  </si>
  <si>
    <t>SISTEM INFORMASI PARKIR/WEBSITE PD PARKIR</t>
  </si>
  <si>
    <t>Pembuatan Website PD Parkir Makassar Raya</t>
  </si>
  <si>
    <t>130111 | SISTEM INFORMASI PARKIR/WEBSITE PD PARKIR</t>
  </si>
  <si>
    <t>Beban Ditangguhkan</t>
  </si>
  <si>
    <t>AKT-004</t>
  </si>
  <si>
    <t>Website PD Parkir Makassar Raya</t>
  </si>
  <si>
    <t>May</t>
  </si>
  <si>
    <t>110601 | PERSEDIAAN KARCIS RODA 4 (R4)</t>
  </si>
  <si>
    <t>110602 | PERSEDIAAN KARCIS RODA 2 (R2)</t>
  </si>
  <si>
    <t>Penyesuaian Persediaan Karcis R4</t>
  </si>
  <si>
    <t>Penyesuaian Persediaan Karcis R2</t>
  </si>
  <si>
    <t>Pembuatan Cek</t>
  </si>
  <si>
    <t>110210 | BANK BJB</t>
  </si>
  <si>
    <t>Pemindahbukuan Bank BJB</t>
  </si>
  <si>
    <t>510122 | BIAYA PERBAIKAN LAHAN PARKIR</t>
  </si>
  <si>
    <t>Pembayaran Perbaikan Lahan parkir</t>
  </si>
  <si>
    <t>Penyesuaian Karcis Parkir R4</t>
  </si>
  <si>
    <t>Penyesuaian Karcis Parkir R2</t>
  </si>
  <si>
    <t>610217 | BIAYA PERJALANAN DINAS</t>
  </si>
  <si>
    <t>Pembayaran Biaya Perjalanan Dinas</t>
  </si>
  <si>
    <t>Pendapatan Lain-lain</t>
  </si>
  <si>
    <t>Pembayaran Pajak PPH BADAN</t>
  </si>
  <si>
    <t>BIAYA TRANSPORT KOLEKTOR TJU</t>
  </si>
  <si>
    <t>BIAYA TRANSPORT KOLEKTOR PLB</t>
  </si>
  <si>
    <t>BIAYA TRANSPORT KOMERSIAL</t>
  </si>
  <si>
    <t>BIAYA TRANSPORT INSIDENTIL</t>
  </si>
  <si>
    <t>BIAYA TRANSPORT PARKIR IT</t>
  </si>
  <si>
    <t>510201 | BIAYA TRANSPORT KOLEKTOR TJU</t>
  </si>
  <si>
    <t>510204 | BIAYA TRANSPORT KOLEKTOR PLB</t>
  </si>
  <si>
    <t>Pembayaran Biaya Transport Kolektor TJU</t>
  </si>
  <si>
    <t>510203 | BIAYA TRANSPORT KOMERSIAL</t>
  </si>
  <si>
    <t>Pembayaran Biaya Transport Kolektor Komersial</t>
  </si>
  <si>
    <t>610130 | BIAYA HONOR KOMITE AUDIT</t>
  </si>
  <si>
    <t>Pembayaran Upah Komite Audit</t>
  </si>
  <si>
    <t>610201 | BIAYA DANA REFRESENTASI DIREKSI</t>
  </si>
  <si>
    <t>Pembayaran Tunjungan Representatif</t>
  </si>
  <si>
    <t>610222 | BIAYA PERAYAAN DAERAH DAN NASIONAL</t>
  </si>
  <si>
    <t>Pembayaran Biaya Perayaan Daerah</t>
  </si>
  <si>
    <t>Biaya Pajak Jasa Giro</t>
  </si>
  <si>
    <t>Pendapatan Jasa Giro</t>
  </si>
  <si>
    <t>Penarikan Untuk pembayaran Gaji</t>
  </si>
  <si>
    <t>Pembelian Inventaris kantor</t>
  </si>
  <si>
    <t>Pembayaran Dividen 2021</t>
  </si>
  <si>
    <t>510117 | BIAYA SHARING PENETAPAN BARU PLB</t>
  </si>
  <si>
    <t>Pembayaran Sharing Penetapan PLB Baru</t>
  </si>
  <si>
    <t>Pembayaran Biaya Transport Kolektor PLB</t>
  </si>
  <si>
    <t>BIAYA HONOR KONSULTAN HUKUM, KEUANGAN Dan IT</t>
  </si>
  <si>
    <t>610111 | BIAYA HONOR KONSULTAN HUKUM, KEUANGAN Dan IT</t>
  </si>
  <si>
    <t>Pembayaran Honor konsultan  keuangan</t>
  </si>
  <si>
    <t>Pembayaran Honor Konsultan IT</t>
  </si>
  <si>
    <t>Pembayaran Biaya Pemeliharaan bangunan Kantor</t>
  </si>
  <si>
    <t>610209 | BIAYA PEMELIHARAAN BANGUNAN KANTOR</t>
  </si>
  <si>
    <t>AKT-005</t>
  </si>
  <si>
    <t>Meja, Partisi dll</t>
  </si>
  <si>
    <t>September</t>
  </si>
  <si>
    <t>610234 | BEBAN PESANGON</t>
  </si>
  <si>
    <t xml:space="preserve">Pendapatan PPO Dengan Pihak Bank BTN </t>
  </si>
  <si>
    <t>110203 | BANK MEGA SYARIAH</t>
  </si>
  <si>
    <t>Biaya Penutupan Rekening</t>
  </si>
  <si>
    <t>Pendapatan Jasa Giro Oktober 2022</t>
  </si>
  <si>
    <t>Pemindahbukuan (penutupan rekening bank BPD)</t>
  </si>
  <si>
    <t>Pemindahbukuan (penutupan rekening bank BNI)</t>
  </si>
  <si>
    <t>Penarikan Tunai Untuk Biaya Ops Kantor</t>
  </si>
  <si>
    <t>AKT-006</t>
  </si>
  <si>
    <t>Laptop</t>
  </si>
  <si>
    <t>October</t>
  </si>
  <si>
    <t>AKT-007</t>
  </si>
  <si>
    <t>komputer</t>
  </si>
  <si>
    <t>Pembayaran Jaspro Karyawan 2021</t>
  </si>
  <si>
    <t>Pembayaran Jaspro Direksi 2021</t>
  </si>
  <si>
    <t>Pemindahbukuan (penutupan rek Mandiri)</t>
  </si>
  <si>
    <t>Pendapatan Jasa Giro Oktober  2022</t>
  </si>
  <si>
    <t>Pemindahbukuan (Penutupan Rek BPD)</t>
  </si>
  <si>
    <t>Pembukaan Rekening Bank Mega</t>
  </si>
  <si>
    <t>Biaya Admin Rekening Bank Mega</t>
  </si>
  <si>
    <t>Pemindahbukuan (penutupan Rekening Bank Dubai)</t>
  </si>
  <si>
    <t>Penyetoran Ke Bank BTN</t>
  </si>
  <si>
    <t>110202 | BANK BTN 2</t>
  </si>
  <si>
    <t>Biaya Admin Bulanan</t>
  </si>
  <si>
    <t>Biaya Buku Cek/BG</t>
  </si>
  <si>
    <t>Pemindahan Saldo Ke Bank Mega</t>
  </si>
  <si>
    <t>510112 | BIAYA PAJAK PARKIR PLB</t>
  </si>
  <si>
    <t>610230 | BIAYA INSENTIF PEMBUATAN RKAP DAN PERDA</t>
  </si>
  <si>
    <t xml:space="preserve">BEBAN PAJAK TERUTANG </t>
  </si>
  <si>
    <t>Pajak Tahun 2017</t>
  </si>
  <si>
    <t xml:space="preserve">610238 | BEBAN PAJAK TERUTANG </t>
  </si>
  <si>
    <t>BEBAN PEMBUATAN BISNIS PLAN</t>
  </si>
  <si>
    <t>610240 | BEBAN PEMBUATAN BISNIS PLAN</t>
  </si>
  <si>
    <t>Pembayaran Piutang Badan Pengawas</t>
  </si>
  <si>
    <t>110402 | PIUTANG BADAN PENGAWAS</t>
  </si>
  <si>
    <t>PBP1 | Ir. H. A. Mappincara</t>
  </si>
  <si>
    <t>210102 | DEPOSIT KOLEKTOR</t>
  </si>
  <si>
    <t>Pembayaran Piutang Komersial</t>
  </si>
  <si>
    <t>CMS</t>
  </si>
  <si>
    <t>610225 | BIAYA FAMILY GATHERING</t>
  </si>
  <si>
    <t>Denda Keterlambatan Pajak</t>
  </si>
  <si>
    <t>Pelunasan Dividen 2021</t>
  </si>
  <si>
    <t>210206 | HUTANG PAJAK (PPH BADAN)</t>
  </si>
  <si>
    <t>Pengakuan DPLK</t>
  </si>
  <si>
    <t>BEBAN PENGAKUAN DPLK KARYAWAN (ASURANSI)</t>
  </si>
  <si>
    <t>BEBAN PENGAKUAN DPLK DIREKSI (ASURANSI)</t>
  </si>
  <si>
    <t>610241 | BEBAN PENGAKUAN DPLK DIREKSI (ASURANSI)</t>
  </si>
  <si>
    <t>610242 | BEBAN PENGAKUAN DPLK KARYAWAN (ASURANSI)</t>
  </si>
  <si>
    <t>130302 | CADANGAN DANA PENSIUN (DPLK) DIREKSI</t>
  </si>
  <si>
    <t>BEBAN PENYUSUTAN CMS</t>
  </si>
  <si>
    <t xml:space="preserve">Pembayaran Utang </t>
  </si>
  <si>
    <t>Penyesuaian Hutang Pajak</t>
  </si>
  <si>
    <t>320100 | KOREKSI LABA</t>
  </si>
  <si>
    <t>AKUMULASI PENYUSUTAN SERVER CMS</t>
  </si>
  <si>
    <t>SERVER CMS</t>
  </si>
  <si>
    <t>CORPORATE SYSTEM MMANGEMENT</t>
  </si>
  <si>
    <t>120106 | SERVER CMS</t>
  </si>
  <si>
    <t>130130 | CORPORATE SYSTEM MMANGEMENT</t>
  </si>
  <si>
    <t>Pembayaran Pembelian Termos teh Doubel Tank</t>
  </si>
  <si>
    <t>Pembelian Kue</t>
  </si>
  <si>
    <t>Pembelian Asbak Besi</t>
  </si>
  <si>
    <t>termos</t>
  </si>
  <si>
    <t>Penyesuaian Persediaan R4</t>
  </si>
  <si>
    <t>Penyesuaian Persediaan R2</t>
  </si>
  <si>
    <t>Penyesuaian Kendaraan</t>
  </si>
  <si>
    <t>120103 | KENDARAAN</t>
  </si>
  <si>
    <t>penyesuaian Inventaris</t>
  </si>
  <si>
    <t>Suci Ramadhani</t>
  </si>
  <si>
    <t>Sitti Rahmah, S.Sos</t>
  </si>
  <si>
    <t>Mu'Ammar Nor Amin, SE</t>
  </si>
  <si>
    <t>610218 | BIAYA PAKAIAN DINAS DAN UPACARA RESMI</t>
  </si>
  <si>
    <t>penyesuaian Koreksi Laba</t>
  </si>
  <si>
    <t>penyesuaian laba- laba tahun sebelumnya</t>
  </si>
  <si>
    <t>310206 | LABA TAHUN SEBELUMNYA</t>
  </si>
  <si>
    <t>TOTAL PENDAPATAN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</si>
</sst>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dd\-mmm\-yyyy"/>
  </numFmts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venir Next Regular"/>
    </font>
    <font>
      <b/>
      <sz val="11"/>
      <color theme="1"/>
      <name val="Avenir Next Regular"/>
    </font>
    <font>
      <b/>
      <sz val="12"/>
      <color theme="1"/>
      <name val="Avenir Next Regular"/>
    </font>
    <font>
      <sz val="11"/>
      <color theme="0"/>
      <name val="Avenir Next Regular"/>
    </font>
    <font>
      <b/>
      <sz val="11"/>
      <color theme="1" tint="0.249977111117893"/>
      <name val="Avenir Next Regular"/>
    </font>
    <font>
      <sz val="8"/>
      <name val="Calibri"/>
      <family val="2"/>
      <scheme val="minor"/>
    </font>
    <font>
      <i/>
      <sz val="8"/>
      <color rgb="FFFF0000"/>
      <name val="Avenir Next Regular"/>
    </font>
    <font>
      <b/>
      <i/>
      <sz val="11"/>
      <color theme="1"/>
      <name val="Avenir Next Regular"/>
    </font>
    <font>
      <i/>
      <sz val="11"/>
      <color theme="1"/>
      <name val="Avenir Next Regular"/>
    </font>
    <font>
      <b/>
      <sz val="18"/>
      <color theme="1"/>
      <name val="Avenir Next Regular"/>
    </font>
    <font>
      <i/>
      <sz val="12"/>
      <color rgb="FFFF0000"/>
      <name val="Avenir Next Regular"/>
    </font>
    <font>
      <u/>
      <sz val="12"/>
      <color theme="10"/>
      <name val="Calibri"/>
      <family val="2"/>
      <scheme val="minor"/>
    </font>
    <font>
      <sz val="12"/>
      <color theme="1"/>
      <name val="Avenir Next Regular"/>
    </font>
    <font>
      <b/>
      <sz val="14"/>
      <color theme="1"/>
      <name val="Avenir Next Regular"/>
    </font>
    <font>
      <b/>
      <u/>
      <sz val="14"/>
      <color theme="1"/>
      <name val="Avenir Next Regular"/>
    </font>
    <font>
      <sz val="11"/>
      <color rgb="FF000000"/>
      <name val="Avenir Next Regular"/>
    </font>
    <font>
      <sz val="12"/>
      <color theme="0"/>
      <name val="Calibri"/>
      <family val="2"/>
      <scheme val="minor"/>
    </font>
    <font>
      <sz val="10"/>
      <color theme="1"/>
      <name val="Avenir Next Regular"/>
    </font>
    <font>
      <sz val="9"/>
      <color theme="1"/>
      <name val="Avenir Next Regular"/>
    </font>
    <font>
      <i/>
      <sz val="10"/>
      <color theme="1"/>
      <name val="Avenir Next Regular"/>
    </font>
    <font>
      <b/>
      <sz val="11"/>
      <color theme="0" tint="-4.9989318521683403E-2"/>
      <name val="Avenir Next Regular"/>
    </font>
    <font>
      <sz val="12"/>
      <color rgb="FFFF0000"/>
      <name val="Calibri"/>
      <family val="2"/>
      <scheme val="minor"/>
    </font>
    <font>
      <sz val="11"/>
      <color rgb="FFFF0000"/>
      <name val="Avenir Next Regular"/>
    </font>
    <font>
      <b/>
      <sz val="10"/>
      <color theme="1"/>
      <name val="Avenir Next Regular"/>
    </font>
    <font>
      <b/>
      <sz val="10"/>
      <color theme="1" tint="0.249977111117893"/>
      <name val="Avenir Next Regular"/>
    </font>
    <font>
      <b/>
      <i/>
      <sz val="10"/>
      <color theme="1"/>
      <name val="Avenir Next Regular"/>
    </font>
    <font>
      <sz val="10"/>
      <color theme="0"/>
      <name val="Avenir Next Regular"/>
    </font>
    <font>
      <sz val="10"/>
      <color rgb="FFFF0000"/>
      <name val="Avenir Next Regular"/>
    </font>
    <font>
      <b/>
      <sz val="11"/>
      <color theme="3" tint="0.79998168889431442"/>
      <name val="Avenir Next Regular"/>
    </font>
    <font>
      <sz val="11"/>
      <color theme="6" tint="0.79998168889431442"/>
      <name val="Avenir Next Regular"/>
    </font>
    <font>
      <b/>
      <sz val="10"/>
      <color theme="0"/>
      <name val="Avenir Next Regular"/>
    </font>
    <font>
      <b/>
      <sz val="11"/>
      <color theme="0"/>
      <name val="Avenir Next Regula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6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164" fontId="2" fillId="0" borderId="1" xfId="1" applyFont="1" applyBorder="1" applyAlignment="1">
      <alignment horizontal="left" vertical="center" indent="1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 indent="1"/>
    </xf>
    <xf numFmtId="164" fontId="2" fillId="0" borderId="8" xfId="1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14" xfId="0" applyFont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left" vertical="center" indent="1"/>
    </xf>
    <xf numFmtId="164" fontId="3" fillId="3" borderId="12" xfId="1" applyFont="1" applyFill="1" applyBorder="1" applyAlignment="1">
      <alignment horizontal="left" vertical="center" indent="1"/>
    </xf>
    <xf numFmtId="0" fontId="2" fillId="3" borderId="18" xfId="0" applyFont="1" applyFill="1" applyBorder="1" applyAlignment="1">
      <alignment horizontal="left" vertical="center" indent="1"/>
    </xf>
    <xf numFmtId="14" fontId="3" fillId="3" borderId="12" xfId="0" applyNumberFormat="1" applyFont="1" applyFill="1" applyBorder="1" applyAlignment="1">
      <alignment horizontal="left" vertical="center" indent="1"/>
    </xf>
    <xf numFmtId="14" fontId="2" fillId="0" borderId="0" xfId="0" applyNumberFormat="1" applyFont="1" applyAlignment="1">
      <alignment horizontal="left" vertical="center" indent="1"/>
    </xf>
    <xf numFmtId="14" fontId="2" fillId="0" borderId="21" xfId="0" applyNumberFormat="1" applyFont="1" applyBorder="1" applyAlignment="1">
      <alignment horizontal="left" vertical="center" indent="1"/>
    </xf>
    <xf numFmtId="14" fontId="2" fillId="0" borderId="1" xfId="0" applyNumberFormat="1" applyFont="1" applyBorder="1" applyAlignment="1">
      <alignment horizontal="left" vertical="center" indent="1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3" borderId="3" xfId="0" applyFont="1" applyFill="1" applyBorder="1" applyAlignment="1">
      <alignment horizontal="left" vertical="center" indent="1"/>
    </xf>
    <xf numFmtId="164" fontId="2" fillId="0" borderId="0" xfId="1" applyFont="1" applyAlignment="1">
      <alignment vertical="center"/>
    </xf>
    <xf numFmtId="164" fontId="2" fillId="3" borderId="4" xfId="1" applyFont="1" applyFill="1" applyBorder="1" applyAlignment="1">
      <alignment vertical="center"/>
    </xf>
    <xf numFmtId="164" fontId="2" fillId="0" borderId="1" xfId="1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164" fontId="2" fillId="0" borderId="0" xfId="1" applyFont="1" applyAlignment="1">
      <alignment horizontal="right" vertical="center" indent="1"/>
    </xf>
    <xf numFmtId="164" fontId="3" fillId="3" borderId="12" xfId="1" applyFont="1" applyFill="1" applyBorder="1" applyAlignment="1">
      <alignment vertical="center"/>
    </xf>
    <xf numFmtId="164" fontId="3" fillId="0" borderId="0" xfId="1" applyFont="1" applyAlignment="1">
      <alignment vertical="center"/>
    </xf>
    <xf numFmtId="164" fontId="3" fillId="3" borderId="12" xfId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 indent="1"/>
    </xf>
    <xf numFmtId="164" fontId="2" fillId="3" borderId="3" xfId="1" applyFont="1" applyFill="1" applyBorder="1" applyAlignment="1">
      <alignment vertical="center"/>
    </xf>
    <xf numFmtId="164" fontId="2" fillId="0" borderId="0" xfId="1" applyFont="1" applyBorder="1" applyAlignment="1">
      <alignment horizontal="left" vertical="center"/>
    </xf>
    <xf numFmtId="164" fontId="2" fillId="0" borderId="0" xfId="1" applyFont="1" applyAlignment="1">
      <alignment horizontal="left" vertical="center"/>
    </xf>
    <xf numFmtId="164" fontId="2" fillId="0" borderId="0" xfId="1" applyFont="1" applyBorder="1" applyAlignment="1">
      <alignment vertical="center"/>
    </xf>
    <xf numFmtId="164" fontId="2" fillId="3" borderId="10" xfId="1" applyFont="1" applyFill="1" applyBorder="1" applyAlignment="1">
      <alignment vertical="center"/>
    </xf>
    <xf numFmtId="164" fontId="3" fillId="3" borderId="1" xfId="1" applyFont="1" applyFill="1" applyBorder="1" applyAlignment="1">
      <alignment vertical="center"/>
    </xf>
    <xf numFmtId="164" fontId="3" fillId="0" borderId="0" xfId="1" applyFont="1" applyAlignment="1">
      <alignment horizontal="right" vertical="center" indent="1"/>
    </xf>
    <xf numFmtId="164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3" borderId="3" xfId="0" applyNumberFormat="1" applyFont="1" applyFill="1" applyBorder="1" applyAlignment="1">
      <alignment vertical="center"/>
    </xf>
    <xf numFmtId="164" fontId="2" fillId="3" borderId="14" xfId="1" applyFont="1" applyFill="1" applyBorder="1" applyAlignment="1">
      <alignment vertical="center"/>
    </xf>
    <xf numFmtId="0" fontId="3" fillId="3" borderId="10" xfId="0" applyFont="1" applyFill="1" applyBorder="1" applyAlignment="1">
      <alignment horizontal="left" vertical="center" indent="1"/>
    </xf>
    <xf numFmtId="164" fontId="3" fillId="3" borderId="10" xfId="1" applyFont="1" applyFill="1" applyBorder="1" applyAlignment="1">
      <alignment vertical="center"/>
    </xf>
    <xf numFmtId="164" fontId="3" fillId="3" borderId="3" xfId="1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 indent="5"/>
    </xf>
    <xf numFmtId="164" fontId="9" fillId="0" borderId="0" xfId="1" applyFont="1" applyAlignment="1">
      <alignment vertical="center"/>
    </xf>
    <xf numFmtId="0" fontId="9" fillId="0" borderId="0" xfId="0" applyFont="1" applyAlignment="1">
      <alignment horizontal="right" vertical="center" indent="3"/>
    </xf>
    <xf numFmtId="0" fontId="3" fillId="3" borderId="3" xfId="0" applyFont="1" applyFill="1" applyBorder="1" applyAlignment="1">
      <alignment horizontal="left" vertical="center"/>
    </xf>
    <xf numFmtId="164" fontId="9" fillId="0" borderId="0" xfId="1" applyFont="1" applyAlignment="1">
      <alignment horizontal="right" vertical="center" indent="3"/>
    </xf>
    <xf numFmtId="164" fontId="3" fillId="0" borderId="0" xfId="1" applyFont="1" applyAlignment="1">
      <alignment horizontal="right" vertical="center" indent="5"/>
    </xf>
    <xf numFmtId="164" fontId="3" fillId="3" borderId="12" xfId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164" fontId="2" fillId="3" borderId="20" xfId="1" applyFont="1" applyFill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64" fontId="2" fillId="3" borderId="0" xfId="1" applyFont="1" applyFill="1" applyBorder="1" applyAlignment="1">
      <alignment vertical="center"/>
    </xf>
    <xf numFmtId="0" fontId="2" fillId="3" borderId="10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164" fontId="3" fillId="3" borderId="14" xfId="0" applyNumberFormat="1" applyFont="1" applyFill="1" applyBorder="1" applyAlignment="1">
      <alignment vertical="center"/>
    </xf>
    <xf numFmtId="164" fontId="3" fillId="3" borderId="10" xfId="0" applyNumberFormat="1" applyFont="1" applyFill="1" applyBorder="1" applyAlignment="1">
      <alignment vertical="center"/>
    </xf>
    <xf numFmtId="164" fontId="3" fillId="3" borderId="20" xfId="0" applyNumberFormat="1" applyFont="1" applyFill="1" applyBorder="1" applyAlignment="1">
      <alignment vertical="center"/>
    </xf>
    <xf numFmtId="164" fontId="3" fillId="3" borderId="0" xfId="0" applyNumberFormat="1" applyFont="1" applyFill="1" applyAlignment="1">
      <alignment vertical="center"/>
    </xf>
    <xf numFmtId="164" fontId="2" fillId="0" borderId="0" xfId="1" applyFont="1" applyAlignment="1">
      <alignment horizontal="center" vertical="center"/>
    </xf>
    <xf numFmtId="0" fontId="10" fillId="3" borderId="0" xfId="0" applyFont="1" applyFill="1" applyAlignment="1">
      <alignment horizontal="left" vertical="center" indent="1"/>
    </xf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0" fillId="3" borderId="0" xfId="1" applyFont="1" applyFill="1" applyAlignment="1">
      <alignment vertical="center"/>
    </xf>
    <xf numFmtId="164" fontId="10" fillId="3" borderId="0" xfId="1" applyFont="1" applyFill="1" applyAlignment="1">
      <alignment horizontal="left" vertical="center" indent="1"/>
    </xf>
    <xf numFmtId="0" fontId="3" fillId="3" borderId="12" xfId="2" applyFont="1" applyFill="1" applyBorder="1" applyAlignment="1">
      <alignment horizontal="center" vertical="center"/>
    </xf>
    <xf numFmtId="164" fontId="2" fillId="0" borderId="12" xfId="1" applyFont="1" applyBorder="1" applyAlignment="1">
      <alignment horizontal="left" vertical="center" indent="1"/>
    </xf>
    <xf numFmtId="164" fontId="3" fillId="3" borderId="19" xfId="1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164" fontId="3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2" fillId="0" borderId="8" xfId="1" applyFont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0" borderId="3" xfId="1" applyFont="1" applyBorder="1" applyAlignment="1">
      <alignment vertical="center"/>
    </xf>
    <xf numFmtId="0" fontId="9" fillId="3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vertical="center"/>
    </xf>
    <xf numFmtId="164" fontId="3" fillId="3" borderId="4" xfId="1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left" vertical="center" indent="1"/>
    </xf>
    <xf numFmtId="164" fontId="17" fillId="0" borderId="30" xfId="1" applyFont="1" applyBorder="1" applyAlignment="1">
      <alignment vertical="center"/>
    </xf>
    <xf numFmtId="165" fontId="2" fillId="0" borderId="4" xfId="1" applyNumberFormat="1" applyFont="1" applyBorder="1" applyAlignment="1">
      <alignment horizontal="right" vertical="center" indent="1"/>
    </xf>
    <xf numFmtId="0" fontId="18" fillId="0" borderId="0" xfId="0" applyFont="1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left" vertical="center" indent="1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12" xfId="0" applyFont="1" applyBorder="1" applyAlignment="1" applyProtection="1">
      <alignment horizontal="left" vertical="center" indent="1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 indent="1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164" fontId="2" fillId="0" borderId="8" xfId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1" fillId="0" borderId="0" xfId="0" applyFont="1" applyAlignment="1">
      <alignment horizontal="left" vertical="center" indent="1"/>
    </xf>
    <xf numFmtId="14" fontId="5" fillId="0" borderId="0" xfId="0" quotePrefix="1" applyNumberFormat="1" applyFont="1" applyAlignment="1">
      <alignment horizontal="left" vertical="center" indent="1"/>
    </xf>
    <xf numFmtId="14" fontId="6" fillId="3" borderId="1" xfId="0" quotePrefix="1" applyNumberFormat="1" applyFont="1" applyFill="1" applyBorder="1" applyAlignment="1">
      <alignment horizontal="left" vertical="center" indent="1"/>
    </xf>
    <xf numFmtId="164" fontId="6" fillId="3" borderId="1" xfId="1" quotePrefix="1" applyFont="1" applyFill="1" applyBorder="1" applyAlignment="1">
      <alignment horizontal="left" vertical="center" indent="1"/>
    </xf>
    <xf numFmtId="14" fontId="22" fillId="3" borderId="1" xfId="0" quotePrefix="1" applyNumberFormat="1" applyFont="1" applyFill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3" borderId="0" xfId="0" applyFont="1" applyFill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horizontal="right" vertical="center" indent="1"/>
    </xf>
    <xf numFmtId="0" fontId="19" fillId="3" borderId="2" xfId="0" applyFont="1" applyFill="1" applyBorder="1" applyAlignment="1">
      <alignment horizontal="left" vertical="center" indent="1"/>
    </xf>
    <xf numFmtId="0" fontId="19" fillId="3" borderId="2" xfId="0" applyFont="1" applyFill="1" applyBorder="1" applyAlignment="1">
      <alignment horizontal="left" vertical="center" indent="2"/>
    </xf>
    <xf numFmtId="14" fontId="2" fillId="0" borderId="0" xfId="0" applyNumberFormat="1" applyFont="1" applyAlignment="1" applyProtection="1">
      <alignment vertical="center"/>
      <protection hidden="1"/>
    </xf>
    <xf numFmtId="0" fontId="3" fillId="0" borderId="1" xfId="0" applyFont="1" applyBorder="1" applyAlignment="1">
      <alignment horizontal="center" vertical="center"/>
    </xf>
    <xf numFmtId="164" fontId="2" fillId="0" borderId="1" xfId="1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20" xfId="1" applyFont="1" applyFill="1" applyBorder="1" applyAlignment="1">
      <alignment vertical="center"/>
    </xf>
    <xf numFmtId="164" fontId="3" fillId="3" borderId="0" xfId="1" applyFont="1" applyFill="1" applyBorder="1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164" fontId="3" fillId="0" borderId="1" xfId="1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164" fontId="3" fillId="3" borderId="12" xfId="1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14" fillId="3" borderId="12" xfId="2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 indent="1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164" fontId="2" fillId="3" borderId="3" xfId="1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164" fontId="2" fillId="3" borderId="4" xfId="1" applyFont="1" applyFill="1" applyBorder="1" applyAlignment="1">
      <alignment horizontal="left" vertical="center" indent="1"/>
    </xf>
    <xf numFmtId="0" fontId="14" fillId="3" borderId="1" xfId="2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left" vertical="center" indent="1"/>
      <protection hidden="1"/>
    </xf>
    <xf numFmtId="0" fontId="12" fillId="2" borderId="29" xfId="0" applyFont="1" applyFill="1" applyBorder="1" applyAlignment="1" applyProtection="1">
      <alignment horizontal="left" vertical="center" indent="1"/>
      <protection hidden="1"/>
    </xf>
    <xf numFmtId="0" fontId="4" fillId="3" borderId="12" xfId="2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left" vertical="center" indent="1"/>
      <protection locked="0"/>
    </xf>
    <xf numFmtId="0" fontId="3" fillId="3" borderId="9" xfId="0" applyFont="1" applyFill="1" applyBorder="1" applyAlignment="1" applyProtection="1">
      <alignment horizontal="left" vertical="center" inden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9" xfId="0" applyFont="1" applyFill="1" applyBorder="1" applyAlignment="1" applyProtection="1">
      <alignment horizontal="left" vertical="center" indent="1"/>
      <protection locked="0"/>
    </xf>
    <xf numFmtId="0" fontId="9" fillId="0" borderId="5" xfId="0" applyFont="1" applyBorder="1" applyAlignment="1" applyProtection="1">
      <alignment horizontal="left" vertical="center" inden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left" vertical="center" indent="1"/>
      <protection locked="0"/>
    </xf>
    <xf numFmtId="0" fontId="2" fillId="3" borderId="5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Alignment="1" applyProtection="1">
      <alignment horizontal="left" indent="1"/>
      <protection locked="0"/>
    </xf>
    <xf numFmtId="0" fontId="20" fillId="0" borderId="0" xfId="0" applyFont="1" applyAlignment="1" applyProtection="1">
      <alignment horizontal="left" vertical="center" indent="1"/>
      <protection locked="0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" fillId="0" borderId="31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14" fontId="2" fillId="0" borderId="11" xfId="0" applyNumberFormat="1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164" fontId="2" fillId="0" borderId="11" xfId="1" applyFont="1" applyBorder="1" applyAlignment="1">
      <alignment horizontal="left" vertical="center" indent="1"/>
    </xf>
    <xf numFmtId="164" fontId="2" fillId="0" borderId="31" xfId="1" applyFont="1" applyBorder="1" applyAlignment="1">
      <alignment horizontal="left" vertical="center" indent="1"/>
    </xf>
    <xf numFmtId="0" fontId="2" fillId="0" borderId="31" xfId="0" applyFont="1" applyBorder="1" applyAlignment="1">
      <alignment horizontal="center" vertical="center"/>
    </xf>
    <xf numFmtId="0" fontId="23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24" fillId="0" borderId="0" xfId="0" applyFont="1" applyAlignment="1" applyProtection="1">
      <alignment vertical="center"/>
      <protection hidden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 indent="1"/>
    </xf>
    <xf numFmtId="164" fontId="19" fillId="0" borderId="0" xfId="1" applyFont="1" applyAlignment="1">
      <alignment horizontal="left" vertical="center" indent="1"/>
    </xf>
    <xf numFmtId="0" fontId="25" fillId="3" borderId="12" xfId="2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 indent="1"/>
    </xf>
    <xf numFmtId="164" fontId="19" fillId="0" borderId="5" xfId="1" applyFont="1" applyBorder="1" applyAlignment="1">
      <alignment horizontal="left" vertical="center" indent="1"/>
    </xf>
    <xf numFmtId="0" fontId="25" fillId="3" borderId="12" xfId="0" applyFont="1" applyFill="1" applyBorder="1" applyAlignment="1">
      <alignment horizontal="left" vertical="center" indent="1"/>
    </xf>
    <xf numFmtId="164" fontId="25" fillId="3" borderId="12" xfId="1" applyFont="1" applyFill="1" applyBorder="1" applyAlignment="1">
      <alignment horizontal="left" vertical="center" indent="1"/>
    </xf>
    <xf numFmtId="164" fontId="26" fillId="2" borderId="11" xfId="1" applyFont="1" applyFill="1" applyBorder="1" applyAlignment="1">
      <alignment horizontal="left" vertical="center" indent="1"/>
    </xf>
    <xf numFmtId="0" fontId="25" fillId="0" borderId="16" xfId="0" applyFont="1" applyBorder="1" applyAlignment="1">
      <alignment horizontal="left" vertical="center" indent="1"/>
    </xf>
    <xf numFmtId="0" fontId="27" fillId="0" borderId="16" xfId="0" applyFont="1" applyBorder="1" applyAlignment="1">
      <alignment horizontal="right" vertical="center" indent="1"/>
    </xf>
    <xf numFmtId="164" fontId="25" fillId="0" borderId="26" xfId="1" applyFont="1" applyFill="1" applyBorder="1" applyAlignment="1">
      <alignment horizontal="left" vertical="center" indent="1"/>
    </xf>
    <xf numFmtId="164" fontId="26" fillId="0" borderId="0" xfId="1" applyFont="1" applyFill="1" applyBorder="1" applyAlignment="1">
      <alignment horizontal="left" vertical="center" indent="1"/>
    </xf>
    <xf numFmtId="164" fontId="19" fillId="0" borderId="0" xfId="0" applyNumberFormat="1" applyFont="1" applyAlignment="1">
      <alignment vertical="center"/>
    </xf>
    <xf numFmtId="0" fontId="25" fillId="0" borderId="8" xfId="0" applyFont="1" applyBorder="1" applyAlignment="1">
      <alignment horizontal="left" vertical="center" indent="1"/>
    </xf>
    <xf numFmtId="0" fontId="19" fillId="0" borderId="8" xfId="0" applyFont="1" applyBorder="1" applyAlignment="1">
      <alignment horizontal="left" vertical="center" indent="1"/>
    </xf>
    <xf numFmtId="164" fontId="19" fillId="0" borderId="8" xfId="1" applyFont="1" applyBorder="1" applyAlignment="1">
      <alignment horizontal="left" vertical="center" indent="1"/>
    </xf>
    <xf numFmtId="0" fontId="19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left" vertical="center" indent="1"/>
    </xf>
    <xf numFmtId="164" fontId="19" fillId="0" borderId="1" xfId="1" applyFont="1" applyBorder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164" fontId="19" fillId="2" borderId="0" xfId="1" applyFont="1" applyFill="1" applyAlignment="1">
      <alignment horizontal="left" vertical="center" indent="1"/>
    </xf>
    <xf numFmtId="0" fontId="19" fillId="0" borderId="0" xfId="0" applyFont="1" applyAlignment="1">
      <alignment horizontal="left" vertical="center" indent="2"/>
    </xf>
    <xf numFmtId="164" fontId="19" fillId="0" borderId="0" xfId="1" applyFont="1" applyAlignment="1">
      <alignment vertical="center"/>
    </xf>
    <xf numFmtId="0" fontId="27" fillId="0" borderId="0" xfId="0" applyFont="1" applyAlignment="1">
      <alignment horizontal="left" vertical="center" indent="2"/>
    </xf>
    <xf numFmtId="164" fontId="25" fillId="0" borderId="0" xfId="1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horizontal="left" vertical="center" indent="2"/>
    </xf>
    <xf numFmtId="0" fontId="25" fillId="3" borderId="3" xfId="0" applyFont="1" applyFill="1" applyBorder="1" applyAlignment="1">
      <alignment horizontal="left" vertical="center" indent="2"/>
    </xf>
    <xf numFmtId="0" fontId="19" fillId="3" borderId="3" xfId="0" applyFont="1" applyFill="1" applyBorder="1" applyAlignment="1">
      <alignment vertical="center"/>
    </xf>
    <xf numFmtId="164" fontId="25" fillId="3" borderId="3" xfId="0" applyNumberFormat="1" applyFont="1" applyFill="1" applyBorder="1" applyAlignment="1">
      <alignment vertical="center"/>
    </xf>
    <xf numFmtId="164" fontId="19" fillId="3" borderId="3" xfId="1" applyFont="1" applyFill="1" applyBorder="1" applyAlignment="1">
      <alignment vertical="center"/>
    </xf>
    <xf numFmtId="164" fontId="19" fillId="3" borderId="3" xfId="0" applyNumberFormat="1" applyFont="1" applyFill="1" applyBorder="1" applyAlignment="1">
      <alignment vertical="center"/>
    </xf>
    <xf numFmtId="0" fontId="25" fillId="3" borderId="14" xfId="0" applyFont="1" applyFill="1" applyBorder="1" applyAlignment="1">
      <alignment horizontal="left" vertical="center" indent="2"/>
    </xf>
    <xf numFmtId="0" fontId="19" fillId="3" borderId="14" xfId="0" applyFont="1" applyFill="1" applyBorder="1" applyAlignment="1">
      <alignment vertical="center"/>
    </xf>
    <xf numFmtId="164" fontId="19" fillId="3" borderId="14" xfId="0" applyNumberFormat="1" applyFont="1" applyFill="1" applyBorder="1" applyAlignment="1">
      <alignment vertical="center"/>
    </xf>
    <xf numFmtId="164" fontId="19" fillId="3" borderId="14" xfId="1" applyFont="1" applyFill="1" applyBorder="1" applyAlignment="1">
      <alignment vertical="center"/>
    </xf>
    <xf numFmtId="164" fontId="25" fillId="3" borderId="14" xfId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 vertical="center" indent="1"/>
    </xf>
    <xf numFmtId="0" fontId="19" fillId="3" borderId="10" xfId="0" applyFont="1" applyFill="1" applyBorder="1" applyAlignment="1">
      <alignment vertical="center"/>
    </xf>
    <xf numFmtId="164" fontId="25" fillId="3" borderId="10" xfId="0" applyNumberFormat="1" applyFont="1" applyFill="1" applyBorder="1" applyAlignment="1">
      <alignment vertical="center"/>
    </xf>
    <xf numFmtId="164" fontId="19" fillId="3" borderId="10" xfId="1" applyFont="1" applyFill="1" applyBorder="1" applyAlignment="1">
      <alignment vertical="center"/>
    </xf>
    <xf numFmtId="164" fontId="25" fillId="3" borderId="10" xfId="1" applyFont="1" applyFill="1" applyBorder="1" applyAlignment="1">
      <alignment vertical="center"/>
    </xf>
    <xf numFmtId="0" fontId="25" fillId="0" borderId="0" xfId="0" applyFont="1" applyAlignment="1">
      <alignment horizontal="left" vertical="center" indent="1"/>
    </xf>
    <xf numFmtId="0" fontId="25" fillId="3" borderId="3" xfId="0" applyFont="1" applyFill="1" applyBorder="1" applyAlignment="1">
      <alignment horizontal="left" vertical="center" indent="1"/>
    </xf>
    <xf numFmtId="0" fontId="25" fillId="3" borderId="14" xfId="0" applyFont="1" applyFill="1" applyBorder="1" applyAlignment="1">
      <alignment horizontal="left" vertical="center" indent="1"/>
    </xf>
    <xf numFmtId="0" fontId="25" fillId="3" borderId="10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164" fontId="25" fillId="3" borderId="3" xfId="1" applyFont="1" applyFill="1" applyBorder="1" applyAlignment="1">
      <alignment vertical="center"/>
    </xf>
    <xf numFmtId="164" fontId="19" fillId="3" borderId="10" xfId="0" applyNumberFormat="1" applyFont="1" applyFill="1" applyBorder="1" applyAlignment="1">
      <alignment vertical="center"/>
    </xf>
    <xf numFmtId="164" fontId="25" fillId="3" borderId="14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vertical="center"/>
    </xf>
    <xf numFmtId="0" fontId="28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 indent="1"/>
    </xf>
    <xf numFmtId="0" fontId="27" fillId="0" borderId="0" xfId="0" applyFont="1" applyAlignment="1">
      <alignment horizontal="right" vertical="center" indent="3"/>
    </xf>
    <xf numFmtId="164" fontId="27" fillId="0" borderId="0" xfId="1" applyFont="1" applyAlignment="1">
      <alignment vertical="center"/>
    </xf>
    <xf numFmtId="0" fontId="25" fillId="0" borderId="0" xfId="0" applyFont="1" applyAlignment="1">
      <alignment horizontal="right" vertical="center" indent="5"/>
    </xf>
    <xf numFmtId="0" fontId="25" fillId="0" borderId="12" xfId="0" applyFont="1" applyBorder="1" applyAlignment="1">
      <alignment horizontal="left" vertical="center" indent="1"/>
    </xf>
    <xf numFmtId="0" fontId="25" fillId="0" borderId="12" xfId="0" applyFont="1" applyBorder="1" applyAlignment="1">
      <alignment vertical="center"/>
    </xf>
    <xf numFmtId="164" fontId="25" fillId="0" borderId="12" xfId="1" applyFont="1" applyBorder="1" applyAlignment="1">
      <alignment horizontal="center" vertical="center"/>
    </xf>
    <xf numFmtId="164" fontId="19" fillId="0" borderId="0" xfId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164" fontId="19" fillId="0" borderId="1" xfId="1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 indent="1"/>
    </xf>
    <xf numFmtId="0" fontId="19" fillId="0" borderId="14" xfId="0" applyFont="1" applyBorder="1" applyAlignment="1">
      <alignment vertical="center"/>
    </xf>
    <xf numFmtId="164" fontId="19" fillId="0" borderId="10" xfId="1" applyFont="1" applyBorder="1" applyAlignment="1">
      <alignment horizontal="center" vertical="center"/>
    </xf>
    <xf numFmtId="0" fontId="25" fillId="0" borderId="17" xfId="0" applyFont="1" applyBorder="1" applyAlignment="1">
      <alignment horizontal="left" vertical="center" indent="1"/>
    </xf>
    <xf numFmtId="0" fontId="25" fillId="0" borderId="18" xfId="0" applyFont="1" applyBorder="1" applyAlignment="1">
      <alignment vertical="center"/>
    </xf>
    <xf numFmtId="164" fontId="25" fillId="0" borderId="18" xfId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5" fillId="0" borderId="0" xfId="1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14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5" fillId="3" borderId="2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 indent="1"/>
    </xf>
    <xf numFmtId="0" fontId="19" fillId="0" borderId="4" xfId="0" applyFont="1" applyBorder="1" applyAlignment="1">
      <alignment vertical="center"/>
    </xf>
    <xf numFmtId="0" fontId="25" fillId="0" borderId="2" xfId="0" applyFont="1" applyBorder="1" applyAlignment="1">
      <alignment horizontal="left" vertical="center" indent="2"/>
    </xf>
    <xf numFmtId="164" fontId="19" fillId="0" borderId="1" xfId="1" applyFont="1" applyBorder="1" applyAlignment="1">
      <alignment vertical="center"/>
    </xf>
    <xf numFmtId="0" fontId="19" fillId="0" borderId="2" xfId="0" applyFont="1" applyBorder="1" applyAlignment="1">
      <alignment horizontal="left" vertical="center" indent="2"/>
    </xf>
    <xf numFmtId="0" fontId="25" fillId="3" borderId="2" xfId="0" applyFont="1" applyFill="1" applyBorder="1" applyAlignment="1">
      <alignment horizontal="left" vertical="center" indent="2"/>
    </xf>
    <xf numFmtId="164" fontId="25" fillId="3" borderId="1" xfId="0" applyNumberFormat="1" applyFont="1" applyFill="1" applyBorder="1" applyAlignment="1">
      <alignment vertical="center"/>
    </xf>
    <xf numFmtId="0" fontId="25" fillId="3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 indent="2"/>
    </xf>
    <xf numFmtId="164" fontId="25" fillId="0" borderId="1" xfId="1" applyFont="1" applyBorder="1" applyAlignment="1">
      <alignment vertical="center"/>
    </xf>
    <xf numFmtId="0" fontId="25" fillId="3" borderId="13" xfId="0" applyFont="1" applyFill="1" applyBorder="1" applyAlignment="1">
      <alignment vertical="center"/>
    </xf>
    <xf numFmtId="0" fontId="19" fillId="3" borderId="15" xfId="0" applyFont="1" applyFill="1" applyBorder="1" applyAlignment="1">
      <alignment vertical="center"/>
    </xf>
    <xf numFmtId="164" fontId="25" fillId="3" borderId="15" xfId="1" applyFont="1" applyFill="1" applyBorder="1" applyAlignment="1">
      <alignment horizontal="center" vertical="center"/>
    </xf>
    <xf numFmtId="164" fontId="25" fillId="3" borderId="12" xfId="1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left" vertical="center" indent="1"/>
    </xf>
    <xf numFmtId="164" fontId="19" fillId="0" borderId="8" xfId="1" applyFont="1" applyBorder="1" applyAlignment="1">
      <alignment vertical="center"/>
    </xf>
    <xf numFmtId="164" fontId="19" fillId="0" borderId="8" xfId="0" applyNumberFormat="1" applyFont="1" applyBorder="1" applyAlignment="1">
      <alignment vertical="center"/>
    </xf>
    <xf numFmtId="164" fontId="25" fillId="3" borderId="1" xfId="1" applyFont="1" applyFill="1" applyBorder="1" applyAlignment="1">
      <alignment vertical="center"/>
    </xf>
    <xf numFmtId="164" fontId="19" fillId="3" borderId="0" xfId="1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5" fillId="0" borderId="1" xfId="0" applyFont="1" applyBorder="1" applyAlignment="1">
      <alignment vertical="center"/>
    </xf>
    <xf numFmtId="164" fontId="19" fillId="0" borderId="0" xfId="1" applyFont="1" applyBorder="1" applyAlignment="1">
      <alignment vertical="center"/>
    </xf>
    <xf numFmtId="0" fontId="19" fillId="3" borderId="12" xfId="0" applyFont="1" applyFill="1" applyBorder="1" applyAlignment="1">
      <alignment horizontal="left" vertical="center" indent="1"/>
    </xf>
    <xf numFmtId="0" fontId="25" fillId="3" borderId="15" xfId="0" applyFont="1" applyFill="1" applyBorder="1" applyAlignment="1">
      <alignment horizontal="left" vertical="center" indent="1"/>
    </xf>
    <xf numFmtId="164" fontId="25" fillId="0" borderId="16" xfId="0" applyNumberFormat="1" applyFont="1" applyBorder="1" applyAlignment="1">
      <alignment horizontal="left" vertical="center" indent="1"/>
    </xf>
    <xf numFmtId="164" fontId="2" fillId="0" borderId="0" xfId="0" applyNumberFormat="1" applyFont="1" applyAlignment="1">
      <alignment vertical="center"/>
    </xf>
    <xf numFmtId="1" fontId="10" fillId="0" borderId="0" xfId="0" quotePrefix="1" applyNumberFormat="1" applyFont="1" applyAlignment="1">
      <alignment horizontal="center" vertical="center"/>
    </xf>
    <xf numFmtId="0" fontId="13" fillId="0" borderId="7" xfId="2" applyBorder="1" applyAlignment="1">
      <alignment horizontal="left" vertical="center" indent="1"/>
    </xf>
    <xf numFmtId="0" fontId="13" fillId="0" borderId="5" xfId="2" applyBorder="1" applyAlignment="1" applyProtection="1">
      <alignment horizontal="left" vertical="center" indent="1"/>
      <protection locked="0"/>
    </xf>
    <xf numFmtId="164" fontId="3" fillId="0" borderId="0" xfId="1" applyFont="1" applyFill="1" applyBorder="1" applyAlignment="1">
      <alignment horizontal="left" vertical="center" indent="1"/>
    </xf>
    <xf numFmtId="0" fontId="5" fillId="0" borderId="0" xfId="0" applyFont="1" applyAlignment="1" applyProtection="1">
      <alignment horizontal="left" vertical="center" indent="1"/>
      <protection locked="0"/>
    </xf>
    <xf numFmtId="164" fontId="29" fillId="0" borderId="1" xfId="1" applyFont="1" applyBorder="1" applyAlignment="1">
      <alignment horizontal="left" vertical="center" indent="1"/>
    </xf>
    <xf numFmtId="0" fontId="25" fillId="4" borderId="32" xfId="0" applyFont="1" applyFill="1" applyBorder="1" applyAlignment="1">
      <alignment horizontal="left" vertical="center" indent="2"/>
    </xf>
    <xf numFmtId="0" fontId="19" fillId="4" borderId="32" xfId="0" applyFont="1" applyFill="1" applyBorder="1" applyAlignment="1">
      <alignment vertical="center"/>
    </xf>
    <xf numFmtId="164" fontId="25" fillId="4" borderId="32" xfId="1" applyFont="1" applyFill="1" applyBorder="1" applyAlignment="1">
      <alignment vertical="center"/>
    </xf>
    <xf numFmtId="164" fontId="25" fillId="4" borderId="32" xfId="0" applyNumberFormat="1" applyFont="1" applyFill="1" applyBorder="1" applyAlignment="1">
      <alignment vertical="center"/>
    </xf>
    <xf numFmtId="0" fontId="25" fillId="3" borderId="32" xfId="0" applyFont="1" applyFill="1" applyBorder="1" applyAlignment="1">
      <alignment horizontal="left" vertical="center" indent="2"/>
    </xf>
    <xf numFmtId="0" fontId="25" fillId="3" borderId="32" xfId="0" applyFont="1" applyFill="1" applyBorder="1" applyAlignment="1">
      <alignment vertical="center"/>
    </xf>
    <xf numFmtId="164" fontId="25" fillId="3" borderId="32" xfId="1" applyFont="1" applyFill="1" applyBorder="1" applyAlignment="1">
      <alignment vertical="center"/>
    </xf>
    <xf numFmtId="164" fontId="25" fillId="3" borderId="32" xfId="0" applyNumberFormat="1" applyFont="1" applyFill="1" applyBorder="1" applyAlignment="1">
      <alignment vertical="center"/>
    </xf>
    <xf numFmtId="0" fontId="3" fillId="3" borderId="0" xfId="0" applyFont="1" applyFill="1" applyAlignment="1">
      <alignment horizontal="left" vertical="center" indent="1"/>
    </xf>
    <xf numFmtId="164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 indent="2"/>
    </xf>
    <xf numFmtId="0" fontId="2" fillId="5" borderId="0" xfId="0" applyFont="1" applyFill="1" applyAlignment="1">
      <alignment vertical="center"/>
    </xf>
    <xf numFmtId="14" fontId="2" fillId="5" borderId="1" xfId="0" applyNumberFormat="1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indent="1"/>
    </xf>
    <xf numFmtId="164" fontId="2" fillId="5" borderId="1" xfId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vertical="center"/>
    </xf>
    <xf numFmtId="14" fontId="2" fillId="6" borderId="1" xfId="0" applyNumberFormat="1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 indent="1"/>
    </xf>
    <xf numFmtId="164" fontId="2" fillId="6" borderId="1" xfId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14" fontId="2" fillId="7" borderId="1" xfId="0" applyNumberFormat="1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 indent="1"/>
    </xf>
    <xf numFmtId="164" fontId="2" fillId="7" borderId="1" xfId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0" xfId="0" applyFont="1" applyFill="1" applyAlignment="1">
      <alignment vertical="center"/>
    </xf>
    <xf numFmtId="14" fontId="2" fillId="8" borderId="1" xfId="0" applyNumberFormat="1" applyFont="1" applyFill="1" applyBorder="1" applyAlignment="1">
      <alignment horizontal="left" vertical="center" indent="1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 indent="1"/>
    </xf>
    <xf numFmtId="164" fontId="2" fillId="8" borderId="1" xfId="1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14" fontId="2" fillId="9" borderId="1" xfId="0" applyNumberFormat="1" applyFont="1" applyFill="1" applyBorder="1" applyAlignment="1">
      <alignment horizontal="left" vertical="center" indent="1"/>
    </xf>
    <xf numFmtId="164" fontId="2" fillId="9" borderId="1" xfId="1" applyFont="1" applyFill="1" applyBorder="1" applyAlignment="1">
      <alignment vertical="center"/>
    </xf>
    <xf numFmtId="14" fontId="2" fillId="10" borderId="1" xfId="0" applyNumberFormat="1" applyFont="1" applyFill="1" applyBorder="1" applyAlignment="1">
      <alignment horizontal="left" vertical="center" inden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indent="1"/>
    </xf>
    <xf numFmtId="164" fontId="2" fillId="10" borderId="1" xfId="1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31" fillId="3" borderId="12" xfId="0" applyFont="1" applyFill="1" applyBorder="1" applyAlignment="1" applyProtection="1">
      <alignment horizontal="left" vertical="center" indent="1"/>
      <protection locked="0"/>
    </xf>
    <xf numFmtId="14" fontId="2" fillId="11" borderId="1" xfId="0" applyNumberFormat="1" applyFont="1" applyFill="1" applyBorder="1" applyAlignment="1">
      <alignment horizontal="left" vertical="center" indent="1"/>
    </xf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left" vertical="center" indent="1"/>
    </xf>
    <xf numFmtId="164" fontId="2" fillId="11" borderId="1" xfId="1" applyFont="1" applyFill="1" applyBorder="1" applyAlignment="1">
      <alignment vertical="center"/>
    </xf>
    <xf numFmtId="0" fontId="2" fillId="11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horizontal="left" vertical="center" indent="3"/>
    </xf>
    <xf numFmtId="0" fontId="19" fillId="6" borderId="4" xfId="0" applyFont="1" applyFill="1" applyBorder="1" applyAlignment="1">
      <alignment vertical="center"/>
    </xf>
    <xf numFmtId="164" fontId="25" fillId="6" borderId="1" xfId="1" applyFont="1" applyFill="1" applyBorder="1" applyAlignment="1">
      <alignment vertical="center"/>
    </xf>
    <xf numFmtId="0" fontId="25" fillId="6" borderId="2" xfId="0" applyFont="1" applyFill="1" applyBorder="1" applyAlignment="1">
      <alignment horizontal="left" vertical="center" indent="2"/>
    </xf>
    <xf numFmtId="164" fontId="19" fillId="6" borderId="1" xfId="1" applyFont="1" applyFill="1" applyBorder="1" applyAlignment="1">
      <alignment vertical="center"/>
    </xf>
    <xf numFmtId="0" fontId="25" fillId="6" borderId="4" xfId="0" applyFont="1" applyFill="1" applyBorder="1" applyAlignment="1">
      <alignment vertical="center"/>
    </xf>
    <xf numFmtId="0" fontId="25" fillId="12" borderId="4" xfId="0" applyFont="1" applyFill="1" applyBorder="1" applyAlignment="1">
      <alignment vertical="center"/>
    </xf>
    <xf numFmtId="0" fontId="19" fillId="12" borderId="4" xfId="0" applyFont="1" applyFill="1" applyBorder="1" applyAlignment="1">
      <alignment vertical="center"/>
    </xf>
    <xf numFmtId="164" fontId="25" fillId="12" borderId="1" xfId="1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25" fillId="6" borderId="2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vertical="center"/>
    </xf>
    <xf numFmtId="164" fontId="25" fillId="11" borderId="1" xfId="1" applyFont="1" applyFill="1" applyBorder="1" applyAlignment="1">
      <alignment vertical="center"/>
    </xf>
    <xf numFmtId="0" fontId="25" fillId="11" borderId="2" xfId="0" applyFont="1" applyFill="1" applyBorder="1" applyAlignment="1">
      <alignment horizontal="left" vertical="center" indent="2"/>
    </xf>
    <xf numFmtId="0" fontId="3" fillId="0" borderId="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164" fontId="3" fillId="0" borderId="8" xfId="1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3" fillId="11" borderId="1" xfId="0" applyFont="1" applyFill="1" applyBorder="1" applyAlignment="1">
      <alignment horizontal="left" vertical="center" indent="1"/>
    </xf>
    <xf numFmtId="0" fontId="3" fillId="11" borderId="4" xfId="0" applyFont="1" applyFill="1" applyBorder="1" applyAlignment="1">
      <alignment vertical="center"/>
    </xf>
    <xf numFmtId="0" fontId="3" fillId="11" borderId="25" xfId="0" applyFont="1" applyFill="1" applyBorder="1" applyAlignment="1">
      <alignment vertical="center"/>
    </xf>
    <xf numFmtId="164" fontId="3" fillId="11" borderId="8" xfId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indent="2"/>
    </xf>
    <xf numFmtId="164" fontId="2" fillId="5" borderId="0" xfId="1" applyFont="1" applyFill="1" applyAlignment="1">
      <alignment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21" fillId="3" borderId="2" xfId="0" applyFont="1" applyFill="1" applyBorder="1" applyAlignment="1" applyProtection="1">
      <alignment horizontal="center" vertical="center"/>
      <protection hidden="1"/>
    </xf>
    <xf numFmtId="0" fontId="21" fillId="3" borderId="3" xfId="0" applyFont="1" applyFill="1" applyBorder="1" applyAlignment="1" applyProtection="1">
      <alignment horizontal="center" vertical="center"/>
      <protection hidden="1"/>
    </xf>
    <xf numFmtId="0" fontId="21" fillId="3" borderId="4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2" fillId="3" borderId="3" xfId="0" applyFont="1" applyFill="1" applyBorder="1" applyAlignment="1" applyProtection="1">
      <alignment horizontal="center" vertical="center" wrapText="1"/>
      <protection hidden="1"/>
    </xf>
    <xf numFmtId="0" fontId="2" fillId="3" borderId="4" xfId="0" applyFont="1" applyFill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vertical="center"/>
      <protection hidden="1"/>
    </xf>
    <xf numFmtId="0" fontId="3" fillId="2" borderId="29" xfId="0" applyFont="1" applyFill="1" applyBorder="1" applyAlignment="1" applyProtection="1">
      <alignment horizontal="left" vertical="center" indent="1"/>
      <protection locked="0"/>
    </xf>
    <xf numFmtId="0" fontId="3" fillId="2" borderId="28" xfId="0" applyFont="1" applyFill="1" applyBorder="1" applyAlignment="1" applyProtection="1">
      <alignment horizontal="left" vertical="center" indent="1"/>
      <protection locked="0"/>
    </xf>
    <xf numFmtId="0" fontId="30" fillId="2" borderId="29" xfId="0" applyFont="1" applyFill="1" applyBorder="1" applyAlignment="1" applyProtection="1">
      <alignment horizontal="left" vertical="center" indent="1"/>
      <protection locked="0"/>
    </xf>
    <xf numFmtId="0" fontId="30" fillId="2" borderId="28" xfId="0" applyFont="1" applyFill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5" fillId="0" borderId="3" xfId="0" applyFont="1" applyBorder="1" applyAlignment="1" applyProtection="1">
      <alignment horizontal="left" vertical="center" indent="1"/>
      <protection locked="0"/>
    </xf>
    <xf numFmtId="0" fontId="5" fillId="0" borderId="4" xfId="0" applyFont="1" applyBorder="1" applyAlignment="1" applyProtection="1">
      <alignment horizontal="left" vertical="center" inden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left" vertical="center" indent="1"/>
    </xf>
    <xf numFmtId="164" fontId="3" fillId="3" borderId="1" xfId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hidden="1"/>
    </xf>
    <xf numFmtId="0" fontId="3" fillId="0" borderId="14" xfId="0" applyFont="1" applyBorder="1" applyAlignment="1" applyProtection="1">
      <alignment horizontal="center" vertical="center"/>
      <protection hidden="1"/>
    </xf>
    <xf numFmtId="0" fontId="3" fillId="0" borderId="15" xfId="0" applyFont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left" vertical="center" indent="1"/>
    </xf>
    <xf numFmtId="164" fontId="2" fillId="13" borderId="0" xfId="1" applyFont="1" applyFill="1" applyAlignment="1">
      <alignment vertical="center"/>
    </xf>
    <xf numFmtId="164" fontId="3" fillId="0" borderId="0" xfId="0" applyNumberFormat="1" applyFont="1" applyAlignment="1">
      <alignment vertical="center"/>
    </xf>
  </cellXfs>
  <cellStyles count="3">
    <cellStyle name="Comma [0]" xfId="1" builtinId="6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2209800</xdr:colOff>
      <xdr:row>158</xdr:row>
      <xdr:rowOff>38100</xdr:rowOff>
    </xdr:from>
    <xdr:to>
      <xdr:col>2</xdr:col>
      <xdr:colOff>3648075</xdr:colOff>
      <xdr:row>159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9BFD10-113A-E8ED-CD3A-5348D5BB1B8E}"/>
            </a:ext>
          </a:extLst>
        </xdr:cNvPr>
        <xdr:cNvSpPr/>
      </xdr:nvSpPr>
      <xdr:spPr>
        <a:xfrm>
          <a:off x="3429000" y="34232850"/>
          <a:ext cx="14382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100" b="1" i="1"/>
            <a:t>Diketahui</a:t>
          </a:r>
          <a:r>
            <a:rPr lang="en-ID" sz="1100" b="1" i="1" baseline="0"/>
            <a:t> Oleh, </a:t>
          </a:r>
          <a:endParaRPr lang="en-ID" sz="1100" b="1" i="1"/>
        </a:p>
      </xdr:txBody>
    </xdr:sp>
    <xdr:clientData/>
  </xdr:twoCellAnchor>
  <xdr:twoCellAnchor>
    <xdr:from>
      <xdr:col>5</xdr:col>
      <xdr:colOff>66675</xdr:colOff>
      <xdr:row>158</xdr:row>
      <xdr:rowOff>38100</xdr:rowOff>
    </xdr:from>
    <xdr:to>
      <xdr:col>6</xdr:col>
      <xdr:colOff>142875</xdr:colOff>
      <xdr:row>159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4A9CAE-C2FF-4AC0-BE3F-9CA326E23D50}"/>
            </a:ext>
          </a:extLst>
        </xdr:cNvPr>
        <xdr:cNvSpPr/>
      </xdr:nvSpPr>
      <xdr:spPr>
        <a:xfrm>
          <a:off x="6600825" y="34232850"/>
          <a:ext cx="14382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100" b="1" i="1"/>
            <a:t>Disetujui </a:t>
          </a:r>
          <a:r>
            <a:rPr lang="en-ID" sz="1100" b="1" i="1" baseline="0"/>
            <a:t>Oleh, </a:t>
          </a:r>
          <a:endParaRPr lang="en-ID" sz="1100" b="1" i="1"/>
        </a:p>
      </xdr:txBody>
    </xdr:sp>
    <xdr:clientData/>
  </xdr:twoCellAnchor>
  <xdr:twoCellAnchor>
    <xdr:from>
      <xdr:col>1</xdr:col>
      <xdr:colOff>57150</xdr:colOff>
      <xdr:row>158</xdr:row>
      <xdr:rowOff>19050</xdr:rowOff>
    </xdr:from>
    <xdr:to>
      <xdr:col>2</xdr:col>
      <xdr:colOff>533400</xdr:colOff>
      <xdr:row>158</xdr:row>
      <xdr:rowOff>266700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2DAA9E5-211D-4FBF-B8ED-FAA4D0331F35}"/>
            </a:ext>
          </a:extLst>
        </xdr:cNvPr>
        <xdr:cNvSpPr/>
      </xdr:nvSpPr>
      <xdr:spPr>
        <a:xfrm>
          <a:off x="314325" y="34213800"/>
          <a:ext cx="14382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100" b="1" i="1"/>
            <a:t>Dibuat </a:t>
          </a:r>
          <a:r>
            <a:rPr lang="en-ID" sz="1100" b="1" i="1" baseline="0"/>
            <a:t>Oleh, </a:t>
          </a:r>
          <a:endParaRPr lang="en-ID" sz="1100" b="1" i="1"/>
        </a:p>
      </xdr:txBody>
    </xdr:sp>
    <xdr:clientData/>
  </xdr:twoCellAnchor>
  <xdr:twoCellAnchor>
    <xdr:from>
      <xdr:col>1</xdr:col>
      <xdr:colOff>28575</xdr:colOff>
      <xdr:row>162</xdr:row>
      <xdr:rowOff>0</xdr:rowOff>
    </xdr:from>
    <xdr:to>
      <xdr:col>2</xdr:col>
      <xdr:colOff>504825</xdr:colOff>
      <xdr:row>162</xdr:row>
      <xdr:rowOff>247650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185501-53B6-466B-90BD-1427DD543DCA}"/>
            </a:ext>
          </a:extLst>
        </xdr:cNvPr>
        <xdr:cNvSpPr/>
      </xdr:nvSpPr>
      <xdr:spPr>
        <a:xfrm>
          <a:off x="285750" y="35337750"/>
          <a:ext cx="14382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D" sz="1100" b="1" i="1"/>
            <a:t>Suci Ramadhani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rjayadiawe\Documents\Documents%20-%20MacBook%20Air%20Sarjayadi\PRIBADI\KIRIM%20EXACT\ExAct%20VS-02%20%20UPDAT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ENISASET"/>
      <sheetName val="BULAN"/>
      <sheetName val="DAFTARASE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hfizul13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ahfizul1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7651-FC81-464D-AC85-9CD894B76F9C}">
  <sheetPr codeName="Sheet1">
    <pageSetUpPr fitToPage="1"/>
  </sheetPr>
  <dimension ref="B1:D28"/>
  <sheetViews>
    <sheetView showGridLines="0" showRowColHeaders="0" topLeftCell="A19" zoomScaleNormal="100" workbookViewId="0">
      <selection activeCell="D34" sqref="D34"/>
    </sheetView>
  </sheetViews>
  <sheetFormatPr defaultColWidth="10.875" defaultRowHeight="23.1" customHeight="1"/>
  <cols>
    <col min="1" max="1" width="3.625" style="166" customWidth="1"/>
    <col min="2" max="2" width="18.625" style="176" customWidth="1"/>
    <col min="3" max="3" width="2.625" style="166" customWidth="1"/>
    <col min="4" max="4" width="55.625" style="176" customWidth="1"/>
    <col min="5" max="5" width="4.375" style="166" customWidth="1"/>
    <col min="6" max="16384" width="10.875" style="166"/>
  </cols>
  <sheetData>
    <row r="1" spans="2:4" ht="9.9499999999999993" customHeight="1"/>
    <row r="2" spans="2:4" ht="23.1" customHeight="1" thickBot="1">
      <c r="B2" s="183" t="s">
        <v>58</v>
      </c>
      <c r="C2" s="194" t="str">
        <f>AKUN!C2</f>
        <v>Kahfizul13@gmail.com</v>
      </c>
      <c r="D2" s="184"/>
    </row>
    <row r="3" spans="2:4" ht="15" customHeight="1"/>
    <row r="4" spans="2:4" ht="23.1" customHeight="1" thickBot="1">
      <c r="B4" s="185" t="s">
        <v>61</v>
      </c>
      <c r="C4" s="186"/>
      <c r="D4" s="187"/>
    </row>
    <row r="5" spans="2:4" ht="8.1" customHeight="1" thickTop="1"/>
    <row r="6" spans="2:4" ht="23.1" customHeight="1">
      <c r="B6" s="188" t="s">
        <v>69</v>
      </c>
      <c r="C6" s="189"/>
      <c r="D6" s="190"/>
    </row>
    <row r="7" spans="2:4" ht="8.1" customHeight="1"/>
    <row r="8" spans="2:4" ht="23.1" customHeight="1">
      <c r="B8" s="191" t="s">
        <v>62</v>
      </c>
      <c r="D8" s="190" t="s">
        <v>501</v>
      </c>
    </row>
    <row r="9" spans="2:4" ht="9.9499999999999993" customHeight="1"/>
    <row r="10" spans="2:4" ht="23.1" customHeight="1">
      <c r="B10" s="191" t="s">
        <v>63</v>
      </c>
      <c r="D10" s="190" t="s">
        <v>502</v>
      </c>
    </row>
    <row r="11" spans="2:4" ht="9.9499999999999993" customHeight="1"/>
    <row r="12" spans="2:4" ht="23.1" customHeight="1">
      <c r="B12" s="191" t="s">
        <v>70</v>
      </c>
      <c r="D12" s="313" t="s">
        <v>500</v>
      </c>
    </row>
    <row r="13" spans="2:4" ht="9.9499999999999993" customHeight="1"/>
    <row r="14" spans="2:4" ht="23.1" customHeight="1">
      <c r="B14" s="191" t="s">
        <v>71</v>
      </c>
      <c r="D14" s="190">
        <v>81315555636</v>
      </c>
    </row>
    <row r="15" spans="2:4" ht="9.9499999999999993" customHeight="1"/>
    <row r="16" spans="2:4" ht="23.1" customHeight="1">
      <c r="B16" s="191" t="s">
        <v>64</v>
      </c>
      <c r="D16" s="190">
        <v>2022</v>
      </c>
    </row>
    <row r="17" spans="2:4" ht="15.95" customHeight="1">
      <c r="D17" s="192"/>
    </row>
    <row r="18" spans="2:4" ht="9.9499999999999993" customHeight="1"/>
    <row r="19" spans="2:4" ht="23.1" customHeight="1">
      <c r="B19" s="188" t="s">
        <v>65</v>
      </c>
      <c r="C19" s="189"/>
      <c r="D19" s="190"/>
    </row>
    <row r="20" spans="2:4" ht="9.9499999999999993" customHeight="1"/>
    <row r="21" spans="2:4" ht="23.1" customHeight="1">
      <c r="B21" s="191" t="s">
        <v>66</v>
      </c>
      <c r="D21" s="190" t="s">
        <v>853</v>
      </c>
    </row>
    <row r="22" spans="2:4" ht="9.9499999999999993" customHeight="1"/>
    <row r="23" spans="2:4" ht="23.1" customHeight="1">
      <c r="B23" s="191" t="s">
        <v>67</v>
      </c>
      <c r="D23" s="190" t="s">
        <v>854</v>
      </c>
    </row>
    <row r="24" spans="2:4" ht="9.9499999999999993" customHeight="1"/>
    <row r="25" spans="2:4" ht="23.1" customHeight="1">
      <c r="B25" s="191" t="s">
        <v>68</v>
      </c>
      <c r="D25" s="190" t="s">
        <v>855</v>
      </c>
    </row>
    <row r="26" spans="2:4" ht="9.9499999999999993" customHeight="1"/>
    <row r="28" spans="2:4" ht="23.1" customHeight="1">
      <c r="B28" s="193"/>
    </row>
  </sheetData>
  <hyperlinks>
    <hyperlink ref="B2" location="MENU!A1" display="MENU" xr:uid="{3EF1C4E9-11F5-4D42-9C56-04C831FDC92A}"/>
    <hyperlink ref="D12" r:id="rId1" xr:uid="{B257FA87-4C4F-4983-B5E2-6339368F0907}"/>
  </hyperlinks>
  <pageMargins left="0.7" right="0.7" top="0.75" bottom="0.75" header="0.3" footer="0.3"/>
  <pageSetup paperSize="9" orientation="portrait" horizontalDpi="360" verticalDpi="36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9923-2553-204C-BF28-8773D0B2E60B}">
  <sheetPr codeName="Sheet10"/>
  <dimension ref="B2:O282"/>
  <sheetViews>
    <sheetView showGridLines="0" zoomScale="80" zoomScaleNormal="80" workbookViewId="0">
      <pane ySplit="10" topLeftCell="A206" activePane="bottomLeft" state="frozen"/>
      <selection pane="bottomLeft" activeCell="B5" sqref="B5:M5"/>
    </sheetView>
  </sheetViews>
  <sheetFormatPr defaultColWidth="10.875" defaultRowHeight="23.1" customHeight="1"/>
  <cols>
    <col min="1" max="1" width="3.625" style="1" customWidth="1"/>
    <col min="2" max="2" width="13.625" style="1" customWidth="1"/>
    <col min="3" max="3" width="42.375" style="1" customWidth="1"/>
    <col min="4" max="13" width="15.5" style="37" customWidth="1"/>
    <col min="14" max="14" width="1.875" style="1" customWidth="1"/>
    <col min="15" max="16384" width="10.875" style="1"/>
  </cols>
  <sheetData>
    <row r="2" spans="2:15" ht="23.1" customHeight="1" thickBot="1">
      <c r="B2" s="90" t="s">
        <v>58</v>
      </c>
      <c r="C2" s="83" t="str">
        <f>NERACA!C2</f>
        <v>Kahfizul13@gmail.com</v>
      </c>
      <c r="D2" s="89"/>
      <c r="E2" s="89"/>
      <c r="F2" s="89"/>
      <c r="G2" s="89"/>
      <c r="H2" s="89"/>
      <c r="I2" s="89"/>
      <c r="J2" s="89"/>
      <c r="K2" s="89"/>
      <c r="L2" s="89"/>
      <c r="M2" s="89"/>
    </row>
    <row r="4" spans="2:15" ht="23.1" customHeight="1">
      <c r="B4" s="435" t="str">
        <f>BB!B4</f>
        <v>PERUMDA PARKIR MAKASSAR RAYA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7"/>
    </row>
    <row r="5" spans="2:15" ht="23.1" customHeight="1">
      <c r="B5" s="412" t="s">
        <v>106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4"/>
    </row>
    <row r="6" spans="2:15" ht="23.1" customHeight="1" thickBot="1">
      <c r="B6" s="438" t="str">
        <f>BB!B6</f>
        <v>Periode 01-Jan-2022 - 31-Dec-2022</v>
      </c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40"/>
    </row>
    <row r="7" spans="2:15" ht="8.1" customHeight="1"/>
    <row r="8" spans="2:15" ht="23.1" customHeight="1">
      <c r="B8" s="447" t="s">
        <v>3</v>
      </c>
      <c r="C8" s="447" t="s">
        <v>2</v>
      </c>
      <c r="D8" s="446" t="s">
        <v>36</v>
      </c>
      <c r="E8" s="446"/>
      <c r="F8" s="446" t="s">
        <v>124</v>
      </c>
      <c r="G8" s="446"/>
      <c r="H8" s="446" t="s">
        <v>39</v>
      </c>
      <c r="I8" s="446"/>
      <c r="J8" s="446" t="s">
        <v>102</v>
      </c>
      <c r="K8" s="446"/>
      <c r="L8" s="446" t="s">
        <v>28</v>
      </c>
      <c r="M8" s="446"/>
    </row>
    <row r="9" spans="2:15" ht="23.1" customHeight="1" thickBot="1">
      <c r="B9" s="448"/>
      <c r="C9" s="448"/>
      <c r="D9" s="44" t="s">
        <v>5</v>
      </c>
      <c r="E9" s="44" t="s">
        <v>6</v>
      </c>
      <c r="F9" s="44" t="s">
        <v>5</v>
      </c>
      <c r="G9" s="44" t="s">
        <v>6</v>
      </c>
      <c r="H9" s="44" t="s">
        <v>5</v>
      </c>
      <c r="I9" s="44" t="s">
        <v>6</v>
      </c>
      <c r="J9" s="44" t="s">
        <v>5</v>
      </c>
      <c r="K9" s="44" t="s">
        <v>6</v>
      </c>
      <c r="L9" s="44" t="s">
        <v>5</v>
      </c>
      <c r="M9" s="44" t="s">
        <v>6</v>
      </c>
      <c r="O9" s="68" t="s">
        <v>142</v>
      </c>
    </row>
    <row r="10" spans="2:15" ht="6.95" customHeight="1">
      <c r="O10" s="35">
        <v>1</v>
      </c>
    </row>
    <row r="11" spans="2:15" ht="23.1" customHeight="1">
      <c r="B11" s="142">
        <f>AKUN!B8</f>
        <v>110000</v>
      </c>
      <c r="C11" s="103" t="str">
        <f t="shared" ref="C11" si="0">IFERROR(INDEX(akun_ket,MATCH(B11,akun_kd,0)),"")</f>
        <v>ASET LANCAR</v>
      </c>
      <c r="D11" s="39" t="str">
        <f t="shared" ref="D11:D13" si="1">IFERROR(INDEX(akun_db,MATCH(B11&amp;" | "&amp;C11,akun_kb,0))+SUMIFS(ju_sld,ju_tgl,"&lt;"&amp;awal,ju_debet,B11&amp;" | "&amp;C11),"")</f>
        <v/>
      </c>
      <c r="E11" s="39" t="str">
        <f t="shared" ref="E11:E13" si="2">IFERROR(INDEX(akun_kr,MATCH(B11&amp;" | "&amp;C11,akun_kb,0))+SUMIFS(ju_sld,ju_tgl,"&lt;"&amp;awal,ju_kr,B11&amp;" | "&amp;C11),"")</f>
        <v/>
      </c>
      <c r="F11" s="39">
        <f t="shared" ref="F11" si="3">IFERROR(SUMIFS(ju_sld,ju_tgl,"&gt;="&amp;awal,ju_tgl,"&lt;="&amp;akhir,ju_debet,B11&amp;" | "&amp;C11),0)</f>
        <v>0</v>
      </c>
      <c r="G11" s="39">
        <f t="shared" ref="G11" si="4">IFERROR(SUMIFS(ju_sld,ju_tgl,"&gt;="&amp;awal,ju_tgl,"&lt;="&amp;akhir,ju_kr,B11&amp;" | "&amp;C11),0)</f>
        <v>0</v>
      </c>
      <c r="H11" s="39" t="str">
        <f t="shared" ref="H11:H13" si="5">IFERROR(IF(INDEX(typ_sn,MATCH(INDEX(akun_type,MATCH(B11,akun_kd,0)),typ_ket,0))="db",D11+F11-E11-G11,0),"")</f>
        <v/>
      </c>
      <c r="I11" s="39" t="str">
        <f t="shared" ref="I11:I13" si="6">IFERROR(IF(INDEX(typ_sn,MATCH(INDEX(akun_type,MATCH(B11,akun_kd,0)),typ_ket,0))="Kr",G11+E11-F11-D11,0),"")</f>
        <v/>
      </c>
      <c r="J11" s="39" t="str">
        <f t="shared" ref="J11:J13" si="7">IFERROR(IF(AND(INDEX(typ_sn,MATCH(INDEX(akun_type,MATCH(B11,akun_kd,0)),typ_ket,0))="db",INDEX(typ_pos,MATCH(INDEX(akun_type,MATCH(B11,akun_kd,0)),typ_ket,0))="lr"),H11-I11,0),"")</f>
        <v/>
      </c>
      <c r="K11" s="39" t="str">
        <f t="shared" ref="K11:K13" si="8">IFERROR(IF(AND(INDEX(typ_sn,MATCH(INDEX(akun_type,MATCH(B11,akun_kd,0)),typ_ket,0))="kr",INDEX(typ_pos,MATCH(INDEX(akun_type,MATCH(B11,akun_kd,0)),typ_ket,0))="lr"),I11-H11,0),"")</f>
        <v/>
      </c>
      <c r="L11" s="39" t="str">
        <f t="shared" ref="L11:L13" si="9">IFERROR(IF(AND(INDEX(typ_sn,MATCH(INDEX(akun_type,MATCH(B11,akun_kd,0)),typ_ket,0))="db",INDEX(typ_pos,MATCH(INDEX(akun_type,MATCH(B11,akun_kd,0)),typ_ket,0))="Nrc"),H11-I11,0),"")</f>
        <v/>
      </c>
      <c r="M11" s="39" t="str">
        <f t="shared" ref="M11:M13" si="10">IFERROR(IF(AND(INDEX(typ_sn,MATCH(INDEX(akun_type,MATCH(B11,akun_kd,0)),typ_ket,0))="kr",INDEX(typ_pos,MATCH(INDEX(akun_type,MATCH(B11,akun_kd,0)),typ_ket,0))="nrc"),I11-H11,0),"")</f>
        <v/>
      </c>
      <c r="O11" s="35">
        <f>IF(AND(D11=0,E11=0,F11=0,G11=0,H11=0,I11=0,J11=0,K11=0,L11=0,M11=0),0,1)</f>
        <v>1</v>
      </c>
    </row>
    <row r="12" spans="2:15" ht="23.1" customHeight="1">
      <c r="B12" s="142">
        <f>AKUN!B9</f>
        <v>110100</v>
      </c>
      <c r="C12" s="103" t="str">
        <f t="shared" ref="C12:C13" si="11">IFERROR(INDEX(akun_ket,MATCH(B12,akun_kd,0)),"")</f>
        <v>KAS</v>
      </c>
      <c r="D12" s="39" t="str">
        <f t="shared" si="1"/>
        <v/>
      </c>
      <c r="E12" s="39" t="str">
        <f t="shared" si="2"/>
        <v/>
      </c>
      <c r="F12" s="39">
        <f t="shared" ref="F12:F13" si="12">IFERROR(SUMIFS(ju_sld,ju_tgl,"&gt;="&amp;awal,ju_tgl,"&lt;="&amp;akhir,ju_debet,B12&amp;" | "&amp;C12),0)</f>
        <v>0</v>
      </c>
      <c r="G12" s="39">
        <f t="shared" ref="G12:G13" si="13">IFERROR(SUMIFS(ju_sld,ju_tgl,"&gt;="&amp;awal,ju_tgl,"&lt;="&amp;akhir,ju_kr,B12&amp;" | "&amp;C12),0)</f>
        <v>0</v>
      </c>
      <c r="H12" s="39" t="str">
        <f t="shared" si="5"/>
        <v/>
      </c>
      <c r="I12" s="39" t="str">
        <f t="shared" si="6"/>
        <v/>
      </c>
      <c r="J12" s="39" t="str">
        <f t="shared" si="7"/>
        <v/>
      </c>
      <c r="K12" s="39" t="str">
        <f t="shared" si="8"/>
        <v/>
      </c>
      <c r="L12" s="39" t="str">
        <f t="shared" si="9"/>
        <v/>
      </c>
      <c r="M12" s="39" t="str">
        <f t="shared" si="10"/>
        <v/>
      </c>
      <c r="O12" s="35">
        <f t="shared" ref="O12:O13" si="14">IF(AND(D12=0,E12=0,F12=0,G12=0,H12=0,I12=0,J12=0,K12=0,L12=0,M12=0),0,1)</f>
        <v>1</v>
      </c>
    </row>
    <row r="13" spans="2:15" ht="23.1" customHeight="1">
      <c r="B13" s="16">
        <f>AKUN!B10</f>
        <v>110101</v>
      </c>
      <c r="C13" s="7" t="str">
        <f t="shared" si="11"/>
        <v>KAS BENDAHARA PENERIMAAN</v>
      </c>
      <c r="D13" s="39">
        <f t="shared" si="1"/>
        <v>27156105</v>
      </c>
      <c r="E13" s="39">
        <f t="shared" si="2"/>
        <v>0</v>
      </c>
      <c r="F13" s="39">
        <f t="shared" si="12"/>
        <v>10441467900</v>
      </c>
      <c r="G13" s="39">
        <f t="shared" si="13"/>
        <v>10468623505</v>
      </c>
      <c r="H13" s="39">
        <f t="shared" si="5"/>
        <v>500</v>
      </c>
      <c r="I13" s="39">
        <f t="shared" si="6"/>
        <v>0</v>
      </c>
      <c r="J13" s="39">
        <f t="shared" si="7"/>
        <v>0</v>
      </c>
      <c r="K13" s="39">
        <f t="shared" si="8"/>
        <v>0</v>
      </c>
      <c r="L13" s="39">
        <f t="shared" si="9"/>
        <v>500</v>
      </c>
      <c r="M13" s="39">
        <f t="shared" si="10"/>
        <v>0</v>
      </c>
      <c r="O13" s="35">
        <f t="shared" si="14"/>
        <v>1</v>
      </c>
    </row>
    <row r="14" spans="2:15" ht="23.1" customHeight="1">
      <c r="B14" s="16">
        <f>AKUN!B11</f>
        <v>110102</v>
      </c>
      <c r="C14" s="7" t="str">
        <f t="shared" ref="C14:C78" si="15">IFERROR(INDEX(akun_ket,MATCH(B14,akun_kd,0)),"")</f>
        <v>KAS BENDAHARA PENGELUARAN</v>
      </c>
      <c r="D14" s="39">
        <f t="shared" ref="D14:D78" si="16">IFERROR(INDEX(akun_db,MATCH(B14&amp;" | "&amp;C14,akun_kb,0))+SUMIFS(ju_sld,ju_tgl,"&lt;"&amp;awal,ju_debet,B14&amp;" | "&amp;C14),"")</f>
        <v>7852676</v>
      </c>
      <c r="E14" s="39">
        <f t="shared" ref="E14:E78" si="17">IFERROR(INDEX(akun_kr,MATCH(B14&amp;" | "&amp;C14,akun_kb,0))+SUMIFS(ju_sld,ju_tgl,"&lt;"&amp;awal,ju_kr,B14&amp;" | "&amp;C14),"")</f>
        <v>0</v>
      </c>
      <c r="F14" s="39">
        <f t="shared" ref="F14:F78" si="18">IFERROR(SUMIFS(ju_sld,ju_tgl,"&gt;="&amp;awal,ju_tgl,"&lt;="&amp;akhir,ju_debet,B14&amp;" | "&amp;C14),0)</f>
        <v>11926924839</v>
      </c>
      <c r="G14" s="39">
        <f t="shared" ref="G14:G78" si="19">IFERROR(SUMIFS(ju_sld,ju_tgl,"&gt;="&amp;awal,ju_tgl,"&lt;="&amp;akhir,ju_kr,B14&amp;" | "&amp;C14),0)</f>
        <v>11915917215</v>
      </c>
      <c r="H14" s="39">
        <f t="shared" ref="H14:H78" si="20">IFERROR(IF(INDEX(typ_sn,MATCH(INDEX(akun_type,MATCH(B14,akun_kd,0)),typ_ket,0))="db",D14+F14-E14-G14,0),"")</f>
        <v>18860300</v>
      </c>
      <c r="I14" s="39">
        <f t="shared" ref="I14:I78" si="21">IFERROR(IF(INDEX(typ_sn,MATCH(INDEX(akun_type,MATCH(B14,akun_kd,0)),typ_ket,0))="Kr",G14+E14-F14-D14,0),"")</f>
        <v>0</v>
      </c>
      <c r="J14" s="39">
        <f t="shared" ref="J14:J78" si="22">IFERROR(IF(AND(INDEX(typ_sn,MATCH(INDEX(akun_type,MATCH(B14,akun_kd,0)),typ_ket,0))="db",INDEX(typ_pos,MATCH(INDEX(akun_type,MATCH(B14,akun_kd,0)),typ_ket,0))="lr"),H14-I14,0),"")</f>
        <v>0</v>
      </c>
      <c r="K14" s="39">
        <f t="shared" ref="K14:K78" si="23">IFERROR(IF(AND(INDEX(typ_sn,MATCH(INDEX(akun_type,MATCH(B14,akun_kd,0)),typ_ket,0))="kr",INDEX(typ_pos,MATCH(INDEX(akun_type,MATCH(B14,akun_kd,0)),typ_ket,0))="lr"),I14-H14,0),"")</f>
        <v>0</v>
      </c>
      <c r="L14" s="39">
        <f t="shared" ref="L14:L78" si="24">IFERROR(IF(AND(INDEX(typ_sn,MATCH(INDEX(akun_type,MATCH(B14,akun_kd,0)),typ_ket,0))="db",INDEX(typ_pos,MATCH(INDEX(akun_type,MATCH(B14,akun_kd,0)),typ_ket,0))="Nrc"),H14-I14,0),"")</f>
        <v>18860300</v>
      </c>
      <c r="M14" s="39">
        <f t="shared" ref="M14:M78" si="25">IFERROR(IF(AND(INDEX(typ_sn,MATCH(INDEX(akun_type,MATCH(B14,akun_kd,0)),typ_ket,0))="kr",INDEX(typ_pos,MATCH(INDEX(akun_type,MATCH(B14,akun_kd,0)),typ_ket,0))="nrc"),I14-H14,0),"")</f>
        <v>0</v>
      </c>
      <c r="O14" s="35">
        <f t="shared" ref="O14:O78" si="26">IF(AND(D14=0,E14=0,F14=0,G14=0,H14=0,I14=0,J14=0,K14=0,L14=0,M14=0),0,1)</f>
        <v>1</v>
      </c>
    </row>
    <row r="15" spans="2:15" ht="23.1" customHeight="1">
      <c r="B15" s="16">
        <f>AKUN!B12</f>
        <v>110103</v>
      </c>
      <c r="C15" s="7" t="str">
        <f t="shared" si="15"/>
        <v>KAS DALAM PERJALANAN</v>
      </c>
      <c r="D15" s="39">
        <f t="shared" si="16"/>
        <v>0</v>
      </c>
      <c r="E15" s="39">
        <f t="shared" si="17"/>
        <v>0</v>
      </c>
      <c r="F15" s="39">
        <f t="shared" si="18"/>
        <v>0</v>
      </c>
      <c r="G15" s="39">
        <f t="shared" si="19"/>
        <v>0</v>
      </c>
      <c r="H15" s="39">
        <f t="shared" si="20"/>
        <v>0</v>
      </c>
      <c r="I15" s="39">
        <f t="shared" si="21"/>
        <v>0</v>
      </c>
      <c r="J15" s="39">
        <f t="shared" si="22"/>
        <v>0</v>
      </c>
      <c r="K15" s="39">
        <f t="shared" si="23"/>
        <v>0</v>
      </c>
      <c r="L15" s="39">
        <f t="shared" si="24"/>
        <v>0</v>
      </c>
      <c r="M15" s="39">
        <f t="shared" si="25"/>
        <v>0</v>
      </c>
      <c r="O15" s="35">
        <f t="shared" si="26"/>
        <v>0</v>
      </c>
    </row>
    <row r="16" spans="2:15" ht="23.1" customHeight="1">
      <c r="B16" s="16">
        <f>AKUN!B13</f>
        <v>110104</v>
      </c>
      <c r="C16" s="7" t="str">
        <f t="shared" si="15"/>
        <v>PENYETORAN KEMBALI KE KAS PD.PARKIR</v>
      </c>
      <c r="D16" s="39">
        <f t="shared" si="16"/>
        <v>0</v>
      </c>
      <c r="E16" s="39">
        <f t="shared" si="17"/>
        <v>0</v>
      </c>
      <c r="F16" s="39">
        <f t="shared" si="18"/>
        <v>0</v>
      </c>
      <c r="G16" s="39">
        <f t="shared" si="19"/>
        <v>0</v>
      </c>
      <c r="H16" s="39">
        <f t="shared" si="20"/>
        <v>0</v>
      </c>
      <c r="I16" s="39">
        <f t="shared" si="21"/>
        <v>0</v>
      </c>
      <c r="J16" s="39">
        <f t="shared" si="22"/>
        <v>0</v>
      </c>
      <c r="K16" s="39">
        <f t="shared" si="23"/>
        <v>0</v>
      </c>
      <c r="L16" s="39">
        <f t="shared" si="24"/>
        <v>0</v>
      </c>
      <c r="M16" s="39">
        <f t="shared" si="25"/>
        <v>0</v>
      </c>
      <c r="O16" s="35">
        <f t="shared" si="26"/>
        <v>0</v>
      </c>
    </row>
    <row r="17" spans="2:15" ht="23.1" customHeight="1">
      <c r="B17" s="16">
        <f>AKUN!B14</f>
        <v>110200</v>
      </c>
      <c r="C17" s="7" t="str">
        <f t="shared" si="15"/>
        <v>BANK</v>
      </c>
      <c r="D17" s="39" t="str">
        <f t="shared" si="16"/>
        <v/>
      </c>
      <c r="E17" s="39" t="str">
        <f t="shared" si="17"/>
        <v/>
      </c>
      <c r="F17" s="39">
        <f t="shared" si="18"/>
        <v>0</v>
      </c>
      <c r="G17" s="39">
        <f t="shared" si="19"/>
        <v>0</v>
      </c>
      <c r="H17" s="39" t="str">
        <f t="shared" si="20"/>
        <v/>
      </c>
      <c r="I17" s="39" t="str">
        <f t="shared" si="21"/>
        <v/>
      </c>
      <c r="J17" s="39" t="str">
        <f t="shared" si="22"/>
        <v/>
      </c>
      <c r="K17" s="39" t="str">
        <f t="shared" si="23"/>
        <v/>
      </c>
      <c r="L17" s="39" t="str">
        <f t="shared" si="24"/>
        <v/>
      </c>
      <c r="M17" s="39" t="str">
        <f t="shared" si="25"/>
        <v/>
      </c>
      <c r="O17" s="35">
        <f t="shared" si="26"/>
        <v>1</v>
      </c>
    </row>
    <row r="18" spans="2:15" ht="23.1" customHeight="1">
      <c r="B18" s="16">
        <f>AKUN!B15</f>
        <v>110201</v>
      </c>
      <c r="C18" s="7" t="str">
        <f t="shared" si="15"/>
        <v>BANK BTN</v>
      </c>
      <c r="D18" s="39">
        <f t="shared" si="16"/>
        <v>815981072</v>
      </c>
      <c r="E18" s="39">
        <f t="shared" si="17"/>
        <v>0</v>
      </c>
      <c r="F18" s="39">
        <f t="shared" si="18"/>
        <v>6222550568.4499998</v>
      </c>
      <c r="G18" s="39">
        <f t="shared" si="19"/>
        <v>3689476349.2200003</v>
      </c>
      <c r="H18" s="39">
        <f t="shared" si="20"/>
        <v>3349055291.2299995</v>
      </c>
      <c r="I18" s="39">
        <f t="shared" si="21"/>
        <v>0</v>
      </c>
      <c r="J18" s="39">
        <f t="shared" si="22"/>
        <v>0</v>
      </c>
      <c r="K18" s="39">
        <f t="shared" si="23"/>
        <v>0</v>
      </c>
      <c r="L18" s="39">
        <f t="shared" si="24"/>
        <v>3349055291.2299995</v>
      </c>
      <c r="M18" s="39">
        <f t="shared" si="25"/>
        <v>0</v>
      </c>
      <c r="O18" s="35">
        <f t="shared" si="26"/>
        <v>1</v>
      </c>
    </row>
    <row r="19" spans="2:15" ht="23.1" customHeight="1">
      <c r="B19" s="16">
        <f>AKUN!B16</f>
        <v>110202</v>
      </c>
      <c r="C19" s="7" t="str">
        <f t="shared" si="15"/>
        <v>BANK BTN 2</v>
      </c>
      <c r="D19" s="39">
        <f t="shared" si="16"/>
        <v>0</v>
      </c>
      <c r="E19" s="39">
        <f t="shared" si="17"/>
        <v>0</v>
      </c>
      <c r="F19" s="39">
        <f t="shared" si="18"/>
        <v>1817000</v>
      </c>
      <c r="G19" s="39">
        <f t="shared" si="19"/>
        <v>650000</v>
      </c>
      <c r="H19" s="39">
        <f t="shared" si="20"/>
        <v>1167000</v>
      </c>
      <c r="I19" s="39">
        <f t="shared" si="21"/>
        <v>0</v>
      </c>
      <c r="J19" s="39">
        <f t="shared" si="22"/>
        <v>0</v>
      </c>
      <c r="K19" s="39">
        <f t="shared" si="23"/>
        <v>0</v>
      </c>
      <c r="L19" s="39">
        <f t="shared" si="24"/>
        <v>1167000</v>
      </c>
      <c r="M19" s="39">
        <f t="shared" si="25"/>
        <v>0</v>
      </c>
      <c r="O19" s="35">
        <f t="shared" si="26"/>
        <v>1</v>
      </c>
    </row>
    <row r="20" spans="2:15" ht="23.1" customHeight="1">
      <c r="B20" s="16">
        <f>AKUN!B17</f>
        <v>110203</v>
      </c>
      <c r="C20" s="7" t="str">
        <f t="shared" si="15"/>
        <v>BANK MEGA SYARIAH</v>
      </c>
      <c r="D20" s="39">
        <f t="shared" si="16"/>
        <v>0</v>
      </c>
      <c r="E20" s="39">
        <f t="shared" si="17"/>
        <v>0</v>
      </c>
      <c r="F20" s="39">
        <f t="shared" si="18"/>
        <v>2009330816.6400001</v>
      </c>
      <c r="G20" s="39">
        <f t="shared" si="19"/>
        <v>157677.47</v>
      </c>
      <c r="H20" s="39">
        <f t="shared" si="20"/>
        <v>2009173139.1700001</v>
      </c>
      <c r="I20" s="39">
        <f t="shared" si="21"/>
        <v>0</v>
      </c>
      <c r="J20" s="39">
        <f t="shared" si="22"/>
        <v>0</v>
      </c>
      <c r="K20" s="39">
        <f t="shared" si="23"/>
        <v>0</v>
      </c>
      <c r="L20" s="39">
        <f t="shared" si="24"/>
        <v>2009173139.1700001</v>
      </c>
      <c r="M20" s="39">
        <f t="shared" si="25"/>
        <v>0</v>
      </c>
      <c r="O20" s="35">
        <f t="shared" si="26"/>
        <v>1</v>
      </c>
    </row>
    <row r="21" spans="2:15" ht="23.1" customHeight="1">
      <c r="B21" s="16">
        <f>AKUN!B18</f>
        <v>110204</v>
      </c>
      <c r="C21" s="7" t="str">
        <f t="shared" si="15"/>
        <v>BANK BPD SULSELBAR</v>
      </c>
      <c r="D21" s="39">
        <f t="shared" si="16"/>
        <v>58615218</v>
      </c>
      <c r="E21" s="39">
        <f t="shared" si="17"/>
        <v>0</v>
      </c>
      <c r="F21" s="39">
        <f t="shared" si="18"/>
        <v>354968619</v>
      </c>
      <c r="G21" s="39">
        <f t="shared" si="19"/>
        <v>413583837.39999998</v>
      </c>
      <c r="H21" s="39">
        <f t="shared" si="20"/>
        <v>-0.39999997615814209</v>
      </c>
      <c r="I21" s="39">
        <f t="shared" si="21"/>
        <v>0</v>
      </c>
      <c r="J21" s="39">
        <f t="shared" si="22"/>
        <v>0</v>
      </c>
      <c r="K21" s="39">
        <f t="shared" si="23"/>
        <v>0</v>
      </c>
      <c r="L21" s="39">
        <f t="shared" si="24"/>
        <v>-0.39999997615814209</v>
      </c>
      <c r="M21" s="39">
        <f t="shared" si="25"/>
        <v>0</v>
      </c>
      <c r="O21" s="35">
        <f t="shared" si="26"/>
        <v>1</v>
      </c>
    </row>
    <row r="22" spans="2:15" ht="23.1" customHeight="1">
      <c r="B22" s="16">
        <f>AKUN!B19</f>
        <v>110205</v>
      </c>
      <c r="C22" s="7" t="str">
        <f t="shared" si="15"/>
        <v>BANK BPD SULSELBAR 1300030000329814</v>
      </c>
      <c r="D22" s="39">
        <f t="shared" si="16"/>
        <v>419143976</v>
      </c>
      <c r="E22" s="39">
        <f t="shared" si="17"/>
        <v>0</v>
      </c>
      <c r="F22" s="39">
        <f t="shared" si="18"/>
        <v>5575978011.8699999</v>
      </c>
      <c r="G22" s="39">
        <f t="shared" si="19"/>
        <v>5908381538</v>
      </c>
      <c r="H22" s="39">
        <f t="shared" si="20"/>
        <v>86740449.869999886</v>
      </c>
      <c r="I22" s="39">
        <f t="shared" si="21"/>
        <v>0</v>
      </c>
      <c r="J22" s="39">
        <f t="shared" si="22"/>
        <v>0</v>
      </c>
      <c r="K22" s="39">
        <f t="shared" si="23"/>
        <v>0</v>
      </c>
      <c r="L22" s="39">
        <f t="shared" si="24"/>
        <v>86740449.869999886</v>
      </c>
      <c r="M22" s="39">
        <f t="shared" si="25"/>
        <v>0</v>
      </c>
      <c r="O22" s="35">
        <f t="shared" si="26"/>
        <v>1</v>
      </c>
    </row>
    <row r="23" spans="2:15" ht="23.1" customHeight="1">
      <c r="B23" s="16">
        <f>AKUN!B20</f>
        <v>110206</v>
      </c>
      <c r="C23" s="7" t="str">
        <f t="shared" si="15"/>
        <v>BANK BPD SULSELBAR 130003123456789-2</v>
      </c>
      <c r="D23" s="39">
        <f t="shared" si="16"/>
        <v>3509202</v>
      </c>
      <c r="E23" s="39">
        <f t="shared" si="17"/>
        <v>0</v>
      </c>
      <c r="F23" s="39">
        <f t="shared" si="18"/>
        <v>42190</v>
      </c>
      <c r="G23" s="39">
        <f t="shared" si="19"/>
        <v>3551392</v>
      </c>
      <c r="H23" s="39">
        <f t="shared" si="20"/>
        <v>0</v>
      </c>
      <c r="I23" s="39">
        <f t="shared" si="21"/>
        <v>0</v>
      </c>
      <c r="J23" s="39">
        <f t="shared" si="22"/>
        <v>0</v>
      </c>
      <c r="K23" s="39">
        <f t="shared" si="23"/>
        <v>0</v>
      </c>
      <c r="L23" s="39">
        <f t="shared" si="24"/>
        <v>0</v>
      </c>
      <c r="M23" s="39">
        <f t="shared" si="25"/>
        <v>0</v>
      </c>
      <c r="O23" s="35">
        <f t="shared" si="26"/>
        <v>1</v>
      </c>
    </row>
    <row r="24" spans="2:15" ht="23.1" customHeight="1">
      <c r="B24" s="16">
        <f>AKUN!B21</f>
        <v>110207</v>
      </c>
      <c r="C24" s="7" t="str">
        <f t="shared" si="15"/>
        <v>BANK BRI</v>
      </c>
      <c r="D24" s="39">
        <f t="shared" si="16"/>
        <v>6595167</v>
      </c>
      <c r="E24" s="39">
        <f t="shared" si="17"/>
        <v>0</v>
      </c>
      <c r="F24" s="39">
        <f t="shared" si="18"/>
        <v>12702</v>
      </c>
      <c r="G24" s="39">
        <f t="shared" si="19"/>
        <v>6607869</v>
      </c>
      <c r="H24" s="39">
        <f t="shared" si="20"/>
        <v>0</v>
      </c>
      <c r="I24" s="39">
        <f t="shared" si="21"/>
        <v>0</v>
      </c>
      <c r="J24" s="39">
        <f t="shared" si="22"/>
        <v>0</v>
      </c>
      <c r="K24" s="39">
        <f t="shared" si="23"/>
        <v>0</v>
      </c>
      <c r="L24" s="39">
        <f t="shared" si="24"/>
        <v>0</v>
      </c>
      <c r="M24" s="39">
        <f t="shared" si="25"/>
        <v>0</v>
      </c>
      <c r="O24" s="35">
        <f t="shared" si="26"/>
        <v>1</v>
      </c>
    </row>
    <row r="25" spans="2:15" ht="23.1" customHeight="1">
      <c r="B25" s="16">
        <f>AKUN!B22</f>
        <v>110208</v>
      </c>
      <c r="C25" s="7" t="str">
        <f t="shared" si="15"/>
        <v>BANK PANIN DUBAI SYARIAH - 7009001988</v>
      </c>
      <c r="D25" s="39">
        <f t="shared" si="16"/>
        <v>631511959</v>
      </c>
      <c r="E25" s="39">
        <f t="shared" si="17"/>
        <v>0</v>
      </c>
      <c r="F25" s="39">
        <f t="shared" si="18"/>
        <v>1838008789.5199997</v>
      </c>
      <c r="G25" s="39">
        <f t="shared" si="19"/>
        <v>2469520748.7600002</v>
      </c>
      <c r="H25" s="39">
        <f t="shared" si="20"/>
        <v>-0.24000072479248047</v>
      </c>
      <c r="I25" s="39">
        <f t="shared" si="21"/>
        <v>0</v>
      </c>
      <c r="J25" s="39">
        <f t="shared" si="22"/>
        <v>0</v>
      </c>
      <c r="K25" s="39">
        <f t="shared" si="23"/>
        <v>0</v>
      </c>
      <c r="L25" s="39">
        <f t="shared" si="24"/>
        <v>-0.24000072479248047</v>
      </c>
      <c r="M25" s="39">
        <f t="shared" si="25"/>
        <v>0</v>
      </c>
      <c r="O25" s="35">
        <f t="shared" si="26"/>
        <v>1</v>
      </c>
    </row>
    <row r="26" spans="2:15" ht="23.1" customHeight="1">
      <c r="B26" s="16">
        <f>AKUN!B23</f>
        <v>110209</v>
      </c>
      <c r="C26" s="7" t="str">
        <f t="shared" si="15"/>
        <v>BANK PANIN DUBAI SYARIAH - TABUNGAN</v>
      </c>
      <c r="D26" s="39">
        <f t="shared" si="16"/>
        <v>1189265</v>
      </c>
      <c r="E26" s="39">
        <f t="shared" si="17"/>
        <v>0</v>
      </c>
      <c r="F26" s="39">
        <f t="shared" si="18"/>
        <v>0</v>
      </c>
      <c r="G26" s="39">
        <f t="shared" si="19"/>
        <v>1189265</v>
      </c>
      <c r="H26" s="39">
        <f t="shared" si="20"/>
        <v>0</v>
      </c>
      <c r="I26" s="39">
        <f t="shared" si="21"/>
        <v>0</v>
      </c>
      <c r="J26" s="39">
        <f t="shared" si="22"/>
        <v>0</v>
      </c>
      <c r="K26" s="39">
        <f t="shared" si="23"/>
        <v>0</v>
      </c>
      <c r="L26" s="39">
        <f t="shared" si="24"/>
        <v>0</v>
      </c>
      <c r="M26" s="39">
        <f t="shared" si="25"/>
        <v>0</v>
      </c>
      <c r="O26" s="35">
        <f t="shared" si="26"/>
        <v>1</v>
      </c>
    </row>
    <row r="27" spans="2:15" ht="23.1" customHeight="1">
      <c r="B27" s="16">
        <f>AKUN!B24</f>
        <v>110210</v>
      </c>
      <c r="C27" s="7" t="str">
        <f t="shared" si="15"/>
        <v>BANK BJB</v>
      </c>
      <c r="D27" s="39">
        <f t="shared" si="16"/>
        <v>9991565</v>
      </c>
      <c r="E27" s="39">
        <f t="shared" si="17"/>
        <v>0</v>
      </c>
      <c r="F27" s="39">
        <f t="shared" si="18"/>
        <v>0</v>
      </c>
      <c r="G27" s="39">
        <f t="shared" si="19"/>
        <v>9991565</v>
      </c>
      <c r="H27" s="39">
        <f t="shared" si="20"/>
        <v>0</v>
      </c>
      <c r="I27" s="39">
        <f t="shared" si="21"/>
        <v>0</v>
      </c>
      <c r="J27" s="39">
        <f t="shared" si="22"/>
        <v>0</v>
      </c>
      <c r="K27" s="39">
        <f t="shared" si="23"/>
        <v>0</v>
      </c>
      <c r="L27" s="39">
        <f t="shared" si="24"/>
        <v>0</v>
      </c>
      <c r="M27" s="39">
        <f t="shared" si="25"/>
        <v>0</v>
      </c>
      <c r="O27" s="35">
        <f t="shared" si="26"/>
        <v>1</v>
      </c>
    </row>
    <row r="28" spans="2:15" ht="23.1" customHeight="1">
      <c r="B28" s="16">
        <f>AKUN!B25</f>
        <v>110211</v>
      </c>
      <c r="C28" s="7" t="str">
        <f t="shared" si="15"/>
        <v>BANK MANDIRI</v>
      </c>
      <c r="D28" s="39">
        <f t="shared" si="16"/>
        <v>560003903</v>
      </c>
      <c r="E28" s="39">
        <f t="shared" si="17"/>
        <v>0</v>
      </c>
      <c r="F28" s="39">
        <f t="shared" si="18"/>
        <v>847016876.49999988</v>
      </c>
      <c r="G28" s="39">
        <f t="shared" si="19"/>
        <v>1407020779.8699999</v>
      </c>
      <c r="H28" s="39">
        <f t="shared" si="20"/>
        <v>-0.36999988555908203</v>
      </c>
      <c r="I28" s="39">
        <f t="shared" si="21"/>
        <v>0</v>
      </c>
      <c r="J28" s="39">
        <f t="shared" si="22"/>
        <v>0</v>
      </c>
      <c r="K28" s="39">
        <f t="shared" si="23"/>
        <v>0</v>
      </c>
      <c r="L28" s="39">
        <f t="shared" si="24"/>
        <v>-0.36999988555908203</v>
      </c>
      <c r="M28" s="39">
        <f t="shared" si="25"/>
        <v>0</v>
      </c>
      <c r="O28" s="35">
        <f t="shared" si="26"/>
        <v>1</v>
      </c>
    </row>
    <row r="29" spans="2:15" ht="23.1" customHeight="1">
      <c r="B29" s="16">
        <f>AKUN!B26</f>
        <v>110212</v>
      </c>
      <c r="C29" s="7" t="str">
        <f t="shared" si="15"/>
        <v>BANK MANDIRI TASPEN</v>
      </c>
      <c r="D29" s="39">
        <f t="shared" si="16"/>
        <v>73162212</v>
      </c>
      <c r="E29" s="39">
        <f t="shared" si="17"/>
        <v>0</v>
      </c>
      <c r="F29" s="39">
        <f t="shared" si="18"/>
        <v>331112.29000000004</v>
      </c>
      <c r="G29" s="39">
        <f t="shared" si="19"/>
        <v>73493324.460000008</v>
      </c>
      <c r="H29" s="39">
        <f t="shared" si="20"/>
        <v>-0.17000000178813934</v>
      </c>
      <c r="I29" s="39">
        <f t="shared" si="21"/>
        <v>0</v>
      </c>
      <c r="J29" s="39">
        <f t="shared" si="22"/>
        <v>0</v>
      </c>
      <c r="K29" s="39">
        <f t="shared" si="23"/>
        <v>0</v>
      </c>
      <c r="L29" s="39">
        <f t="shared" si="24"/>
        <v>-0.17000000178813934</v>
      </c>
      <c r="M29" s="39">
        <f t="shared" si="25"/>
        <v>0</v>
      </c>
      <c r="O29" s="35">
        <f t="shared" si="26"/>
        <v>1</v>
      </c>
    </row>
    <row r="30" spans="2:15" ht="23.1" customHeight="1">
      <c r="B30" s="16">
        <f>AKUN!B27</f>
        <v>110213</v>
      </c>
      <c r="C30" s="7" t="str">
        <f t="shared" si="15"/>
        <v>BANK BNI</v>
      </c>
      <c r="D30" s="39">
        <f t="shared" si="16"/>
        <v>16381156</v>
      </c>
      <c r="E30" s="39">
        <f t="shared" si="17"/>
        <v>0</v>
      </c>
      <c r="F30" s="39">
        <f t="shared" si="18"/>
        <v>31388550</v>
      </c>
      <c r="G30" s="39">
        <f t="shared" si="19"/>
        <v>47769706</v>
      </c>
      <c r="H30" s="39">
        <f t="shared" si="20"/>
        <v>0</v>
      </c>
      <c r="I30" s="39">
        <f t="shared" si="21"/>
        <v>0</v>
      </c>
      <c r="J30" s="39">
        <f t="shared" si="22"/>
        <v>0</v>
      </c>
      <c r="K30" s="39">
        <f t="shared" si="23"/>
        <v>0</v>
      </c>
      <c r="L30" s="39">
        <f t="shared" si="24"/>
        <v>0</v>
      </c>
      <c r="M30" s="39">
        <f t="shared" si="25"/>
        <v>0</v>
      </c>
      <c r="O30" s="35">
        <f t="shared" si="26"/>
        <v>1</v>
      </c>
    </row>
    <row r="31" spans="2:15" ht="23.1" customHeight="1">
      <c r="B31" s="16">
        <f>AKUN!B28</f>
        <v>110214</v>
      </c>
      <c r="C31" s="7" t="str">
        <f t="shared" si="15"/>
        <v>BANK 1</v>
      </c>
      <c r="D31" s="39">
        <f t="shared" si="16"/>
        <v>0</v>
      </c>
      <c r="E31" s="39">
        <f t="shared" si="17"/>
        <v>0</v>
      </c>
      <c r="F31" s="39">
        <f t="shared" si="18"/>
        <v>0</v>
      </c>
      <c r="G31" s="39">
        <f t="shared" si="19"/>
        <v>0</v>
      </c>
      <c r="H31" s="39">
        <f t="shared" si="20"/>
        <v>0</v>
      </c>
      <c r="I31" s="39">
        <f t="shared" si="21"/>
        <v>0</v>
      </c>
      <c r="J31" s="39">
        <f t="shared" si="22"/>
        <v>0</v>
      </c>
      <c r="K31" s="39">
        <f t="shared" si="23"/>
        <v>0</v>
      </c>
      <c r="L31" s="39">
        <f t="shared" si="24"/>
        <v>0</v>
      </c>
      <c r="M31" s="39">
        <f t="shared" si="25"/>
        <v>0</v>
      </c>
      <c r="O31" s="35">
        <f t="shared" si="26"/>
        <v>0</v>
      </c>
    </row>
    <row r="32" spans="2:15" ht="23.1" customHeight="1">
      <c r="B32" s="16">
        <f>AKUN!B29</f>
        <v>110215</v>
      </c>
      <c r="C32" s="7" t="str">
        <f t="shared" si="15"/>
        <v>BANK 2</v>
      </c>
      <c r="D32" s="39">
        <f t="shared" si="16"/>
        <v>0</v>
      </c>
      <c r="E32" s="39">
        <f t="shared" si="17"/>
        <v>0</v>
      </c>
      <c r="F32" s="39">
        <f t="shared" si="18"/>
        <v>0</v>
      </c>
      <c r="G32" s="39">
        <f t="shared" si="19"/>
        <v>0</v>
      </c>
      <c r="H32" s="39">
        <f t="shared" si="20"/>
        <v>0</v>
      </c>
      <c r="I32" s="39">
        <f t="shared" si="21"/>
        <v>0</v>
      </c>
      <c r="J32" s="39">
        <f t="shared" si="22"/>
        <v>0</v>
      </c>
      <c r="K32" s="39">
        <f t="shared" si="23"/>
        <v>0</v>
      </c>
      <c r="L32" s="39">
        <f t="shared" si="24"/>
        <v>0</v>
      </c>
      <c r="M32" s="39">
        <f t="shared" si="25"/>
        <v>0</v>
      </c>
      <c r="O32" s="35">
        <f t="shared" si="26"/>
        <v>0</v>
      </c>
    </row>
    <row r="33" spans="2:15" ht="23.1" customHeight="1">
      <c r="B33" s="16">
        <f>AKUN!B30</f>
        <v>110300</v>
      </c>
      <c r="C33" s="7" t="str">
        <f t="shared" si="15"/>
        <v>PIUTANG USAHA</v>
      </c>
      <c r="D33" s="39" t="str">
        <f t="shared" si="16"/>
        <v/>
      </c>
      <c r="E33" s="39" t="str">
        <f t="shared" si="17"/>
        <v/>
      </c>
      <c r="F33" s="39">
        <f t="shared" si="18"/>
        <v>0</v>
      </c>
      <c r="G33" s="39">
        <f t="shared" si="19"/>
        <v>0</v>
      </c>
      <c r="H33" s="39" t="str">
        <f t="shared" si="20"/>
        <v/>
      </c>
      <c r="I33" s="39" t="str">
        <f t="shared" si="21"/>
        <v/>
      </c>
      <c r="J33" s="39" t="str">
        <f t="shared" si="22"/>
        <v/>
      </c>
      <c r="K33" s="39" t="str">
        <f t="shared" si="23"/>
        <v/>
      </c>
      <c r="L33" s="39" t="str">
        <f t="shared" si="24"/>
        <v/>
      </c>
      <c r="M33" s="39" t="str">
        <f t="shared" si="25"/>
        <v/>
      </c>
      <c r="O33" s="35">
        <f t="shared" si="26"/>
        <v>1</v>
      </c>
    </row>
    <row r="34" spans="2:15" ht="23.1" customHeight="1">
      <c r="B34" s="16">
        <f>AKUN!B31</f>
        <v>110301</v>
      </c>
      <c r="C34" s="7" t="str">
        <f t="shared" si="15"/>
        <v>PIUTANG USAHA PARKIR TEPI JALAN UMUM</v>
      </c>
      <c r="D34" s="39">
        <f t="shared" si="16"/>
        <v>14324500</v>
      </c>
      <c r="E34" s="39">
        <f t="shared" si="17"/>
        <v>0</v>
      </c>
      <c r="F34" s="39">
        <f t="shared" si="18"/>
        <v>8275697000</v>
      </c>
      <c r="G34" s="39">
        <f t="shared" si="19"/>
        <v>8245764000</v>
      </c>
      <c r="H34" s="39">
        <f t="shared" si="20"/>
        <v>44257500</v>
      </c>
      <c r="I34" s="39">
        <f t="shared" si="21"/>
        <v>0</v>
      </c>
      <c r="J34" s="39">
        <f t="shared" si="22"/>
        <v>0</v>
      </c>
      <c r="K34" s="39">
        <f t="shared" si="23"/>
        <v>0</v>
      </c>
      <c r="L34" s="39">
        <f t="shared" si="24"/>
        <v>44257500</v>
      </c>
      <c r="M34" s="39">
        <f t="shared" si="25"/>
        <v>0</v>
      </c>
      <c r="O34" s="35">
        <f t="shared" si="26"/>
        <v>1</v>
      </c>
    </row>
    <row r="35" spans="2:15" ht="23.1" customHeight="1">
      <c r="B35" s="16">
        <f>AKUN!B32</f>
        <v>110302</v>
      </c>
      <c r="C35" s="7" t="str">
        <f t="shared" si="15"/>
        <v>PIUTANG USAHA PARKIR INSIDENTIL</v>
      </c>
      <c r="D35" s="39">
        <f t="shared" si="16"/>
        <v>0</v>
      </c>
      <c r="E35" s="39">
        <f t="shared" si="17"/>
        <v>0</v>
      </c>
      <c r="F35" s="39">
        <f t="shared" si="18"/>
        <v>86802000</v>
      </c>
      <c r="G35" s="39">
        <f t="shared" si="19"/>
        <v>86802000</v>
      </c>
      <c r="H35" s="39">
        <f t="shared" si="20"/>
        <v>0</v>
      </c>
      <c r="I35" s="39">
        <f t="shared" si="21"/>
        <v>0</v>
      </c>
      <c r="J35" s="39">
        <f t="shared" si="22"/>
        <v>0</v>
      </c>
      <c r="K35" s="39">
        <f t="shared" si="23"/>
        <v>0</v>
      </c>
      <c r="L35" s="39">
        <f t="shared" si="24"/>
        <v>0</v>
      </c>
      <c r="M35" s="39">
        <f t="shared" si="25"/>
        <v>0</v>
      </c>
      <c r="O35" s="35">
        <f t="shared" si="26"/>
        <v>1</v>
      </c>
    </row>
    <row r="36" spans="2:15" ht="23.1" customHeight="1">
      <c r="B36" s="16">
        <f>AKUN!B33</f>
        <v>110303</v>
      </c>
      <c r="C36" s="7" t="str">
        <f t="shared" si="15"/>
        <v>PIUTANG USAHA PARKIR KOMERSIAL</v>
      </c>
      <c r="D36" s="39">
        <f t="shared" si="16"/>
        <v>4100000</v>
      </c>
      <c r="E36" s="39">
        <f t="shared" si="17"/>
        <v>0</v>
      </c>
      <c r="F36" s="39">
        <f t="shared" si="18"/>
        <v>2249270000</v>
      </c>
      <c r="G36" s="39">
        <f t="shared" si="19"/>
        <v>2246245000</v>
      </c>
      <c r="H36" s="39">
        <f t="shared" si="20"/>
        <v>7125000</v>
      </c>
      <c r="I36" s="39">
        <f t="shared" si="21"/>
        <v>0</v>
      </c>
      <c r="J36" s="39">
        <f t="shared" si="22"/>
        <v>0</v>
      </c>
      <c r="K36" s="39">
        <f t="shared" si="23"/>
        <v>0</v>
      </c>
      <c r="L36" s="39">
        <f t="shared" si="24"/>
        <v>7125000</v>
      </c>
      <c r="M36" s="39">
        <f t="shared" si="25"/>
        <v>0</v>
      </c>
      <c r="O36" s="35">
        <f t="shared" si="26"/>
        <v>1</v>
      </c>
    </row>
    <row r="37" spans="2:15" ht="23.1" customHeight="1">
      <c r="B37" s="16">
        <f>AKUN!B34</f>
        <v>110304</v>
      </c>
      <c r="C37" s="7" t="str">
        <f t="shared" si="15"/>
        <v>PIUTANG USAHA PARKIR LANGGANA BULANAN (PLB)</v>
      </c>
      <c r="D37" s="39">
        <f t="shared" si="16"/>
        <v>239035000</v>
      </c>
      <c r="E37" s="39">
        <f t="shared" si="17"/>
        <v>0</v>
      </c>
      <c r="F37" s="39">
        <f t="shared" si="18"/>
        <v>4996184000</v>
      </c>
      <c r="G37" s="39">
        <f t="shared" si="19"/>
        <v>4931274000</v>
      </c>
      <c r="H37" s="39">
        <f t="shared" si="20"/>
        <v>303945000</v>
      </c>
      <c r="I37" s="39">
        <f t="shared" si="21"/>
        <v>0</v>
      </c>
      <c r="J37" s="39">
        <f t="shared" si="22"/>
        <v>0</v>
      </c>
      <c r="K37" s="39">
        <f t="shared" si="23"/>
        <v>0</v>
      </c>
      <c r="L37" s="39">
        <f t="shared" si="24"/>
        <v>303945000</v>
      </c>
      <c r="M37" s="39">
        <f t="shared" si="25"/>
        <v>0</v>
      </c>
      <c r="O37" s="35">
        <f t="shared" si="26"/>
        <v>1</v>
      </c>
    </row>
    <row r="38" spans="2:15" ht="23.1" customHeight="1">
      <c r="B38" s="16">
        <f>AKUN!B35</f>
        <v>110305</v>
      </c>
      <c r="C38" s="7" t="str">
        <f t="shared" si="15"/>
        <v>PIUTANG INSIDENTIL ONLINE</v>
      </c>
      <c r="D38" s="39">
        <f t="shared" si="16"/>
        <v>0</v>
      </c>
      <c r="E38" s="39">
        <f t="shared" si="17"/>
        <v>0</v>
      </c>
      <c r="F38" s="39">
        <f t="shared" si="18"/>
        <v>0</v>
      </c>
      <c r="G38" s="39">
        <f t="shared" si="19"/>
        <v>0</v>
      </c>
      <c r="H38" s="39">
        <f t="shared" si="20"/>
        <v>0</v>
      </c>
      <c r="I38" s="39">
        <f t="shared" si="21"/>
        <v>0</v>
      </c>
      <c r="J38" s="39">
        <f t="shared" si="22"/>
        <v>0</v>
      </c>
      <c r="K38" s="39">
        <f t="shared" si="23"/>
        <v>0</v>
      </c>
      <c r="L38" s="39">
        <f t="shared" si="24"/>
        <v>0</v>
      </c>
      <c r="M38" s="39">
        <f t="shared" si="25"/>
        <v>0</v>
      </c>
      <c r="O38" s="35">
        <f t="shared" si="26"/>
        <v>0</v>
      </c>
    </row>
    <row r="39" spans="2:15" ht="23.1" customHeight="1">
      <c r="B39" s="16">
        <f>AKUN!B36</f>
        <v>110306</v>
      </c>
      <c r="C39" s="7" t="str">
        <f t="shared" si="15"/>
        <v>PIUTANG PARKIR KHUSUS BADAN USAHA</v>
      </c>
      <c r="D39" s="39">
        <f t="shared" si="16"/>
        <v>0</v>
      </c>
      <c r="E39" s="39">
        <f t="shared" si="17"/>
        <v>0</v>
      </c>
      <c r="F39" s="39">
        <f t="shared" si="18"/>
        <v>0</v>
      </c>
      <c r="G39" s="39">
        <f t="shared" si="19"/>
        <v>0</v>
      </c>
      <c r="H39" s="39">
        <f t="shared" si="20"/>
        <v>0</v>
      </c>
      <c r="I39" s="39">
        <f t="shared" si="21"/>
        <v>0</v>
      </c>
      <c r="J39" s="39">
        <f t="shared" si="22"/>
        <v>0</v>
      </c>
      <c r="K39" s="39">
        <f t="shared" si="23"/>
        <v>0</v>
      </c>
      <c r="L39" s="39">
        <f t="shared" si="24"/>
        <v>0</v>
      </c>
      <c r="M39" s="39">
        <f t="shared" si="25"/>
        <v>0</v>
      </c>
      <c r="O39" s="35">
        <f t="shared" si="26"/>
        <v>0</v>
      </c>
    </row>
    <row r="40" spans="2:15" ht="23.1" customHeight="1">
      <c r="B40" s="16">
        <f>AKUN!B37</f>
        <v>110307</v>
      </c>
      <c r="C40" s="7" t="str">
        <f t="shared" si="15"/>
        <v>PIUTANG PARKIR TEKHNOLOGI / ONLINE</v>
      </c>
      <c r="D40" s="39">
        <f t="shared" si="16"/>
        <v>2555000</v>
      </c>
      <c r="E40" s="39">
        <f t="shared" si="17"/>
        <v>0</v>
      </c>
      <c r="F40" s="39">
        <f t="shared" si="18"/>
        <v>1019765000</v>
      </c>
      <c r="G40" s="39">
        <f t="shared" si="19"/>
        <v>1019914000</v>
      </c>
      <c r="H40" s="39">
        <f t="shared" si="20"/>
        <v>2406000</v>
      </c>
      <c r="I40" s="39">
        <f t="shared" si="21"/>
        <v>0</v>
      </c>
      <c r="J40" s="39">
        <f t="shared" si="22"/>
        <v>0</v>
      </c>
      <c r="K40" s="39">
        <f t="shared" si="23"/>
        <v>0</v>
      </c>
      <c r="L40" s="39">
        <f t="shared" si="24"/>
        <v>2406000</v>
      </c>
      <c r="M40" s="39">
        <f t="shared" si="25"/>
        <v>0</v>
      </c>
      <c r="O40" s="35">
        <f t="shared" si="26"/>
        <v>1</v>
      </c>
    </row>
    <row r="41" spans="2:15" ht="23.1" customHeight="1">
      <c r="B41" s="16">
        <f>AKUN!B38</f>
        <v>110308</v>
      </c>
      <c r="C41" s="7" t="str">
        <f t="shared" si="15"/>
        <v>PIUTANG PT.KTI (Kinarya Terbaik Indonesia)</v>
      </c>
      <c r="D41" s="39">
        <f t="shared" si="16"/>
        <v>239464586</v>
      </c>
      <c r="E41" s="39">
        <f t="shared" si="17"/>
        <v>0</v>
      </c>
      <c r="F41" s="39">
        <f t="shared" si="18"/>
        <v>70000000</v>
      </c>
      <c r="G41" s="39">
        <f t="shared" si="19"/>
        <v>0</v>
      </c>
      <c r="H41" s="39">
        <f t="shared" si="20"/>
        <v>309464586</v>
      </c>
      <c r="I41" s="39">
        <f t="shared" si="21"/>
        <v>0</v>
      </c>
      <c r="J41" s="39">
        <f t="shared" si="22"/>
        <v>0</v>
      </c>
      <c r="K41" s="39">
        <f t="shared" si="23"/>
        <v>0</v>
      </c>
      <c r="L41" s="39">
        <f t="shared" si="24"/>
        <v>309464586</v>
      </c>
      <c r="M41" s="39">
        <f t="shared" si="25"/>
        <v>0</v>
      </c>
      <c r="O41" s="35">
        <f t="shared" si="26"/>
        <v>1</v>
      </c>
    </row>
    <row r="42" spans="2:15" ht="23.1" customHeight="1">
      <c r="B42" s="16">
        <f>AKUN!B39</f>
        <v>110400</v>
      </c>
      <c r="C42" s="7" t="str">
        <f t="shared" si="15"/>
        <v>PIUTANG NON USAHA</v>
      </c>
      <c r="D42" s="39" t="str">
        <f t="shared" si="16"/>
        <v/>
      </c>
      <c r="E42" s="39" t="str">
        <f t="shared" si="17"/>
        <v/>
      </c>
      <c r="F42" s="39">
        <f t="shared" si="18"/>
        <v>0</v>
      </c>
      <c r="G42" s="39">
        <f t="shared" si="19"/>
        <v>0</v>
      </c>
      <c r="H42" s="39" t="str">
        <f t="shared" si="20"/>
        <v/>
      </c>
      <c r="I42" s="39" t="str">
        <f t="shared" si="21"/>
        <v/>
      </c>
      <c r="J42" s="39" t="str">
        <f t="shared" si="22"/>
        <v/>
      </c>
      <c r="K42" s="39" t="str">
        <f t="shared" si="23"/>
        <v/>
      </c>
      <c r="L42" s="39" t="str">
        <f t="shared" si="24"/>
        <v/>
      </c>
      <c r="M42" s="39" t="str">
        <f t="shared" si="25"/>
        <v/>
      </c>
      <c r="O42" s="35">
        <f t="shared" si="26"/>
        <v>1</v>
      </c>
    </row>
    <row r="43" spans="2:15" ht="23.1" customHeight="1">
      <c r="B43" s="16">
        <f>AKUN!B40</f>
        <v>110401</v>
      </c>
      <c r="C43" s="7" t="str">
        <f t="shared" si="15"/>
        <v>PIUTANG DIREKSI</v>
      </c>
      <c r="D43" s="39">
        <f t="shared" si="16"/>
        <v>2376534996</v>
      </c>
      <c r="E43" s="39">
        <f t="shared" si="17"/>
        <v>0</v>
      </c>
      <c r="F43" s="39">
        <f t="shared" si="18"/>
        <v>0</v>
      </c>
      <c r="G43" s="39">
        <f t="shared" si="19"/>
        <v>0</v>
      </c>
      <c r="H43" s="39">
        <f t="shared" si="20"/>
        <v>2376534996</v>
      </c>
      <c r="I43" s="39">
        <f t="shared" si="21"/>
        <v>0</v>
      </c>
      <c r="J43" s="39">
        <f t="shared" si="22"/>
        <v>0</v>
      </c>
      <c r="K43" s="39">
        <f t="shared" si="23"/>
        <v>0</v>
      </c>
      <c r="L43" s="39">
        <f t="shared" si="24"/>
        <v>2376534996</v>
      </c>
      <c r="M43" s="39">
        <f t="shared" si="25"/>
        <v>0</v>
      </c>
      <c r="O43" s="35">
        <f t="shared" si="26"/>
        <v>1</v>
      </c>
    </row>
    <row r="44" spans="2:15" ht="23.1" customHeight="1">
      <c r="B44" s="16">
        <f>AKUN!B41</f>
        <v>110402</v>
      </c>
      <c r="C44" s="7" t="str">
        <f t="shared" si="15"/>
        <v>PIUTANG BADAN PENGAWAS</v>
      </c>
      <c r="D44" s="39">
        <f t="shared" si="16"/>
        <v>44500000</v>
      </c>
      <c r="E44" s="39">
        <f t="shared" si="17"/>
        <v>0</v>
      </c>
      <c r="F44" s="39">
        <f t="shared" si="18"/>
        <v>0</v>
      </c>
      <c r="G44" s="39">
        <f t="shared" si="19"/>
        <v>5000000</v>
      </c>
      <c r="H44" s="39">
        <f t="shared" si="20"/>
        <v>39500000</v>
      </c>
      <c r="I44" s="39">
        <f t="shared" si="21"/>
        <v>0</v>
      </c>
      <c r="J44" s="39">
        <f t="shared" si="22"/>
        <v>0</v>
      </c>
      <c r="K44" s="39">
        <f t="shared" si="23"/>
        <v>0</v>
      </c>
      <c r="L44" s="39">
        <f t="shared" si="24"/>
        <v>39500000</v>
      </c>
      <c r="M44" s="39">
        <f t="shared" si="25"/>
        <v>0</v>
      </c>
      <c r="O44" s="35">
        <f t="shared" si="26"/>
        <v>1</v>
      </c>
    </row>
    <row r="45" spans="2:15" ht="23.1" customHeight="1">
      <c r="B45" s="16">
        <f>AKUN!B42</f>
        <v>110403</v>
      </c>
      <c r="C45" s="7" t="str">
        <f t="shared" si="15"/>
        <v>PIUTANG KARYAWAN</v>
      </c>
      <c r="D45" s="39">
        <f t="shared" si="16"/>
        <v>87908574</v>
      </c>
      <c r="E45" s="39">
        <f t="shared" si="17"/>
        <v>0</v>
      </c>
      <c r="F45" s="39">
        <f t="shared" si="18"/>
        <v>0</v>
      </c>
      <c r="G45" s="39">
        <f t="shared" si="19"/>
        <v>0</v>
      </c>
      <c r="H45" s="39">
        <f t="shared" si="20"/>
        <v>87908574</v>
      </c>
      <c r="I45" s="39">
        <f t="shared" si="21"/>
        <v>0</v>
      </c>
      <c r="J45" s="39">
        <f t="shared" si="22"/>
        <v>0</v>
      </c>
      <c r="K45" s="39">
        <f t="shared" si="23"/>
        <v>0</v>
      </c>
      <c r="L45" s="39">
        <f t="shared" si="24"/>
        <v>87908574</v>
      </c>
      <c r="M45" s="39">
        <f t="shared" si="25"/>
        <v>0</v>
      </c>
      <c r="O45" s="35">
        <f t="shared" si="26"/>
        <v>1</v>
      </c>
    </row>
    <row r="46" spans="2:15" ht="23.1" customHeight="1">
      <c r="B46" s="16">
        <f>AKUN!B43</f>
        <v>110408</v>
      </c>
      <c r="C46" s="7" t="str">
        <f t="shared" si="15"/>
        <v>CADANGAN KERUGIAN PIUTANG</v>
      </c>
      <c r="D46" s="39">
        <f t="shared" si="16"/>
        <v>0</v>
      </c>
      <c r="E46" s="39">
        <f t="shared" si="17"/>
        <v>55549514</v>
      </c>
      <c r="F46" s="39">
        <f t="shared" si="18"/>
        <v>0</v>
      </c>
      <c r="G46" s="39">
        <f t="shared" si="19"/>
        <v>0</v>
      </c>
      <c r="H46" s="39">
        <f t="shared" si="20"/>
        <v>-55549514</v>
      </c>
      <c r="I46" s="39">
        <f t="shared" si="21"/>
        <v>0</v>
      </c>
      <c r="J46" s="39">
        <f t="shared" si="22"/>
        <v>0</v>
      </c>
      <c r="K46" s="39">
        <f t="shared" si="23"/>
        <v>0</v>
      </c>
      <c r="L46" s="39">
        <f t="shared" si="24"/>
        <v>-55549514</v>
      </c>
      <c r="M46" s="39">
        <f t="shared" si="25"/>
        <v>0</v>
      </c>
      <c r="O46" s="35">
        <f t="shared" si="26"/>
        <v>1</v>
      </c>
    </row>
    <row r="47" spans="2:15" ht="23.1" customHeight="1">
      <c r="B47" s="16">
        <f>AKUN!B44</f>
        <v>110600</v>
      </c>
      <c r="C47" s="7" t="str">
        <f t="shared" si="15"/>
        <v>PERSEDIAAN</v>
      </c>
      <c r="D47" s="39" t="str">
        <f t="shared" si="16"/>
        <v/>
      </c>
      <c r="E47" s="39" t="str">
        <f t="shared" si="17"/>
        <v/>
      </c>
      <c r="F47" s="39">
        <f t="shared" si="18"/>
        <v>0</v>
      </c>
      <c r="G47" s="39">
        <f t="shared" si="19"/>
        <v>0</v>
      </c>
      <c r="H47" s="39" t="str">
        <f t="shared" si="20"/>
        <v/>
      </c>
      <c r="I47" s="39" t="str">
        <f t="shared" si="21"/>
        <v/>
      </c>
      <c r="J47" s="39" t="str">
        <f t="shared" si="22"/>
        <v/>
      </c>
      <c r="K47" s="39" t="str">
        <f t="shared" si="23"/>
        <v/>
      </c>
      <c r="L47" s="39" t="str">
        <f t="shared" si="24"/>
        <v/>
      </c>
      <c r="M47" s="39" t="str">
        <f t="shared" si="25"/>
        <v/>
      </c>
      <c r="O47" s="35">
        <f t="shared" si="26"/>
        <v>1</v>
      </c>
    </row>
    <row r="48" spans="2:15" ht="23.1" customHeight="1">
      <c r="B48" s="16">
        <f>AKUN!B45</f>
        <v>110601</v>
      </c>
      <c r="C48" s="7" t="str">
        <f t="shared" si="15"/>
        <v>PERSEDIAAN KARCIS RODA 4 (R4)</v>
      </c>
      <c r="D48" s="39">
        <f t="shared" si="16"/>
        <v>4780000</v>
      </c>
      <c r="E48" s="39">
        <f t="shared" si="17"/>
        <v>0</v>
      </c>
      <c r="F48" s="39">
        <f t="shared" si="18"/>
        <v>9660000</v>
      </c>
      <c r="G48" s="39">
        <f t="shared" si="19"/>
        <v>12574000</v>
      </c>
      <c r="H48" s="39">
        <f t="shared" si="20"/>
        <v>1866000</v>
      </c>
      <c r="I48" s="39">
        <f t="shared" si="21"/>
        <v>0</v>
      </c>
      <c r="J48" s="39">
        <f t="shared" si="22"/>
        <v>0</v>
      </c>
      <c r="K48" s="39">
        <f t="shared" si="23"/>
        <v>0</v>
      </c>
      <c r="L48" s="39">
        <f t="shared" si="24"/>
        <v>1866000</v>
      </c>
      <c r="M48" s="39">
        <f t="shared" si="25"/>
        <v>0</v>
      </c>
      <c r="O48" s="35">
        <f t="shared" si="26"/>
        <v>1</v>
      </c>
    </row>
    <row r="49" spans="2:15" ht="23.1" customHeight="1">
      <c r="B49" s="16">
        <f>AKUN!B46</f>
        <v>110602</v>
      </c>
      <c r="C49" s="7" t="str">
        <f t="shared" si="15"/>
        <v>PERSEDIAAN KARCIS RODA 2 (R2)</v>
      </c>
      <c r="D49" s="39">
        <f t="shared" si="16"/>
        <v>2675000</v>
      </c>
      <c r="E49" s="39">
        <f t="shared" si="17"/>
        <v>0</v>
      </c>
      <c r="F49" s="39">
        <f t="shared" si="18"/>
        <v>9045000</v>
      </c>
      <c r="G49" s="39">
        <f t="shared" si="19"/>
        <v>10364000</v>
      </c>
      <c r="H49" s="39">
        <f t="shared" si="20"/>
        <v>1356000</v>
      </c>
      <c r="I49" s="39">
        <f t="shared" si="21"/>
        <v>0</v>
      </c>
      <c r="J49" s="39">
        <f t="shared" si="22"/>
        <v>0</v>
      </c>
      <c r="K49" s="39">
        <f t="shared" si="23"/>
        <v>0</v>
      </c>
      <c r="L49" s="39">
        <f t="shared" si="24"/>
        <v>1356000</v>
      </c>
      <c r="M49" s="39">
        <f t="shared" si="25"/>
        <v>0</v>
      </c>
      <c r="O49" s="35">
        <f t="shared" si="26"/>
        <v>1</v>
      </c>
    </row>
    <row r="50" spans="2:15" ht="23.1" customHeight="1">
      <c r="B50" s="16">
        <f>AKUN!B47</f>
        <v>110700</v>
      </c>
      <c r="C50" s="7" t="str">
        <f t="shared" si="15"/>
        <v>UANG MUKA</v>
      </c>
      <c r="D50" s="39" t="str">
        <f t="shared" si="16"/>
        <v/>
      </c>
      <c r="E50" s="39" t="str">
        <f t="shared" si="17"/>
        <v/>
      </c>
      <c r="F50" s="39">
        <f t="shared" si="18"/>
        <v>0</v>
      </c>
      <c r="G50" s="39">
        <f t="shared" si="19"/>
        <v>0</v>
      </c>
      <c r="H50" s="39" t="str">
        <f t="shared" si="20"/>
        <v/>
      </c>
      <c r="I50" s="39" t="str">
        <f t="shared" si="21"/>
        <v/>
      </c>
      <c r="J50" s="39" t="str">
        <f t="shared" si="22"/>
        <v/>
      </c>
      <c r="K50" s="39" t="str">
        <f t="shared" si="23"/>
        <v/>
      </c>
      <c r="L50" s="39" t="str">
        <f t="shared" si="24"/>
        <v/>
      </c>
      <c r="M50" s="39" t="str">
        <f t="shared" si="25"/>
        <v/>
      </c>
      <c r="O50" s="35">
        <f t="shared" si="26"/>
        <v>1</v>
      </c>
    </row>
    <row r="51" spans="2:15" ht="23.1" customHeight="1">
      <c r="B51" s="16">
        <f>AKUN!B48</f>
        <v>110701</v>
      </c>
      <c r="C51" s="7" t="str">
        <f t="shared" si="15"/>
        <v>UANG MUKA PPH BADAN</v>
      </c>
      <c r="D51" s="39">
        <f t="shared" si="16"/>
        <v>0</v>
      </c>
      <c r="E51" s="39">
        <f t="shared" si="17"/>
        <v>0</v>
      </c>
      <c r="F51" s="39">
        <f t="shared" si="18"/>
        <v>0</v>
      </c>
      <c r="G51" s="39">
        <f t="shared" si="19"/>
        <v>0</v>
      </c>
      <c r="H51" s="39">
        <f t="shared" si="20"/>
        <v>0</v>
      </c>
      <c r="I51" s="39">
        <f t="shared" si="21"/>
        <v>0</v>
      </c>
      <c r="J51" s="39">
        <f t="shared" si="22"/>
        <v>0</v>
      </c>
      <c r="K51" s="39">
        <f t="shared" si="23"/>
        <v>0</v>
      </c>
      <c r="L51" s="39">
        <f t="shared" si="24"/>
        <v>0</v>
      </c>
      <c r="M51" s="39">
        <f t="shared" si="25"/>
        <v>0</v>
      </c>
      <c r="O51" s="35">
        <f t="shared" si="26"/>
        <v>0</v>
      </c>
    </row>
    <row r="52" spans="2:15" ht="23.1" customHeight="1">
      <c r="B52" s="16">
        <f>AKUN!B49</f>
        <v>110702</v>
      </c>
      <c r="C52" s="7" t="str">
        <f t="shared" si="15"/>
        <v>UANG MUKA PPH PSL. 21</v>
      </c>
      <c r="D52" s="39">
        <f t="shared" si="16"/>
        <v>0</v>
      </c>
      <c r="E52" s="39">
        <f t="shared" si="17"/>
        <v>0</v>
      </c>
      <c r="F52" s="39">
        <f t="shared" si="18"/>
        <v>0</v>
      </c>
      <c r="G52" s="39">
        <f t="shared" si="19"/>
        <v>0</v>
      </c>
      <c r="H52" s="39">
        <f t="shared" si="20"/>
        <v>0</v>
      </c>
      <c r="I52" s="39">
        <f t="shared" si="21"/>
        <v>0</v>
      </c>
      <c r="J52" s="39">
        <f t="shared" si="22"/>
        <v>0</v>
      </c>
      <c r="K52" s="39">
        <f t="shared" si="23"/>
        <v>0</v>
      </c>
      <c r="L52" s="39">
        <f t="shared" si="24"/>
        <v>0</v>
      </c>
      <c r="M52" s="39">
        <f t="shared" si="25"/>
        <v>0</v>
      </c>
      <c r="O52" s="35">
        <f t="shared" si="26"/>
        <v>0</v>
      </c>
    </row>
    <row r="53" spans="2:15" ht="23.1" customHeight="1">
      <c r="B53" s="16">
        <f>AKUN!B50</f>
        <v>110703</v>
      </c>
      <c r="C53" s="7" t="str">
        <f t="shared" si="15"/>
        <v>UANG MUKA PPH PSL. 25</v>
      </c>
      <c r="D53" s="39">
        <f t="shared" si="16"/>
        <v>0</v>
      </c>
      <c r="E53" s="39">
        <f t="shared" si="17"/>
        <v>0</v>
      </c>
      <c r="F53" s="39">
        <f t="shared" si="18"/>
        <v>224449203</v>
      </c>
      <c r="G53" s="39">
        <f t="shared" si="19"/>
        <v>0</v>
      </c>
      <c r="H53" s="39">
        <f t="shared" si="20"/>
        <v>224449203</v>
      </c>
      <c r="I53" s="39">
        <f t="shared" si="21"/>
        <v>0</v>
      </c>
      <c r="J53" s="39">
        <f t="shared" si="22"/>
        <v>0</v>
      </c>
      <c r="K53" s="39">
        <f t="shared" si="23"/>
        <v>0</v>
      </c>
      <c r="L53" s="39">
        <f t="shared" si="24"/>
        <v>224449203</v>
      </c>
      <c r="M53" s="39">
        <f t="shared" si="25"/>
        <v>0</v>
      </c>
      <c r="O53" s="35">
        <f t="shared" si="26"/>
        <v>1</v>
      </c>
    </row>
    <row r="54" spans="2:15" ht="23.1" customHeight="1">
      <c r="B54" s="16">
        <f>AKUN!B51</f>
        <v>110704</v>
      </c>
      <c r="C54" s="7" t="str">
        <f t="shared" si="15"/>
        <v>UANG MUKA PPH PSL. 23</v>
      </c>
      <c r="D54" s="39">
        <f t="shared" si="16"/>
        <v>0</v>
      </c>
      <c r="E54" s="39">
        <f t="shared" si="17"/>
        <v>0</v>
      </c>
      <c r="F54" s="39">
        <f t="shared" si="18"/>
        <v>0</v>
      </c>
      <c r="G54" s="39">
        <f t="shared" si="19"/>
        <v>0</v>
      </c>
      <c r="H54" s="39">
        <f t="shared" si="20"/>
        <v>0</v>
      </c>
      <c r="I54" s="39">
        <f t="shared" si="21"/>
        <v>0</v>
      </c>
      <c r="J54" s="39">
        <f t="shared" si="22"/>
        <v>0</v>
      </c>
      <c r="K54" s="39">
        <f t="shared" si="23"/>
        <v>0</v>
      </c>
      <c r="L54" s="39">
        <f t="shared" si="24"/>
        <v>0</v>
      </c>
      <c r="M54" s="39">
        <f t="shared" si="25"/>
        <v>0</v>
      </c>
      <c r="O54" s="35">
        <f t="shared" si="26"/>
        <v>0</v>
      </c>
    </row>
    <row r="55" spans="2:15" ht="23.1" customHeight="1">
      <c r="B55" s="16">
        <f>AKUN!B52</f>
        <v>110705</v>
      </c>
      <c r="C55" s="7" t="str">
        <f t="shared" si="15"/>
        <v>UANG MUKA PPN</v>
      </c>
      <c r="D55" s="39">
        <f t="shared" si="16"/>
        <v>0</v>
      </c>
      <c r="E55" s="39">
        <f t="shared" si="17"/>
        <v>0</v>
      </c>
      <c r="F55" s="39">
        <f t="shared" si="18"/>
        <v>0</v>
      </c>
      <c r="G55" s="39">
        <f t="shared" si="19"/>
        <v>0</v>
      </c>
      <c r="H55" s="39">
        <f t="shared" si="20"/>
        <v>0</v>
      </c>
      <c r="I55" s="39">
        <f t="shared" si="21"/>
        <v>0</v>
      </c>
      <c r="J55" s="39">
        <f t="shared" si="22"/>
        <v>0</v>
      </c>
      <c r="K55" s="39">
        <f t="shared" si="23"/>
        <v>0</v>
      </c>
      <c r="L55" s="39">
        <f t="shared" si="24"/>
        <v>0</v>
      </c>
      <c r="M55" s="39">
        <f t="shared" si="25"/>
        <v>0</v>
      </c>
      <c r="O55" s="35">
        <f t="shared" si="26"/>
        <v>0</v>
      </c>
    </row>
    <row r="56" spans="2:15" ht="23.1" customHeight="1">
      <c r="B56" s="16">
        <f>AKUN!B53</f>
        <v>110706</v>
      </c>
      <c r="C56" s="7" t="str">
        <f t="shared" si="15"/>
        <v>UANG MUKA BIAYA PARKIR TEKHNOLOGI</v>
      </c>
      <c r="D56" s="39">
        <f t="shared" si="16"/>
        <v>1000000</v>
      </c>
      <c r="E56" s="39">
        <f t="shared" si="17"/>
        <v>0</v>
      </c>
      <c r="F56" s="39">
        <f t="shared" si="18"/>
        <v>0</v>
      </c>
      <c r="G56" s="39">
        <f t="shared" si="19"/>
        <v>0</v>
      </c>
      <c r="H56" s="39">
        <f t="shared" si="20"/>
        <v>1000000</v>
      </c>
      <c r="I56" s="39">
        <f t="shared" si="21"/>
        <v>0</v>
      </c>
      <c r="J56" s="39">
        <f t="shared" si="22"/>
        <v>0</v>
      </c>
      <c r="K56" s="39">
        <f t="shared" si="23"/>
        <v>0</v>
      </c>
      <c r="L56" s="39">
        <f t="shared" si="24"/>
        <v>1000000</v>
      </c>
      <c r="M56" s="39">
        <f t="shared" si="25"/>
        <v>0</v>
      </c>
      <c r="O56" s="35">
        <f t="shared" si="26"/>
        <v>1</v>
      </c>
    </row>
    <row r="57" spans="2:15" ht="23.1" customHeight="1">
      <c r="B57" s="16">
        <f>AKUN!B54</f>
        <v>110707</v>
      </c>
      <c r="C57" s="7" t="str">
        <f t="shared" si="15"/>
        <v>UANG MUKA LAINNYA</v>
      </c>
      <c r="D57" s="39">
        <f t="shared" si="16"/>
        <v>0</v>
      </c>
      <c r="E57" s="39">
        <f t="shared" si="17"/>
        <v>0</v>
      </c>
      <c r="F57" s="39">
        <f t="shared" si="18"/>
        <v>0</v>
      </c>
      <c r="G57" s="39">
        <f t="shared" si="19"/>
        <v>0</v>
      </c>
      <c r="H57" s="39">
        <f t="shared" si="20"/>
        <v>0</v>
      </c>
      <c r="I57" s="39">
        <f t="shared" si="21"/>
        <v>0</v>
      </c>
      <c r="J57" s="39">
        <f t="shared" si="22"/>
        <v>0</v>
      </c>
      <c r="K57" s="39">
        <f t="shared" si="23"/>
        <v>0</v>
      </c>
      <c r="L57" s="39">
        <f t="shared" si="24"/>
        <v>0</v>
      </c>
      <c r="M57" s="39">
        <f t="shared" si="25"/>
        <v>0</v>
      </c>
      <c r="O57" s="35">
        <f t="shared" si="26"/>
        <v>0</v>
      </c>
    </row>
    <row r="58" spans="2:15" ht="23.1" customHeight="1">
      <c r="B58" s="16">
        <f>AKUN!B55</f>
        <v>110708</v>
      </c>
      <c r="C58" s="7" t="str">
        <f t="shared" si="15"/>
        <v>UANG MUKA PAJAK PLB</v>
      </c>
      <c r="D58" s="39">
        <f t="shared" si="16"/>
        <v>0</v>
      </c>
      <c r="E58" s="39">
        <f t="shared" si="17"/>
        <v>0</v>
      </c>
      <c r="F58" s="39">
        <f t="shared" si="18"/>
        <v>0</v>
      </c>
      <c r="G58" s="39">
        <f t="shared" si="19"/>
        <v>0</v>
      </c>
      <c r="H58" s="39">
        <f t="shared" si="20"/>
        <v>0</v>
      </c>
      <c r="I58" s="39">
        <f t="shared" si="21"/>
        <v>0</v>
      </c>
      <c r="J58" s="39">
        <f t="shared" si="22"/>
        <v>0</v>
      </c>
      <c r="K58" s="39">
        <f t="shared" si="23"/>
        <v>0</v>
      </c>
      <c r="L58" s="39">
        <f t="shared" si="24"/>
        <v>0</v>
      </c>
      <c r="M58" s="39">
        <f t="shared" si="25"/>
        <v>0</v>
      </c>
      <c r="O58" s="35">
        <f t="shared" si="26"/>
        <v>0</v>
      </c>
    </row>
    <row r="59" spans="2:15" ht="23.1" customHeight="1">
      <c r="B59" s="16">
        <f>AKUN!B56</f>
        <v>120100</v>
      </c>
      <c r="C59" s="7" t="str">
        <f t="shared" si="15"/>
        <v>ASET TETAP</v>
      </c>
      <c r="D59" s="39" t="str">
        <f t="shared" si="16"/>
        <v/>
      </c>
      <c r="E59" s="39" t="str">
        <f t="shared" si="17"/>
        <v/>
      </c>
      <c r="F59" s="39">
        <f t="shared" si="18"/>
        <v>0</v>
      </c>
      <c r="G59" s="39">
        <f t="shared" si="19"/>
        <v>0</v>
      </c>
      <c r="H59" s="39" t="str">
        <f t="shared" si="20"/>
        <v/>
      </c>
      <c r="I59" s="39" t="str">
        <f t="shared" si="21"/>
        <v/>
      </c>
      <c r="J59" s="39" t="str">
        <f t="shared" si="22"/>
        <v/>
      </c>
      <c r="K59" s="39" t="str">
        <f t="shared" si="23"/>
        <v/>
      </c>
      <c r="L59" s="39" t="str">
        <f t="shared" si="24"/>
        <v/>
      </c>
      <c r="M59" s="39" t="str">
        <f t="shared" si="25"/>
        <v/>
      </c>
      <c r="O59" s="35">
        <f t="shared" si="26"/>
        <v>1</v>
      </c>
    </row>
    <row r="60" spans="2:15" ht="23.1" customHeight="1">
      <c r="B60" s="16">
        <f>AKUN!B57</f>
        <v>120101</v>
      </c>
      <c r="C60" s="7" t="str">
        <f t="shared" si="15"/>
        <v>TANAH</v>
      </c>
      <c r="D60" s="39">
        <f t="shared" si="16"/>
        <v>500000000</v>
      </c>
      <c r="E60" s="39">
        <f t="shared" si="17"/>
        <v>0</v>
      </c>
      <c r="F60" s="39">
        <f t="shared" si="18"/>
        <v>0</v>
      </c>
      <c r="G60" s="39">
        <f t="shared" si="19"/>
        <v>0</v>
      </c>
      <c r="H60" s="39">
        <f t="shared" si="20"/>
        <v>500000000</v>
      </c>
      <c r="I60" s="39">
        <f t="shared" si="21"/>
        <v>0</v>
      </c>
      <c r="J60" s="39">
        <f t="shared" si="22"/>
        <v>0</v>
      </c>
      <c r="K60" s="39">
        <f t="shared" si="23"/>
        <v>0</v>
      </c>
      <c r="L60" s="39">
        <f t="shared" si="24"/>
        <v>500000000</v>
      </c>
      <c r="M60" s="39">
        <f t="shared" si="25"/>
        <v>0</v>
      </c>
      <c r="O60" s="35">
        <f t="shared" si="26"/>
        <v>1</v>
      </c>
    </row>
    <row r="61" spans="2:15" ht="23.1" customHeight="1">
      <c r="B61" s="16">
        <f>AKUN!B58</f>
        <v>120102</v>
      </c>
      <c r="C61" s="7" t="str">
        <f t="shared" si="15"/>
        <v>BANGUNAN KANTOR</v>
      </c>
      <c r="D61" s="39">
        <f t="shared" si="16"/>
        <v>673550165</v>
      </c>
      <c r="E61" s="39">
        <f t="shared" si="17"/>
        <v>0</v>
      </c>
      <c r="F61" s="39">
        <f t="shared" si="18"/>
        <v>0</v>
      </c>
      <c r="G61" s="39">
        <f t="shared" si="19"/>
        <v>0</v>
      </c>
      <c r="H61" s="39">
        <f t="shared" si="20"/>
        <v>673550165</v>
      </c>
      <c r="I61" s="39">
        <f t="shared" si="21"/>
        <v>0</v>
      </c>
      <c r="J61" s="39">
        <f t="shared" si="22"/>
        <v>0</v>
      </c>
      <c r="K61" s="39">
        <f t="shared" si="23"/>
        <v>0</v>
      </c>
      <c r="L61" s="39">
        <f t="shared" si="24"/>
        <v>673550165</v>
      </c>
      <c r="M61" s="39">
        <f t="shared" si="25"/>
        <v>0</v>
      </c>
      <c r="O61" s="35">
        <f t="shared" si="26"/>
        <v>1</v>
      </c>
    </row>
    <row r="62" spans="2:15" ht="23.1" customHeight="1">
      <c r="B62" s="16">
        <f>AKUN!B59</f>
        <v>120103</v>
      </c>
      <c r="C62" s="7" t="str">
        <f t="shared" si="15"/>
        <v>KENDARAAN</v>
      </c>
      <c r="D62" s="39">
        <f t="shared" si="16"/>
        <v>2419051800</v>
      </c>
      <c r="E62" s="39">
        <f t="shared" si="17"/>
        <v>0</v>
      </c>
      <c r="F62" s="39">
        <f t="shared" si="18"/>
        <v>0</v>
      </c>
      <c r="G62" s="39">
        <f t="shared" si="19"/>
        <v>332389200</v>
      </c>
      <c r="H62" s="39">
        <f t="shared" si="20"/>
        <v>2086662600</v>
      </c>
      <c r="I62" s="39">
        <f t="shared" si="21"/>
        <v>0</v>
      </c>
      <c r="J62" s="39">
        <f t="shared" si="22"/>
        <v>0</v>
      </c>
      <c r="K62" s="39">
        <f t="shared" si="23"/>
        <v>0</v>
      </c>
      <c r="L62" s="39">
        <f t="shared" si="24"/>
        <v>2086662600</v>
      </c>
      <c r="M62" s="39">
        <f t="shared" si="25"/>
        <v>0</v>
      </c>
      <c r="O62" s="35">
        <f t="shared" si="26"/>
        <v>1</v>
      </c>
    </row>
    <row r="63" spans="2:15" ht="23.1" customHeight="1">
      <c r="B63" s="16">
        <f>AKUN!B60</f>
        <v>120104</v>
      </c>
      <c r="C63" s="7" t="str">
        <f t="shared" si="15"/>
        <v>RAMBU RAMBU</v>
      </c>
      <c r="D63" s="39">
        <f t="shared" si="16"/>
        <v>14500000</v>
      </c>
      <c r="E63" s="39">
        <f t="shared" si="17"/>
        <v>0</v>
      </c>
      <c r="F63" s="39">
        <f t="shared" si="18"/>
        <v>0</v>
      </c>
      <c r="G63" s="39">
        <f t="shared" si="19"/>
        <v>0</v>
      </c>
      <c r="H63" s="39">
        <f t="shared" si="20"/>
        <v>14500000</v>
      </c>
      <c r="I63" s="39">
        <f t="shared" si="21"/>
        <v>0</v>
      </c>
      <c r="J63" s="39">
        <f t="shared" si="22"/>
        <v>0</v>
      </c>
      <c r="K63" s="39">
        <f t="shared" si="23"/>
        <v>0</v>
      </c>
      <c r="L63" s="39">
        <f t="shared" si="24"/>
        <v>14500000</v>
      </c>
      <c r="M63" s="39">
        <f t="shared" si="25"/>
        <v>0</v>
      </c>
      <c r="O63" s="35">
        <f t="shared" si="26"/>
        <v>1</v>
      </c>
    </row>
    <row r="64" spans="2:15" ht="23.1" customHeight="1">
      <c r="B64" s="16">
        <f>AKUN!B61</f>
        <v>120105</v>
      </c>
      <c r="C64" s="7" t="str">
        <f t="shared" si="15"/>
        <v>INVENTARIS KANTOR</v>
      </c>
      <c r="D64" s="39">
        <f t="shared" si="16"/>
        <v>593544510</v>
      </c>
      <c r="E64" s="39">
        <f t="shared" si="17"/>
        <v>0</v>
      </c>
      <c r="F64" s="39">
        <f t="shared" si="18"/>
        <v>91540050</v>
      </c>
      <c r="G64" s="39">
        <f t="shared" si="19"/>
        <v>0</v>
      </c>
      <c r="H64" s="39">
        <f t="shared" si="20"/>
        <v>685084560</v>
      </c>
      <c r="I64" s="39">
        <f t="shared" si="21"/>
        <v>0</v>
      </c>
      <c r="J64" s="39">
        <f t="shared" si="22"/>
        <v>0</v>
      </c>
      <c r="K64" s="39">
        <f t="shared" si="23"/>
        <v>0</v>
      </c>
      <c r="L64" s="39">
        <f t="shared" si="24"/>
        <v>685084560</v>
      </c>
      <c r="M64" s="39">
        <f t="shared" si="25"/>
        <v>0</v>
      </c>
      <c r="O64" s="35">
        <f t="shared" si="26"/>
        <v>1</v>
      </c>
    </row>
    <row r="65" spans="2:15" ht="23.1" customHeight="1">
      <c r="B65" s="16">
        <f>AKUN!B62</f>
        <v>120106</v>
      </c>
      <c r="C65" s="7" t="str">
        <f t="shared" si="15"/>
        <v>SERVER CMS</v>
      </c>
      <c r="D65" s="39">
        <f t="shared" si="16"/>
        <v>0</v>
      </c>
      <c r="E65" s="39">
        <f t="shared" si="17"/>
        <v>0</v>
      </c>
      <c r="F65" s="39">
        <f t="shared" si="18"/>
        <v>204462000</v>
      </c>
      <c r="G65" s="39">
        <f t="shared" si="19"/>
        <v>0</v>
      </c>
      <c r="H65" s="39">
        <f t="shared" si="20"/>
        <v>204462000</v>
      </c>
      <c r="I65" s="39">
        <f t="shared" si="21"/>
        <v>0</v>
      </c>
      <c r="J65" s="39">
        <f t="shared" si="22"/>
        <v>0</v>
      </c>
      <c r="K65" s="39">
        <f t="shared" si="23"/>
        <v>0</v>
      </c>
      <c r="L65" s="39">
        <f t="shared" si="24"/>
        <v>204462000</v>
      </c>
      <c r="M65" s="39">
        <f t="shared" si="25"/>
        <v>0</v>
      </c>
      <c r="O65" s="35">
        <f t="shared" si="26"/>
        <v>1</v>
      </c>
    </row>
    <row r="66" spans="2:15" ht="23.1" customHeight="1">
      <c r="B66" s="16">
        <f>AKUN!B63</f>
        <v>120107</v>
      </c>
      <c r="C66" s="7" t="str">
        <f t="shared" si="15"/>
        <v>PENGADAAN LAPTOP</v>
      </c>
      <c r="D66" s="39">
        <f t="shared" si="16"/>
        <v>0</v>
      </c>
      <c r="E66" s="39">
        <f t="shared" si="17"/>
        <v>0</v>
      </c>
      <c r="F66" s="39">
        <f t="shared" si="18"/>
        <v>0</v>
      </c>
      <c r="G66" s="39">
        <f t="shared" si="19"/>
        <v>0</v>
      </c>
      <c r="H66" s="39">
        <f t="shared" si="20"/>
        <v>0</v>
      </c>
      <c r="I66" s="39">
        <f t="shared" si="21"/>
        <v>0</v>
      </c>
      <c r="J66" s="39">
        <f t="shared" si="22"/>
        <v>0</v>
      </c>
      <c r="K66" s="39">
        <f t="shared" si="23"/>
        <v>0</v>
      </c>
      <c r="L66" s="39">
        <f t="shared" si="24"/>
        <v>0</v>
      </c>
      <c r="M66" s="39">
        <f t="shared" si="25"/>
        <v>0</v>
      </c>
      <c r="O66" s="35">
        <f t="shared" si="26"/>
        <v>0</v>
      </c>
    </row>
    <row r="67" spans="2:15" ht="23.1" customHeight="1">
      <c r="B67" s="16">
        <f>AKUN!B64</f>
        <v>120108</v>
      </c>
      <c r="C67" s="7" t="str">
        <f t="shared" si="15"/>
        <v>PENGADAAN KOMPUTER (PC) DAN HARD DISK</v>
      </c>
      <c r="D67" s="39">
        <f t="shared" si="16"/>
        <v>0</v>
      </c>
      <c r="E67" s="39">
        <f t="shared" si="17"/>
        <v>0</v>
      </c>
      <c r="F67" s="39">
        <f t="shared" si="18"/>
        <v>0</v>
      </c>
      <c r="G67" s="39">
        <f t="shared" si="19"/>
        <v>0</v>
      </c>
      <c r="H67" s="39">
        <f t="shared" si="20"/>
        <v>0</v>
      </c>
      <c r="I67" s="39">
        <f t="shared" si="21"/>
        <v>0</v>
      </c>
      <c r="J67" s="39">
        <f t="shared" si="22"/>
        <v>0</v>
      </c>
      <c r="K67" s="39">
        <f t="shared" si="23"/>
        <v>0</v>
      </c>
      <c r="L67" s="39">
        <f t="shared" si="24"/>
        <v>0</v>
      </c>
      <c r="M67" s="39">
        <f t="shared" si="25"/>
        <v>0</v>
      </c>
      <c r="O67" s="35">
        <f t="shared" si="26"/>
        <v>0</v>
      </c>
    </row>
    <row r="68" spans="2:15" ht="23.1" customHeight="1">
      <c r="B68" s="16">
        <f>AKUN!B65</f>
        <v>120109</v>
      </c>
      <c r="C68" s="7" t="str">
        <f t="shared" si="15"/>
        <v>PENGADAAN PRINTER,SCANNER DAN INFOCUS</v>
      </c>
      <c r="D68" s="39">
        <f t="shared" si="16"/>
        <v>0</v>
      </c>
      <c r="E68" s="39">
        <f t="shared" si="17"/>
        <v>0</v>
      </c>
      <c r="F68" s="39">
        <f t="shared" si="18"/>
        <v>0</v>
      </c>
      <c r="G68" s="39">
        <f t="shared" si="19"/>
        <v>0</v>
      </c>
      <c r="H68" s="39">
        <f t="shared" si="20"/>
        <v>0</v>
      </c>
      <c r="I68" s="39">
        <f t="shared" si="21"/>
        <v>0</v>
      </c>
      <c r="J68" s="39">
        <f t="shared" si="22"/>
        <v>0</v>
      </c>
      <c r="K68" s="39">
        <f t="shared" si="23"/>
        <v>0</v>
      </c>
      <c r="L68" s="39">
        <f t="shared" si="24"/>
        <v>0</v>
      </c>
      <c r="M68" s="39">
        <f t="shared" si="25"/>
        <v>0</v>
      </c>
      <c r="O68" s="35">
        <f t="shared" si="26"/>
        <v>0</v>
      </c>
    </row>
    <row r="69" spans="2:15" ht="23.1" customHeight="1">
      <c r="B69" s="16">
        <f>AKUN!B66</f>
        <v>120200</v>
      </c>
      <c r="C69" s="7" t="str">
        <f t="shared" si="15"/>
        <v>AKUMULASI PENYUSUTAN</v>
      </c>
      <c r="D69" s="39" t="str">
        <f t="shared" si="16"/>
        <v/>
      </c>
      <c r="E69" s="39" t="str">
        <f t="shared" si="17"/>
        <v/>
      </c>
      <c r="F69" s="39">
        <f t="shared" si="18"/>
        <v>0</v>
      </c>
      <c r="G69" s="39">
        <f t="shared" si="19"/>
        <v>0</v>
      </c>
      <c r="H69" s="39" t="str">
        <f t="shared" si="20"/>
        <v/>
      </c>
      <c r="I69" s="39" t="str">
        <f t="shared" si="21"/>
        <v/>
      </c>
      <c r="J69" s="39" t="str">
        <f t="shared" si="22"/>
        <v/>
      </c>
      <c r="K69" s="39" t="str">
        <f t="shared" si="23"/>
        <v/>
      </c>
      <c r="L69" s="39" t="str">
        <f t="shared" si="24"/>
        <v/>
      </c>
      <c r="M69" s="39" t="str">
        <f t="shared" si="25"/>
        <v/>
      </c>
      <c r="O69" s="35">
        <f t="shared" si="26"/>
        <v>1</v>
      </c>
    </row>
    <row r="70" spans="2:15" ht="23.1" customHeight="1">
      <c r="B70" s="16">
        <f>AKUN!B67</f>
        <v>120201</v>
      </c>
      <c r="C70" s="7" t="str">
        <f t="shared" si="15"/>
        <v>AKUMULASI PENYUSUTAN BANGUNAN KANTOR</v>
      </c>
      <c r="D70" s="39">
        <f t="shared" si="16"/>
        <v>0</v>
      </c>
      <c r="E70" s="39">
        <f t="shared" si="17"/>
        <v>309395274</v>
      </c>
      <c r="F70" s="39">
        <f t="shared" si="18"/>
        <v>0</v>
      </c>
      <c r="G70" s="39">
        <f t="shared" si="19"/>
        <v>33677508</v>
      </c>
      <c r="H70" s="39">
        <f t="shared" si="20"/>
        <v>-343072782</v>
      </c>
      <c r="I70" s="39">
        <f t="shared" si="21"/>
        <v>0</v>
      </c>
      <c r="J70" s="39">
        <f t="shared" si="22"/>
        <v>0</v>
      </c>
      <c r="K70" s="39">
        <f t="shared" si="23"/>
        <v>0</v>
      </c>
      <c r="L70" s="39">
        <f t="shared" si="24"/>
        <v>-343072782</v>
      </c>
      <c r="M70" s="39">
        <f t="shared" si="25"/>
        <v>0</v>
      </c>
      <c r="O70" s="35">
        <f t="shared" si="26"/>
        <v>1</v>
      </c>
    </row>
    <row r="71" spans="2:15" ht="23.1" customHeight="1">
      <c r="B71" s="16">
        <f>AKUN!B68</f>
        <v>120202</v>
      </c>
      <c r="C71" s="7" t="str">
        <f t="shared" si="15"/>
        <v>AKUMULASI PENYUSUTAN KENDARAAN</v>
      </c>
      <c r="D71" s="39">
        <f t="shared" si="16"/>
        <v>0</v>
      </c>
      <c r="E71" s="39">
        <f t="shared" si="17"/>
        <v>2190031133</v>
      </c>
      <c r="F71" s="39">
        <f t="shared" si="18"/>
        <v>332389200</v>
      </c>
      <c r="G71" s="39">
        <f t="shared" si="19"/>
        <v>348383400</v>
      </c>
      <c r="H71" s="39">
        <f t="shared" si="20"/>
        <v>-2206025333</v>
      </c>
      <c r="I71" s="39">
        <f t="shared" si="21"/>
        <v>0</v>
      </c>
      <c r="J71" s="39">
        <f t="shared" si="22"/>
        <v>0</v>
      </c>
      <c r="K71" s="39">
        <f t="shared" si="23"/>
        <v>0</v>
      </c>
      <c r="L71" s="39">
        <f t="shared" si="24"/>
        <v>-2206025333</v>
      </c>
      <c r="M71" s="39">
        <f t="shared" si="25"/>
        <v>0</v>
      </c>
      <c r="O71" s="35">
        <f t="shared" si="26"/>
        <v>1</v>
      </c>
    </row>
    <row r="72" spans="2:15" ht="23.1" customHeight="1">
      <c r="B72" s="16">
        <f>AKUN!B69</f>
        <v>120203</v>
      </c>
      <c r="C72" s="7" t="str">
        <f t="shared" si="15"/>
        <v>AKUMULASI PENYUSUTAN RAMBU RAMBU</v>
      </c>
      <c r="D72" s="39">
        <f t="shared" si="16"/>
        <v>0</v>
      </c>
      <c r="E72" s="39">
        <f t="shared" si="17"/>
        <v>13458333</v>
      </c>
      <c r="F72" s="39">
        <f t="shared" si="18"/>
        <v>0</v>
      </c>
      <c r="G72" s="39">
        <f t="shared" si="19"/>
        <v>499992</v>
      </c>
      <c r="H72" s="39">
        <f t="shared" si="20"/>
        <v>-13958325</v>
      </c>
      <c r="I72" s="39">
        <f t="shared" si="21"/>
        <v>0</v>
      </c>
      <c r="J72" s="39">
        <f t="shared" si="22"/>
        <v>0</v>
      </c>
      <c r="K72" s="39">
        <f t="shared" si="23"/>
        <v>0</v>
      </c>
      <c r="L72" s="39">
        <f t="shared" si="24"/>
        <v>-13958325</v>
      </c>
      <c r="M72" s="39">
        <f t="shared" si="25"/>
        <v>0</v>
      </c>
      <c r="O72" s="35">
        <f t="shared" si="26"/>
        <v>1</v>
      </c>
    </row>
    <row r="73" spans="2:15" ht="23.1" customHeight="1">
      <c r="B73" s="16">
        <f>AKUN!B70</f>
        <v>120204</v>
      </c>
      <c r="C73" s="7" t="str">
        <f t="shared" si="15"/>
        <v>AKUMULASI PENYUSUTAN INVENTARIS KANTOR</v>
      </c>
      <c r="D73" s="39">
        <f t="shared" si="16"/>
        <v>0</v>
      </c>
      <c r="E73" s="39">
        <f t="shared" si="17"/>
        <v>472223165</v>
      </c>
      <c r="F73" s="39">
        <f t="shared" si="18"/>
        <v>0</v>
      </c>
      <c r="G73" s="39">
        <f t="shared" si="19"/>
        <v>72418494.316666663</v>
      </c>
      <c r="H73" s="39">
        <f t="shared" si="20"/>
        <v>-544641659.3166666</v>
      </c>
      <c r="I73" s="39">
        <f t="shared" si="21"/>
        <v>0</v>
      </c>
      <c r="J73" s="39">
        <f t="shared" si="22"/>
        <v>0</v>
      </c>
      <c r="K73" s="39">
        <f t="shared" si="23"/>
        <v>0</v>
      </c>
      <c r="L73" s="39">
        <f t="shared" si="24"/>
        <v>-544641659.3166666</v>
      </c>
      <c r="M73" s="39">
        <f t="shared" si="25"/>
        <v>0</v>
      </c>
      <c r="O73" s="35">
        <f t="shared" si="26"/>
        <v>1</v>
      </c>
    </row>
    <row r="74" spans="2:15" ht="23.1" customHeight="1">
      <c r="B74" s="16">
        <f>AKUN!B71</f>
        <v>120205</v>
      </c>
      <c r="C74" s="7" t="str">
        <f t="shared" ref="C74" si="27">IFERROR(INDEX(akun_ket,MATCH(B74,akun_kd,0)),"")</f>
        <v>AKUMULASI PENYUSUTAN SERVER CMS</v>
      </c>
      <c r="D74" s="39">
        <f t="shared" ref="D74" si="28">IFERROR(INDEX(akun_db,MATCH(B74&amp;" | "&amp;C74,akun_kb,0))+SUMIFS(ju_sld,ju_tgl,"&lt;"&amp;awal,ju_debet,B74&amp;" | "&amp;C74),"")</f>
        <v>0</v>
      </c>
      <c r="E74" s="39">
        <f t="shared" ref="E74" si="29">IFERROR(INDEX(akun_kr,MATCH(B74&amp;" | "&amp;C74,akun_kb,0))+SUMIFS(ju_sld,ju_tgl,"&lt;"&amp;awal,ju_kr,B74&amp;" | "&amp;C74),"")</f>
        <v>0</v>
      </c>
      <c r="F74" s="39">
        <f t="shared" ref="F74" si="30">IFERROR(SUMIFS(ju_sld,ju_tgl,"&gt;="&amp;awal,ju_tgl,"&lt;="&amp;akhir,ju_debet,B74&amp;" | "&amp;C74),0)</f>
        <v>0</v>
      </c>
      <c r="G74" s="39">
        <f t="shared" ref="G74" si="31">IFERROR(SUMIFS(ju_sld,ju_tgl,"&gt;="&amp;awal,ju_tgl,"&lt;="&amp;akhir,ju_kr,B74&amp;" | "&amp;C74),0)</f>
        <v>0</v>
      </c>
      <c r="H74" s="39">
        <f t="shared" ref="H74" si="32">IFERROR(IF(INDEX(typ_sn,MATCH(INDEX(akun_type,MATCH(B74,akun_kd,0)),typ_ket,0))="db",D74+F74-E74-G74,0),"")</f>
        <v>0</v>
      </c>
      <c r="I74" s="39">
        <f t="shared" ref="I74" si="33">IFERROR(IF(INDEX(typ_sn,MATCH(INDEX(akun_type,MATCH(B74,akun_kd,0)),typ_ket,0))="Kr",G74+E74-F74-D74,0),"")</f>
        <v>0</v>
      </c>
      <c r="J74" s="39">
        <f t="shared" ref="J74" si="34">IFERROR(IF(AND(INDEX(typ_sn,MATCH(INDEX(akun_type,MATCH(B74,akun_kd,0)),typ_ket,0))="db",INDEX(typ_pos,MATCH(INDEX(akun_type,MATCH(B74,akun_kd,0)),typ_ket,0))="lr"),H74-I74,0),"")</f>
        <v>0</v>
      </c>
      <c r="K74" s="39">
        <f t="shared" ref="K74" si="35">IFERROR(IF(AND(INDEX(typ_sn,MATCH(INDEX(akun_type,MATCH(B74,akun_kd,0)),typ_ket,0))="kr",INDEX(typ_pos,MATCH(INDEX(akun_type,MATCH(B74,akun_kd,0)),typ_ket,0))="lr"),I74-H74,0),"")</f>
        <v>0</v>
      </c>
      <c r="L74" s="39">
        <f t="shared" ref="L74" si="36">IFERROR(IF(AND(INDEX(typ_sn,MATCH(INDEX(akun_type,MATCH(B74,akun_kd,0)),typ_ket,0))="db",INDEX(typ_pos,MATCH(INDEX(akun_type,MATCH(B74,akun_kd,0)),typ_ket,0))="Nrc"),H74-I74,0),"")</f>
        <v>0</v>
      </c>
      <c r="M74" s="39">
        <f t="shared" ref="M74" si="37">IFERROR(IF(AND(INDEX(typ_sn,MATCH(INDEX(akun_type,MATCH(B74,akun_kd,0)),typ_ket,0))="kr",INDEX(typ_pos,MATCH(INDEX(akun_type,MATCH(B74,akun_kd,0)),typ_ket,0))="nrc"),I74-H74,0),"")</f>
        <v>0</v>
      </c>
      <c r="O74" s="35">
        <f t="shared" ref="O74" si="38">IF(AND(D74=0,E74=0,F74=0,G74=0,H74=0,I74=0,J74=0,K74=0,L74=0,M74=0),0,1)</f>
        <v>0</v>
      </c>
    </row>
    <row r="75" spans="2:15" ht="23.1" customHeight="1">
      <c r="B75" s="16">
        <f>AKUN!B72</f>
        <v>130000</v>
      </c>
      <c r="C75" s="7" t="str">
        <f t="shared" si="15"/>
        <v>ASET TETAP LAINNYA</v>
      </c>
      <c r="D75" s="39" t="str">
        <f t="shared" si="16"/>
        <v/>
      </c>
      <c r="E75" s="39" t="str">
        <f t="shared" si="17"/>
        <v/>
      </c>
      <c r="F75" s="39">
        <f t="shared" si="18"/>
        <v>0</v>
      </c>
      <c r="G75" s="39">
        <f t="shared" si="19"/>
        <v>0</v>
      </c>
      <c r="H75" s="39" t="str">
        <f t="shared" si="20"/>
        <v/>
      </c>
      <c r="I75" s="39" t="str">
        <f t="shared" si="21"/>
        <v/>
      </c>
      <c r="J75" s="39" t="str">
        <f t="shared" si="22"/>
        <v/>
      </c>
      <c r="K75" s="39" t="str">
        <f t="shared" si="23"/>
        <v/>
      </c>
      <c r="L75" s="39" t="str">
        <f t="shared" si="24"/>
        <v/>
      </c>
      <c r="M75" s="39" t="str">
        <f t="shared" si="25"/>
        <v/>
      </c>
      <c r="O75" s="35">
        <f t="shared" si="26"/>
        <v>1</v>
      </c>
    </row>
    <row r="76" spans="2:15" ht="23.1" customHeight="1">
      <c r="B76" s="16">
        <f>AKUN!B73</f>
        <v>130100</v>
      </c>
      <c r="C76" s="7" t="str">
        <f t="shared" si="15"/>
        <v>ASET TETAP LAINNYA</v>
      </c>
      <c r="D76" s="39" t="str">
        <f t="shared" si="16"/>
        <v/>
      </c>
      <c r="E76" s="39" t="str">
        <f t="shared" si="17"/>
        <v/>
      </c>
      <c r="F76" s="39">
        <f t="shared" si="18"/>
        <v>0</v>
      </c>
      <c r="G76" s="39">
        <f t="shared" si="19"/>
        <v>0</v>
      </c>
      <c r="H76" s="39" t="str">
        <f t="shared" si="20"/>
        <v/>
      </c>
      <c r="I76" s="39" t="str">
        <f t="shared" si="21"/>
        <v/>
      </c>
      <c r="J76" s="39" t="str">
        <f t="shared" si="22"/>
        <v/>
      </c>
      <c r="K76" s="39" t="str">
        <f t="shared" si="23"/>
        <v/>
      </c>
      <c r="L76" s="39" t="str">
        <f t="shared" si="24"/>
        <v/>
      </c>
      <c r="M76" s="39" t="str">
        <f t="shared" si="25"/>
        <v/>
      </c>
      <c r="O76" s="35">
        <f t="shared" si="26"/>
        <v>1</v>
      </c>
    </row>
    <row r="77" spans="2:15" ht="23.1" customHeight="1">
      <c r="B77" s="16">
        <f>AKUN!B74</f>
        <v>130101</v>
      </c>
      <c r="C77" s="7" t="str">
        <f t="shared" si="15"/>
        <v>GOODWILL</v>
      </c>
      <c r="D77" s="39">
        <f t="shared" si="16"/>
        <v>2079027500</v>
      </c>
      <c r="E77" s="39">
        <f t="shared" si="17"/>
        <v>0</v>
      </c>
      <c r="F77" s="39">
        <f t="shared" si="18"/>
        <v>0</v>
      </c>
      <c r="G77" s="39">
        <f t="shared" si="19"/>
        <v>0</v>
      </c>
      <c r="H77" s="39">
        <f t="shared" si="20"/>
        <v>2079027500</v>
      </c>
      <c r="I77" s="39">
        <f t="shared" si="21"/>
        <v>0</v>
      </c>
      <c r="J77" s="39">
        <f t="shared" si="22"/>
        <v>0</v>
      </c>
      <c r="K77" s="39">
        <f t="shared" si="23"/>
        <v>0</v>
      </c>
      <c r="L77" s="39">
        <f t="shared" si="24"/>
        <v>2079027500</v>
      </c>
      <c r="M77" s="39">
        <f t="shared" si="25"/>
        <v>0</v>
      </c>
      <c r="O77" s="35">
        <f t="shared" si="26"/>
        <v>1</v>
      </c>
    </row>
    <row r="78" spans="2:15" ht="23.1" customHeight="1">
      <c r="B78" s="16">
        <f>AKUN!B75</f>
        <v>130110</v>
      </c>
      <c r="C78" s="7" t="str">
        <f t="shared" si="15"/>
        <v>BEBAN DITANGGUHKAN</v>
      </c>
      <c r="D78" s="39" t="str">
        <f t="shared" si="16"/>
        <v/>
      </c>
      <c r="E78" s="39" t="str">
        <f t="shared" si="17"/>
        <v/>
      </c>
      <c r="F78" s="39">
        <f t="shared" si="18"/>
        <v>0</v>
      </c>
      <c r="G78" s="39">
        <f t="shared" si="19"/>
        <v>0</v>
      </c>
      <c r="H78" s="39" t="str">
        <f t="shared" si="20"/>
        <v/>
      </c>
      <c r="I78" s="39" t="str">
        <f t="shared" si="21"/>
        <v/>
      </c>
      <c r="J78" s="39" t="str">
        <f t="shared" si="22"/>
        <v/>
      </c>
      <c r="K78" s="39" t="str">
        <f t="shared" si="23"/>
        <v/>
      </c>
      <c r="L78" s="39" t="str">
        <f t="shared" si="24"/>
        <v/>
      </c>
      <c r="M78" s="39" t="str">
        <f t="shared" si="25"/>
        <v/>
      </c>
      <c r="O78" s="35">
        <f t="shared" si="26"/>
        <v>1</v>
      </c>
    </row>
    <row r="79" spans="2:15" ht="23.1" customHeight="1">
      <c r="B79" s="16">
        <f>AKUN!B76</f>
        <v>130111</v>
      </c>
      <c r="C79" s="7" t="str">
        <f t="shared" ref="C79:C143" si="39">IFERROR(INDEX(akun_ket,MATCH(B79,akun_kd,0)),"")</f>
        <v>SISTEM INFORMASI PARKIR/WEBSITE PD PARKIR</v>
      </c>
      <c r="D79" s="39">
        <f t="shared" ref="D79:D143" si="40">IFERROR(INDEX(akun_db,MATCH(B79&amp;" | "&amp;C79,akun_kb,0))+SUMIFS(ju_sld,ju_tgl,"&lt;"&amp;awal,ju_debet,B79&amp;" | "&amp;C79),"")</f>
        <v>40000000</v>
      </c>
      <c r="E79" s="39">
        <f t="shared" ref="E79:E143" si="41">IFERROR(INDEX(akun_kr,MATCH(B79&amp;" | "&amp;C79,akun_kb,0))+SUMIFS(ju_sld,ju_tgl,"&lt;"&amp;awal,ju_kr,B79&amp;" | "&amp;C79),"")</f>
        <v>0</v>
      </c>
      <c r="F79" s="39">
        <f t="shared" ref="F79:F143" si="42">IFERROR(SUMIFS(ju_sld,ju_tgl,"&gt;="&amp;awal,ju_tgl,"&lt;="&amp;akhir,ju_debet,B79&amp;" | "&amp;C79),0)</f>
        <v>11200000</v>
      </c>
      <c r="G79" s="39">
        <f t="shared" ref="G79:G143" si="43">IFERROR(SUMIFS(ju_sld,ju_tgl,"&gt;="&amp;awal,ju_tgl,"&lt;="&amp;akhir,ju_kr,B79&amp;" | "&amp;C79),0)</f>
        <v>0</v>
      </c>
      <c r="H79" s="39">
        <f t="shared" ref="H79:H143" si="44">IFERROR(IF(INDEX(typ_sn,MATCH(INDEX(akun_type,MATCH(B79,akun_kd,0)),typ_ket,0))="db",D79+F79-E79-G79,0),"")</f>
        <v>51200000</v>
      </c>
      <c r="I79" s="39">
        <f t="shared" ref="I79:I143" si="45">IFERROR(IF(INDEX(typ_sn,MATCH(INDEX(akun_type,MATCH(B79,akun_kd,0)),typ_ket,0))="Kr",G79+E79-F79-D79,0),"")</f>
        <v>0</v>
      </c>
      <c r="J79" s="39">
        <f t="shared" ref="J79:J143" si="46">IFERROR(IF(AND(INDEX(typ_sn,MATCH(INDEX(akun_type,MATCH(B79,akun_kd,0)),typ_ket,0))="db",INDEX(typ_pos,MATCH(INDEX(akun_type,MATCH(B79,akun_kd,0)),typ_ket,0))="lr"),H79-I79,0),"")</f>
        <v>0</v>
      </c>
      <c r="K79" s="39">
        <f t="shared" ref="K79:K143" si="47">IFERROR(IF(AND(INDEX(typ_sn,MATCH(INDEX(akun_type,MATCH(B79,akun_kd,0)),typ_ket,0))="kr",INDEX(typ_pos,MATCH(INDEX(akun_type,MATCH(B79,akun_kd,0)),typ_ket,0))="lr"),I79-H79,0),"")</f>
        <v>0</v>
      </c>
      <c r="L79" s="39">
        <f t="shared" ref="L79:L143" si="48">IFERROR(IF(AND(INDEX(typ_sn,MATCH(INDEX(akun_type,MATCH(B79,akun_kd,0)),typ_ket,0))="db",INDEX(typ_pos,MATCH(INDEX(akun_type,MATCH(B79,akun_kd,0)),typ_ket,0))="Nrc"),H79-I79,0),"")</f>
        <v>51200000</v>
      </c>
      <c r="M79" s="39">
        <f t="shared" ref="M79:M143" si="49">IFERROR(IF(AND(INDEX(typ_sn,MATCH(INDEX(akun_type,MATCH(B79,akun_kd,0)),typ_ket,0))="kr",INDEX(typ_pos,MATCH(INDEX(akun_type,MATCH(B79,akun_kd,0)),typ_ket,0))="nrc"),I79-H79,0),"")</f>
        <v>0</v>
      </c>
      <c r="O79" s="35">
        <f t="shared" ref="O79:O143" si="50">IF(AND(D79=0,E79=0,F79=0,G79=0,H79=0,I79=0,J79=0,K79=0,L79=0,M79=0),0,1)</f>
        <v>1</v>
      </c>
    </row>
    <row r="80" spans="2:15" ht="23.1" customHeight="1">
      <c r="B80" s="16">
        <f>AKUN!B77</f>
        <v>130112</v>
      </c>
      <c r="C80" s="7" t="str">
        <f t="shared" si="39"/>
        <v>SISTEM INFORMASI KEUANGAN</v>
      </c>
      <c r="D80" s="39">
        <f t="shared" si="40"/>
        <v>87000000</v>
      </c>
      <c r="E80" s="39">
        <f t="shared" si="41"/>
        <v>0</v>
      </c>
      <c r="F80" s="39">
        <f t="shared" si="42"/>
        <v>0</v>
      </c>
      <c r="G80" s="39">
        <f t="shared" si="43"/>
        <v>0</v>
      </c>
      <c r="H80" s="39">
        <f t="shared" si="44"/>
        <v>87000000</v>
      </c>
      <c r="I80" s="39">
        <f t="shared" si="45"/>
        <v>0</v>
      </c>
      <c r="J80" s="39">
        <f t="shared" si="46"/>
        <v>0</v>
      </c>
      <c r="K80" s="39">
        <f t="shared" si="47"/>
        <v>0</v>
      </c>
      <c r="L80" s="39">
        <f t="shared" si="48"/>
        <v>87000000</v>
      </c>
      <c r="M80" s="39">
        <f t="shared" si="49"/>
        <v>0</v>
      </c>
      <c r="O80" s="35">
        <f t="shared" si="50"/>
        <v>1</v>
      </c>
    </row>
    <row r="81" spans="2:15" ht="23.1" customHeight="1">
      <c r="B81" s="16">
        <f>AKUN!B78</f>
        <v>130113</v>
      </c>
      <c r="C81" s="7" t="str">
        <f t="shared" si="39"/>
        <v>RENSTRA</v>
      </c>
      <c r="D81" s="39">
        <f t="shared" si="40"/>
        <v>45000000</v>
      </c>
      <c r="E81" s="39">
        <f t="shared" si="41"/>
        <v>0</v>
      </c>
      <c r="F81" s="39">
        <f t="shared" si="42"/>
        <v>0</v>
      </c>
      <c r="G81" s="39">
        <f t="shared" si="43"/>
        <v>0</v>
      </c>
      <c r="H81" s="39">
        <f t="shared" si="44"/>
        <v>45000000</v>
      </c>
      <c r="I81" s="39">
        <f t="shared" si="45"/>
        <v>0</v>
      </c>
      <c r="J81" s="39">
        <f t="shared" si="46"/>
        <v>0</v>
      </c>
      <c r="K81" s="39">
        <f t="shared" si="47"/>
        <v>0</v>
      </c>
      <c r="L81" s="39">
        <f t="shared" si="48"/>
        <v>45000000</v>
      </c>
      <c r="M81" s="39">
        <f t="shared" si="49"/>
        <v>0</v>
      </c>
      <c r="O81" s="35">
        <f t="shared" si="50"/>
        <v>1</v>
      </c>
    </row>
    <row r="82" spans="2:15" ht="23.1" customHeight="1">
      <c r="B82" s="16">
        <f>AKUN!B79</f>
        <v>130114</v>
      </c>
      <c r="C82" s="7" t="str">
        <f t="shared" si="39"/>
        <v>PEDOMAN AKUNTANSI</v>
      </c>
      <c r="D82" s="39">
        <f t="shared" si="40"/>
        <v>95200000</v>
      </c>
      <c r="E82" s="39">
        <f t="shared" si="41"/>
        <v>0</v>
      </c>
      <c r="F82" s="39">
        <f t="shared" si="42"/>
        <v>0</v>
      </c>
      <c r="G82" s="39">
        <f t="shared" si="43"/>
        <v>0</v>
      </c>
      <c r="H82" s="39">
        <f t="shared" si="44"/>
        <v>95200000</v>
      </c>
      <c r="I82" s="39">
        <f t="shared" si="45"/>
        <v>0</v>
      </c>
      <c r="J82" s="39">
        <f t="shared" si="46"/>
        <v>0</v>
      </c>
      <c r="K82" s="39">
        <f t="shared" si="47"/>
        <v>0</v>
      </c>
      <c r="L82" s="39">
        <f t="shared" si="48"/>
        <v>95200000</v>
      </c>
      <c r="M82" s="39">
        <f t="shared" si="49"/>
        <v>0</v>
      </c>
      <c r="O82" s="35">
        <f t="shared" si="50"/>
        <v>1</v>
      </c>
    </row>
    <row r="83" spans="2:15" ht="23.1" customHeight="1">
      <c r="B83" s="16">
        <f>AKUN!B80</f>
        <v>130115</v>
      </c>
      <c r="C83" s="7" t="str">
        <f t="shared" si="39"/>
        <v>PEDOMAN PENYUSUNAN RKAP</v>
      </c>
      <c r="D83" s="39">
        <f t="shared" si="40"/>
        <v>44800000</v>
      </c>
      <c r="E83" s="39">
        <f t="shared" si="41"/>
        <v>0</v>
      </c>
      <c r="F83" s="39">
        <f t="shared" si="42"/>
        <v>0</v>
      </c>
      <c r="G83" s="39">
        <f t="shared" si="43"/>
        <v>0</v>
      </c>
      <c r="H83" s="39">
        <f t="shared" si="44"/>
        <v>44800000</v>
      </c>
      <c r="I83" s="39">
        <f t="shared" si="45"/>
        <v>0</v>
      </c>
      <c r="J83" s="39">
        <f t="shared" si="46"/>
        <v>0</v>
      </c>
      <c r="K83" s="39">
        <f t="shared" si="47"/>
        <v>0</v>
      </c>
      <c r="L83" s="39">
        <f t="shared" si="48"/>
        <v>44800000</v>
      </c>
      <c r="M83" s="39">
        <f t="shared" si="49"/>
        <v>0</v>
      </c>
      <c r="O83" s="35">
        <f t="shared" si="50"/>
        <v>1</v>
      </c>
    </row>
    <row r="84" spans="2:15" ht="23.1" customHeight="1">
      <c r="B84" s="16">
        <f>AKUN!B81</f>
        <v>130116</v>
      </c>
      <c r="C84" s="7" t="str">
        <f t="shared" si="39"/>
        <v>ISO</v>
      </c>
      <c r="D84" s="39">
        <f t="shared" si="40"/>
        <v>182100000</v>
      </c>
      <c r="E84" s="39">
        <f t="shared" si="41"/>
        <v>0</v>
      </c>
      <c r="F84" s="39">
        <f t="shared" si="42"/>
        <v>0</v>
      </c>
      <c r="G84" s="39">
        <f t="shared" si="43"/>
        <v>0</v>
      </c>
      <c r="H84" s="39">
        <f t="shared" si="44"/>
        <v>182100000</v>
      </c>
      <c r="I84" s="39">
        <f t="shared" si="45"/>
        <v>0</v>
      </c>
      <c r="J84" s="39">
        <f t="shared" si="46"/>
        <v>0</v>
      </c>
      <c r="K84" s="39">
        <f t="shared" si="47"/>
        <v>0</v>
      </c>
      <c r="L84" s="39">
        <f t="shared" si="48"/>
        <v>182100000</v>
      </c>
      <c r="M84" s="39">
        <f t="shared" si="49"/>
        <v>0</v>
      </c>
      <c r="O84" s="35">
        <f t="shared" si="50"/>
        <v>1</v>
      </c>
    </row>
    <row r="85" spans="2:15" ht="23.1" customHeight="1">
      <c r="B85" s="16">
        <f>AKUN!B82</f>
        <v>130117</v>
      </c>
      <c r="C85" s="7" t="str">
        <f t="shared" si="39"/>
        <v>PEMBUATAN SISTEM KWITANSI</v>
      </c>
      <c r="D85" s="39">
        <f t="shared" si="40"/>
        <v>7250000</v>
      </c>
      <c r="E85" s="39">
        <f t="shared" si="41"/>
        <v>0</v>
      </c>
      <c r="F85" s="39">
        <f t="shared" si="42"/>
        <v>0</v>
      </c>
      <c r="G85" s="39">
        <f t="shared" si="43"/>
        <v>0</v>
      </c>
      <c r="H85" s="39">
        <f t="shared" si="44"/>
        <v>7250000</v>
      </c>
      <c r="I85" s="39">
        <f t="shared" si="45"/>
        <v>0</v>
      </c>
      <c r="J85" s="39">
        <f t="shared" si="46"/>
        <v>0</v>
      </c>
      <c r="K85" s="39">
        <f t="shared" si="47"/>
        <v>0</v>
      </c>
      <c r="L85" s="39">
        <f t="shared" si="48"/>
        <v>7250000</v>
      </c>
      <c r="M85" s="39">
        <f t="shared" si="49"/>
        <v>0</v>
      </c>
      <c r="O85" s="35">
        <f t="shared" si="50"/>
        <v>1</v>
      </c>
    </row>
    <row r="86" spans="2:15" ht="23.1" customHeight="1">
      <c r="B86" s="16">
        <f>AKUN!B83</f>
        <v>130118</v>
      </c>
      <c r="C86" s="7" t="str">
        <f t="shared" si="39"/>
        <v>MAP PARKING</v>
      </c>
      <c r="D86" s="39">
        <f t="shared" si="40"/>
        <v>40000000</v>
      </c>
      <c r="E86" s="39">
        <f t="shared" si="41"/>
        <v>0</v>
      </c>
      <c r="F86" s="39">
        <f t="shared" si="42"/>
        <v>0</v>
      </c>
      <c r="G86" s="39">
        <f t="shared" si="43"/>
        <v>0</v>
      </c>
      <c r="H86" s="39">
        <f t="shared" si="44"/>
        <v>40000000</v>
      </c>
      <c r="I86" s="39">
        <f t="shared" si="45"/>
        <v>0</v>
      </c>
      <c r="J86" s="39">
        <f t="shared" si="46"/>
        <v>0</v>
      </c>
      <c r="K86" s="39">
        <f t="shared" si="47"/>
        <v>0</v>
      </c>
      <c r="L86" s="39">
        <f t="shared" si="48"/>
        <v>40000000</v>
      </c>
      <c r="M86" s="39">
        <f t="shared" si="49"/>
        <v>0</v>
      </c>
      <c r="O86" s="35">
        <f t="shared" si="50"/>
        <v>1</v>
      </c>
    </row>
    <row r="87" spans="2:15" ht="23.1" customHeight="1">
      <c r="B87" s="16">
        <f>AKUN!B84</f>
        <v>130119</v>
      </c>
      <c r="C87" s="7" t="str">
        <f t="shared" si="39"/>
        <v>PENYUSUNAN REGULASI PERDA</v>
      </c>
      <c r="D87" s="39">
        <f t="shared" si="40"/>
        <v>67590000</v>
      </c>
      <c r="E87" s="39">
        <f t="shared" si="41"/>
        <v>0</v>
      </c>
      <c r="F87" s="39">
        <f t="shared" si="42"/>
        <v>0</v>
      </c>
      <c r="G87" s="39">
        <f t="shared" si="43"/>
        <v>0</v>
      </c>
      <c r="H87" s="39">
        <f t="shared" si="44"/>
        <v>67590000</v>
      </c>
      <c r="I87" s="39">
        <f t="shared" si="45"/>
        <v>0</v>
      </c>
      <c r="J87" s="39">
        <f t="shared" si="46"/>
        <v>0</v>
      </c>
      <c r="K87" s="39">
        <f t="shared" si="47"/>
        <v>0</v>
      </c>
      <c r="L87" s="39">
        <f t="shared" si="48"/>
        <v>67590000</v>
      </c>
      <c r="M87" s="39">
        <f t="shared" si="49"/>
        <v>0</v>
      </c>
      <c r="O87" s="35">
        <f t="shared" si="50"/>
        <v>1</v>
      </c>
    </row>
    <row r="88" spans="2:15" ht="23.1" customHeight="1">
      <c r="B88" s="16">
        <f>AKUN!B85</f>
        <v>130120</v>
      </c>
      <c r="C88" s="7" t="str">
        <f t="shared" si="39"/>
        <v>BIAYA PEMBUATAN SIM KEU</v>
      </c>
      <c r="D88" s="39">
        <f t="shared" si="40"/>
        <v>74950000</v>
      </c>
      <c r="E88" s="39">
        <f t="shared" si="41"/>
        <v>0</v>
      </c>
      <c r="F88" s="39">
        <f t="shared" si="42"/>
        <v>0</v>
      </c>
      <c r="G88" s="39">
        <f t="shared" si="43"/>
        <v>0</v>
      </c>
      <c r="H88" s="39">
        <f t="shared" si="44"/>
        <v>74950000</v>
      </c>
      <c r="I88" s="39">
        <f t="shared" si="45"/>
        <v>0</v>
      </c>
      <c r="J88" s="39">
        <f t="shared" si="46"/>
        <v>0</v>
      </c>
      <c r="K88" s="39">
        <f t="shared" si="47"/>
        <v>0</v>
      </c>
      <c r="L88" s="39">
        <f t="shared" si="48"/>
        <v>74950000</v>
      </c>
      <c r="M88" s="39">
        <f t="shared" si="49"/>
        <v>0</v>
      </c>
      <c r="O88" s="35">
        <f t="shared" si="50"/>
        <v>1</v>
      </c>
    </row>
    <row r="89" spans="2:15" ht="23.1" customHeight="1">
      <c r="B89" s="16">
        <f>AKUN!B86</f>
        <v>130121</v>
      </c>
      <c r="C89" s="7" t="str">
        <f t="shared" si="39"/>
        <v>BIAYA PEMBUATAN SIM KEU 2</v>
      </c>
      <c r="D89" s="39">
        <f t="shared" si="40"/>
        <v>28450000</v>
      </c>
      <c r="E89" s="39">
        <f t="shared" si="41"/>
        <v>0</v>
      </c>
      <c r="F89" s="39">
        <f t="shared" si="42"/>
        <v>0</v>
      </c>
      <c r="G89" s="39">
        <f t="shared" si="43"/>
        <v>0</v>
      </c>
      <c r="H89" s="39">
        <f t="shared" si="44"/>
        <v>28450000</v>
      </c>
      <c r="I89" s="39">
        <f t="shared" si="45"/>
        <v>0</v>
      </c>
      <c r="J89" s="39">
        <f t="shared" si="46"/>
        <v>0</v>
      </c>
      <c r="K89" s="39">
        <f t="shared" si="47"/>
        <v>0</v>
      </c>
      <c r="L89" s="39">
        <f t="shared" si="48"/>
        <v>28450000</v>
      </c>
      <c r="M89" s="39">
        <f t="shared" si="49"/>
        <v>0</v>
      </c>
      <c r="O89" s="35">
        <f t="shared" si="50"/>
        <v>1</v>
      </c>
    </row>
    <row r="90" spans="2:15" ht="23.1" customHeight="1">
      <c r="B90" s="16">
        <f>AKUN!B87</f>
        <v>130122</v>
      </c>
      <c r="C90" s="7" t="str">
        <f t="shared" si="39"/>
        <v>BIAYA PENGEMBANGAN SIM KEU</v>
      </c>
      <c r="D90" s="39">
        <f t="shared" si="40"/>
        <v>74950000</v>
      </c>
      <c r="E90" s="39">
        <f t="shared" si="41"/>
        <v>0</v>
      </c>
      <c r="F90" s="39">
        <f t="shared" si="42"/>
        <v>0</v>
      </c>
      <c r="G90" s="39">
        <f t="shared" si="43"/>
        <v>0</v>
      </c>
      <c r="H90" s="39">
        <f t="shared" si="44"/>
        <v>74950000</v>
      </c>
      <c r="I90" s="39">
        <f t="shared" si="45"/>
        <v>0</v>
      </c>
      <c r="J90" s="39">
        <f t="shared" si="46"/>
        <v>0</v>
      </c>
      <c r="K90" s="39">
        <f t="shared" si="47"/>
        <v>0</v>
      </c>
      <c r="L90" s="39">
        <f t="shared" si="48"/>
        <v>74950000</v>
      </c>
      <c r="M90" s="39">
        <f t="shared" si="49"/>
        <v>0</v>
      </c>
      <c r="O90" s="35">
        <f t="shared" si="50"/>
        <v>1</v>
      </c>
    </row>
    <row r="91" spans="2:15" ht="23.1" customHeight="1">
      <c r="B91" s="16">
        <f>AKUN!B88</f>
        <v>130123</v>
      </c>
      <c r="C91" s="7" t="str">
        <f t="shared" si="39"/>
        <v>DESIGN GAMBAR PARKIRAN TAMAN</v>
      </c>
      <c r="D91" s="39">
        <f t="shared" si="40"/>
        <v>198660000</v>
      </c>
      <c r="E91" s="39">
        <f t="shared" si="41"/>
        <v>0</v>
      </c>
      <c r="F91" s="39">
        <f t="shared" si="42"/>
        <v>0</v>
      </c>
      <c r="G91" s="39">
        <f t="shared" si="43"/>
        <v>0</v>
      </c>
      <c r="H91" s="39">
        <f t="shared" si="44"/>
        <v>198660000</v>
      </c>
      <c r="I91" s="39">
        <f t="shared" si="45"/>
        <v>0</v>
      </c>
      <c r="J91" s="39">
        <f t="shared" si="46"/>
        <v>0</v>
      </c>
      <c r="K91" s="39">
        <f t="shared" si="47"/>
        <v>0</v>
      </c>
      <c r="L91" s="39">
        <f t="shared" si="48"/>
        <v>198660000</v>
      </c>
      <c r="M91" s="39">
        <f t="shared" si="49"/>
        <v>0</v>
      </c>
      <c r="O91" s="35">
        <f t="shared" si="50"/>
        <v>1</v>
      </c>
    </row>
    <row r="92" spans="2:15" ht="23.1" customHeight="1">
      <c r="B92" s="16">
        <f>AKUN!B89</f>
        <v>130124</v>
      </c>
      <c r="C92" s="7" t="str">
        <f t="shared" si="39"/>
        <v>PEMBUATAN SOP</v>
      </c>
      <c r="D92" s="39">
        <f t="shared" si="40"/>
        <v>60000000</v>
      </c>
      <c r="E92" s="39">
        <f t="shared" si="41"/>
        <v>0</v>
      </c>
      <c r="F92" s="39">
        <f t="shared" si="42"/>
        <v>0</v>
      </c>
      <c r="G92" s="39">
        <f t="shared" si="43"/>
        <v>0</v>
      </c>
      <c r="H92" s="39">
        <f t="shared" si="44"/>
        <v>60000000</v>
      </c>
      <c r="I92" s="39">
        <f t="shared" si="45"/>
        <v>0</v>
      </c>
      <c r="J92" s="39">
        <f t="shared" si="46"/>
        <v>0</v>
      </c>
      <c r="K92" s="39">
        <f t="shared" si="47"/>
        <v>0</v>
      </c>
      <c r="L92" s="39">
        <f t="shared" si="48"/>
        <v>60000000</v>
      </c>
      <c r="M92" s="39">
        <f t="shared" si="49"/>
        <v>0</v>
      </c>
      <c r="O92" s="35">
        <f t="shared" si="50"/>
        <v>1</v>
      </c>
    </row>
    <row r="93" spans="2:15" ht="23.1" customHeight="1">
      <c r="B93" s="16">
        <f>AKUN!B90</f>
        <v>130125</v>
      </c>
      <c r="C93" s="7" t="str">
        <f t="shared" si="39"/>
        <v>PEMBUATAN CORPORATE PLAN</v>
      </c>
      <c r="D93" s="39">
        <f t="shared" si="40"/>
        <v>40000000</v>
      </c>
      <c r="E93" s="39">
        <f t="shared" si="41"/>
        <v>0</v>
      </c>
      <c r="F93" s="39">
        <f t="shared" si="42"/>
        <v>0</v>
      </c>
      <c r="G93" s="39">
        <f t="shared" si="43"/>
        <v>0</v>
      </c>
      <c r="H93" s="39">
        <f t="shared" si="44"/>
        <v>40000000</v>
      </c>
      <c r="I93" s="39">
        <f t="shared" si="45"/>
        <v>0</v>
      </c>
      <c r="J93" s="39">
        <f t="shared" si="46"/>
        <v>0</v>
      </c>
      <c r="K93" s="39">
        <f t="shared" si="47"/>
        <v>0</v>
      </c>
      <c r="L93" s="39">
        <f t="shared" si="48"/>
        <v>40000000</v>
      </c>
      <c r="M93" s="39">
        <f t="shared" si="49"/>
        <v>0</v>
      </c>
      <c r="O93" s="35">
        <f t="shared" si="50"/>
        <v>1</v>
      </c>
    </row>
    <row r="94" spans="2:15" ht="23.1" customHeight="1">
      <c r="B94" s="16">
        <f>AKUN!B91</f>
        <v>130126</v>
      </c>
      <c r="C94" s="7" t="str">
        <f t="shared" si="39"/>
        <v>SISTEM INFORMASI JUKIR DAN TITIK PARKIR</v>
      </c>
      <c r="D94" s="39">
        <f t="shared" si="40"/>
        <v>79900000</v>
      </c>
      <c r="E94" s="39">
        <f t="shared" si="41"/>
        <v>0</v>
      </c>
      <c r="F94" s="39">
        <f t="shared" si="42"/>
        <v>0</v>
      </c>
      <c r="G94" s="39">
        <f t="shared" si="43"/>
        <v>0</v>
      </c>
      <c r="H94" s="39">
        <f t="shared" si="44"/>
        <v>79900000</v>
      </c>
      <c r="I94" s="39">
        <f t="shared" si="45"/>
        <v>0</v>
      </c>
      <c r="J94" s="39">
        <f t="shared" si="46"/>
        <v>0</v>
      </c>
      <c r="K94" s="39">
        <f t="shared" si="47"/>
        <v>0</v>
      </c>
      <c r="L94" s="39">
        <f t="shared" si="48"/>
        <v>79900000</v>
      </c>
      <c r="M94" s="39">
        <f t="shared" si="49"/>
        <v>0</v>
      </c>
      <c r="O94" s="35">
        <f t="shared" si="50"/>
        <v>1</v>
      </c>
    </row>
    <row r="95" spans="2:15" ht="23.1" customHeight="1">
      <c r="B95" s="16">
        <f>AKUN!B92</f>
        <v>130127</v>
      </c>
      <c r="C95" s="7" t="str">
        <f t="shared" si="39"/>
        <v>SISTEM INFORMASI PEGAWAI</v>
      </c>
      <c r="D95" s="39">
        <f t="shared" si="40"/>
        <v>24850000</v>
      </c>
      <c r="E95" s="39">
        <f t="shared" si="41"/>
        <v>0</v>
      </c>
      <c r="F95" s="39">
        <f t="shared" si="42"/>
        <v>0</v>
      </c>
      <c r="G95" s="39">
        <f t="shared" si="43"/>
        <v>0</v>
      </c>
      <c r="H95" s="39">
        <f t="shared" si="44"/>
        <v>24850000</v>
      </c>
      <c r="I95" s="39">
        <f t="shared" si="45"/>
        <v>0</v>
      </c>
      <c r="J95" s="39">
        <f t="shared" si="46"/>
        <v>0</v>
      </c>
      <c r="K95" s="39">
        <f t="shared" si="47"/>
        <v>0</v>
      </c>
      <c r="L95" s="39">
        <f t="shared" si="48"/>
        <v>24850000</v>
      </c>
      <c r="M95" s="39">
        <f t="shared" si="49"/>
        <v>0</v>
      </c>
      <c r="O95" s="35">
        <f t="shared" si="50"/>
        <v>1</v>
      </c>
    </row>
    <row r="96" spans="2:15" ht="23.1" customHeight="1">
      <c r="B96" s="16">
        <f>AKUN!B93</f>
        <v>130128</v>
      </c>
      <c r="C96" s="7" t="str">
        <f t="shared" si="39"/>
        <v>APLIKASI GO PARKIR APP MOBILE</v>
      </c>
      <c r="D96" s="39">
        <f t="shared" si="40"/>
        <v>16150000</v>
      </c>
      <c r="E96" s="39">
        <f t="shared" si="41"/>
        <v>0</v>
      </c>
      <c r="F96" s="39">
        <f t="shared" si="42"/>
        <v>0</v>
      </c>
      <c r="G96" s="39">
        <f t="shared" si="43"/>
        <v>0</v>
      </c>
      <c r="H96" s="39">
        <f t="shared" si="44"/>
        <v>16150000</v>
      </c>
      <c r="I96" s="39">
        <f t="shared" si="45"/>
        <v>0</v>
      </c>
      <c r="J96" s="39">
        <f t="shared" si="46"/>
        <v>0</v>
      </c>
      <c r="K96" s="39">
        <f t="shared" si="47"/>
        <v>0</v>
      </c>
      <c r="L96" s="39">
        <f t="shared" si="48"/>
        <v>16150000</v>
      </c>
      <c r="M96" s="39">
        <f t="shared" si="49"/>
        <v>0</v>
      </c>
      <c r="O96" s="35">
        <f t="shared" si="50"/>
        <v>1</v>
      </c>
    </row>
    <row r="97" spans="2:15" ht="23.1" customHeight="1">
      <c r="B97" s="16">
        <f>AKUN!B94</f>
        <v>130129</v>
      </c>
      <c r="C97" s="7" t="str">
        <f t="shared" si="39"/>
        <v>SIMKEU 2021</v>
      </c>
      <c r="D97" s="39">
        <f t="shared" si="40"/>
        <v>176880000</v>
      </c>
      <c r="E97" s="39">
        <f t="shared" si="41"/>
        <v>0</v>
      </c>
      <c r="F97" s="39">
        <f t="shared" si="42"/>
        <v>0</v>
      </c>
      <c r="G97" s="39">
        <f t="shared" si="43"/>
        <v>0</v>
      </c>
      <c r="H97" s="39">
        <f t="shared" si="44"/>
        <v>176880000</v>
      </c>
      <c r="I97" s="39">
        <f t="shared" si="45"/>
        <v>0</v>
      </c>
      <c r="J97" s="39">
        <f t="shared" si="46"/>
        <v>0</v>
      </c>
      <c r="K97" s="39">
        <f t="shared" si="47"/>
        <v>0</v>
      </c>
      <c r="L97" s="39">
        <f t="shared" si="48"/>
        <v>176880000</v>
      </c>
      <c r="M97" s="39">
        <f t="shared" si="49"/>
        <v>0</v>
      </c>
      <c r="O97" s="35">
        <f t="shared" si="50"/>
        <v>1</v>
      </c>
    </row>
    <row r="98" spans="2:15" ht="23.1" customHeight="1">
      <c r="B98" s="16">
        <f>AKUN!B95</f>
        <v>130130</v>
      </c>
      <c r="C98" s="7" t="str">
        <f t="shared" ref="C98" si="51">IFERROR(INDEX(akun_ket,MATCH(B98,akun_kd,0)),"")</f>
        <v>CORPORATE SYSTEM MMANGEMENT</v>
      </c>
      <c r="D98" s="39">
        <f t="shared" ref="D98" si="52">IFERROR(INDEX(akun_db,MATCH(B98&amp;" | "&amp;C98,akun_kb,0))+SUMIFS(ju_sld,ju_tgl,"&lt;"&amp;awal,ju_debet,B98&amp;" | "&amp;C98),"")</f>
        <v>0</v>
      </c>
      <c r="E98" s="39">
        <f t="shared" ref="E98" si="53">IFERROR(INDEX(akun_kr,MATCH(B98&amp;" | "&amp;C98,akun_kb,0))+SUMIFS(ju_sld,ju_tgl,"&lt;"&amp;awal,ju_kr,B98&amp;" | "&amp;C98),"")</f>
        <v>0</v>
      </c>
      <c r="F98" s="39">
        <f t="shared" ref="F98" si="54">IFERROR(SUMIFS(ju_sld,ju_tgl,"&gt;="&amp;awal,ju_tgl,"&lt;="&amp;akhir,ju_debet,B98&amp;" | "&amp;C98),0)</f>
        <v>146000000</v>
      </c>
      <c r="G98" s="39">
        <f t="shared" ref="G98" si="55">IFERROR(SUMIFS(ju_sld,ju_tgl,"&gt;="&amp;awal,ju_tgl,"&lt;="&amp;akhir,ju_kr,B98&amp;" | "&amp;C98),0)</f>
        <v>0</v>
      </c>
      <c r="H98" s="39">
        <f t="shared" ref="H98" si="56">IFERROR(IF(INDEX(typ_sn,MATCH(INDEX(akun_type,MATCH(B98,akun_kd,0)),typ_ket,0))="db",D98+F98-E98-G98,0),"")</f>
        <v>146000000</v>
      </c>
      <c r="I98" s="39">
        <f t="shared" ref="I98" si="57">IFERROR(IF(INDEX(typ_sn,MATCH(INDEX(akun_type,MATCH(B98,akun_kd,0)),typ_ket,0))="Kr",G98+E98-F98-D98,0),"")</f>
        <v>0</v>
      </c>
      <c r="J98" s="39">
        <f t="shared" ref="J98" si="58">IFERROR(IF(AND(INDEX(typ_sn,MATCH(INDEX(akun_type,MATCH(B98,akun_kd,0)),typ_ket,0))="db",INDEX(typ_pos,MATCH(INDEX(akun_type,MATCH(B98,akun_kd,0)),typ_ket,0))="lr"),H98-I98,0),"")</f>
        <v>0</v>
      </c>
      <c r="K98" s="39">
        <f t="shared" ref="K98" si="59">IFERROR(IF(AND(INDEX(typ_sn,MATCH(INDEX(akun_type,MATCH(B98,akun_kd,0)),typ_ket,0))="kr",INDEX(typ_pos,MATCH(INDEX(akun_type,MATCH(B98,akun_kd,0)),typ_ket,0))="lr"),I98-H98,0),"")</f>
        <v>0</v>
      </c>
      <c r="L98" s="39">
        <f t="shared" ref="L98" si="60">IFERROR(IF(AND(INDEX(typ_sn,MATCH(INDEX(akun_type,MATCH(B98,akun_kd,0)),typ_ket,0))="db",INDEX(typ_pos,MATCH(INDEX(akun_type,MATCH(B98,akun_kd,0)),typ_ket,0))="Nrc"),H98-I98,0),"")</f>
        <v>146000000</v>
      </c>
      <c r="M98" s="39">
        <f t="shared" ref="M98" si="61">IFERROR(IF(AND(INDEX(typ_sn,MATCH(INDEX(akun_type,MATCH(B98,akun_kd,0)),typ_ket,0))="kr",INDEX(typ_pos,MATCH(INDEX(akun_type,MATCH(B98,akun_kd,0)),typ_ket,0))="nrc"),I98-H98,0),"")</f>
        <v>0</v>
      </c>
      <c r="O98" s="35">
        <f t="shared" ref="O98" si="62">IF(AND(D98=0,E98=0,F98=0,G98=0,H98=0,I98=0,J98=0,K98=0,L98=0,M98=0),0,1)</f>
        <v>1</v>
      </c>
    </row>
    <row r="99" spans="2:15" ht="23.1" customHeight="1">
      <c r="B99" s="142">
        <f>AKUN!B96</f>
        <v>130200</v>
      </c>
      <c r="C99" s="103" t="str">
        <f t="shared" si="39"/>
        <v>AKUMULASI AMORTISASI BEBAN DITANGGUHKAN</v>
      </c>
      <c r="D99" s="39" t="str">
        <f t="shared" si="40"/>
        <v/>
      </c>
      <c r="E99" s="39" t="str">
        <f t="shared" si="41"/>
        <v/>
      </c>
      <c r="F99" s="39">
        <f t="shared" si="42"/>
        <v>0</v>
      </c>
      <c r="G99" s="39">
        <f t="shared" si="43"/>
        <v>0</v>
      </c>
      <c r="H99" s="39" t="str">
        <f t="shared" si="44"/>
        <v/>
      </c>
      <c r="I99" s="39" t="str">
        <f t="shared" si="45"/>
        <v/>
      </c>
      <c r="J99" s="39" t="str">
        <f t="shared" si="46"/>
        <v/>
      </c>
      <c r="K99" s="39" t="str">
        <f t="shared" si="47"/>
        <v/>
      </c>
      <c r="L99" s="39" t="str">
        <f t="shared" si="48"/>
        <v/>
      </c>
      <c r="M99" s="39" t="str">
        <f t="shared" si="49"/>
        <v/>
      </c>
      <c r="O99" s="35">
        <f t="shared" si="50"/>
        <v>1</v>
      </c>
    </row>
    <row r="100" spans="2:15" ht="23.1" customHeight="1">
      <c r="B100" s="16">
        <f>AKUN!B97</f>
        <v>130201</v>
      </c>
      <c r="C100" s="7" t="str">
        <f t="shared" si="39"/>
        <v>AKUMULASI AMORTISASI GOODWILL</v>
      </c>
      <c r="D100" s="39">
        <f t="shared" si="40"/>
        <v>0</v>
      </c>
      <c r="E100" s="39">
        <f t="shared" si="41"/>
        <v>1871124750</v>
      </c>
      <c r="F100" s="39">
        <f t="shared" si="42"/>
        <v>0</v>
      </c>
      <c r="G100" s="39">
        <f t="shared" si="43"/>
        <v>207902750</v>
      </c>
      <c r="H100" s="39">
        <f t="shared" si="44"/>
        <v>-2079027500</v>
      </c>
      <c r="I100" s="39">
        <f t="shared" si="45"/>
        <v>0</v>
      </c>
      <c r="J100" s="39">
        <f t="shared" si="46"/>
        <v>0</v>
      </c>
      <c r="K100" s="39">
        <f t="shared" si="47"/>
        <v>0</v>
      </c>
      <c r="L100" s="39">
        <f t="shared" si="48"/>
        <v>-2079027500</v>
      </c>
      <c r="M100" s="39">
        <f t="shared" si="49"/>
        <v>0</v>
      </c>
      <c r="O100" s="35">
        <f t="shared" si="50"/>
        <v>1</v>
      </c>
    </row>
    <row r="101" spans="2:15" ht="23.1" customHeight="1">
      <c r="B101" s="16">
        <f>AKUN!B98</f>
        <v>130202</v>
      </c>
      <c r="C101" s="7" t="str">
        <f t="shared" si="39"/>
        <v>AKUMULASI AMORTISASI BEBAN DITANGGUHKAN</v>
      </c>
      <c r="D101" s="39">
        <f t="shared" si="40"/>
        <v>0</v>
      </c>
      <c r="E101" s="39">
        <f t="shared" si="41"/>
        <v>1202189167</v>
      </c>
      <c r="F101" s="39">
        <f t="shared" si="42"/>
        <v>0</v>
      </c>
      <c r="G101" s="39">
        <f t="shared" si="43"/>
        <v>64673333.333333321</v>
      </c>
      <c r="H101" s="39">
        <f t="shared" si="44"/>
        <v>-1266862500.3333333</v>
      </c>
      <c r="I101" s="39">
        <f t="shared" si="45"/>
        <v>0</v>
      </c>
      <c r="J101" s="39">
        <f t="shared" si="46"/>
        <v>0</v>
      </c>
      <c r="K101" s="39">
        <f t="shared" si="47"/>
        <v>0</v>
      </c>
      <c r="L101" s="39">
        <f t="shared" si="48"/>
        <v>-1266862500.3333333</v>
      </c>
      <c r="M101" s="39">
        <f t="shared" si="49"/>
        <v>0</v>
      </c>
      <c r="O101" s="35">
        <f t="shared" si="50"/>
        <v>1</v>
      </c>
    </row>
    <row r="102" spans="2:15" ht="23.1" customHeight="1">
      <c r="B102" s="16">
        <f>AKUN!B99</f>
        <v>130203</v>
      </c>
      <c r="C102" s="7" t="str">
        <f t="shared" si="39"/>
        <v>AKUMULASI AMORTISASI LAINNYA</v>
      </c>
      <c r="D102" s="39">
        <f t="shared" si="40"/>
        <v>0</v>
      </c>
      <c r="E102" s="39">
        <f t="shared" si="41"/>
        <v>0</v>
      </c>
      <c r="F102" s="39">
        <f t="shared" si="42"/>
        <v>0</v>
      </c>
      <c r="G102" s="39">
        <f t="shared" si="43"/>
        <v>0</v>
      </c>
      <c r="H102" s="39">
        <f t="shared" si="44"/>
        <v>0</v>
      </c>
      <c r="I102" s="39">
        <f t="shared" si="45"/>
        <v>0</v>
      </c>
      <c r="J102" s="39">
        <f t="shared" si="46"/>
        <v>0</v>
      </c>
      <c r="K102" s="39">
        <f t="shared" si="47"/>
        <v>0</v>
      </c>
      <c r="L102" s="39">
        <f t="shared" si="48"/>
        <v>0</v>
      </c>
      <c r="M102" s="39">
        <f t="shared" si="49"/>
        <v>0</v>
      </c>
      <c r="O102" s="35">
        <f t="shared" si="50"/>
        <v>0</v>
      </c>
    </row>
    <row r="103" spans="2:15" ht="23.1" customHeight="1">
      <c r="B103" s="142">
        <f>AKUN!B100</f>
        <v>130300</v>
      </c>
      <c r="C103" s="103" t="str">
        <f t="shared" si="39"/>
        <v>ASET LAINNYA</v>
      </c>
      <c r="D103" s="39" t="str">
        <f t="shared" si="40"/>
        <v/>
      </c>
      <c r="E103" s="39" t="str">
        <f t="shared" si="41"/>
        <v/>
      </c>
      <c r="F103" s="39">
        <f t="shared" si="42"/>
        <v>0</v>
      </c>
      <c r="G103" s="39">
        <f t="shared" si="43"/>
        <v>0</v>
      </c>
      <c r="H103" s="39" t="str">
        <f t="shared" si="44"/>
        <v/>
      </c>
      <c r="I103" s="39" t="str">
        <f t="shared" si="45"/>
        <v/>
      </c>
      <c r="J103" s="39" t="str">
        <f t="shared" si="46"/>
        <v/>
      </c>
      <c r="K103" s="39" t="str">
        <f t="shared" si="47"/>
        <v/>
      </c>
      <c r="L103" s="39" t="str">
        <f t="shared" si="48"/>
        <v/>
      </c>
      <c r="M103" s="39" t="str">
        <f t="shared" si="49"/>
        <v/>
      </c>
      <c r="O103" s="35">
        <f t="shared" si="50"/>
        <v>1</v>
      </c>
    </row>
    <row r="104" spans="2:15" ht="23.1" customHeight="1">
      <c r="B104" s="16">
        <f>AKUN!B101</f>
        <v>130301</v>
      </c>
      <c r="C104" s="7" t="str">
        <f t="shared" si="39"/>
        <v>CADANGAN DANA PENSIUN (DPLK) PEGAWAI</v>
      </c>
      <c r="D104" s="39">
        <f t="shared" si="40"/>
        <v>421400000</v>
      </c>
      <c r="E104" s="39">
        <f t="shared" si="41"/>
        <v>0</v>
      </c>
      <c r="F104" s="39">
        <f t="shared" si="42"/>
        <v>21700000</v>
      </c>
      <c r="G104" s="39">
        <f t="shared" si="43"/>
        <v>0</v>
      </c>
      <c r="H104" s="39">
        <f t="shared" si="44"/>
        <v>443100000</v>
      </c>
      <c r="I104" s="39">
        <f t="shared" si="45"/>
        <v>0</v>
      </c>
      <c r="J104" s="39">
        <f t="shared" si="46"/>
        <v>0</v>
      </c>
      <c r="K104" s="39">
        <f t="shared" si="47"/>
        <v>0</v>
      </c>
      <c r="L104" s="39">
        <f t="shared" si="48"/>
        <v>443100000</v>
      </c>
      <c r="M104" s="39">
        <f t="shared" si="49"/>
        <v>0</v>
      </c>
      <c r="O104" s="35">
        <f t="shared" si="50"/>
        <v>1</v>
      </c>
    </row>
    <row r="105" spans="2:15" ht="23.1" customHeight="1">
      <c r="B105" s="16">
        <f>AKUN!B102</f>
        <v>130302</v>
      </c>
      <c r="C105" s="7" t="str">
        <f t="shared" si="39"/>
        <v>CADANGAN DANA PENSIUN (DPLK) DIREKSI</v>
      </c>
      <c r="D105" s="39">
        <f t="shared" si="40"/>
        <v>510000000</v>
      </c>
      <c r="E105" s="39">
        <f t="shared" si="41"/>
        <v>0</v>
      </c>
      <c r="F105" s="39">
        <f t="shared" si="42"/>
        <v>0</v>
      </c>
      <c r="G105" s="39">
        <f t="shared" si="43"/>
        <v>510000000</v>
      </c>
      <c r="H105" s="39">
        <f t="shared" si="44"/>
        <v>0</v>
      </c>
      <c r="I105" s="39">
        <f t="shared" si="45"/>
        <v>0</v>
      </c>
      <c r="J105" s="39">
        <f t="shared" si="46"/>
        <v>0</v>
      </c>
      <c r="K105" s="39">
        <f t="shared" si="47"/>
        <v>0</v>
      </c>
      <c r="L105" s="39">
        <f t="shared" si="48"/>
        <v>0</v>
      </c>
      <c r="M105" s="39">
        <f t="shared" si="49"/>
        <v>0</v>
      </c>
      <c r="O105" s="35">
        <f t="shared" si="50"/>
        <v>1</v>
      </c>
    </row>
    <row r="106" spans="2:15" ht="23.1" customHeight="1">
      <c r="B106" s="142">
        <f>AKUN!B103</f>
        <v>200000</v>
      </c>
      <c r="C106" s="103" t="str">
        <f t="shared" si="39"/>
        <v>LIABILITY</v>
      </c>
      <c r="D106" s="39" t="str">
        <f t="shared" si="40"/>
        <v/>
      </c>
      <c r="E106" s="39" t="str">
        <f t="shared" si="41"/>
        <v/>
      </c>
      <c r="F106" s="39">
        <f t="shared" si="42"/>
        <v>0</v>
      </c>
      <c r="G106" s="39">
        <f t="shared" si="43"/>
        <v>0</v>
      </c>
      <c r="H106" s="39" t="str">
        <f t="shared" si="44"/>
        <v/>
      </c>
      <c r="I106" s="39" t="str">
        <f t="shared" si="45"/>
        <v/>
      </c>
      <c r="J106" s="39" t="str">
        <f t="shared" si="46"/>
        <v/>
      </c>
      <c r="K106" s="39" t="str">
        <f t="shared" si="47"/>
        <v/>
      </c>
      <c r="L106" s="39" t="str">
        <f t="shared" si="48"/>
        <v/>
      </c>
      <c r="M106" s="39" t="str">
        <f t="shared" si="49"/>
        <v/>
      </c>
      <c r="O106" s="35">
        <f t="shared" si="50"/>
        <v>1</v>
      </c>
    </row>
    <row r="107" spans="2:15" ht="23.1" customHeight="1">
      <c r="B107" s="16">
        <f>AKUN!B104</f>
        <v>210000</v>
      </c>
      <c r="C107" s="7" t="str">
        <f t="shared" si="39"/>
        <v>HUTANG LANCAR</v>
      </c>
      <c r="D107" s="39" t="str">
        <f t="shared" si="40"/>
        <v/>
      </c>
      <c r="E107" s="39" t="str">
        <f t="shared" si="41"/>
        <v/>
      </c>
      <c r="F107" s="39">
        <f t="shared" si="42"/>
        <v>0</v>
      </c>
      <c r="G107" s="39">
        <f t="shared" si="43"/>
        <v>0</v>
      </c>
      <c r="H107" s="39" t="str">
        <f t="shared" si="44"/>
        <v/>
      </c>
      <c r="I107" s="39" t="str">
        <f t="shared" si="45"/>
        <v/>
      </c>
      <c r="J107" s="39" t="str">
        <f t="shared" si="46"/>
        <v/>
      </c>
      <c r="K107" s="39" t="str">
        <f t="shared" si="47"/>
        <v/>
      </c>
      <c r="L107" s="39" t="str">
        <f t="shared" si="48"/>
        <v/>
      </c>
      <c r="M107" s="39" t="str">
        <f t="shared" si="49"/>
        <v/>
      </c>
      <c r="O107" s="35">
        <f t="shared" si="50"/>
        <v>1</v>
      </c>
    </row>
    <row r="108" spans="2:15" ht="23.1" customHeight="1">
      <c r="B108" s="16">
        <f>AKUN!B105</f>
        <v>210100</v>
      </c>
      <c r="C108" s="7" t="str">
        <f t="shared" si="39"/>
        <v>HUTANG USAHA</v>
      </c>
      <c r="D108" s="39" t="str">
        <f t="shared" si="40"/>
        <v/>
      </c>
      <c r="E108" s="39" t="str">
        <f t="shared" si="41"/>
        <v/>
      </c>
      <c r="F108" s="39">
        <f t="shared" si="42"/>
        <v>0</v>
      </c>
      <c r="G108" s="39">
        <f t="shared" si="43"/>
        <v>0</v>
      </c>
      <c r="H108" s="39" t="str">
        <f t="shared" si="44"/>
        <v/>
      </c>
      <c r="I108" s="39" t="str">
        <f t="shared" si="45"/>
        <v/>
      </c>
      <c r="J108" s="39" t="str">
        <f t="shared" si="46"/>
        <v/>
      </c>
      <c r="K108" s="39" t="str">
        <f t="shared" si="47"/>
        <v/>
      </c>
      <c r="L108" s="39" t="str">
        <f t="shared" si="48"/>
        <v/>
      </c>
      <c r="M108" s="39" t="str">
        <f t="shared" si="49"/>
        <v/>
      </c>
      <c r="O108" s="35">
        <f t="shared" si="50"/>
        <v>1</v>
      </c>
    </row>
    <row r="109" spans="2:15" ht="23.1" customHeight="1">
      <c r="B109" s="16">
        <f>AKUN!B106</f>
        <v>210101</v>
      </c>
      <c r="C109" s="7" t="str">
        <f t="shared" si="39"/>
        <v>HUTANG BIAYA</v>
      </c>
      <c r="D109" s="39">
        <f t="shared" si="40"/>
        <v>0</v>
      </c>
      <c r="E109" s="39">
        <f t="shared" si="41"/>
        <v>0</v>
      </c>
      <c r="F109" s="39">
        <f t="shared" si="42"/>
        <v>0</v>
      </c>
      <c r="G109" s="39">
        <f t="shared" si="43"/>
        <v>0</v>
      </c>
      <c r="H109" s="39">
        <f t="shared" si="44"/>
        <v>0</v>
      </c>
      <c r="I109" s="39">
        <f t="shared" si="45"/>
        <v>0</v>
      </c>
      <c r="J109" s="39">
        <f t="shared" si="46"/>
        <v>0</v>
      </c>
      <c r="K109" s="39">
        <f t="shared" si="47"/>
        <v>0</v>
      </c>
      <c r="L109" s="39">
        <f t="shared" si="48"/>
        <v>0</v>
      </c>
      <c r="M109" s="39">
        <f t="shared" si="49"/>
        <v>0</v>
      </c>
      <c r="O109" s="35">
        <f t="shared" si="50"/>
        <v>0</v>
      </c>
    </row>
    <row r="110" spans="2:15" ht="23.1" customHeight="1">
      <c r="B110" s="16">
        <f>AKUN!B107</f>
        <v>210102</v>
      </c>
      <c r="C110" s="7" t="str">
        <f t="shared" si="39"/>
        <v>DEPOSIT KOLEKTOR</v>
      </c>
      <c r="D110" s="39">
        <f t="shared" si="40"/>
        <v>0</v>
      </c>
      <c r="E110" s="39">
        <f t="shared" si="41"/>
        <v>1254293</v>
      </c>
      <c r="F110" s="39">
        <f t="shared" si="42"/>
        <v>7500000</v>
      </c>
      <c r="G110" s="39">
        <f t="shared" si="43"/>
        <v>7500000</v>
      </c>
      <c r="H110" s="39">
        <f t="shared" si="44"/>
        <v>0</v>
      </c>
      <c r="I110" s="39">
        <f t="shared" si="45"/>
        <v>1254293</v>
      </c>
      <c r="J110" s="39">
        <f t="shared" si="46"/>
        <v>0</v>
      </c>
      <c r="K110" s="39">
        <f t="shared" si="47"/>
        <v>0</v>
      </c>
      <c r="L110" s="39">
        <f t="shared" si="48"/>
        <v>0</v>
      </c>
      <c r="M110" s="39">
        <f t="shared" si="49"/>
        <v>1254293</v>
      </c>
      <c r="O110" s="35">
        <f t="shared" si="50"/>
        <v>1</v>
      </c>
    </row>
    <row r="111" spans="2:15" ht="23.1" customHeight="1">
      <c r="B111" s="16">
        <f>AKUN!B108</f>
        <v>210103</v>
      </c>
      <c r="C111" s="7" t="str">
        <f t="shared" si="39"/>
        <v>HUTANG GAJI</v>
      </c>
      <c r="D111" s="39">
        <f t="shared" si="40"/>
        <v>0</v>
      </c>
      <c r="E111" s="39">
        <f t="shared" si="41"/>
        <v>0</v>
      </c>
      <c r="F111" s="39">
        <f t="shared" si="42"/>
        <v>0</v>
      </c>
      <c r="G111" s="39">
        <f t="shared" si="43"/>
        <v>0</v>
      </c>
      <c r="H111" s="39">
        <f t="shared" si="44"/>
        <v>0</v>
      </c>
      <c r="I111" s="39">
        <f t="shared" si="45"/>
        <v>0</v>
      </c>
      <c r="J111" s="39">
        <f t="shared" si="46"/>
        <v>0</v>
      </c>
      <c r="K111" s="39">
        <f t="shared" si="47"/>
        <v>0</v>
      </c>
      <c r="L111" s="39">
        <f t="shared" si="48"/>
        <v>0</v>
      </c>
      <c r="M111" s="39">
        <f t="shared" si="49"/>
        <v>0</v>
      </c>
      <c r="O111" s="35">
        <f t="shared" si="50"/>
        <v>0</v>
      </c>
    </row>
    <row r="112" spans="2:15" ht="23.1" customHeight="1">
      <c r="B112" s="16">
        <f>AKUN!B109</f>
        <v>210204</v>
      </c>
      <c r="C112" s="7" t="str">
        <f t="shared" si="39"/>
        <v>HUTANG ACC ANGSURAN MOBIL OPERASIONAL</v>
      </c>
      <c r="D112" s="39">
        <f t="shared" si="40"/>
        <v>0</v>
      </c>
      <c r="E112" s="39">
        <f t="shared" si="41"/>
        <v>125810000</v>
      </c>
      <c r="F112" s="39">
        <f t="shared" si="42"/>
        <v>60600000</v>
      </c>
      <c r="G112" s="39">
        <f t="shared" si="43"/>
        <v>0</v>
      </c>
      <c r="H112" s="39">
        <f t="shared" si="44"/>
        <v>0</v>
      </c>
      <c r="I112" s="39">
        <f t="shared" si="45"/>
        <v>65210000</v>
      </c>
      <c r="J112" s="39">
        <f t="shared" si="46"/>
        <v>0</v>
      </c>
      <c r="K112" s="39">
        <f t="shared" si="47"/>
        <v>0</v>
      </c>
      <c r="L112" s="39">
        <f t="shared" si="48"/>
        <v>0</v>
      </c>
      <c r="M112" s="39">
        <f t="shared" si="49"/>
        <v>65210000</v>
      </c>
      <c r="O112" s="35">
        <f t="shared" si="50"/>
        <v>1</v>
      </c>
    </row>
    <row r="113" spans="2:15" ht="23.1" customHeight="1">
      <c r="B113" s="16">
        <f>AKUN!B110</f>
        <v>210205</v>
      </c>
      <c r="C113" s="7" t="str">
        <f t="shared" si="39"/>
        <v>HUTANG DEVIDEN</v>
      </c>
      <c r="D113" s="39">
        <f t="shared" si="40"/>
        <v>0</v>
      </c>
      <c r="E113" s="39">
        <f t="shared" si="41"/>
        <v>0</v>
      </c>
      <c r="F113" s="39">
        <f t="shared" si="42"/>
        <v>470964078</v>
      </c>
      <c r="G113" s="39">
        <f t="shared" si="43"/>
        <v>470964078</v>
      </c>
      <c r="H113" s="39">
        <f t="shared" si="44"/>
        <v>0</v>
      </c>
      <c r="I113" s="39">
        <f t="shared" si="45"/>
        <v>0</v>
      </c>
      <c r="J113" s="39">
        <f t="shared" si="46"/>
        <v>0</v>
      </c>
      <c r="K113" s="39">
        <f t="shared" si="47"/>
        <v>0</v>
      </c>
      <c r="L113" s="39">
        <f t="shared" si="48"/>
        <v>0</v>
      </c>
      <c r="M113" s="39">
        <f t="shared" si="49"/>
        <v>0</v>
      </c>
      <c r="O113" s="35">
        <f t="shared" si="50"/>
        <v>1</v>
      </c>
    </row>
    <row r="114" spans="2:15" ht="23.1" customHeight="1">
      <c r="B114" s="16">
        <f>AKUN!B111</f>
        <v>210201</v>
      </c>
      <c r="C114" s="7" t="str">
        <f t="shared" si="39"/>
        <v>HUTANG BANK JANGKA PENDEK</v>
      </c>
      <c r="D114" s="39">
        <f t="shared" si="40"/>
        <v>0</v>
      </c>
      <c r="E114" s="39">
        <f t="shared" si="41"/>
        <v>0</v>
      </c>
      <c r="F114" s="39">
        <f t="shared" si="42"/>
        <v>0</v>
      </c>
      <c r="G114" s="39">
        <f t="shared" si="43"/>
        <v>0</v>
      </c>
      <c r="H114" s="39">
        <f t="shared" si="44"/>
        <v>0</v>
      </c>
      <c r="I114" s="39">
        <f t="shared" si="45"/>
        <v>0</v>
      </c>
      <c r="J114" s="39">
        <f t="shared" si="46"/>
        <v>0</v>
      </c>
      <c r="K114" s="39">
        <f t="shared" si="47"/>
        <v>0</v>
      </c>
      <c r="L114" s="39">
        <f t="shared" si="48"/>
        <v>0</v>
      </c>
      <c r="M114" s="39">
        <f t="shared" si="49"/>
        <v>0</v>
      </c>
      <c r="O114" s="35">
        <f t="shared" si="50"/>
        <v>0</v>
      </c>
    </row>
    <row r="115" spans="2:15" ht="23.1" customHeight="1">
      <c r="B115" s="16">
        <f>AKUN!B112</f>
        <v>210215</v>
      </c>
      <c r="C115" s="7" t="str">
        <f t="shared" si="39"/>
        <v>HUTANG JASPRO DIREKSI</v>
      </c>
      <c r="D115" s="39">
        <f t="shared" si="40"/>
        <v>0</v>
      </c>
      <c r="E115" s="39">
        <f t="shared" si="41"/>
        <v>0</v>
      </c>
      <c r="F115" s="39">
        <f t="shared" si="42"/>
        <v>25688950</v>
      </c>
      <c r="G115" s="39">
        <f t="shared" si="43"/>
        <v>25688950</v>
      </c>
      <c r="H115" s="39">
        <f t="shared" si="44"/>
        <v>0</v>
      </c>
      <c r="I115" s="39">
        <f t="shared" si="45"/>
        <v>0</v>
      </c>
      <c r="J115" s="39">
        <f t="shared" si="46"/>
        <v>0</v>
      </c>
      <c r="K115" s="39">
        <f t="shared" si="47"/>
        <v>0</v>
      </c>
      <c r="L115" s="39">
        <f t="shared" si="48"/>
        <v>0</v>
      </c>
      <c r="M115" s="39">
        <f t="shared" si="49"/>
        <v>0</v>
      </c>
      <c r="O115" s="35">
        <f t="shared" si="50"/>
        <v>1</v>
      </c>
    </row>
    <row r="116" spans="2:15" ht="23.1" customHeight="1">
      <c r="B116" s="16">
        <f>AKUN!B113</f>
        <v>210216</v>
      </c>
      <c r="C116" s="7" t="str">
        <f t="shared" si="39"/>
        <v>HUTANG JASPRO KARYAWAN</v>
      </c>
      <c r="D116" s="39">
        <f t="shared" si="40"/>
        <v>0</v>
      </c>
      <c r="E116" s="39">
        <f t="shared" si="41"/>
        <v>0</v>
      </c>
      <c r="F116" s="39">
        <f t="shared" si="42"/>
        <v>107037290</v>
      </c>
      <c r="G116" s="39">
        <f t="shared" si="43"/>
        <v>107037290</v>
      </c>
      <c r="H116" s="39">
        <f t="shared" si="44"/>
        <v>0</v>
      </c>
      <c r="I116" s="39">
        <f t="shared" si="45"/>
        <v>0</v>
      </c>
      <c r="J116" s="39">
        <f t="shared" si="46"/>
        <v>0</v>
      </c>
      <c r="K116" s="39">
        <f t="shared" si="47"/>
        <v>0</v>
      </c>
      <c r="L116" s="39">
        <f t="shared" si="48"/>
        <v>0</v>
      </c>
      <c r="M116" s="39">
        <f t="shared" si="49"/>
        <v>0</v>
      </c>
      <c r="O116" s="35">
        <f t="shared" si="50"/>
        <v>1</v>
      </c>
    </row>
    <row r="117" spans="2:15" ht="23.1" customHeight="1">
      <c r="B117" s="16">
        <f>AKUN!B114</f>
        <v>210200</v>
      </c>
      <c r="C117" s="7" t="str">
        <f t="shared" si="39"/>
        <v>HUTANG PAJAK</v>
      </c>
      <c r="D117" s="39" t="str">
        <f t="shared" si="40"/>
        <v/>
      </c>
      <c r="E117" s="39" t="str">
        <f t="shared" si="41"/>
        <v/>
      </c>
      <c r="F117" s="39">
        <f t="shared" si="42"/>
        <v>0</v>
      </c>
      <c r="G117" s="39">
        <f t="shared" si="43"/>
        <v>0</v>
      </c>
      <c r="H117" s="39" t="str">
        <f t="shared" si="44"/>
        <v/>
      </c>
      <c r="I117" s="39" t="str">
        <f t="shared" si="45"/>
        <v/>
      </c>
      <c r="J117" s="39" t="str">
        <f t="shared" si="46"/>
        <v/>
      </c>
      <c r="K117" s="39" t="str">
        <f t="shared" si="47"/>
        <v/>
      </c>
      <c r="L117" s="39" t="str">
        <f t="shared" si="48"/>
        <v/>
      </c>
      <c r="M117" s="39" t="str">
        <f t="shared" si="49"/>
        <v/>
      </c>
      <c r="O117" s="35">
        <f t="shared" si="50"/>
        <v>1</v>
      </c>
    </row>
    <row r="118" spans="2:15" ht="23.1" customHeight="1">
      <c r="B118" s="16">
        <f>AKUN!B115</f>
        <v>210206</v>
      </c>
      <c r="C118" s="7" t="str">
        <f t="shared" si="39"/>
        <v>HUTANG PAJAK (PPH BADAN)</v>
      </c>
      <c r="D118" s="39">
        <f t="shared" si="40"/>
        <v>0</v>
      </c>
      <c r="E118" s="39">
        <f t="shared" si="41"/>
        <v>282850702</v>
      </c>
      <c r="F118" s="39">
        <f t="shared" si="42"/>
        <v>282850702</v>
      </c>
      <c r="G118" s="39">
        <f t="shared" si="43"/>
        <v>0</v>
      </c>
      <c r="H118" s="39">
        <f t="shared" si="44"/>
        <v>0</v>
      </c>
      <c r="I118" s="39">
        <f t="shared" si="45"/>
        <v>0</v>
      </c>
      <c r="J118" s="39">
        <f t="shared" si="46"/>
        <v>0</v>
      </c>
      <c r="K118" s="39">
        <f t="shared" si="47"/>
        <v>0</v>
      </c>
      <c r="L118" s="39">
        <f t="shared" si="48"/>
        <v>0</v>
      </c>
      <c r="M118" s="39">
        <f t="shared" si="49"/>
        <v>0</v>
      </c>
      <c r="O118" s="35">
        <f t="shared" si="50"/>
        <v>1</v>
      </c>
    </row>
    <row r="119" spans="2:15" ht="23.1" customHeight="1">
      <c r="B119" s="16">
        <f>AKUN!B116</f>
        <v>210207</v>
      </c>
      <c r="C119" s="7" t="str">
        <f t="shared" si="39"/>
        <v>HUTANG PAJAK PARKIR PLB</v>
      </c>
      <c r="D119" s="39">
        <f t="shared" si="40"/>
        <v>0</v>
      </c>
      <c r="E119" s="39">
        <f t="shared" si="41"/>
        <v>508871680</v>
      </c>
      <c r="F119" s="39">
        <f t="shared" si="42"/>
        <v>182862240</v>
      </c>
      <c r="G119" s="39">
        <f t="shared" si="43"/>
        <v>0</v>
      </c>
      <c r="H119" s="39">
        <f t="shared" si="44"/>
        <v>0</v>
      </c>
      <c r="I119" s="39">
        <f t="shared" si="45"/>
        <v>326009440</v>
      </c>
      <c r="J119" s="39">
        <f t="shared" si="46"/>
        <v>0</v>
      </c>
      <c r="K119" s="39">
        <f t="shared" si="47"/>
        <v>0</v>
      </c>
      <c r="L119" s="39">
        <f t="shared" si="48"/>
        <v>0</v>
      </c>
      <c r="M119" s="39">
        <f t="shared" si="49"/>
        <v>326009440</v>
      </c>
      <c r="O119" s="35">
        <f t="shared" si="50"/>
        <v>1</v>
      </c>
    </row>
    <row r="120" spans="2:15" ht="23.1" customHeight="1">
      <c r="B120" s="16">
        <f>AKUN!B117</f>
        <v>210208</v>
      </c>
      <c r="C120" s="7" t="str">
        <f t="shared" si="39"/>
        <v>HUTANG PAJAK PPH 21</v>
      </c>
      <c r="D120" s="39">
        <f t="shared" si="40"/>
        <v>0</v>
      </c>
      <c r="E120" s="39">
        <f t="shared" si="41"/>
        <v>0</v>
      </c>
      <c r="F120" s="39">
        <f t="shared" si="42"/>
        <v>0</v>
      </c>
      <c r="G120" s="39">
        <f t="shared" si="43"/>
        <v>0</v>
      </c>
      <c r="H120" s="39">
        <f t="shared" si="44"/>
        <v>0</v>
      </c>
      <c r="I120" s="39">
        <f t="shared" si="45"/>
        <v>0</v>
      </c>
      <c r="J120" s="39">
        <f t="shared" si="46"/>
        <v>0</v>
      </c>
      <c r="K120" s="39">
        <f t="shared" si="47"/>
        <v>0</v>
      </c>
      <c r="L120" s="39">
        <f t="shared" si="48"/>
        <v>0</v>
      </c>
      <c r="M120" s="39">
        <f t="shared" si="49"/>
        <v>0</v>
      </c>
      <c r="O120" s="35">
        <f t="shared" si="50"/>
        <v>0</v>
      </c>
    </row>
    <row r="121" spans="2:15" ht="23.1" customHeight="1">
      <c r="B121" s="16">
        <f>AKUN!B118</f>
        <v>210209</v>
      </c>
      <c r="C121" s="7" t="str">
        <f t="shared" si="39"/>
        <v>HUTANG PAJAK PPH 25</v>
      </c>
      <c r="D121" s="39">
        <f t="shared" si="40"/>
        <v>0</v>
      </c>
      <c r="E121" s="39">
        <f t="shared" si="41"/>
        <v>0</v>
      </c>
      <c r="F121" s="39">
        <f t="shared" si="42"/>
        <v>0</v>
      </c>
      <c r="G121" s="39">
        <f t="shared" si="43"/>
        <v>0</v>
      </c>
      <c r="H121" s="39">
        <f t="shared" si="44"/>
        <v>0</v>
      </c>
      <c r="I121" s="39">
        <f t="shared" si="45"/>
        <v>0</v>
      </c>
      <c r="J121" s="39">
        <f t="shared" si="46"/>
        <v>0</v>
      </c>
      <c r="K121" s="39">
        <f t="shared" si="47"/>
        <v>0</v>
      </c>
      <c r="L121" s="39">
        <f t="shared" si="48"/>
        <v>0</v>
      </c>
      <c r="M121" s="39">
        <f t="shared" si="49"/>
        <v>0</v>
      </c>
      <c r="O121" s="35">
        <f t="shared" si="50"/>
        <v>0</v>
      </c>
    </row>
    <row r="122" spans="2:15" ht="23.1" customHeight="1">
      <c r="B122" s="16">
        <f>AKUN!B119</f>
        <v>210210</v>
      </c>
      <c r="C122" s="7" t="str">
        <f t="shared" si="39"/>
        <v>HUTANG PAJAK PPH 23</v>
      </c>
      <c r="D122" s="39">
        <f t="shared" si="40"/>
        <v>0</v>
      </c>
      <c r="E122" s="39">
        <f t="shared" si="41"/>
        <v>0</v>
      </c>
      <c r="F122" s="39">
        <f t="shared" si="42"/>
        <v>0</v>
      </c>
      <c r="G122" s="39">
        <f t="shared" si="43"/>
        <v>0</v>
      </c>
      <c r="H122" s="39">
        <f t="shared" si="44"/>
        <v>0</v>
      </c>
      <c r="I122" s="39">
        <f t="shared" si="45"/>
        <v>0</v>
      </c>
      <c r="J122" s="39">
        <f t="shared" si="46"/>
        <v>0</v>
      </c>
      <c r="K122" s="39">
        <f t="shared" si="47"/>
        <v>0</v>
      </c>
      <c r="L122" s="39">
        <f t="shared" si="48"/>
        <v>0</v>
      </c>
      <c r="M122" s="39">
        <f t="shared" si="49"/>
        <v>0</v>
      </c>
      <c r="O122" s="35">
        <f t="shared" si="50"/>
        <v>0</v>
      </c>
    </row>
    <row r="123" spans="2:15" ht="23.1" customHeight="1">
      <c r="B123" s="16">
        <f>AKUN!B120</f>
        <v>210211</v>
      </c>
      <c r="C123" s="7" t="str">
        <f t="shared" si="39"/>
        <v>PPN KELUARAN</v>
      </c>
      <c r="D123" s="39">
        <f t="shared" si="40"/>
        <v>0</v>
      </c>
      <c r="E123" s="39">
        <f t="shared" si="41"/>
        <v>0</v>
      </c>
      <c r="F123" s="39">
        <f t="shared" si="42"/>
        <v>0</v>
      </c>
      <c r="G123" s="39">
        <f t="shared" si="43"/>
        <v>0</v>
      </c>
      <c r="H123" s="39">
        <f t="shared" si="44"/>
        <v>0</v>
      </c>
      <c r="I123" s="39">
        <f t="shared" si="45"/>
        <v>0</v>
      </c>
      <c r="J123" s="39">
        <f t="shared" si="46"/>
        <v>0</v>
      </c>
      <c r="K123" s="39">
        <f t="shared" si="47"/>
        <v>0</v>
      </c>
      <c r="L123" s="39">
        <f t="shared" si="48"/>
        <v>0</v>
      </c>
      <c r="M123" s="39">
        <f t="shared" si="49"/>
        <v>0</v>
      </c>
      <c r="O123" s="35">
        <f t="shared" si="50"/>
        <v>0</v>
      </c>
    </row>
    <row r="124" spans="2:15" ht="23.1" customHeight="1">
      <c r="B124" s="16">
        <f>AKUN!B121</f>
        <v>220100</v>
      </c>
      <c r="C124" s="7" t="str">
        <f t="shared" si="39"/>
        <v>HUTANG JANGKA PANJANG</v>
      </c>
      <c r="D124" s="39" t="str">
        <f t="shared" si="40"/>
        <v/>
      </c>
      <c r="E124" s="39" t="str">
        <f t="shared" si="41"/>
        <v/>
      </c>
      <c r="F124" s="39">
        <f t="shared" si="42"/>
        <v>0</v>
      </c>
      <c r="G124" s="39">
        <f t="shared" si="43"/>
        <v>0</v>
      </c>
      <c r="H124" s="39" t="str">
        <f t="shared" si="44"/>
        <v/>
      </c>
      <c r="I124" s="39" t="str">
        <f t="shared" si="45"/>
        <v/>
      </c>
      <c r="J124" s="39" t="str">
        <f t="shared" si="46"/>
        <v/>
      </c>
      <c r="K124" s="39" t="str">
        <f t="shared" si="47"/>
        <v/>
      </c>
      <c r="L124" s="39" t="str">
        <f t="shared" si="48"/>
        <v/>
      </c>
      <c r="M124" s="39" t="str">
        <f t="shared" si="49"/>
        <v/>
      </c>
      <c r="O124" s="35">
        <f t="shared" si="50"/>
        <v>1</v>
      </c>
    </row>
    <row r="125" spans="2:15" ht="23.1" customHeight="1">
      <c r="B125" s="16">
        <f>AKUN!B122</f>
        <v>220101</v>
      </c>
      <c r="C125" s="7" t="str">
        <f t="shared" si="39"/>
        <v>HUTANG JK JANGKA PANJANG - KMK</v>
      </c>
      <c r="D125" s="39">
        <f t="shared" si="40"/>
        <v>0</v>
      </c>
      <c r="E125" s="39">
        <f t="shared" si="41"/>
        <v>0</v>
      </c>
      <c r="F125" s="39">
        <f t="shared" si="42"/>
        <v>0</v>
      </c>
      <c r="G125" s="39">
        <f t="shared" si="43"/>
        <v>0</v>
      </c>
      <c r="H125" s="39">
        <f t="shared" si="44"/>
        <v>0</v>
      </c>
      <c r="I125" s="39">
        <f t="shared" si="45"/>
        <v>0</v>
      </c>
      <c r="J125" s="39">
        <f t="shared" si="46"/>
        <v>0</v>
      </c>
      <c r="K125" s="39">
        <f t="shared" si="47"/>
        <v>0</v>
      </c>
      <c r="L125" s="39">
        <f t="shared" si="48"/>
        <v>0</v>
      </c>
      <c r="M125" s="39">
        <f t="shared" si="49"/>
        <v>0</v>
      </c>
      <c r="O125" s="35">
        <f t="shared" si="50"/>
        <v>0</v>
      </c>
    </row>
    <row r="126" spans="2:15" ht="23.1" customHeight="1">
      <c r="B126" s="16">
        <f>AKUN!B123</f>
        <v>220102</v>
      </c>
      <c r="C126" s="7" t="str">
        <f t="shared" si="39"/>
        <v>HUTANG JK JANGKA PANJANG - KI</v>
      </c>
      <c r="D126" s="39">
        <f t="shared" si="40"/>
        <v>0</v>
      </c>
      <c r="E126" s="39">
        <f t="shared" si="41"/>
        <v>0</v>
      </c>
      <c r="F126" s="39">
        <f t="shared" si="42"/>
        <v>0</v>
      </c>
      <c r="G126" s="39">
        <f t="shared" si="43"/>
        <v>0</v>
      </c>
      <c r="H126" s="39">
        <f t="shared" si="44"/>
        <v>0</v>
      </c>
      <c r="I126" s="39">
        <f t="shared" si="45"/>
        <v>0</v>
      </c>
      <c r="J126" s="39">
        <f t="shared" si="46"/>
        <v>0</v>
      </c>
      <c r="K126" s="39">
        <f t="shared" si="47"/>
        <v>0</v>
      </c>
      <c r="L126" s="39">
        <f t="shared" si="48"/>
        <v>0</v>
      </c>
      <c r="M126" s="39">
        <f t="shared" si="49"/>
        <v>0</v>
      </c>
      <c r="O126" s="35">
        <f t="shared" si="50"/>
        <v>0</v>
      </c>
    </row>
    <row r="127" spans="2:15" ht="23.1" customHeight="1">
      <c r="B127" s="16">
        <f>AKUN!B124</f>
        <v>310000</v>
      </c>
      <c r="C127" s="7" t="str">
        <f t="shared" si="39"/>
        <v>MODAL</v>
      </c>
      <c r="D127" s="39" t="str">
        <f t="shared" si="40"/>
        <v/>
      </c>
      <c r="E127" s="39" t="str">
        <f t="shared" si="41"/>
        <v/>
      </c>
      <c r="F127" s="39">
        <f t="shared" si="42"/>
        <v>0</v>
      </c>
      <c r="G127" s="39">
        <f t="shared" si="43"/>
        <v>0</v>
      </c>
      <c r="H127" s="39" t="str">
        <f t="shared" si="44"/>
        <v/>
      </c>
      <c r="I127" s="39" t="str">
        <f t="shared" si="45"/>
        <v/>
      </c>
      <c r="J127" s="39" t="str">
        <f t="shared" si="46"/>
        <v/>
      </c>
      <c r="K127" s="39" t="str">
        <f t="shared" si="47"/>
        <v/>
      </c>
      <c r="L127" s="39" t="str">
        <f t="shared" si="48"/>
        <v/>
      </c>
      <c r="M127" s="39" t="str">
        <f t="shared" si="49"/>
        <v/>
      </c>
      <c r="O127" s="35">
        <f t="shared" si="50"/>
        <v>1</v>
      </c>
    </row>
    <row r="128" spans="2:15" ht="23.1" customHeight="1">
      <c r="B128" s="16">
        <f>AKUN!B125</f>
        <v>310101</v>
      </c>
      <c r="C128" s="7" t="str">
        <f t="shared" si="39"/>
        <v>MODAL SAHAM</v>
      </c>
      <c r="D128" s="39">
        <f t="shared" si="40"/>
        <v>0</v>
      </c>
      <c r="E128" s="39">
        <f t="shared" si="41"/>
        <v>2079027500</v>
      </c>
      <c r="F128" s="39">
        <f t="shared" si="42"/>
        <v>0</v>
      </c>
      <c r="G128" s="39">
        <f t="shared" si="43"/>
        <v>0</v>
      </c>
      <c r="H128" s="39">
        <f t="shared" si="44"/>
        <v>0</v>
      </c>
      <c r="I128" s="39">
        <f t="shared" si="45"/>
        <v>2079027500</v>
      </c>
      <c r="J128" s="39">
        <f t="shared" si="46"/>
        <v>0</v>
      </c>
      <c r="K128" s="39">
        <f t="shared" si="47"/>
        <v>0</v>
      </c>
      <c r="L128" s="39">
        <f t="shared" si="48"/>
        <v>0</v>
      </c>
      <c r="M128" s="39">
        <f t="shared" si="49"/>
        <v>2079027500</v>
      </c>
      <c r="O128" s="35">
        <f t="shared" si="50"/>
        <v>1</v>
      </c>
    </row>
    <row r="129" spans="2:15" ht="23.1" customHeight="1">
      <c r="B129" s="16">
        <f>AKUN!B126</f>
        <v>310102</v>
      </c>
      <c r="C129" s="7" t="str">
        <f t="shared" si="39"/>
        <v>ASET PEMKOT DIPISAHKAN</v>
      </c>
      <c r="D129" s="39">
        <f t="shared" si="40"/>
        <v>0</v>
      </c>
      <c r="E129" s="39">
        <f t="shared" si="41"/>
        <v>1258945600</v>
      </c>
      <c r="F129" s="39">
        <f t="shared" si="42"/>
        <v>0</v>
      </c>
      <c r="G129" s="39">
        <f t="shared" si="43"/>
        <v>0</v>
      </c>
      <c r="H129" s="39">
        <f t="shared" si="44"/>
        <v>0</v>
      </c>
      <c r="I129" s="39">
        <f t="shared" si="45"/>
        <v>1258945600</v>
      </c>
      <c r="J129" s="39">
        <f t="shared" si="46"/>
        <v>0</v>
      </c>
      <c r="K129" s="39">
        <f t="shared" si="47"/>
        <v>0</v>
      </c>
      <c r="L129" s="39">
        <f t="shared" si="48"/>
        <v>0</v>
      </c>
      <c r="M129" s="39">
        <f t="shared" si="49"/>
        <v>1258945600</v>
      </c>
      <c r="O129" s="35">
        <f t="shared" si="50"/>
        <v>1</v>
      </c>
    </row>
    <row r="130" spans="2:15" ht="23.1" customHeight="1">
      <c r="B130" s="16">
        <f>AKUN!B127</f>
        <v>310200</v>
      </c>
      <c r="C130" s="7" t="str">
        <f t="shared" si="39"/>
        <v>LABA DITAHAN</v>
      </c>
      <c r="D130" s="39" t="str">
        <f t="shared" si="40"/>
        <v/>
      </c>
      <c r="E130" s="39" t="str">
        <f t="shared" si="41"/>
        <v/>
      </c>
      <c r="F130" s="39">
        <f t="shared" si="42"/>
        <v>0</v>
      </c>
      <c r="G130" s="39">
        <f t="shared" si="43"/>
        <v>0</v>
      </c>
      <c r="H130" s="39" t="str">
        <f t="shared" si="44"/>
        <v/>
      </c>
      <c r="I130" s="39" t="str">
        <f t="shared" si="45"/>
        <v/>
      </c>
      <c r="J130" s="39" t="str">
        <f t="shared" si="46"/>
        <v/>
      </c>
      <c r="K130" s="39" t="str">
        <f t="shared" si="47"/>
        <v/>
      </c>
      <c r="L130" s="39" t="str">
        <f t="shared" si="48"/>
        <v/>
      </c>
      <c r="M130" s="39" t="str">
        <f t="shared" si="49"/>
        <v/>
      </c>
      <c r="O130" s="35">
        <f t="shared" si="50"/>
        <v>1</v>
      </c>
    </row>
    <row r="131" spans="2:15" ht="23.1" customHeight="1">
      <c r="B131" s="16">
        <f>AKUN!B128</f>
        <v>310201</v>
      </c>
      <c r="C131" s="7" t="str">
        <f t="shared" si="39"/>
        <v>DIVIDEN</v>
      </c>
      <c r="D131" s="39">
        <f t="shared" si="40"/>
        <v>0</v>
      </c>
      <c r="E131" s="39">
        <f t="shared" si="41"/>
        <v>470964078</v>
      </c>
      <c r="F131" s="39">
        <f t="shared" si="42"/>
        <v>470964078</v>
      </c>
      <c r="G131" s="39">
        <f t="shared" si="43"/>
        <v>0</v>
      </c>
      <c r="H131" s="39">
        <f t="shared" si="44"/>
        <v>0</v>
      </c>
      <c r="I131" s="39">
        <f t="shared" si="45"/>
        <v>0</v>
      </c>
      <c r="J131" s="39">
        <f t="shared" si="46"/>
        <v>0</v>
      </c>
      <c r="K131" s="39">
        <f t="shared" si="47"/>
        <v>0</v>
      </c>
      <c r="L131" s="39">
        <f t="shared" si="48"/>
        <v>0</v>
      </c>
      <c r="M131" s="39">
        <f t="shared" si="49"/>
        <v>0</v>
      </c>
      <c r="O131" s="35">
        <f t="shared" si="50"/>
        <v>1</v>
      </c>
    </row>
    <row r="132" spans="2:15" ht="23.1" customHeight="1">
      <c r="B132" s="16">
        <f>AKUN!B129</f>
        <v>310202</v>
      </c>
      <c r="C132" s="7" t="str">
        <f t="shared" si="39"/>
        <v>LABA DITAHAN - DANA CSR</v>
      </c>
      <c r="D132" s="39">
        <f t="shared" si="40"/>
        <v>0</v>
      </c>
      <c r="E132" s="39">
        <f t="shared" si="41"/>
        <v>184187754</v>
      </c>
      <c r="F132" s="39">
        <f t="shared" si="42"/>
        <v>0</v>
      </c>
      <c r="G132" s="39">
        <f t="shared" si="43"/>
        <v>0</v>
      </c>
      <c r="H132" s="39">
        <f t="shared" si="44"/>
        <v>0</v>
      </c>
      <c r="I132" s="39">
        <f t="shared" si="45"/>
        <v>184187754</v>
      </c>
      <c r="J132" s="39">
        <f t="shared" si="46"/>
        <v>0</v>
      </c>
      <c r="K132" s="39">
        <f t="shared" si="47"/>
        <v>0</v>
      </c>
      <c r="L132" s="39">
        <f t="shared" si="48"/>
        <v>0</v>
      </c>
      <c r="M132" s="39">
        <f t="shared" si="49"/>
        <v>184187754</v>
      </c>
      <c r="O132" s="35">
        <f t="shared" si="50"/>
        <v>1</v>
      </c>
    </row>
    <row r="133" spans="2:15" ht="23.1" customHeight="1">
      <c r="B133" s="16">
        <f>AKUN!B130</f>
        <v>310203</v>
      </c>
      <c r="C133" s="7" t="str">
        <f t="shared" si="39"/>
        <v>LABA DITAHAN - DANA SOSIAL</v>
      </c>
      <c r="D133" s="39">
        <f t="shared" si="40"/>
        <v>0</v>
      </c>
      <c r="E133" s="39">
        <f t="shared" si="41"/>
        <v>471384847</v>
      </c>
      <c r="F133" s="39">
        <f t="shared" si="42"/>
        <v>0</v>
      </c>
      <c r="G133" s="39">
        <f t="shared" si="43"/>
        <v>0</v>
      </c>
      <c r="H133" s="39">
        <f t="shared" si="44"/>
        <v>0</v>
      </c>
      <c r="I133" s="39">
        <f t="shared" si="45"/>
        <v>471384847</v>
      </c>
      <c r="J133" s="39">
        <f t="shared" si="46"/>
        <v>0</v>
      </c>
      <c r="K133" s="39">
        <f t="shared" si="47"/>
        <v>0</v>
      </c>
      <c r="L133" s="39">
        <f t="shared" si="48"/>
        <v>0</v>
      </c>
      <c r="M133" s="39">
        <f t="shared" si="49"/>
        <v>471384847</v>
      </c>
      <c r="O133" s="35">
        <f t="shared" si="50"/>
        <v>1</v>
      </c>
    </row>
    <row r="134" spans="2:15" ht="23.1" customHeight="1">
      <c r="B134" s="16">
        <f>AKUN!B131</f>
        <v>310204</v>
      </c>
      <c r="C134" s="7" t="str">
        <f t="shared" si="39"/>
        <v>LABA DITAHAN - DANA PENSIUN DAN SOKONGAN</v>
      </c>
      <c r="D134" s="39">
        <f t="shared" si="40"/>
        <v>0</v>
      </c>
      <c r="E134" s="39">
        <f t="shared" si="41"/>
        <v>487257279</v>
      </c>
      <c r="F134" s="39">
        <f t="shared" si="42"/>
        <v>0</v>
      </c>
      <c r="G134" s="39">
        <f t="shared" si="43"/>
        <v>0</v>
      </c>
      <c r="H134" s="39">
        <f t="shared" si="44"/>
        <v>0</v>
      </c>
      <c r="I134" s="39">
        <f t="shared" si="45"/>
        <v>487257279</v>
      </c>
      <c r="J134" s="39">
        <f t="shared" si="46"/>
        <v>0</v>
      </c>
      <c r="K134" s="39">
        <f t="shared" si="47"/>
        <v>0</v>
      </c>
      <c r="L134" s="39">
        <f t="shared" si="48"/>
        <v>0</v>
      </c>
      <c r="M134" s="39">
        <f t="shared" si="49"/>
        <v>487257279</v>
      </c>
      <c r="O134" s="35">
        <f t="shared" si="50"/>
        <v>1</v>
      </c>
    </row>
    <row r="135" spans="2:15" ht="23.1" customHeight="1">
      <c r="B135" s="16">
        <f>AKUN!B132</f>
        <v>310205</v>
      </c>
      <c r="C135" s="7" t="str">
        <f t="shared" si="39"/>
        <v>LABA DITAHAN - CADANGAN</v>
      </c>
      <c r="D135" s="39">
        <f t="shared" si="40"/>
        <v>0</v>
      </c>
      <c r="E135" s="39">
        <f t="shared" si="41"/>
        <v>1766218871</v>
      </c>
      <c r="F135" s="39">
        <f t="shared" si="42"/>
        <v>132726240</v>
      </c>
      <c r="G135" s="39">
        <f t="shared" si="43"/>
        <v>584485613</v>
      </c>
      <c r="H135" s="39">
        <f t="shared" si="44"/>
        <v>0</v>
      </c>
      <c r="I135" s="39">
        <f t="shared" si="45"/>
        <v>2217978244</v>
      </c>
      <c r="J135" s="39">
        <f t="shared" si="46"/>
        <v>0</v>
      </c>
      <c r="K135" s="39">
        <f t="shared" si="47"/>
        <v>0</v>
      </c>
      <c r="L135" s="39">
        <f t="shared" si="48"/>
        <v>0</v>
      </c>
      <c r="M135" s="39">
        <f t="shared" si="49"/>
        <v>2217978244</v>
      </c>
      <c r="O135" s="35">
        <f t="shared" si="50"/>
        <v>1</v>
      </c>
    </row>
    <row r="136" spans="2:15" ht="23.1" customHeight="1">
      <c r="B136" s="16">
        <f>AKUN!B133</f>
        <v>310206</v>
      </c>
      <c r="C136" s="7" t="str">
        <f t="shared" si="39"/>
        <v>LABA TAHUN SEBELUMNYA</v>
      </c>
      <c r="D136" s="39">
        <f t="shared" si="40"/>
        <v>0</v>
      </c>
      <c r="E136" s="39">
        <f t="shared" si="41"/>
        <v>492031167</v>
      </c>
      <c r="F136" s="39">
        <f t="shared" si="42"/>
        <v>492031167</v>
      </c>
      <c r="G136" s="39">
        <f t="shared" si="43"/>
        <v>0</v>
      </c>
      <c r="H136" s="39">
        <f t="shared" si="44"/>
        <v>0</v>
      </c>
      <c r="I136" s="39">
        <f t="shared" si="45"/>
        <v>0</v>
      </c>
      <c r="J136" s="39">
        <f t="shared" si="46"/>
        <v>0</v>
      </c>
      <c r="K136" s="39">
        <f t="shared" si="47"/>
        <v>0</v>
      </c>
      <c r="L136" s="39">
        <f t="shared" si="48"/>
        <v>0</v>
      </c>
      <c r="M136" s="39">
        <f t="shared" si="49"/>
        <v>0</v>
      </c>
      <c r="O136" s="35">
        <f t="shared" si="50"/>
        <v>1</v>
      </c>
    </row>
    <row r="137" spans="2:15" ht="23.25" customHeight="1">
      <c r="B137" s="16">
        <f>AKUN!B134</f>
        <v>310207</v>
      </c>
      <c r="C137" s="7" t="str">
        <f t="shared" si="39"/>
        <v>LABA TAHUN BERJALAN</v>
      </c>
      <c r="D137" s="39">
        <f t="shared" si="40"/>
        <v>0</v>
      </c>
      <c r="E137" s="39">
        <f t="shared" si="41"/>
        <v>0</v>
      </c>
      <c r="F137" s="39">
        <f t="shared" si="42"/>
        <v>0</v>
      </c>
      <c r="G137" s="39">
        <f t="shared" si="43"/>
        <v>0</v>
      </c>
      <c r="H137" s="39">
        <f t="shared" si="44"/>
        <v>0</v>
      </c>
      <c r="I137" s="39">
        <f t="shared" si="45"/>
        <v>0</v>
      </c>
      <c r="J137" s="39">
        <f t="shared" si="46"/>
        <v>0</v>
      </c>
      <c r="K137" s="39">
        <f t="shared" si="47"/>
        <v>0</v>
      </c>
      <c r="L137" s="39">
        <f t="shared" si="48"/>
        <v>0</v>
      </c>
      <c r="M137" s="39">
        <f t="shared" si="49"/>
        <v>0</v>
      </c>
      <c r="O137" s="35">
        <f t="shared" si="50"/>
        <v>0</v>
      </c>
    </row>
    <row r="138" spans="2:15" ht="23.25" customHeight="1">
      <c r="B138" s="16">
        <f>AKUN!B135</f>
        <v>320100</v>
      </c>
      <c r="C138" s="7" t="str">
        <f t="shared" si="39"/>
        <v>KOREKSI LABA</v>
      </c>
      <c r="D138" s="39">
        <f t="shared" si="40"/>
        <v>0</v>
      </c>
      <c r="E138" s="39">
        <f t="shared" si="41"/>
        <v>0</v>
      </c>
      <c r="F138" s="39">
        <f t="shared" si="42"/>
        <v>92454446</v>
      </c>
      <c r="G138" s="39">
        <f t="shared" si="43"/>
        <v>92454446</v>
      </c>
      <c r="H138" s="39">
        <f t="shared" si="44"/>
        <v>0</v>
      </c>
      <c r="I138" s="39">
        <f t="shared" si="45"/>
        <v>0</v>
      </c>
      <c r="J138" s="39">
        <f t="shared" si="46"/>
        <v>0</v>
      </c>
      <c r="K138" s="39">
        <f t="shared" si="47"/>
        <v>0</v>
      </c>
      <c r="L138" s="39">
        <f t="shared" si="48"/>
        <v>0</v>
      </c>
      <c r="M138" s="39">
        <f t="shared" si="49"/>
        <v>0</v>
      </c>
      <c r="O138" s="35">
        <f t="shared" si="50"/>
        <v>1</v>
      </c>
    </row>
    <row r="139" spans="2:15" ht="23.1" customHeight="1">
      <c r="B139" s="16">
        <f>AKUN!B136</f>
        <v>400000</v>
      </c>
      <c r="C139" s="7" t="str">
        <f t="shared" si="39"/>
        <v>PENDAPATAN</v>
      </c>
      <c r="D139" s="39" t="str">
        <f t="shared" si="40"/>
        <v/>
      </c>
      <c r="E139" s="39" t="str">
        <f t="shared" si="41"/>
        <v/>
      </c>
      <c r="F139" s="39">
        <f t="shared" si="42"/>
        <v>0</v>
      </c>
      <c r="G139" s="39">
        <f t="shared" si="43"/>
        <v>0</v>
      </c>
      <c r="H139" s="39" t="str">
        <f t="shared" si="44"/>
        <v/>
      </c>
      <c r="I139" s="39" t="str">
        <f t="shared" si="45"/>
        <v/>
      </c>
      <c r="J139" s="39" t="str">
        <f t="shared" si="46"/>
        <v/>
      </c>
      <c r="K139" s="39" t="str">
        <f t="shared" si="47"/>
        <v/>
      </c>
      <c r="L139" s="39" t="str">
        <f t="shared" si="48"/>
        <v/>
      </c>
      <c r="M139" s="39" t="str">
        <f t="shared" si="49"/>
        <v/>
      </c>
      <c r="O139" s="35">
        <f t="shared" si="50"/>
        <v>1</v>
      </c>
    </row>
    <row r="140" spans="2:15" ht="23.1" customHeight="1">
      <c r="B140" s="16">
        <f>AKUN!B137</f>
        <v>410100</v>
      </c>
      <c r="C140" s="7" t="str">
        <f t="shared" si="39"/>
        <v>PENDAPATAN OPERASIONAL</v>
      </c>
      <c r="D140" s="39" t="str">
        <f t="shared" si="40"/>
        <v/>
      </c>
      <c r="E140" s="39" t="str">
        <f t="shared" si="41"/>
        <v/>
      </c>
      <c r="F140" s="39">
        <f t="shared" si="42"/>
        <v>0</v>
      </c>
      <c r="G140" s="39">
        <f t="shared" si="43"/>
        <v>0</v>
      </c>
      <c r="H140" s="39" t="str">
        <f t="shared" si="44"/>
        <v/>
      </c>
      <c r="I140" s="39" t="str">
        <f t="shared" si="45"/>
        <v/>
      </c>
      <c r="J140" s="39" t="str">
        <f t="shared" si="46"/>
        <v/>
      </c>
      <c r="K140" s="39" t="str">
        <f t="shared" si="47"/>
        <v/>
      </c>
      <c r="L140" s="39" t="str">
        <f t="shared" si="48"/>
        <v/>
      </c>
      <c r="M140" s="39" t="str">
        <f t="shared" si="49"/>
        <v/>
      </c>
      <c r="O140" s="35">
        <f t="shared" si="50"/>
        <v>1</v>
      </c>
    </row>
    <row r="141" spans="2:15" ht="23.1" customHeight="1">
      <c r="B141" s="16">
        <f>AKUN!B138</f>
        <v>410101</v>
      </c>
      <c r="C141" s="7" t="str">
        <f t="shared" si="39"/>
        <v>PENDAPATAN PARKIR TEPI JALAN UMUM (TJU)</v>
      </c>
      <c r="D141" s="39">
        <f t="shared" si="40"/>
        <v>0</v>
      </c>
      <c r="E141" s="39">
        <f t="shared" si="41"/>
        <v>0</v>
      </c>
      <c r="F141" s="39">
        <f t="shared" si="42"/>
        <v>0</v>
      </c>
      <c r="G141" s="39">
        <f t="shared" si="43"/>
        <v>8275697000</v>
      </c>
      <c r="H141" s="39">
        <f t="shared" si="44"/>
        <v>0</v>
      </c>
      <c r="I141" s="39">
        <f t="shared" si="45"/>
        <v>8275697000</v>
      </c>
      <c r="J141" s="39">
        <f t="shared" si="46"/>
        <v>0</v>
      </c>
      <c r="K141" s="39">
        <f t="shared" si="47"/>
        <v>8275697000</v>
      </c>
      <c r="L141" s="39">
        <f t="shared" si="48"/>
        <v>0</v>
      </c>
      <c r="M141" s="39">
        <f t="shared" si="49"/>
        <v>0</v>
      </c>
      <c r="O141" s="35">
        <f t="shared" si="50"/>
        <v>1</v>
      </c>
    </row>
    <row r="142" spans="2:15" ht="23.1" customHeight="1">
      <c r="B142" s="16">
        <f>AKUN!B139</f>
        <v>410102</v>
      </c>
      <c r="C142" s="7" t="str">
        <f t="shared" si="39"/>
        <v>PENDAPATAN PARKIR INSIDENTIL</v>
      </c>
      <c r="D142" s="39">
        <f t="shared" si="40"/>
        <v>0</v>
      </c>
      <c r="E142" s="39">
        <f t="shared" si="41"/>
        <v>0</v>
      </c>
      <c r="F142" s="39">
        <f t="shared" si="42"/>
        <v>0</v>
      </c>
      <c r="G142" s="39">
        <f t="shared" si="43"/>
        <v>92066000</v>
      </c>
      <c r="H142" s="39">
        <f t="shared" si="44"/>
        <v>0</v>
      </c>
      <c r="I142" s="39">
        <f t="shared" si="45"/>
        <v>92066000</v>
      </c>
      <c r="J142" s="39">
        <f t="shared" si="46"/>
        <v>0</v>
      </c>
      <c r="K142" s="39">
        <f t="shared" si="47"/>
        <v>92066000</v>
      </c>
      <c r="L142" s="39">
        <f t="shared" si="48"/>
        <v>0</v>
      </c>
      <c r="M142" s="39">
        <f t="shared" si="49"/>
        <v>0</v>
      </c>
      <c r="O142" s="35">
        <f t="shared" si="50"/>
        <v>1</v>
      </c>
    </row>
    <row r="143" spans="2:15" ht="23.1" customHeight="1">
      <c r="B143" s="16">
        <f>AKUN!B140</f>
        <v>410103</v>
      </c>
      <c r="C143" s="7" t="str">
        <f t="shared" si="39"/>
        <v>PENDAPATAN PARKIR KOMERSIL</v>
      </c>
      <c r="D143" s="39">
        <f t="shared" si="40"/>
        <v>0</v>
      </c>
      <c r="E143" s="39">
        <f t="shared" si="41"/>
        <v>0</v>
      </c>
      <c r="F143" s="39">
        <f t="shared" si="42"/>
        <v>0</v>
      </c>
      <c r="G143" s="39">
        <f t="shared" si="43"/>
        <v>2618870000</v>
      </c>
      <c r="H143" s="39">
        <f t="shared" si="44"/>
        <v>0</v>
      </c>
      <c r="I143" s="39">
        <f t="shared" si="45"/>
        <v>2618870000</v>
      </c>
      <c r="J143" s="39">
        <f t="shared" si="46"/>
        <v>0</v>
      </c>
      <c r="K143" s="39">
        <f t="shared" si="47"/>
        <v>2618870000</v>
      </c>
      <c r="L143" s="39">
        <f t="shared" si="48"/>
        <v>0</v>
      </c>
      <c r="M143" s="39">
        <f t="shared" si="49"/>
        <v>0</v>
      </c>
      <c r="O143" s="35">
        <f t="shared" si="50"/>
        <v>1</v>
      </c>
    </row>
    <row r="144" spans="2:15" ht="23.1" customHeight="1">
      <c r="B144" s="16">
        <f>AKUN!B141</f>
        <v>410104</v>
      </c>
      <c r="C144" s="7" t="str">
        <f t="shared" ref="C144:C147" si="63">IFERROR(INDEX(akun_ket,MATCH(B144,akun_kd,0)),"")</f>
        <v>PENDAPATAN PARKIR LANGGANAN BULANAN</v>
      </c>
      <c r="D144" s="39">
        <f t="shared" ref="D144:D147" si="64">IFERROR(INDEX(akun_db,MATCH(B144&amp;" | "&amp;C144,akun_kb,0))+SUMIFS(ju_sld,ju_tgl,"&lt;"&amp;awal,ju_debet,B144&amp;" | "&amp;C144),"")</f>
        <v>0</v>
      </c>
      <c r="E144" s="39">
        <f t="shared" ref="E144:E147" si="65">IFERROR(INDEX(akun_kr,MATCH(B144&amp;" | "&amp;C144,akun_kb,0))+SUMIFS(ju_sld,ju_tgl,"&lt;"&amp;awal,ju_kr,B144&amp;" | "&amp;C144),"")</f>
        <v>0</v>
      </c>
      <c r="F144" s="39">
        <f t="shared" ref="F144:F147" si="66">IFERROR(SUMIFS(ju_sld,ju_tgl,"&gt;="&amp;awal,ju_tgl,"&lt;="&amp;akhir,ju_debet,B144&amp;" | "&amp;C144),0)</f>
        <v>0</v>
      </c>
      <c r="G144" s="39">
        <f t="shared" ref="G144:G147" si="67">IFERROR(SUMIFS(ju_sld,ju_tgl,"&gt;="&amp;awal,ju_tgl,"&lt;="&amp;akhir,ju_kr,B144&amp;" | "&amp;C144),0)</f>
        <v>4996184000</v>
      </c>
      <c r="H144" s="39">
        <f t="shared" ref="H144:H147" si="68">IFERROR(IF(INDEX(typ_sn,MATCH(INDEX(akun_type,MATCH(B144,akun_kd,0)),typ_ket,0))="db",D144+F144-E144-G144,0),"")</f>
        <v>0</v>
      </c>
      <c r="I144" s="39">
        <f t="shared" ref="I144:I147" si="69">IFERROR(IF(INDEX(typ_sn,MATCH(INDEX(akun_type,MATCH(B144,akun_kd,0)),typ_ket,0))="Kr",G144+E144-F144-D144,0),"")</f>
        <v>4996184000</v>
      </c>
      <c r="J144" s="39">
        <f t="shared" ref="J144:J147" si="70">IFERROR(IF(AND(INDEX(typ_sn,MATCH(INDEX(akun_type,MATCH(B144,akun_kd,0)),typ_ket,0))="db",INDEX(typ_pos,MATCH(INDEX(akun_type,MATCH(B144,akun_kd,0)),typ_ket,0))="lr"),H144-I144,0),"")</f>
        <v>0</v>
      </c>
      <c r="K144" s="39">
        <f t="shared" ref="K144:K147" si="71">IFERROR(IF(AND(INDEX(typ_sn,MATCH(INDEX(akun_type,MATCH(B144,akun_kd,0)),typ_ket,0))="kr",INDEX(typ_pos,MATCH(INDEX(akun_type,MATCH(B144,akun_kd,0)),typ_ket,0))="lr"),I144-H144,0),"")</f>
        <v>4996184000</v>
      </c>
      <c r="L144" s="39">
        <f t="shared" ref="L144:L147" si="72">IFERROR(IF(AND(INDEX(typ_sn,MATCH(INDEX(akun_type,MATCH(B144,akun_kd,0)),typ_ket,0))="db",INDEX(typ_pos,MATCH(INDEX(akun_type,MATCH(B144,akun_kd,0)),typ_ket,0))="Nrc"),H144-I144,0),"")</f>
        <v>0</v>
      </c>
      <c r="M144" s="39">
        <f t="shared" ref="M144:M147" si="73">IFERROR(IF(AND(INDEX(typ_sn,MATCH(INDEX(akun_type,MATCH(B144,akun_kd,0)),typ_ket,0))="kr",INDEX(typ_pos,MATCH(INDEX(akun_type,MATCH(B144,akun_kd,0)),typ_ket,0))="nrc"),I144-H144,0),"")</f>
        <v>0</v>
      </c>
      <c r="O144" s="35">
        <f t="shared" ref="O144:O147" si="74">IF(AND(D144=0,E144=0,F144=0,G144=0,H144=0,I144=0,J144=0,K144=0,L144=0,M144=0),0,1)</f>
        <v>1</v>
      </c>
    </row>
    <row r="145" spans="2:15" ht="23.1" customHeight="1">
      <c r="B145" s="16">
        <f>AKUN!B142</f>
        <v>410105</v>
      </c>
      <c r="C145" s="7" t="str">
        <f t="shared" si="63"/>
        <v>PENDAPATAN SEWA LAHAN PARKIR</v>
      </c>
      <c r="D145" s="39">
        <f t="shared" si="64"/>
        <v>0</v>
      </c>
      <c r="E145" s="39">
        <f t="shared" si="65"/>
        <v>0</v>
      </c>
      <c r="F145" s="39">
        <f t="shared" si="66"/>
        <v>0</v>
      </c>
      <c r="G145" s="39">
        <f t="shared" si="67"/>
        <v>0</v>
      </c>
      <c r="H145" s="39">
        <f t="shared" si="68"/>
        <v>0</v>
      </c>
      <c r="I145" s="39">
        <f t="shared" si="69"/>
        <v>0</v>
      </c>
      <c r="J145" s="39">
        <f t="shared" si="70"/>
        <v>0</v>
      </c>
      <c r="K145" s="39">
        <f t="shared" si="71"/>
        <v>0</v>
      </c>
      <c r="L145" s="39">
        <f t="shared" si="72"/>
        <v>0</v>
      </c>
      <c r="M145" s="39">
        <f t="shared" si="73"/>
        <v>0</v>
      </c>
      <c r="O145" s="35">
        <f t="shared" si="74"/>
        <v>0</v>
      </c>
    </row>
    <row r="146" spans="2:15" ht="23.1" customHeight="1">
      <c r="B146" s="16">
        <f>AKUN!B143</f>
        <v>410106</v>
      </c>
      <c r="C146" s="7" t="str">
        <f t="shared" si="63"/>
        <v xml:space="preserve">PENDAPATAN PARKIR </v>
      </c>
      <c r="D146" s="39">
        <f t="shared" si="64"/>
        <v>0</v>
      </c>
      <c r="E146" s="39">
        <f t="shared" si="65"/>
        <v>0</v>
      </c>
      <c r="F146" s="39">
        <f t="shared" si="66"/>
        <v>0</v>
      </c>
      <c r="G146" s="39">
        <f t="shared" si="67"/>
        <v>0</v>
      </c>
      <c r="H146" s="39">
        <f t="shared" si="68"/>
        <v>0</v>
      </c>
      <c r="I146" s="39">
        <f t="shared" si="69"/>
        <v>0</v>
      </c>
      <c r="J146" s="39">
        <f t="shared" si="70"/>
        <v>0</v>
      </c>
      <c r="K146" s="39">
        <f t="shared" si="71"/>
        <v>0</v>
      </c>
      <c r="L146" s="39">
        <f t="shared" si="72"/>
        <v>0</v>
      </c>
      <c r="M146" s="39">
        <f t="shared" si="73"/>
        <v>0</v>
      </c>
      <c r="O146" s="35">
        <f t="shared" si="74"/>
        <v>0</v>
      </c>
    </row>
    <row r="147" spans="2:15" ht="23.1" customHeight="1">
      <c r="B147" s="16">
        <f>AKUN!B144</f>
        <v>410107</v>
      </c>
      <c r="C147" s="7" t="str">
        <f t="shared" si="63"/>
        <v>PENDAPATAN PARKIR TEKHNOLOGI / ONLINE</v>
      </c>
      <c r="D147" s="39">
        <f t="shared" si="64"/>
        <v>0</v>
      </c>
      <c r="E147" s="39">
        <f t="shared" si="65"/>
        <v>0</v>
      </c>
      <c r="F147" s="39">
        <f t="shared" si="66"/>
        <v>0</v>
      </c>
      <c r="G147" s="39">
        <f t="shared" si="67"/>
        <v>1089765000</v>
      </c>
      <c r="H147" s="39">
        <f t="shared" si="68"/>
        <v>0</v>
      </c>
      <c r="I147" s="39">
        <f t="shared" si="69"/>
        <v>1089765000</v>
      </c>
      <c r="J147" s="39">
        <f t="shared" si="70"/>
        <v>0</v>
      </c>
      <c r="K147" s="39">
        <f t="shared" si="71"/>
        <v>1089765000</v>
      </c>
      <c r="L147" s="39">
        <f t="shared" si="72"/>
        <v>0</v>
      </c>
      <c r="M147" s="39">
        <f t="shared" si="73"/>
        <v>0</v>
      </c>
      <c r="O147" s="35">
        <f t="shared" si="74"/>
        <v>1</v>
      </c>
    </row>
    <row r="148" spans="2:15" ht="23.1" customHeight="1">
      <c r="B148" s="16">
        <f>AKUN!B145</f>
        <v>420100</v>
      </c>
      <c r="C148" s="7" t="str">
        <f t="shared" ref="C148:C198" si="75">IFERROR(INDEX(akun_ket,MATCH(B148,akun_kd,0)),"")</f>
        <v>POTONGAN/PENGURANG PENDAPATAN</v>
      </c>
      <c r="D148" s="39" t="str">
        <f t="shared" ref="D148:D198" si="76">IFERROR(INDEX(akun_db,MATCH(B148&amp;" | "&amp;C148,akun_kb,0))+SUMIFS(ju_sld,ju_tgl,"&lt;"&amp;awal,ju_debet,B148&amp;" | "&amp;C148),"")</f>
        <v/>
      </c>
      <c r="E148" s="39" t="str">
        <f t="shared" ref="E148:E198" si="77">IFERROR(INDEX(akun_kr,MATCH(B148&amp;" | "&amp;C148,akun_kb,0))+SUMIFS(ju_sld,ju_tgl,"&lt;"&amp;awal,ju_kr,B148&amp;" | "&amp;C148),"")</f>
        <v/>
      </c>
      <c r="F148" s="39">
        <f t="shared" ref="F148:F198" si="78">IFERROR(SUMIFS(ju_sld,ju_tgl,"&gt;="&amp;awal,ju_tgl,"&lt;="&amp;akhir,ju_debet,B148&amp;" | "&amp;C148),0)</f>
        <v>0</v>
      </c>
      <c r="G148" s="39">
        <f t="shared" ref="G148:G198" si="79">IFERROR(SUMIFS(ju_sld,ju_tgl,"&gt;="&amp;awal,ju_tgl,"&lt;="&amp;akhir,ju_kr,B148&amp;" | "&amp;C148),0)</f>
        <v>0</v>
      </c>
      <c r="H148" s="39" t="str">
        <f t="shared" ref="H148:H198" si="80">IFERROR(IF(INDEX(typ_sn,MATCH(INDEX(akun_type,MATCH(B148,akun_kd,0)),typ_ket,0))="db",D148+F148-E148-G148,0),"")</f>
        <v/>
      </c>
      <c r="I148" s="39" t="str">
        <f t="shared" ref="I148:I198" si="81">IFERROR(IF(INDEX(typ_sn,MATCH(INDEX(akun_type,MATCH(B148,akun_kd,0)),typ_ket,0))="Kr",G148+E148-F148-D148,0),"")</f>
        <v/>
      </c>
      <c r="J148" s="39" t="str">
        <f t="shared" ref="J148:J198" si="82">IFERROR(IF(AND(INDEX(typ_sn,MATCH(INDEX(akun_type,MATCH(B148,akun_kd,0)),typ_ket,0))="db",INDEX(typ_pos,MATCH(INDEX(akun_type,MATCH(B148,akun_kd,0)),typ_ket,0))="lr"),H148-I148,0),"")</f>
        <v/>
      </c>
      <c r="K148" s="39" t="str">
        <f t="shared" ref="K148:K198" si="83">IFERROR(IF(AND(INDEX(typ_sn,MATCH(INDEX(akun_type,MATCH(B148,akun_kd,0)),typ_ket,0))="kr",INDEX(typ_pos,MATCH(INDEX(akun_type,MATCH(B148,akun_kd,0)),typ_ket,0))="lr"),I148-H148,0),"")</f>
        <v/>
      </c>
      <c r="L148" s="39" t="str">
        <f t="shared" ref="L148:L198" si="84">IFERROR(IF(AND(INDEX(typ_sn,MATCH(INDEX(akun_type,MATCH(B148,akun_kd,0)),typ_ket,0))="db",INDEX(typ_pos,MATCH(INDEX(akun_type,MATCH(B148,akun_kd,0)),typ_ket,0))="Nrc"),H148-I148,0),"")</f>
        <v/>
      </c>
      <c r="M148" s="39" t="str">
        <f t="shared" ref="M148:M198" si="85">IFERROR(IF(AND(INDEX(typ_sn,MATCH(INDEX(akun_type,MATCH(B148,akun_kd,0)),typ_ket,0))="kr",INDEX(typ_pos,MATCH(INDEX(akun_type,MATCH(B148,akun_kd,0)),typ_ket,0))="nrc"),I148-H148,0),"")</f>
        <v/>
      </c>
      <c r="O148" s="35">
        <f t="shared" ref="O148:O198" si="86">IF(AND(D148=0,E148=0,F148=0,G148=0,H148=0,I148=0,J148=0,K148=0,L148=0,M148=0),0,1)</f>
        <v>1</v>
      </c>
    </row>
    <row r="149" spans="2:15" ht="23.1" customHeight="1">
      <c r="B149" s="16">
        <f>AKUN!B146</f>
        <v>420101</v>
      </c>
      <c r="C149" s="7" t="str">
        <f t="shared" si="75"/>
        <v>POTONGAN / PENGURANG PENDAPATAN - TJU</v>
      </c>
      <c r="D149" s="39">
        <f t="shared" si="76"/>
        <v>0</v>
      </c>
      <c r="E149" s="39">
        <f t="shared" si="77"/>
        <v>0</v>
      </c>
      <c r="F149" s="39">
        <f t="shared" si="78"/>
        <v>2083455100</v>
      </c>
      <c r="G149" s="39">
        <f t="shared" si="79"/>
        <v>0</v>
      </c>
      <c r="H149" s="39">
        <f t="shared" si="80"/>
        <v>0</v>
      </c>
      <c r="I149" s="39">
        <f t="shared" si="81"/>
        <v>-2083455100</v>
      </c>
      <c r="J149" s="39">
        <f t="shared" si="82"/>
        <v>0</v>
      </c>
      <c r="K149" s="39">
        <f t="shared" si="83"/>
        <v>-2083455100</v>
      </c>
      <c r="L149" s="39">
        <f t="shared" si="84"/>
        <v>0</v>
      </c>
      <c r="M149" s="39">
        <f t="shared" si="85"/>
        <v>0</v>
      </c>
      <c r="O149" s="35">
        <f t="shared" si="86"/>
        <v>1</v>
      </c>
    </row>
    <row r="150" spans="2:15" ht="15.75" customHeight="1">
      <c r="B150" s="16">
        <f>AKUN!B147</f>
        <v>420102</v>
      </c>
      <c r="C150" s="7" t="str">
        <f t="shared" si="75"/>
        <v>POTONGAN / PENGURANG PENDAPATAN - INSIDENTIL</v>
      </c>
      <c r="D150" s="39">
        <f t="shared" si="76"/>
        <v>0</v>
      </c>
      <c r="E150" s="39">
        <f t="shared" si="77"/>
        <v>0</v>
      </c>
      <c r="F150" s="39">
        <f t="shared" si="78"/>
        <v>0</v>
      </c>
      <c r="G150" s="39">
        <f t="shared" si="79"/>
        <v>0</v>
      </c>
      <c r="H150" s="39">
        <f t="shared" si="80"/>
        <v>0</v>
      </c>
      <c r="I150" s="39">
        <f t="shared" si="81"/>
        <v>0</v>
      </c>
      <c r="J150" s="39">
        <f t="shared" si="82"/>
        <v>0</v>
      </c>
      <c r="K150" s="39">
        <f t="shared" si="83"/>
        <v>0</v>
      </c>
      <c r="L150" s="39">
        <f t="shared" si="84"/>
        <v>0</v>
      </c>
      <c r="M150" s="39">
        <f t="shared" si="85"/>
        <v>0</v>
      </c>
      <c r="O150" s="35">
        <f t="shared" si="86"/>
        <v>0</v>
      </c>
    </row>
    <row r="151" spans="2:15" ht="21.75" customHeight="1">
      <c r="B151" s="16">
        <f>AKUN!B148</f>
        <v>420103</v>
      </c>
      <c r="C151" s="7" t="str">
        <f t="shared" si="75"/>
        <v>POTONGAN / PENGURANG PENDAPATAN - KOMERSIAL</v>
      </c>
      <c r="D151" s="39">
        <f t="shared" si="76"/>
        <v>0</v>
      </c>
      <c r="E151" s="39">
        <f t="shared" si="77"/>
        <v>0</v>
      </c>
      <c r="F151" s="39">
        <f t="shared" si="78"/>
        <v>0</v>
      </c>
      <c r="G151" s="39">
        <f t="shared" si="79"/>
        <v>0</v>
      </c>
      <c r="H151" s="39">
        <f t="shared" si="80"/>
        <v>0</v>
      </c>
      <c r="I151" s="39">
        <f t="shared" si="81"/>
        <v>0</v>
      </c>
      <c r="J151" s="39">
        <f t="shared" si="82"/>
        <v>0</v>
      </c>
      <c r="K151" s="39">
        <f t="shared" si="83"/>
        <v>0</v>
      </c>
      <c r="L151" s="39">
        <f t="shared" si="84"/>
        <v>0</v>
      </c>
      <c r="M151" s="39">
        <f t="shared" si="85"/>
        <v>0</v>
      </c>
      <c r="O151" s="35">
        <f t="shared" si="86"/>
        <v>0</v>
      </c>
    </row>
    <row r="152" spans="2:15" ht="23.1" customHeight="1">
      <c r="B152" s="16">
        <f>AKUN!B149</f>
        <v>420104</v>
      </c>
      <c r="C152" s="7" t="str">
        <f t="shared" si="75"/>
        <v>POTONGAN / PENGURANG PENDAPATAN - PLB</v>
      </c>
      <c r="D152" s="39">
        <f t="shared" si="76"/>
        <v>0</v>
      </c>
      <c r="E152" s="39">
        <f t="shared" si="77"/>
        <v>0</v>
      </c>
      <c r="F152" s="39">
        <f t="shared" si="78"/>
        <v>173807700</v>
      </c>
      <c r="G152" s="39">
        <f t="shared" si="79"/>
        <v>0</v>
      </c>
      <c r="H152" s="39">
        <f t="shared" si="80"/>
        <v>0</v>
      </c>
      <c r="I152" s="39">
        <f t="shared" si="81"/>
        <v>-173807700</v>
      </c>
      <c r="J152" s="39">
        <f t="shared" si="82"/>
        <v>0</v>
      </c>
      <c r="K152" s="39">
        <f t="shared" si="83"/>
        <v>-173807700</v>
      </c>
      <c r="L152" s="39">
        <f t="shared" si="84"/>
        <v>0</v>
      </c>
      <c r="M152" s="39">
        <f t="shared" si="85"/>
        <v>0</v>
      </c>
      <c r="O152" s="35">
        <f t="shared" si="86"/>
        <v>1</v>
      </c>
    </row>
    <row r="153" spans="2:15" ht="23.1" customHeight="1">
      <c r="B153" s="16">
        <f>AKUN!B150</f>
        <v>420105</v>
      </c>
      <c r="C153" s="7" t="str">
        <f t="shared" si="75"/>
        <v>POTONGAN / PENGURANG PENDAPATAN - INSIDENTIL ONLIN</v>
      </c>
      <c r="D153" s="39">
        <f t="shared" si="76"/>
        <v>0</v>
      </c>
      <c r="E153" s="39">
        <f t="shared" si="77"/>
        <v>0</v>
      </c>
      <c r="F153" s="39">
        <f t="shared" si="78"/>
        <v>0</v>
      </c>
      <c r="G153" s="39">
        <f t="shared" si="79"/>
        <v>0</v>
      </c>
      <c r="H153" s="39">
        <f t="shared" si="80"/>
        <v>0</v>
      </c>
      <c r="I153" s="39">
        <f t="shared" si="81"/>
        <v>0</v>
      </c>
      <c r="J153" s="39">
        <f t="shared" si="82"/>
        <v>0</v>
      </c>
      <c r="K153" s="39">
        <f t="shared" si="83"/>
        <v>0</v>
      </c>
      <c r="L153" s="39">
        <f t="shared" si="84"/>
        <v>0</v>
      </c>
      <c r="M153" s="39">
        <f t="shared" si="85"/>
        <v>0</v>
      </c>
      <c r="O153" s="35">
        <f t="shared" si="86"/>
        <v>0</v>
      </c>
    </row>
    <row r="154" spans="2:15" ht="23.1" customHeight="1">
      <c r="B154" s="16">
        <f>AKUN!B151</f>
        <v>420106</v>
      </c>
      <c r="C154" s="7" t="str">
        <f t="shared" si="75"/>
        <v>POTONGAN / PENGURANG PENDAPATAN - KHUSUS BADAN USA</v>
      </c>
      <c r="D154" s="39">
        <f t="shared" si="76"/>
        <v>0</v>
      </c>
      <c r="E154" s="39">
        <f t="shared" si="77"/>
        <v>0</v>
      </c>
      <c r="F154" s="39">
        <f t="shared" si="78"/>
        <v>0</v>
      </c>
      <c r="G154" s="39">
        <f t="shared" si="79"/>
        <v>0</v>
      </c>
      <c r="H154" s="39">
        <f t="shared" si="80"/>
        <v>0</v>
      </c>
      <c r="I154" s="39">
        <f t="shared" si="81"/>
        <v>0</v>
      </c>
      <c r="J154" s="39">
        <f t="shared" si="82"/>
        <v>0</v>
      </c>
      <c r="K154" s="39">
        <f t="shared" si="83"/>
        <v>0</v>
      </c>
      <c r="L154" s="39">
        <f t="shared" si="84"/>
        <v>0</v>
      </c>
      <c r="M154" s="39">
        <f t="shared" si="85"/>
        <v>0</v>
      </c>
      <c r="O154" s="35">
        <f t="shared" si="86"/>
        <v>0</v>
      </c>
    </row>
    <row r="155" spans="2:15" ht="23.1" customHeight="1">
      <c r="B155" s="16">
        <f>AKUN!B152</f>
        <v>420107</v>
      </c>
      <c r="C155" s="7" t="str">
        <f t="shared" si="75"/>
        <v>POTONGAN / PENGURANG PENDAPATAN - TEKNOLOGI / ONLI</v>
      </c>
      <c r="D155" s="39">
        <f t="shared" si="76"/>
        <v>0</v>
      </c>
      <c r="E155" s="39">
        <f t="shared" si="77"/>
        <v>0</v>
      </c>
      <c r="F155" s="39">
        <f t="shared" si="78"/>
        <v>0</v>
      </c>
      <c r="G155" s="39">
        <f t="shared" si="79"/>
        <v>0</v>
      </c>
      <c r="H155" s="39">
        <f t="shared" si="80"/>
        <v>0</v>
      </c>
      <c r="I155" s="39">
        <f t="shared" si="81"/>
        <v>0</v>
      </c>
      <c r="J155" s="39">
        <f t="shared" si="82"/>
        <v>0</v>
      </c>
      <c r="K155" s="39">
        <f t="shared" si="83"/>
        <v>0</v>
      </c>
      <c r="L155" s="39">
        <f t="shared" si="84"/>
        <v>0</v>
      </c>
      <c r="M155" s="39">
        <f t="shared" si="85"/>
        <v>0</v>
      </c>
      <c r="O155" s="35">
        <f t="shared" si="86"/>
        <v>0</v>
      </c>
    </row>
    <row r="156" spans="2:15" ht="23.1" customHeight="1">
      <c r="B156" s="16">
        <f>AKUN!B153</f>
        <v>510100</v>
      </c>
      <c r="C156" s="7" t="str">
        <f t="shared" si="75"/>
        <v>BIAYA OPERASIONAL</v>
      </c>
      <c r="D156" s="39" t="str">
        <f t="shared" si="76"/>
        <v/>
      </c>
      <c r="E156" s="39" t="str">
        <f t="shared" si="77"/>
        <v/>
      </c>
      <c r="F156" s="39">
        <f t="shared" si="78"/>
        <v>0</v>
      </c>
      <c r="G156" s="39">
        <f t="shared" si="79"/>
        <v>0</v>
      </c>
      <c r="H156" s="39" t="str">
        <f t="shared" si="80"/>
        <v/>
      </c>
      <c r="I156" s="39" t="str">
        <f t="shared" si="81"/>
        <v/>
      </c>
      <c r="J156" s="39" t="str">
        <f t="shared" si="82"/>
        <v/>
      </c>
      <c r="K156" s="39" t="str">
        <f t="shared" si="83"/>
        <v/>
      </c>
      <c r="L156" s="39" t="str">
        <f t="shared" si="84"/>
        <v/>
      </c>
      <c r="M156" s="39" t="str">
        <f t="shared" si="85"/>
        <v/>
      </c>
      <c r="O156" s="35">
        <f t="shared" si="86"/>
        <v>1</v>
      </c>
    </row>
    <row r="157" spans="2:15" ht="23.1" customHeight="1">
      <c r="B157" s="16">
        <f>AKUN!B154</f>
        <v>510101</v>
      </c>
      <c r="C157" s="7" t="str">
        <f t="shared" si="75"/>
        <v>BIAYA CETAKAN</v>
      </c>
      <c r="D157" s="39">
        <f t="shared" si="76"/>
        <v>0</v>
      </c>
      <c r="E157" s="39">
        <f t="shared" si="77"/>
        <v>0</v>
      </c>
      <c r="F157" s="39">
        <f t="shared" si="78"/>
        <v>185482600</v>
      </c>
      <c r="G157" s="39">
        <f t="shared" si="79"/>
        <v>18705000</v>
      </c>
      <c r="H157" s="39">
        <f t="shared" si="80"/>
        <v>166777600</v>
      </c>
      <c r="I157" s="39">
        <f t="shared" si="81"/>
        <v>0</v>
      </c>
      <c r="J157" s="39">
        <f t="shared" si="82"/>
        <v>166777600</v>
      </c>
      <c r="K157" s="39">
        <f t="shared" si="83"/>
        <v>0</v>
      </c>
      <c r="L157" s="39">
        <f t="shared" si="84"/>
        <v>0</v>
      </c>
      <c r="M157" s="39">
        <f t="shared" si="85"/>
        <v>0</v>
      </c>
      <c r="O157" s="35">
        <f t="shared" si="86"/>
        <v>1</v>
      </c>
    </row>
    <row r="158" spans="2:15" ht="23.1" customHeight="1">
      <c r="B158" s="16">
        <f>AKUN!B155</f>
        <v>510102</v>
      </c>
      <c r="C158" s="7" t="str">
        <f t="shared" si="75"/>
        <v>BIAYA SURVEY / UJI PETIK</v>
      </c>
      <c r="D158" s="39">
        <f t="shared" si="76"/>
        <v>0</v>
      </c>
      <c r="E158" s="39">
        <f t="shared" si="77"/>
        <v>0</v>
      </c>
      <c r="F158" s="39">
        <f t="shared" si="78"/>
        <v>12335000</v>
      </c>
      <c r="G158" s="39">
        <f t="shared" si="79"/>
        <v>0</v>
      </c>
      <c r="H158" s="39">
        <f t="shared" si="80"/>
        <v>12335000</v>
      </c>
      <c r="I158" s="39">
        <f t="shared" si="81"/>
        <v>0</v>
      </c>
      <c r="J158" s="39">
        <f t="shared" si="82"/>
        <v>12335000</v>
      </c>
      <c r="K158" s="39">
        <f t="shared" si="83"/>
        <v>0</v>
      </c>
      <c r="L158" s="39">
        <f t="shared" si="84"/>
        <v>0</v>
      </c>
      <c r="M158" s="39">
        <f t="shared" si="85"/>
        <v>0</v>
      </c>
      <c r="O158" s="35">
        <f t="shared" si="86"/>
        <v>1</v>
      </c>
    </row>
    <row r="159" spans="2:15" ht="23.1" customHeight="1">
      <c r="B159" s="16">
        <f>AKUN!B156</f>
        <v>510103</v>
      </c>
      <c r="C159" s="7" t="str">
        <f t="shared" si="75"/>
        <v>BIAYA OPERASIONAL TIM PATROLI KHUSUS</v>
      </c>
      <c r="D159" s="39">
        <f t="shared" si="76"/>
        <v>0</v>
      </c>
      <c r="E159" s="39">
        <f t="shared" si="77"/>
        <v>0</v>
      </c>
      <c r="F159" s="39">
        <f t="shared" si="78"/>
        <v>0</v>
      </c>
      <c r="G159" s="39">
        <f t="shared" si="79"/>
        <v>0</v>
      </c>
      <c r="H159" s="39">
        <f t="shared" si="80"/>
        <v>0</v>
      </c>
      <c r="I159" s="39">
        <f t="shared" si="81"/>
        <v>0</v>
      </c>
      <c r="J159" s="39">
        <f t="shared" si="82"/>
        <v>0</v>
      </c>
      <c r="K159" s="39">
        <f t="shared" si="83"/>
        <v>0</v>
      </c>
      <c r="L159" s="39">
        <f t="shared" si="84"/>
        <v>0</v>
      </c>
      <c r="M159" s="39">
        <f t="shared" si="85"/>
        <v>0</v>
      </c>
      <c r="O159" s="35">
        <f t="shared" si="86"/>
        <v>0</v>
      </c>
    </row>
    <row r="160" spans="2:15" ht="23.1" customHeight="1">
      <c r="B160" s="16">
        <f>AKUN!B157</f>
        <v>510104</v>
      </c>
      <c r="C160" s="7" t="str">
        <f t="shared" si="75"/>
        <v>BIAYA OPERASIONAL TIM PATUH PARKIR</v>
      </c>
      <c r="D160" s="39">
        <f t="shared" si="76"/>
        <v>0</v>
      </c>
      <c r="E160" s="39">
        <f t="shared" si="77"/>
        <v>0</v>
      </c>
      <c r="F160" s="39">
        <f t="shared" si="78"/>
        <v>0</v>
      </c>
      <c r="G160" s="39">
        <f t="shared" si="79"/>
        <v>0</v>
      </c>
      <c r="H160" s="39">
        <f t="shared" si="80"/>
        <v>0</v>
      </c>
      <c r="I160" s="39">
        <f t="shared" si="81"/>
        <v>0</v>
      </c>
      <c r="J160" s="39">
        <f t="shared" si="82"/>
        <v>0</v>
      </c>
      <c r="K160" s="39">
        <f t="shared" si="83"/>
        <v>0</v>
      </c>
      <c r="L160" s="39">
        <f t="shared" si="84"/>
        <v>0</v>
      </c>
      <c r="M160" s="39">
        <f t="shared" si="85"/>
        <v>0</v>
      </c>
      <c r="O160" s="35">
        <f t="shared" si="86"/>
        <v>0</v>
      </c>
    </row>
    <row r="161" spans="2:15" ht="23.1" customHeight="1">
      <c r="B161" s="16">
        <f>AKUN!B158</f>
        <v>510105</v>
      </c>
      <c r="C161" s="7" t="str">
        <f t="shared" si="75"/>
        <v>BIAYA OPERASIONAL PEGAWAI</v>
      </c>
      <c r="D161" s="39">
        <f t="shared" si="76"/>
        <v>0</v>
      </c>
      <c r="E161" s="39">
        <f t="shared" si="77"/>
        <v>0</v>
      </c>
      <c r="F161" s="39">
        <f t="shared" si="78"/>
        <v>193930000</v>
      </c>
      <c r="G161" s="39">
        <f t="shared" si="79"/>
        <v>0</v>
      </c>
      <c r="H161" s="39">
        <f t="shared" si="80"/>
        <v>193930000</v>
      </c>
      <c r="I161" s="39">
        <f t="shared" si="81"/>
        <v>0</v>
      </c>
      <c r="J161" s="39">
        <f t="shared" si="82"/>
        <v>193930000</v>
      </c>
      <c r="K161" s="39">
        <f t="shared" si="83"/>
        <v>0</v>
      </c>
      <c r="L161" s="39">
        <f t="shared" si="84"/>
        <v>0</v>
      </c>
      <c r="M161" s="39">
        <f t="shared" si="85"/>
        <v>0</v>
      </c>
      <c r="O161" s="35">
        <f t="shared" si="86"/>
        <v>1</v>
      </c>
    </row>
    <row r="162" spans="2:15" ht="23.1" customHeight="1">
      <c r="B162" s="16">
        <f>AKUN!B159</f>
        <v>510106</v>
      </c>
      <c r="C162" s="7" t="str">
        <f t="shared" si="75"/>
        <v>BIAYA PAKET THR</v>
      </c>
      <c r="D162" s="39">
        <f t="shared" si="76"/>
        <v>0</v>
      </c>
      <c r="E162" s="39">
        <f t="shared" si="77"/>
        <v>0</v>
      </c>
      <c r="F162" s="39">
        <f t="shared" si="78"/>
        <v>248976000</v>
      </c>
      <c r="G162" s="39">
        <f t="shared" si="79"/>
        <v>0</v>
      </c>
      <c r="H162" s="39">
        <f t="shared" si="80"/>
        <v>248976000</v>
      </c>
      <c r="I162" s="39">
        <f t="shared" si="81"/>
        <v>0</v>
      </c>
      <c r="J162" s="39">
        <f t="shared" si="82"/>
        <v>248976000</v>
      </c>
      <c r="K162" s="39">
        <f t="shared" si="83"/>
        <v>0</v>
      </c>
      <c r="L162" s="39">
        <f t="shared" si="84"/>
        <v>0</v>
      </c>
      <c r="M162" s="39">
        <f t="shared" si="85"/>
        <v>0</v>
      </c>
      <c r="O162" s="35">
        <f t="shared" si="86"/>
        <v>1</v>
      </c>
    </row>
    <row r="163" spans="2:15" ht="23.1" customHeight="1">
      <c r="B163" s="16">
        <f>AKUN!B160</f>
        <v>510107</v>
      </c>
      <c r="C163" s="7" t="str">
        <f t="shared" si="75"/>
        <v>BIAYA SHARING PARKIR ELEKTRONIK</v>
      </c>
      <c r="D163" s="39">
        <f t="shared" si="76"/>
        <v>0</v>
      </c>
      <c r="E163" s="39">
        <f t="shared" si="77"/>
        <v>0</v>
      </c>
      <c r="F163" s="39">
        <f t="shared" si="78"/>
        <v>56719600</v>
      </c>
      <c r="G163" s="39">
        <f t="shared" si="79"/>
        <v>0</v>
      </c>
      <c r="H163" s="39">
        <f t="shared" si="80"/>
        <v>56719600</v>
      </c>
      <c r="I163" s="39">
        <f t="shared" si="81"/>
        <v>0</v>
      </c>
      <c r="J163" s="39">
        <f t="shared" si="82"/>
        <v>56719600</v>
      </c>
      <c r="K163" s="39">
        <f t="shared" si="83"/>
        <v>0</v>
      </c>
      <c r="L163" s="39">
        <f t="shared" si="84"/>
        <v>0</v>
      </c>
      <c r="M163" s="39">
        <f t="shared" si="85"/>
        <v>0</v>
      </c>
      <c r="O163" s="35">
        <f t="shared" si="86"/>
        <v>1</v>
      </c>
    </row>
    <row r="164" spans="2:15" ht="23.1" customHeight="1">
      <c r="B164" s="16">
        <f>AKUN!B161</f>
        <v>510108</v>
      </c>
      <c r="C164" s="7" t="str">
        <f t="shared" si="75"/>
        <v>BIAYA ASURANSI JUKIR</v>
      </c>
      <c r="D164" s="39">
        <f t="shared" si="76"/>
        <v>0</v>
      </c>
      <c r="E164" s="39">
        <f t="shared" si="77"/>
        <v>0</v>
      </c>
      <c r="F164" s="39">
        <f t="shared" si="78"/>
        <v>0</v>
      </c>
      <c r="G164" s="39">
        <f t="shared" si="79"/>
        <v>0</v>
      </c>
      <c r="H164" s="39">
        <f t="shared" si="80"/>
        <v>0</v>
      </c>
      <c r="I164" s="39">
        <f t="shared" si="81"/>
        <v>0</v>
      </c>
      <c r="J164" s="39">
        <f t="shared" si="82"/>
        <v>0</v>
      </c>
      <c r="K164" s="39">
        <f t="shared" si="83"/>
        <v>0</v>
      </c>
      <c r="L164" s="39">
        <f t="shared" si="84"/>
        <v>0</v>
      </c>
      <c r="M164" s="39">
        <f t="shared" si="85"/>
        <v>0</v>
      </c>
      <c r="O164" s="35">
        <f t="shared" si="86"/>
        <v>0</v>
      </c>
    </row>
    <row r="165" spans="2:15" ht="23.1" customHeight="1">
      <c r="B165" s="16">
        <f>AKUN!B162</f>
        <v>510109</v>
      </c>
      <c r="C165" s="7" t="str">
        <f t="shared" si="75"/>
        <v>BIAYA PAKAIAN JUKIR</v>
      </c>
      <c r="D165" s="39">
        <f t="shared" si="76"/>
        <v>0</v>
      </c>
      <c r="E165" s="39">
        <f t="shared" si="77"/>
        <v>0</v>
      </c>
      <c r="F165" s="39">
        <f t="shared" si="78"/>
        <v>0</v>
      </c>
      <c r="G165" s="39">
        <f t="shared" si="79"/>
        <v>0</v>
      </c>
      <c r="H165" s="39">
        <f t="shared" si="80"/>
        <v>0</v>
      </c>
      <c r="I165" s="39">
        <f t="shared" si="81"/>
        <v>0</v>
      </c>
      <c r="J165" s="39">
        <f t="shared" si="82"/>
        <v>0</v>
      </c>
      <c r="K165" s="39">
        <f t="shared" si="83"/>
        <v>0</v>
      </c>
      <c r="L165" s="39">
        <f t="shared" si="84"/>
        <v>0</v>
      </c>
      <c r="M165" s="39">
        <f t="shared" si="85"/>
        <v>0</v>
      </c>
      <c r="O165" s="35">
        <f t="shared" si="86"/>
        <v>0</v>
      </c>
    </row>
    <row r="166" spans="2:15" ht="23.1" customHeight="1">
      <c r="B166" s="16">
        <f>AKUN!B163</f>
        <v>510110</v>
      </c>
      <c r="C166" s="7" t="str">
        <f t="shared" si="75"/>
        <v>BIAYA TIM PENEGAK PERDA</v>
      </c>
      <c r="D166" s="39">
        <f t="shared" si="76"/>
        <v>0</v>
      </c>
      <c r="E166" s="39">
        <f t="shared" si="77"/>
        <v>0</v>
      </c>
      <c r="F166" s="39">
        <f t="shared" si="78"/>
        <v>91115000</v>
      </c>
      <c r="G166" s="39">
        <f t="shared" si="79"/>
        <v>0</v>
      </c>
      <c r="H166" s="39">
        <f t="shared" si="80"/>
        <v>91115000</v>
      </c>
      <c r="I166" s="39">
        <f t="shared" si="81"/>
        <v>0</v>
      </c>
      <c r="J166" s="39">
        <f t="shared" si="82"/>
        <v>91115000</v>
      </c>
      <c r="K166" s="39">
        <f t="shared" si="83"/>
        <v>0</v>
      </c>
      <c r="L166" s="39">
        <f t="shared" si="84"/>
        <v>0</v>
      </c>
      <c r="M166" s="39">
        <f t="shared" si="85"/>
        <v>0</v>
      </c>
      <c r="O166" s="35">
        <f t="shared" si="86"/>
        <v>1</v>
      </c>
    </row>
    <row r="167" spans="2:15" ht="23.1" customHeight="1">
      <c r="B167" s="16">
        <f>AKUN!B164</f>
        <v>510111</v>
      </c>
      <c r="C167" s="7" t="str">
        <f t="shared" si="75"/>
        <v>BIAYA UPAH PUNGUT KOLEKTOR</v>
      </c>
      <c r="D167" s="39">
        <f t="shared" si="76"/>
        <v>0</v>
      </c>
      <c r="E167" s="39">
        <f t="shared" si="77"/>
        <v>0</v>
      </c>
      <c r="F167" s="39">
        <f t="shared" si="78"/>
        <v>0</v>
      </c>
      <c r="G167" s="39">
        <f t="shared" si="79"/>
        <v>0</v>
      </c>
      <c r="H167" s="39">
        <f t="shared" si="80"/>
        <v>0</v>
      </c>
      <c r="I167" s="39">
        <f t="shared" si="81"/>
        <v>0</v>
      </c>
      <c r="J167" s="39">
        <f t="shared" si="82"/>
        <v>0</v>
      </c>
      <c r="K167" s="39">
        <f t="shared" si="83"/>
        <v>0</v>
      </c>
      <c r="L167" s="39">
        <f t="shared" si="84"/>
        <v>0</v>
      </c>
      <c r="M167" s="39">
        <f t="shared" si="85"/>
        <v>0</v>
      </c>
      <c r="O167" s="35">
        <f t="shared" si="86"/>
        <v>0</v>
      </c>
    </row>
    <row r="168" spans="2:15" ht="23.1" customHeight="1">
      <c r="B168" s="16">
        <f>AKUN!B165</f>
        <v>510112</v>
      </c>
      <c r="C168" s="7" t="str">
        <f t="shared" si="75"/>
        <v>BIAYA PAJAK PARKIR PLB</v>
      </c>
      <c r="D168" s="39">
        <f t="shared" si="76"/>
        <v>0</v>
      </c>
      <c r="E168" s="39">
        <f t="shared" si="77"/>
        <v>0</v>
      </c>
      <c r="F168" s="39">
        <f t="shared" si="78"/>
        <v>7620000</v>
      </c>
      <c r="G168" s="39">
        <f t="shared" si="79"/>
        <v>0</v>
      </c>
      <c r="H168" s="39">
        <f t="shared" si="80"/>
        <v>7620000</v>
      </c>
      <c r="I168" s="39">
        <f t="shared" si="81"/>
        <v>0</v>
      </c>
      <c r="J168" s="39">
        <f t="shared" si="82"/>
        <v>7620000</v>
      </c>
      <c r="K168" s="39">
        <f t="shared" si="83"/>
        <v>0</v>
      </c>
      <c r="L168" s="39">
        <f t="shared" si="84"/>
        <v>0</v>
      </c>
      <c r="M168" s="39">
        <f t="shared" si="85"/>
        <v>0</v>
      </c>
      <c r="O168" s="35">
        <f t="shared" si="86"/>
        <v>1</v>
      </c>
    </row>
    <row r="169" spans="2:15" ht="23.1" customHeight="1">
      <c r="B169" s="16">
        <f>AKUN!B166</f>
        <v>510113</v>
      </c>
      <c r="C169" s="7" t="str">
        <f t="shared" si="75"/>
        <v>BIAYA ID CARD</v>
      </c>
      <c r="D169" s="39">
        <f t="shared" si="76"/>
        <v>0</v>
      </c>
      <c r="E169" s="39">
        <f t="shared" si="77"/>
        <v>0</v>
      </c>
      <c r="F169" s="39">
        <f t="shared" si="78"/>
        <v>6501500</v>
      </c>
      <c r="G169" s="39">
        <f t="shared" si="79"/>
        <v>0</v>
      </c>
      <c r="H169" s="39">
        <f t="shared" si="80"/>
        <v>6501500</v>
      </c>
      <c r="I169" s="39">
        <f t="shared" si="81"/>
        <v>0</v>
      </c>
      <c r="J169" s="39">
        <f t="shared" si="82"/>
        <v>6501500</v>
      </c>
      <c r="K169" s="39">
        <f t="shared" si="83"/>
        <v>0</v>
      </c>
      <c r="L169" s="39">
        <f t="shared" si="84"/>
        <v>0</v>
      </c>
      <c r="M169" s="39">
        <f t="shared" si="85"/>
        <v>0</v>
      </c>
      <c r="O169" s="35">
        <f t="shared" si="86"/>
        <v>1</v>
      </c>
    </row>
    <row r="170" spans="2:15" ht="23.1" customHeight="1">
      <c r="B170" s="16">
        <f>AKUN!B167</f>
        <v>510114</v>
      </c>
      <c r="C170" s="7" t="str">
        <f t="shared" si="75"/>
        <v>BIAYA BAHAN BAKAR KENDARAAN OPERASIONAL</v>
      </c>
      <c r="D170" s="39">
        <f t="shared" si="76"/>
        <v>0</v>
      </c>
      <c r="E170" s="39">
        <f t="shared" si="77"/>
        <v>0</v>
      </c>
      <c r="F170" s="39">
        <f t="shared" si="78"/>
        <v>44500000</v>
      </c>
      <c r="G170" s="39">
        <f t="shared" si="79"/>
        <v>0</v>
      </c>
      <c r="H170" s="39">
        <f t="shared" si="80"/>
        <v>44500000</v>
      </c>
      <c r="I170" s="39">
        <f t="shared" si="81"/>
        <v>0</v>
      </c>
      <c r="J170" s="39">
        <f t="shared" si="82"/>
        <v>44500000</v>
      </c>
      <c r="K170" s="39">
        <f t="shared" si="83"/>
        <v>0</v>
      </c>
      <c r="L170" s="39">
        <f t="shared" si="84"/>
        <v>0</v>
      </c>
      <c r="M170" s="39">
        <f t="shared" si="85"/>
        <v>0</v>
      </c>
      <c r="O170" s="35">
        <f t="shared" si="86"/>
        <v>1</v>
      </c>
    </row>
    <row r="171" spans="2:15" ht="23.1" customHeight="1">
      <c r="B171" s="16">
        <f>AKUN!B168</f>
        <v>510115</v>
      </c>
      <c r="C171" s="7" t="str">
        <f t="shared" si="75"/>
        <v>BIAYA MAINTENANCE KENDARAAN OPERASIONAL</v>
      </c>
      <c r="D171" s="39">
        <f t="shared" si="76"/>
        <v>0</v>
      </c>
      <c r="E171" s="39">
        <f t="shared" si="77"/>
        <v>0</v>
      </c>
      <c r="F171" s="39">
        <f t="shared" si="78"/>
        <v>25160659</v>
      </c>
      <c r="G171" s="39">
        <f t="shared" si="79"/>
        <v>0</v>
      </c>
      <c r="H171" s="39">
        <f t="shared" si="80"/>
        <v>25160659</v>
      </c>
      <c r="I171" s="39">
        <f t="shared" si="81"/>
        <v>0</v>
      </c>
      <c r="J171" s="39">
        <f t="shared" si="82"/>
        <v>25160659</v>
      </c>
      <c r="K171" s="39">
        <f t="shared" si="83"/>
        <v>0</v>
      </c>
      <c r="L171" s="39">
        <f t="shared" si="84"/>
        <v>0</v>
      </c>
      <c r="M171" s="39">
        <f t="shared" si="85"/>
        <v>0</v>
      </c>
      <c r="O171" s="35">
        <f t="shared" si="86"/>
        <v>1</v>
      </c>
    </row>
    <row r="172" spans="2:15" ht="23.1" customHeight="1">
      <c r="B172" s="16">
        <f>AKUN!B169</f>
        <v>510116</v>
      </c>
      <c r="C172" s="7" t="str">
        <f t="shared" si="75"/>
        <v>BIAYA SURAT KENDARAAN (STNK)</v>
      </c>
      <c r="D172" s="39">
        <f t="shared" si="76"/>
        <v>0</v>
      </c>
      <c r="E172" s="39">
        <f t="shared" si="77"/>
        <v>0</v>
      </c>
      <c r="F172" s="39">
        <f t="shared" si="78"/>
        <v>24081950</v>
      </c>
      <c r="G172" s="39">
        <f t="shared" si="79"/>
        <v>0</v>
      </c>
      <c r="H172" s="39">
        <f t="shared" si="80"/>
        <v>24081950</v>
      </c>
      <c r="I172" s="39">
        <f t="shared" si="81"/>
        <v>0</v>
      </c>
      <c r="J172" s="39">
        <f t="shared" si="82"/>
        <v>24081950</v>
      </c>
      <c r="K172" s="39">
        <f t="shared" si="83"/>
        <v>0</v>
      </c>
      <c r="L172" s="39">
        <f t="shared" si="84"/>
        <v>0</v>
      </c>
      <c r="M172" s="39">
        <f t="shared" si="85"/>
        <v>0</v>
      </c>
      <c r="O172" s="35">
        <f t="shared" si="86"/>
        <v>1</v>
      </c>
    </row>
    <row r="173" spans="2:15" ht="23.1" customHeight="1">
      <c r="B173" s="16">
        <f>AKUN!B170</f>
        <v>510117</v>
      </c>
      <c r="C173" s="7" t="str">
        <f t="shared" si="75"/>
        <v>BIAYA SHARING PENETAPAN BARU PLB</v>
      </c>
      <c r="D173" s="39">
        <f t="shared" si="76"/>
        <v>0</v>
      </c>
      <c r="E173" s="39">
        <f t="shared" si="77"/>
        <v>0</v>
      </c>
      <c r="F173" s="39">
        <f t="shared" si="78"/>
        <v>9105000</v>
      </c>
      <c r="G173" s="39">
        <f t="shared" si="79"/>
        <v>0</v>
      </c>
      <c r="H173" s="39">
        <f t="shared" si="80"/>
        <v>9105000</v>
      </c>
      <c r="I173" s="39">
        <f t="shared" si="81"/>
        <v>0</v>
      </c>
      <c r="J173" s="39">
        <f t="shared" si="82"/>
        <v>9105000</v>
      </c>
      <c r="K173" s="39">
        <f t="shared" si="83"/>
        <v>0</v>
      </c>
      <c r="L173" s="39">
        <f t="shared" si="84"/>
        <v>0</v>
      </c>
      <c r="M173" s="39">
        <f t="shared" si="85"/>
        <v>0</v>
      </c>
      <c r="O173" s="35">
        <f t="shared" si="86"/>
        <v>1</v>
      </c>
    </row>
    <row r="174" spans="2:15" ht="23.1" customHeight="1">
      <c r="B174" s="16">
        <f>AKUN!B171</f>
        <v>510118</v>
      </c>
      <c r="C174" s="7" t="str">
        <f t="shared" si="75"/>
        <v>BIAYA CSR</v>
      </c>
      <c r="D174" s="39">
        <f t="shared" si="76"/>
        <v>0</v>
      </c>
      <c r="E174" s="39">
        <f t="shared" si="77"/>
        <v>0</v>
      </c>
      <c r="F174" s="39">
        <f t="shared" si="78"/>
        <v>0</v>
      </c>
      <c r="G174" s="39">
        <f t="shared" si="79"/>
        <v>0</v>
      </c>
      <c r="H174" s="39">
        <f t="shared" si="80"/>
        <v>0</v>
      </c>
      <c r="I174" s="39">
        <f t="shared" si="81"/>
        <v>0</v>
      </c>
      <c r="J174" s="39">
        <f t="shared" si="82"/>
        <v>0</v>
      </c>
      <c r="K174" s="39">
        <f t="shared" si="83"/>
        <v>0</v>
      </c>
      <c r="L174" s="39">
        <f t="shared" si="84"/>
        <v>0</v>
      </c>
      <c r="M174" s="39">
        <f t="shared" si="85"/>
        <v>0</v>
      </c>
      <c r="O174" s="35">
        <f t="shared" si="86"/>
        <v>0</v>
      </c>
    </row>
    <row r="175" spans="2:15" ht="23.1" customHeight="1">
      <c r="B175" s="16">
        <f>AKUN!B172</f>
        <v>510119</v>
      </c>
      <c r="C175" s="7" t="str">
        <f t="shared" si="75"/>
        <v>BIAYA PEMBINAAN LORONG</v>
      </c>
      <c r="D175" s="39">
        <f t="shared" si="76"/>
        <v>0</v>
      </c>
      <c r="E175" s="39">
        <f t="shared" si="77"/>
        <v>0</v>
      </c>
      <c r="F175" s="39">
        <f t="shared" si="78"/>
        <v>0</v>
      </c>
      <c r="G175" s="39">
        <f t="shared" si="79"/>
        <v>0</v>
      </c>
      <c r="H175" s="39">
        <f t="shared" si="80"/>
        <v>0</v>
      </c>
      <c r="I175" s="39">
        <f t="shared" si="81"/>
        <v>0</v>
      </c>
      <c r="J175" s="39">
        <f t="shared" si="82"/>
        <v>0</v>
      </c>
      <c r="K175" s="39">
        <f t="shared" si="83"/>
        <v>0</v>
      </c>
      <c r="L175" s="39">
        <f t="shared" si="84"/>
        <v>0</v>
      </c>
      <c r="M175" s="39">
        <f t="shared" si="85"/>
        <v>0</v>
      </c>
      <c r="O175" s="35">
        <f t="shared" si="86"/>
        <v>0</v>
      </c>
    </row>
    <row r="176" spans="2:15" ht="23.1" customHeight="1">
      <c r="B176" s="16">
        <f>AKUN!B173</f>
        <v>510120</v>
      </c>
      <c r="C176" s="7" t="str">
        <f t="shared" si="75"/>
        <v>BIAYA KARTU CASHLESS</v>
      </c>
      <c r="D176" s="39">
        <f t="shared" si="76"/>
        <v>0</v>
      </c>
      <c r="E176" s="39">
        <f t="shared" si="77"/>
        <v>0</v>
      </c>
      <c r="F176" s="39">
        <f t="shared" si="78"/>
        <v>0</v>
      </c>
      <c r="G176" s="39">
        <f t="shared" si="79"/>
        <v>0</v>
      </c>
      <c r="H176" s="39">
        <f t="shared" si="80"/>
        <v>0</v>
      </c>
      <c r="I176" s="39">
        <f t="shared" si="81"/>
        <v>0</v>
      </c>
      <c r="J176" s="39">
        <f t="shared" si="82"/>
        <v>0</v>
      </c>
      <c r="K176" s="39">
        <f t="shared" si="83"/>
        <v>0</v>
      </c>
      <c r="L176" s="39">
        <f t="shared" si="84"/>
        <v>0</v>
      </c>
      <c r="M176" s="39">
        <f t="shared" si="85"/>
        <v>0</v>
      </c>
      <c r="O176" s="35">
        <f t="shared" si="86"/>
        <v>0</v>
      </c>
    </row>
    <row r="177" spans="2:15" ht="23.1" customHeight="1">
      <c r="B177" s="16">
        <f>AKUN!B174</f>
        <v>510121</v>
      </c>
      <c r="C177" s="7" t="str">
        <f t="shared" si="75"/>
        <v>BIAYA OPERASIONAL JUKIR</v>
      </c>
      <c r="D177" s="39">
        <f t="shared" si="76"/>
        <v>0</v>
      </c>
      <c r="E177" s="39">
        <f t="shared" si="77"/>
        <v>0</v>
      </c>
      <c r="F177" s="39">
        <f t="shared" si="78"/>
        <v>0</v>
      </c>
      <c r="G177" s="39">
        <f t="shared" si="79"/>
        <v>0</v>
      </c>
      <c r="H177" s="39">
        <f t="shared" si="80"/>
        <v>0</v>
      </c>
      <c r="I177" s="39">
        <f t="shared" si="81"/>
        <v>0</v>
      </c>
      <c r="J177" s="39">
        <f t="shared" si="82"/>
        <v>0</v>
      </c>
      <c r="K177" s="39">
        <f t="shared" si="83"/>
        <v>0</v>
      </c>
      <c r="L177" s="39">
        <f t="shared" si="84"/>
        <v>0</v>
      </c>
      <c r="M177" s="39">
        <f t="shared" si="85"/>
        <v>0</v>
      </c>
      <c r="O177" s="35">
        <f t="shared" si="86"/>
        <v>0</v>
      </c>
    </row>
    <row r="178" spans="2:15" ht="23.1" customHeight="1">
      <c r="B178" s="16">
        <f>AKUN!B175</f>
        <v>510122</v>
      </c>
      <c r="C178" s="7" t="str">
        <f t="shared" si="75"/>
        <v>BIAYA PERBAIKAN LAHAN PARKIR</v>
      </c>
      <c r="D178" s="39">
        <f t="shared" si="76"/>
        <v>0</v>
      </c>
      <c r="E178" s="39">
        <f t="shared" si="77"/>
        <v>0</v>
      </c>
      <c r="F178" s="39">
        <f t="shared" si="78"/>
        <v>135000</v>
      </c>
      <c r="G178" s="39">
        <f t="shared" si="79"/>
        <v>0</v>
      </c>
      <c r="H178" s="39">
        <f t="shared" si="80"/>
        <v>135000</v>
      </c>
      <c r="I178" s="39">
        <f t="shared" si="81"/>
        <v>0</v>
      </c>
      <c r="J178" s="39">
        <f t="shared" si="82"/>
        <v>135000</v>
      </c>
      <c r="K178" s="39">
        <f t="shared" si="83"/>
        <v>0</v>
      </c>
      <c r="L178" s="39">
        <f t="shared" si="84"/>
        <v>0</v>
      </c>
      <c r="M178" s="39">
        <f t="shared" si="85"/>
        <v>0</v>
      </c>
      <c r="O178" s="35">
        <f t="shared" si="86"/>
        <v>1</v>
      </c>
    </row>
    <row r="179" spans="2:15" ht="23.1" customHeight="1">
      <c r="B179" s="16">
        <f>AKUN!B176</f>
        <v>510123</v>
      </c>
      <c r="C179" s="7" t="str">
        <f t="shared" si="75"/>
        <v>BIAYA SHARING KTI</v>
      </c>
      <c r="D179" s="39">
        <f t="shared" si="76"/>
        <v>0</v>
      </c>
      <c r="E179" s="39">
        <f t="shared" si="77"/>
        <v>0</v>
      </c>
      <c r="F179" s="39">
        <f t="shared" si="78"/>
        <v>0</v>
      </c>
      <c r="G179" s="39">
        <f t="shared" si="79"/>
        <v>0</v>
      </c>
      <c r="H179" s="39">
        <f t="shared" si="80"/>
        <v>0</v>
      </c>
      <c r="I179" s="39">
        <f t="shared" si="81"/>
        <v>0</v>
      </c>
      <c r="J179" s="39">
        <f t="shared" si="82"/>
        <v>0</v>
      </c>
      <c r="K179" s="39">
        <f t="shared" si="83"/>
        <v>0</v>
      </c>
      <c r="L179" s="39">
        <f t="shared" si="84"/>
        <v>0</v>
      </c>
      <c r="M179" s="39">
        <f t="shared" si="85"/>
        <v>0</v>
      </c>
      <c r="O179" s="35">
        <f t="shared" si="86"/>
        <v>0</v>
      </c>
    </row>
    <row r="180" spans="2:15" ht="23.1" customHeight="1">
      <c r="B180" s="16">
        <f>AKUN!B177</f>
        <v>510124</v>
      </c>
      <c r="C180" s="7" t="str">
        <f t="shared" si="75"/>
        <v>BIAYA PENERAPAN MEMBER PARKING KENDARAAN</v>
      </c>
      <c r="D180" s="39">
        <f t="shared" si="76"/>
        <v>0</v>
      </c>
      <c r="E180" s="39">
        <f t="shared" si="77"/>
        <v>0</v>
      </c>
      <c r="F180" s="39">
        <f t="shared" si="78"/>
        <v>0</v>
      </c>
      <c r="G180" s="39">
        <f t="shared" si="79"/>
        <v>0</v>
      </c>
      <c r="H180" s="39">
        <f t="shared" si="80"/>
        <v>0</v>
      </c>
      <c r="I180" s="39">
        <f t="shared" si="81"/>
        <v>0</v>
      </c>
      <c r="J180" s="39">
        <f t="shared" si="82"/>
        <v>0</v>
      </c>
      <c r="K180" s="39">
        <f t="shared" si="83"/>
        <v>0</v>
      </c>
      <c r="L180" s="39">
        <f t="shared" si="84"/>
        <v>0</v>
      </c>
      <c r="M180" s="39">
        <f t="shared" si="85"/>
        <v>0</v>
      </c>
      <c r="O180" s="35">
        <f t="shared" si="86"/>
        <v>0</v>
      </c>
    </row>
    <row r="181" spans="2:15" ht="23.1" customHeight="1">
      <c r="B181" s="16">
        <f>AKUN!B178</f>
        <v>510200</v>
      </c>
      <c r="C181" s="7" t="str">
        <f t="shared" si="75"/>
        <v>BIAYA PUNGUT KOLEKOR</v>
      </c>
      <c r="D181" s="39" t="str">
        <f t="shared" si="76"/>
        <v/>
      </c>
      <c r="E181" s="39" t="str">
        <f t="shared" si="77"/>
        <v/>
      </c>
      <c r="F181" s="39">
        <f t="shared" si="78"/>
        <v>0</v>
      </c>
      <c r="G181" s="39">
        <f t="shared" si="79"/>
        <v>0</v>
      </c>
      <c r="H181" s="39" t="str">
        <f t="shared" si="80"/>
        <v/>
      </c>
      <c r="I181" s="39" t="str">
        <f t="shared" si="81"/>
        <v/>
      </c>
      <c r="J181" s="39" t="str">
        <f t="shared" si="82"/>
        <v/>
      </c>
      <c r="K181" s="39" t="str">
        <f t="shared" si="83"/>
        <v/>
      </c>
      <c r="L181" s="39" t="str">
        <f t="shared" si="84"/>
        <v/>
      </c>
      <c r="M181" s="39" t="str">
        <f t="shared" si="85"/>
        <v/>
      </c>
      <c r="O181" s="35">
        <f t="shared" si="86"/>
        <v>1</v>
      </c>
    </row>
    <row r="182" spans="2:15" ht="23.1" customHeight="1">
      <c r="B182" s="16">
        <f>AKUN!B179</f>
        <v>510201</v>
      </c>
      <c r="C182" s="7" t="str">
        <f t="shared" si="75"/>
        <v>BIAYA TRANSPORT KOLEKTOR TJU</v>
      </c>
      <c r="D182" s="39">
        <f t="shared" si="76"/>
        <v>0</v>
      </c>
      <c r="E182" s="39">
        <f t="shared" si="77"/>
        <v>0</v>
      </c>
      <c r="F182" s="39">
        <f t="shared" si="78"/>
        <v>47200450</v>
      </c>
      <c r="G182" s="39">
        <f t="shared" si="79"/>
        <v>0</v>
      </c>
      <c r="H182" s="39">
        <f t="shared" si="80"/>
        <v>47200450</v>
      </c>
      <c r="I182" s="39">
        <f t="shared" si="81"/>
        <v>0</v>
      </c>
      <c r="J182" s="39">
        <f t="shared" si="82"/>
        <v>47200450</v>
      </c>
      <c r="K182" s="39">
        <f t="shared" si="83"/>
        <v>0</v>
      </c>
      <c r="L182" s="39">
        <f t="shared" si="84"/>
        <v>0</v>
      </c>
      <c r="M182" s="39">
        <f t="shared" si="85"/>
        <v>0</v>
      </c>
      <c r="O182" s="35">
        <f t="shared" si="86"/>
        <v>1</v>
      </c>
    </row>
    <row r="183" spans="2:15" ht="23.1" customHeight="1">
      <c r="B183" s="16">
        <f>AKUN!B180</f>
        <v>510202</v>
      </c>
      <c r="C183" s="7" t="str">
        <f t="shared" si="75"/>
        <v>BIAYA TRANSPORT INSIDENTIL</v>
      </c>
      <c r="D183" s="39">
        <f t="shared" si="76"/>
        <v>0</v>
      </c>
      <c r="E183" s="39">
        <f t="shared" si="77"/>
        <v>0</v>
      </c>
      <c r="F183" s="39">
        <f t="shared" si="78"/>
        <v>0</v>
      </c>
      <c r="G183" s="39">
        <f t="shared" si="79"/>
        <v>0</v>
      </c>
      <c r="H183" s="39">
        <f t="shared" si="80"/>
        <v>0</v>
      </c>
      <c r="I183" s="39">
        <f t="shared" si="81"/>
        <v>0</v>
      </c>
      <c r="J183" s="39">
        <f t="shared" si="82"/>
        <v>0</v>
      </c>
      <c r="K183" s="39">
        <f t="shared" si="83"/>
        <v>0</v>
      </c>
      <c r="L183" s="39">
        <f t="shared" si="84"/>
        <v>0</v>
      </c>
      <c r="M183" s="39">
        <f t="shared" si="85"/>
        <v>0</v>
      </c>
      <c r="O183" s="35">
        <f t="shared" si="86"/>
        <v>0</v>
      </c>
    </row>
    <row r="184" spans="2:15" ht="23.1" customHeight="1">
      <c r="B184" s="16">
        <f>AKUN!B181</f>
        <v>510203</v>
      </c>
      <c r="C184" s="7" t="str">
        <f t="shared" si="75"/>
        <v>BIAYA TRANSPORT KOMERSIAL</v>
      </c>
      <c r="D184" s="39">
        <f t="shared" si="76"/>
        <v>0</v>
      </c>
      <c r="E184" s="39">
        <f t="shared" si="77"/>
        <v>0</v>
      </c>
      <c r="F184" s="39">
        <f t="shared" si="78"/>
        <v>55898450</v>
      </c>
      <c r="G184" s="39">
        <f t="shared" si="79"/>
        <v>0</v>
      </c>
      <c r="H184" s="39">
        <f t="shared" si="80"/>
        <v>55898450</v>
      </c>
      <c r="I184" s="39">
        <f t="shared" si="81"/>
        <v>0</v>
      </c>
      <c r="J184" s="39">
        <f t="shared" si="82"/>
        <v>55898450</v>
      </c>
      <c r="K184" s="39">
        <f t="shared" si="83"/>
        <v>0</v>
      </c>
      <c r="L184" s="39">
        <f t="shared" si="84"/>
        <v>0</v>
      </c>
      <c r="M184" s="39">
        <f t="shared" si="85"/>
        <v>0</v>
      </c>
      <c r="O184" s="35">
        <f t="shared" si="86"/>
        <v>1</v>
      </c>
    </row>
    <row r="185" spans="2:15" ht="23.1" customHeight="1">
      <c r="B185" s="16">
        <f>AKUN!B182</f>
        <v>510204</v>
      </c>
      <c r="C185" s="7" t="str">
        <f t="shared" si="75"/>
        <v>BIAYA TRANSPORT KOLEKTOR PLB</v>
      </c>
      <c r="D185" s="39">
        <f t="shared" si="76"/>
        <v>0</v>
      </c>
      <c r="E185" s="39">
        <f t="shared" si="77"/>
        <v>0</v>
      </c>
      <c r="F185" s="39">
        <f t="shared" si="78"/>
        <v>44304813</v>
      </c>
      <c r="G185" s="39">
        <f t="shared" si="79"/>
        <v>0</v>
      </c>
      <c r="H185" s="39">
        <f t="shared" si="80"/>
        <v>44304813</v>
      </c>
      <c r="I185" s="39">
        <f t="shared" si="81"/>
        <v>0</v>
      </c>
      <c r="J185" s="39">
        <f t="shared" si="82"/>
        <v>44304813</v>
      </c>
      <c r="K185" s="39">
        <f t="shared" si="83"/>
        <v>0</v>
      </c>
      <c r="L185" s="39">
        <f t="shared" si="84"/>
        <v>0</v>
      </c>
      <c r="M185" s="39">
        <f t="shared" si="85"/>
        <v>0</v>
      </c>
      <c r="O185" s="35">
        <f t="shared" si="86"/>
        <v>1</v>
      </c>
    </row>
    <row r="186" spans="2:15" ht="23.1" customHeight="1">
      <c r="B186" s="16">
        <f>AKUN!B183</f>
        <v>510205</v>
      </c>
      <c r="C186" s="7" t="str">
        <f t="shared" si="75"/>
        <v>BIAYA TRANSPORT PARKIR IT</v>
      </c>
      <c r="D186" s="39">
        <f t="shared" si="76"/>
        <v>0</v>
      </c>
      <c r="E186" s="39">
        <f t="shared" si="77"/>
        <v>0</v>
      </c>
      <c r="F186" s="39">
        <f t="shared" si="78"/>
        <v>0</v>
      </c>
      <c r="G186" s="39">
        <f t="shared" si="79"/>
        <v>0</v>
      </c>
      <c r="H186" s="39">
        <f t="shared" si="80"/>
        <v>0</v>
      </c>
      <c r="I186" s="39">
        <f t="shared" si="81"/>
        <v>0</v>
      </c>
      <c r="J186" s="39">
        <f t="shared" si="82"/>
        <v>0</v>
      </c>
      <c r="K186" s="39">
        <f t="shared" si="83"/>
        <v>0</v>
      </c>
      <c r="L186" s="39">
        <f t="shared" si="84"/>
        <v>0</v>
      </c>
      <c r="M186" s="39">
        <f t="shared" si="85"/>
        <v>0</v>
      </c>
      <c r="O186" s="35">
        <f t="shared" si="86"/>
        <v>0</v>
      </c>
    </row>
    <row r="187" spans="2:15" ht="23.1" customHeight="1">
      <c r="B187" s="16">
        <f>AKUN!B184</f>
        <v>610000</v>
      </c>
      <c r="C187" s="7" t="str">
        <f t="shared" si="75"/>
        <v>BIAYA ADM UMUM</v>
      </c>
      <c r="D187" s="39" t="str">
        <f t="shared" si="76"/>
        <v/>
      </c>
      <c r="E187" s="39" t="str">
        <f t="shared" si="77"/>
        <v/>
      </c>
      <c r="F187" s="39">
        <f t="shared" si="78"/>
        <v>0</v>
      </c>
      <c r="G187" s="39">
        <f t="shared" si="79"/>
        <v>0</v>
      </c>
      <c r="H187" s="39" t="str">
        <f t="shared" si="80"/>
        <v/>
      </c>
      <c r="I187" s="39" t="str">
        <f t="shared" si="81"/>
        <v/>
      </c>
      <c r="J187" s="39" t="str">
        <f t="shared" si="82"/>
        <v/>
      </c>
      <c r="K187" s="39" t="str">
        <f t="shared" si="83"/>
        <v/>
      </c>
      <c r="L187" s="39" t="str">
        <f t="shared" si="84"/>
        <v/>
      </c>
      <c r="M187" s="39" t="str">
        <f t="shared" si="85"/>
        <v/>
      </c>
      <c r="O187" s="35">
        <f t="shared" si="86"/>
        <v>1</v>
      </c>
    </row>
    <row r="188" spans="2:15" ht="23.1" customHeight="1">
      <c r="B188" s="16">
        <f>AKUN!B185</f>
        <v>610100</v>
      </c>
      <c r="C188" s="7" t="str">
        <f t="shared" si="75"/>
        <v>BIAYA GAJI DAN SDM</v>
      </c>
      <c r="D188" s="39" t="str">
        <f t="shared" si="76"/>
        <v/>
      </c>
      <c r="E188" s="39" t="str">
        <f t="shared" si="77"/>
        <v/>
      </c>
      <c r="F188" s="39">
        <f t="shared" si="78"/>
        <v>0</v>
      </c>
      <c r="G188" s="39">
        <f t="shared" si="79"/>
        <v>0</v>
      </c>
      <c r="H188" s="39" t="str">
        <f t="shared" si="80"/>
        <v/>
      </c>
      <c r="I188" s="39" t="str">
        <f t="shared" si="81"/>
        <v/>
      </c>
      <c r="J188" s="39" t="str">
        <f t="shared" si="82"/>
        <v/>
      </c>
      <c r="K188" s="39" t="str">
        <f t="shared" si="83"/>
        <v/>
      </c>
      <c r="L188" s="39" t="str">
        <f t="shared" si="84"/>
        <v/>
      </c>
      <c r="M188" s="39" t="str">
        <f t="shared" si="85"/>
        <v/>
      </c>
      <c r="O188" s="35">
        <f t="shared" si="86"/>
        <v>1</v>
      </c>
    </row>
    <row r="189" spans="2:15" ht="23.1" customHeight="1">
      <c r="B189" s="16">
        <f>AKUN!B186</f>
        <v>610101</v>
      </c>
      <c r="C189" s="7" t="str">
        <f t="shared" si="75"/>
        <v>BIAYA HONOR BADAN PENGAWAS DAN STAF BP</v>
      </c>
      <c r="D189" s="39">
        <f t="shared" si="76"/>
        <v>0</v>
      </c>
      <c r="E189" s="39">
        <f t="shared" si="77"/>
        <v>0</v>
      </c>
      <c r="F189" s="39">
        <f t="shared" si="78"/>
        <v>293414074</v>
      </c>
      <c r="G189" s="39">
        <f t="shared" si="79"/>
        <v>0</v>
      </c>
      <c r="H189" s="39">
        <f t="shared" si="80"/>
        <v>293414074</v>
      </c>
      <c r="I189" s="39">
        <f t="shared" si="81"/>
        <v>0</v>
      </c>
      <c r="J189" s="39">
        <f t="shared" si="82"/>
        <v>293414074</v>
      </c>
      <c r="K189" s="39">
        <f t="shared" si="83"/>
        <v>0</v>
      </c>
      <c r="L189" s="39">
        <f t="shared" si="84"/>
        <v>0</v>
      </c>
      <c r="M189" s="39">
        <f t="shared" si="85"/>
        <v>0</v>
      </c>
      <c r="O189" s="35">
        <f t="shared" si="86"/>
        <v>1</v>
      </c>
    </row>
    <row r="190" spans="2:15" ht="23.1" customHeight="1">
      <c r="B190" s="16">
        <f>AKUN!B187</f>
        <v>610102</v>
      </c>
      <c r="C190" s="7" t="str">
        <f t="shared" si="75"/>
        <v>BIAYA TUNJANGAN BBM BADAN PENGAWAS</v>
      </c>
      <c r="D190" s="39">
        <f t="shared" si="76"/>
        <v>0</v>
      </c>
      <c r="E190" s="39">
        <f t="shared" si="77"/>
        <v>0</v>
      </c>
      <c r="F190" s="39">
        <f t="shared" si="78"/>
        <v>16891200</v>
      </c>
      <c r="G190" s="39">
        <f t="shared" si="79"/>
        <v>0</v>
      </c>
      <c r="H190" s="39">
        <f t="shared" si="80"/>
        <v>16891200</v>
      </c>
      <c r="I190" s="39">
        <f t="shared" si="81"/>
        <v>0</v>
      </c>
      <c r="J190" s="39">
        <f t="shared" si="82"/>
        <v>16891200</v>
      </c>
      <c r="K190" s="39">
        <f t="shared" si="83"/>
        <v>0</v>
      </c>
      <c r="L190" s="39">
        <f t="shared" si="84"/>
        <v>0</v>
      </c>
      <c r="M190" s="39">
        <f t="shared" si="85"/>
        <v>0</v>
      </c>
      <c r="O190" s="35">
        <f t="shared" si="86"/>
        <v>1</v>
      </c>
    </row>
    <row r="191" spans="2:15" ht="23.1" customHeight="1">
      <c r="B191" s="16">
        <f>AKUN!B188</f>
        <v>610103</v>
      </c>
      <c r="C191" s="7" t="str">
        <f t="shared" si="75"/>
        <v>BIAYA TUNJANGAN MONITORING, EVALUASI DAN PELAPORAN</v>
      </c>
      <c r="D191" s="39">
        <f t="shared" si="76"/>
        <v>0</v>
      </c>
      <c r="E191" s="39">
        <f t="shared" si="77"/>
        <v>0</v>
      </c>
      <c r="F191" s="39">
        <f t="shared" si="78"/>
        <v>8400000</v>
      </c>
      <c r="G191" s="39">
        <f t="shared" si="79"/>
        <v>0</v>
      </c>
      <c r="H191" s="39">
        <f t="shared" si="80"/>
        <v>8400000</v>
      </c>
      <c r="I191" s="39">
        <f t="shared" si="81"/>
        <v>0</v>
      </c>
      <c r="J191" s="39">
        <f t="shared" si="82"/>
        <v>8400000</v>
      </c>
      <c r="K191" s="39">
        <f t="shared" si="83"/>
        <v>0</v>
      </c>
      <c r="L191" s="39">
        <f t="shared" si="84"/>
        <v>0</v>
      </c>
      <c r="M191" s="39">
        <f t="shared" si="85"/>
        <v>0</v>
      </c>
      <c r="O191" s="35">
        <f t="shared" si="86"/>
        <v>1</v>
      </c>
    </row>
    <row r="192" spans="2:15" ht="23.1" customHeight="1">
      <c r="B192" s="16">
        <f>AKUN!B189</f>
        <v>610104</v>
      </c>
      <c r="C192" s="7" t="str">
        <f t="shared" si="75"/>
        <v>BIAYA GAJI DIREKSI</v>
      </c>
      <c r="D192" s="39">
        <f t="shared" si="76"/>
        <v>0</v>
      </c>
      <c r="E192" s="39">
        <f t="shared" si="77"/>
        <v>0</v>
      </c>
      <c r="F192" s="39">
        <f t="shared" si="78"/>
        <v>717678692</v>
      </c>
      <c r="G192" s="39">
        <f t="shared" si="79"/>
        <v>0</v>
      </c>
      <c r="H192" s="39">
        <f t="shared" si="80"/>
        <v>717678692</v>
      </c>
      <c r="I192" s="39">
        <f t="shared" si="81"/>
        <v>0</v>
      </c>
      <c r="J192" s="39">
        <f t="shared" si="82"/>
        <v>717678692</v>
      </c>
      <c r="K192" s="39">
        <f t="shared" si="83"/>
        <v>0</v>
      </c>
      <c r="L192" s="39">
        <f t="shared" si="84"/>
        <v>0</v>
      </c>
      <c r="M192" s="39">
        <f t="shared" si="85"/>
        <v>0</v>
      </c>
      <c r="O192" s="35">
        <f t="shared" si="86"/>
        <v>1</v>
      </c>
    </row>
    <row r="193" spans="2:15" ht="23.1" customHeight="1">
      <c r="B193" s="16">
        <f>AKUN!B190</f>
        <v>610105</v>
      </c>
      <c r="C193" s="7" t="str">
        <f t="shared" si="75"/>
        <v>BIAYA GAJI DAN TUNJANGAN PEGAWAI ORGANIK</v>
      </c>
      <c r="D193" s="39">
        <f t="shared" si="76"/>
        <v>0</v>
      </c>
      <c r="E193" s="39">
        <f t="shared" si="77"/>
        <v>0</v>
      </c>
      <c r="F193" s="39">
        <f t="shared" si="78"/>
        <v>2481354840</v>
      </c>
      <c r="G193" s="39">
        <f t="shared" si="79"/>
        <v>0</v>
      </c>
      <c r="H193" s="39">
        <f t="shared" si="80"/>
        <v>2481354840</v>
      </c>
      <c r="I193" s="39">
        <f t="shared" si="81"/>
        <v>0</v>
      </c>
      <c r="J193" s="39">
        <f t="shared" si="82"/>
        <v>2481354840</v>
      </c>
      <c r="K193" s="39">
        <f t="shared" si="83"/>
        <v>0</v>
      </c>
      <c r="L193" s="39">
        <f t="shared" si="84"/>
        <v>0</v>
      </c>
      <c r="M193" s="39">
        <f t="shared" si="85"/>
        <v>0</v>
      </c>
      <c r="O193" s="35">
        <f t="shared" si="86"/>
        <v>1</v>
      </c>
    </row>
    <row r="194" spans="2:15" ht="23.1" customHeight="1">
      <c r="B194" s="16">
        <f>AKUN!B191</f>
        <v>610106</v>
      </c>
      <c r="C194" s="7" t="str">
        <f t="shared" si="75"/>
        <v>BIAYA UPAH TENAGA KONTRAK</v>
      </c>
      <c r="D194" s="39">
        <f t="shared" si="76"/>
        <v>0</v>
      </c>
      <c r="E194" s="39">
        <f t="shared" si="77"/>
        <v>0</v>
      </c>
      <c r="F194" s="39">
        <f t="shared" si="78"/>
        <v>2551186082</v>
      </c>
      <c r="G194" s="39">
        <f t="shared" si="79"/>
        <v>0</v>
      </c>
      <c r="H194" s="39">
        <f t="shared" si="80"/>
        <v>2551186082</v>
      </c>
      <c r="I194" s="39">
        <f t="shared" si="81"/>
        <v>0</v>
      </c>
      <c r="J194" s="39">
        <f t="shared" si="82"/>
        <v>2551186082</v>
      </c>
      <c r="K194" s="39">
        <f t="shared" si="83"/>
        <v>0</v>
      </c>
      <c r="L194" s="39">
        <f t="shared" si="84"/>
        <v>0</v>
      </c>
      <c r="M194" s="39">
        <f t="shared" si="85"/>
        <v>0</v>
      </c>
      <c r="O194" s="35">
        <f t="shared" si="86"/>
        <v>1</v>
      </c>
    </row>
    <row r="195" spans="2:15" ht="23.1" customHeight="1">
      <c r="B195" s="16">
        <f>AKUN!B192</f>
        <v>610107</v>
      </c>
      <c r="C195" s="7" t="str">
        <f t="shared" si="75"/>
        <v>BIAYA UPAH TENAGA HONOR</v>
      </c>
      <c r="D195" s="39">
        <f t="shared" si="76"/>
        <v>0</v>
      </c>
      <c r="E195" s="39">
        <f t="shared" si="77"/>
        <v>0</v>
      </c>
      <c r="F195" s="39">
        <f t="shared" si="78"/>
        <v>279234290</v>
      </c>
      <c r="G195" s="39">
        <f t="shared" si="79"/>
        <v>0</v>
      </c>
      <c r="H195" s="39">
        <f t="shared" si="80"/>
        <v>279234290</v>
      </c>
      <c r="I195" s="39">
        <f t="shared" si="81"/>
        <v>0</v>
      </c>
      <c r="J195" s="39">
        <f t="shared" si="82"/>
        <v>279234290</v>
      </c>
      <c r="K195" s="39">
        <f t="shared" si="83"/>
        <v>0</v>
      </c>
      <c r="L195" s="39">
        <f t="shared" si="84"/>
        <v>0</v>
      </c>
      <c r="M195" s="39">
        <f t="shared" si="85"/>
        <v>0</v>
      </c>
      <c r="O195" s="35">
        <f t="shared" si="86"/>
        <v>1</v>
      </c>
    </row>
    <row r="196" spans="2:15" ht="23.1" customHeight="1">
      <c r="B196" s="16">
        <f>AKUN!B193</f>
        <v>610108</v>
      </c>
      <c r="C196" s="7" t="str">
        <f t="shared" si="75"/>
        <v>BIAYA INSENTIF DIREKSI DAN KARYAWAN</v>
      </c>
      <c r="D196" s="39">
        <f t="shared" si="76"/>
        <v>0</v>
      </c>
      <c r="E196" s="39">
        <f t="shared" si="77"/>
        <v>0</v>
      </c>
      <c r="F196" s="39">
        <f t="shared" si="78"/>
        <v>0</v>
      </c>
      <c r="G196" s="39">
        <f t="shared" si="79"/>
        <v>0</v>
      </c>
      <c r="H196" s="39">
        <f t="shared" si="80"/>
        <v>0</v>
      </c>
      <c r="I196" s="39">
        <f t="shared" si="81"/>
        <v>0</v>
      </c>
      <c r="J196" s="39">
        <f t="shared" si="82"/>
        <v>0</v>
      </c>
      <c r="K196" s="39">
        <f t="shared" si="83"/>
        <v>0</v>
      </c>
      <c r="L196" s="39">
        <f t="shared" si="84"/>
        <v>0</v>
      </c>
      <c r="M196" s="39">
        <f t="shared" si="85"/>
        <v>0</v>
      </c>
      <c r="O196" s="35">
        <f t="shared" si="86"/>
        <v>0</v>
      </c>
    </row>
    <row r="197" spans="2:15" ht="23.1" customHeight="1">
      <c r="B197" s="16">
        <f>AKUN!B194</f>
        <v>610109</v>
      </c>
      <c r="C197" s="7" t="str">
        <f t="shared" si="75"/>
        <v>BIAYA TUNJANGAN TELEKOMUNIKASI DIREKSI DAN KABAG</v>
      </c>
      <c r="D197" s="39">
        <f t="shared" si="76"/>
        <v>0</v>
      </c>
      <c r="E197" s="39">
        <f t="shared" si="77"/>
        <v>0</v>
      </c>
      <c r="F197" s="39">
        <f t="shared" si="78"/>
        <v>0</v>
      </c>
      <c r="G197" s="39">
        <f t="shared" si="79"/>
        <v>0</v>
      </c>
      <c r="H197" s="39">
        <f t="shared" si="80"/>
        <v>0</v>
      </c>
      <c r="I197" s="39">
        <f t="shared" si="81"/>
        <v>0</v>
      </c>
      <c r="J197" s="39">
        <f t="shared" si="82"/>
        <v>0</v>
      </c>
      <c r="K197" s="39">
        <f t="shared" si="83"/>
        <v>0</v>
      </c>
      <c r="L197" s="39">
        <f t="shared" si="84"/>
        <v>0</v>
      </c>
      <c r="M197" s="39">
        <f t="shared" si="85"/>
        <v>0</v>
      </c>
      <c r="O197" s="35">
        <f t="shared" si="86"/>
        <v>0</v>
      </c>
    </row>
    <row r="198" spans="2:15" ht="23.1" customHeight="1">
      <c r="B198" s="16">
        <f>AKUN!B195</f>
        <v>610110</v>
      </c>
      <c r="C198" s="7" t="str">
        <f t="shared" si="75"/>
        <v>BIAYA TUNJANGAN KOORDINASI DIREKSI</v>
      </c>
      <c r="D198" s="39">
        <f t="shared" si="76"/>
        <v>0</v>
      </c>
      <c r="E198" s="39">
        <f t="shared" si="77"/>
        <v>0</v>
      </c>
      <c r="F198" s="39">
        <f t="shared" si="78"/>
        <v>0</v>
      </c>
      <c r="G198" s="39">
        <f t="shared" si="79"/>
        <v>0</v>
      </c>
      <c r="H198" s="39">
        <f t="shared" si="80"/>
        <v>0</v>
      </c>
      <c r="I198" s="39">
        <f t="shared" si="81"/>
        <v>0</v>
      </c>
      <c r="J198" s="39">
        <f t="shared" si="82"/>
        <v>0</v>
      </c>
      <c r="K198" s="39">
        <f t="shared" si="83"/>
        <v>0</v>
      </c>
      <c r="L198" s="39">
        <f t="shared" si="84"/>
        <v>0</v>
      </c>
      <c r="M198" s="39">
        <f t="shared" si="85"/>
        <v>0</v>
      </c>
      <c r="O198" s="35">
        <f t="shared" si="86"/>
        <v>0</v>
      </c>
    </row>
    <row r="199" spans="2:15" ht="23.1" customHeight="1">
      <c r="B199" s="16">
        <f>AKUN!B196</f>
        <v>610111</v>
      </c>
      <c r="C199" s="7" t="str">
        <f t="shared" ref="C199:C229" si="87">IFERROR(INDEX(akun_ket,MATCH(B199,akun_kd,0)),"")</f>
        <v>BIAYA HONOR KONSULTAN HUKUM, KEUANGAN Dan IT</v>
      </c>
      <c r="D199" s="39">
        <f t="shared" ref="D199:D229" si="88">IFERROR(INDEX(akun_db,MATCH(B199&amp;" | "&amp;C199,akun_kb,0))+SUMIFS(ju_sld,ju_tgl,"&lt;"&amp;awal,ju_debet,B199&amp;" | "&amp;C199),"")</f>
        <v>0</v>
      </c>
      <c r="E199" s="39">
        <f t="shared" ref="E199:E229" si="89">IFERROR(INDEX(akun_kr,MATCH(B199&amp;" | "&amp;C199,akun_kb,0))+SUMIFS(ju_sld,ju_tgl,"&lt;"&amp;awal,ju_kr,B199&amp;" | "&amp;C199),"")</f>
        <v>0</v>
      </c>
      <c r="F199" s="39">
        <f t="shared" ref="F199:F229" si="90">IFERROR(SUMIFS(ju_sld,ju_tgl,"&gt;="&amp;awal,ju_tgl,"&lt;="&amp;akhir,ju_debet,B199&amp;" | "&amp;C199),0)</f>
        <v>16000000</v>
      </c>
      <c r="G199" s="39">
        <f t="shared" ref="G199:G229" si="91">IFERROR(SUMIFS(ju_sld,ju_tgl,"&gt;="&amp;awal,ju_tgl,"&lt;="&amp;akhir,ju_kr,B199&amp;" | "&amp;C199),0)</f>
        <v>0</v>
      </c>
      <c r="H199" s="39">
        <f t="shared" ref="H199:H229" si="92">IFERROR(IF(INDEX(typ_sn,MATCH(INDEX(akun_type,MATCH(B199,akun_kd,0)),typ_ket,0))="db",D199+F199-E199-G199,0),"")</f>
        <v>16000000</v>
      </c>
      <c r="I199" s="39">
        <f t="shared" ref="I199:I229" si="93">IFERROR(IF(INDEX(typ_sn,MATCH(INDEX(akun_type,MATCH(B199,akun_kd,0)),typ_ket,0))="Kr",G199+E199-F199-D199,0),"")</f>
        <v>0</v>
      </c>
      <c r="J199" s="39">
        <f t="shared" ref="J199:J229" si="94">IFERROR(IF(AND(INDEX(typ_sn,MATCH(INDEX(akun_type,MATCH(B199,akun_kd,0)),typ_ket,0))="db",INDEX(typ_pos,MATCH(INDEX(akun_type,MATCH(B199,akun_kd,0)),typ_ket,0))="lr"),H199-I199,0),"")</f>
        <v>16000000</v>
      </c>
      <c r="K199" s="39">
        <f t="shared" ref="K199:K229" si="95">IFERROR(IF(AND(INDEX(typ_sn,MATCH(INDEX(akun_type,MATCH(B199,akun_kd,0)),typ_ket,0))="kr",INDEX(typ_pos,MATCH(INDEX(akun_type,MATCH(B199,akun_kd,0)),typ_ket,0))="lr"),I199-H199,0),"")</f>
        <v>0</v>
      </c>
      <c r="L199" s="39">
        <f t="shared" ref="L199:L229" si="96">IFERROR(IF(AND(INDEX(typ_sn,MATCH(INDEX(akun_type,MATCH(B199,akun_kd,0)),typ_ket,0))="db",INDEX(typ_pos,MATCH(INDEX(akun_type,MATCH(B199,akun_kd,0)),typ_ket,0))="Nrc"),H199-I199,0),"")</f>
        <v>0</v>
      </c>
      <c r="M199" s="39">
        <f t="shared" ref="M199:M229" si="97">IFERROR(IF(AND(INDEX(typ_sn,MATCH(INDEX(akun_type,MATCH(B199,akun_kd,0)),typ_ket,0))="kr",INDEX(typ_pos,MATCH(INDEX(akun_type,MATCH(B199,akun_kd,0)),typ_ket,0))="nrc"),I199-H199,0),"")</f>
        <v>0</v>
      </c>
      <c r="O199" s="35">
        <f t="shared" ref="O199:O229" si="98">IF(AND(D199=0,E199=0,F199=0,G199=0,H199=0,I199=0,J199=0,K199=0,L199=0,M199=0),0,1)</f>
        <v>1</v>
      </c>
    </row>
    <row r="200" spans="2:15" ht="23.1" customHeight="1">
      <c r="B200" s="16">
        <f>AKUN!B197</f>
        <v>610112</v>
      </c>
      <c r="C200" s="7" t="str">
        <f t="shared" si="87"/>
        <v>BIAYA CUTI DIREKSI</v>
      </c>
      <c r="D200" s="39">
        <f t="shared" si="88"/>
        <v>0</v>
      </c>
      <c r="E200" s="39">
        <f t="shared" si="89"/>
        <v>0</v>
      </c>
      <c r="F200" s="39">
        <f t="shared" si="90"/>
        <v>0</v>
      </c>
      <c r="G200" s="39">
        <f t="shared" si="91"/>
        <v>0</v>
      </c>
      <c r="H200" s="39">
        <f t="shared" si="92"/>
        <v>0</v>
      </c>
      <c r="I200" s="39">
        <f t="shared" si="93"/>
        <v>0</v>
      </c>
      <c r="J200" s="39">
        <f t="shared" si="94"/>
        <v>0</v>
      </c>
      <c r="K200" s="39">
        <f t="shared" si="95"/>
        <v>0</v>
      </c>
      <c r="L200" s="39">
        <f t="shared" si="96"/>
        <v>0</v>
      </c>
      <c r="M200" s="39">
        <f t="shared" si="97"/>
        <v>0</v>
      </c>
      <c r="O200" s="35">
        <f t="shared" si="98"/>
        <v>0</v>
      </c>
    </row>
    <row r="201" spans="2:15" ht="23.1" customHeight="1">
      <c r="B201" s="16">
        <f>AKUN!B198</f>
        <v>610113</v>
      </c>
      <c r="C201" s="7" t="str">
        <f t="shared" si="87"/>
        <v>BIAYA LEMBUR DIREKSI DAN PEGAWAI</v>
      </c>
      <c r="D201" s="39">
        <f t="shared" si="88"/>
        <v>0</v>
      </c>
      <c r="E201" s="39">
        <f t="shared" si="89"/>
        <v>0</v>
      </c>
      <c r="F201" s="39">
        <f t="shared" si="90"/>
        <v>0</v>
      </c>
      <c r="G201" s="39">
        <f t="shared" si="91"/>
        <v>0</v>
      </c>
      <c r="H201" s="39">
        <f t="shared" si="92"/>
        <v>0</v>
      </c>
      <c r="I201" s="39">
        <f t="shared" si="93"/>
        <v>0</v>
      </c>
      <c r="J201" s="39">
        <f t="shared" si="94"/>
        <v>0</v>
      </c>
      <c r="K201" s="39">
        <f t="shared" si="95"/>
        <v>0</v>
      </c>
      <c r="L201" s="39">
        <f t="shared" si="96"/>
        <v>0</v>
      </c>
      <c r="M201" s="39">
        <f t="shared" si="97"/>
        <v>0</v>
      </c>
      <c r="O201" s="35">
        <f t="shared" si="98"/>
        <v>0</v>
      </c>
    </row>
    <row r="202" spans="2:15" ht="23.1" customHeight="1">
      <c r="B202" s="16">
        <f>AKUN!B199</f>
        <v>610114</v>
      </c>
      <c r="C202" s="7" t="str">
        <f t="shared" si="87"/>
        <v>BIAYA TUNJANGAN HARI RAYA (GAJI 13)</v>
      </c>
      <c r="D202" s="39">
        <f t="shared" si="88"/>
        <v>0</v>
      </c>
      <c r="E202" s="39">
        <f t="shared" si="89"/>
        <v>0</v>
      </c>
      <c r="F202" s="39">
        <f t="shared" si="90"/>
        <v>492066281</v>
      </c>
      <c r="G202" s="39">
        <f t="shared" si="91"/>
        <v>0</v>
      </c>
      <c r="H202" s="39">
        <f t="shared" si="92"/>
        <v>492066281</v>
      </c>
      <c r="I202" s="39">
        <f t="shared" si="93"/>
        <v>0</v>
      </c>
      <c r="J202" s="39">
        <f t="shared" si="94"/>
        <v>492066281</v>
      </c>
      <c r="K202" s="39">
        <f t="shared" si="95"/>
        <v>0</v>
      </c>
      <c r="L202" s="39">
        <f t="shared" si="96"/>
        <v>0</v>
      </c>
      <c r="M202" s="39">
        <f t="shared" si="97"/>
        <v>0</v>
      </c>
      <c r="O202" s="35">
        <f t="shared" si="98"/>
        <v>1</v>
      </c>
    </row>
    <row r="203" spans="2:15" ht="23.1" customHeight="1">
      <c r="B203" s="16">
        <f>AKUN!B200</f>
        <v>610115</v>
      </c>
      <c r="C203" s="7" t="str">
        <f t="shared" si="87"/>
        <v>BIAYA HONOR TIM PENYUSUN RANPERDA PERUMDA</v>
      </c>
      <c r="D203" s="39">
        <f t="shared" si="88"/>
        <v>0</v>
      </c>
      <c r="E203" s="39">
        <f t="shared" si="89"/>
        <v>0</v>
      </c>
      <c r="F203" s="39">
        <f t="shared" si="90"/>
        <v>0</v>
      </c>
      <c r="G203" s="39">
        <f t="shared" si="91"/>
        <v>0</v>
      </c>
      <c r="H203" s="39">
        <f t="shared" si="92"/>
        <v>0</v>
      </c>
      <c r="I203" s="39">
        <f t="shared" si="93"/>
        <v>0</v>
      </c>
      <c r="J203" s="39">
        <f t="shared" si="94"/>
        <v>0</v>
      </c>
      <c r="K203" s="39">
        <f t="shared" si="95"/>
        <v>0</v>
      </c>
      <c r="L203" s="39">
        <f t="shared" si="96"/>
        <v>0</v>
      </c>
      <c r="M203" s="39">
        <f t="shared" si="97"/>
        <v>0</v>
      </c>
      <c r="O203" s="35">
        <f t="shared" si="98"/>
        <v>0</v>
      </c>
    </row>
    <row r="204" spans="2:15" ht="23.1" customHeight="1">
      <c r="B204" s="16">
        <f>AKUN!B201</f>
        <v>610116</v>
      </c>
      <c r="C204" s="7" t="str">
        <f t="shared" si="87"/>
        <v>BIAYA HONOR TENAGA SUKARELA</v>
      </c>
      <c r="D204" s="39">
        <f t="shared" si="88"/>
        <v>0</v>
      </c>
      <c r="E204" s="39">
        <f t="shared" si="89"/>
        <v>0</v>
      </c>
      <c r="F204" s="39">
        <f t="shared" si="90"/>
        <v>0</v>
      </c>
      <c r="G204" s="39">
        <f t="shared" si="91"/>
        <v>0</v>
      </c>
      <c r="H204" s="39">
        <f t="shared" si="92"/>
        <v>0</v>
      </c>
      <c r="I204" s="39">
        <f t="shared" si="93"/>
        <v>0</v>
      </c>
      <c r="J204" s="39">
        <f t="shared" si="94"/>
        <v>0</v>
      </c>
      <c r="K204" s="39">
        <f t="shared" si="95"/>
        <v>0</v>
      </c>
      <c r="L204" s="39">
        <f t="shared" si="96"/>
        <v>0</v>
      </c>
      <c r="M204" s="39">
        <f t="shared" si="97"/>
        <v>0</v>
      </c>
      <c r="O204" s="35">
        <f t="shared" si="98"/>
        <v>0</v>
      </c>
    </row>
    <row r="205" spans="2:15" ht="23.1" customHeight="1">
      <c r="B205" s="16">
        <f>AKUN!B202</f>
        <v>610117</v>
      </c>
      <c r="C205" s="7" t="str">
        <f t="shared" si="87"/>
        <v>BIAYA TUNJANGAN JABATAN</v>
      </c>
      <c r="D205" s="39">
        <f t="shared" si="88"/>
        <v>0</v>
      </c>
      <c r="E205" s="39">
        <f t="shared" si="89"/>
        <v>0</v>
      </c>
      <c r="F205" s="39">
        <f t="shared" si="90"/>
        <v>0</v>
      </c>
      <c r="G205" s="39">
        <f t="shared" si="91"/>
        <v>0</v>
      </c>
      <c r="H205" s="39">
        <f t="shared" si="92"/>
        <v>0</v>
      </c>
      <c r="I205" s="39">
        <f t="shared" si="93"/>
        <v>0</v>
      </c>
      <c r="J205" s="39">
        <f t="shared" si="94"/>
        <v>0</v>
      </c>
      <c r="K205" s="39">
        <f t="shared" si="95"/>
        <v>0</v>
      </c>
      <c r="L205" s="39">
        <f t="shared" si="96"/>
        <v>0</v>
      </c>
      <c r="M205" s="39">
        <f t="shared" si="97"/>
        <v>0</v>
      </c>
      <c r="O205" s="35">
        <f t="shared" si="98"/>
        <v>0</v>
      </c>
    </row>
    <row r="206" spans="2:15" ht="23.1" customHeight="1">
      <c r="B206" s="16">
        <f>AKUN!B203</f>
        <v>610118</v>
      </c>
      <c r="C206" s="7" t="str">
        <f t="shared" si="87"/>
        <v>TUNJANGAN JAMSOSTEK KESEHATAN</v>
      </c>
      <c r="D206" s="39">
        <f t="shared" si="88"/>
        <v>0</v>
      </c>
      <c r="E206" s="39">
        <f t="shared" si="89"/>
        <v>0</v>
      </c>
      <c r="F206" s="39">
        <f t="shared" si="90"/>
        <v>0</v>
      </c>
      <c r="G206" s="39">
        <f t="shared" si="91"/>
        <v>0</v>
      </c>
      <c r="H206" s="39">
        <f t="shared" si="92"/>
        <v>0</v>
      </c>
      <c r="I206" s="39">
        <f t="shared" si="93"/>
        <v>0</v>
      </c>
      <c r="J206" s="39">
        <f t="shared" si="94"/>
        <v>0</v>
      </c>
      <c r="K206" s="39">
        <f t="shared" si="95"/>
        <v>0</v>
      </c>
      <c r="L206" s="39">
        <f t="shared" si="96"/>
        <v>0</v>
      </c>
      <c r="M206" s="39">
        <f t="shared" si="97"/>
        <v>0</v>
      </c>
      <c r="O206" s="35">
        <f t="shared" si="98"/>
        <v>0</v>
      </c>
    </row>
    <row r="207" spans="2:15" ht="23.1" customHeight="1">
      <c r="B207" s="16">
        <f>AKUN!B204</f>
        <v>610119</v>
      </c>
      <c r="C207" s="7" t="str">
        <f t="shared" si="87"/>
        <v>TUNJANGAN JAMSOSTEK KETENAGAKERJAAN</v>
      </c>
      <c r="D207" s="39">
        <f t="shared" si="88"/>
        <v>0</v>
      </c>
      <c r="E207" s="39">
        <f t="shared" si="89"/>
        <v>0</v>
      </c>
      <c r="F207" s="39">
        <f t="shared" si="90"/>
        <v>0</v>
      </c>
      <c r="G207" s="39">
        <f t="shared" si="91"/>
        <v>0</v>
      </c>
      <c r="H207" s="39">
        <f t="shared" si="92"/>
        <v>0</v>
      </c>
      <c r="I207" s="39">
        <f t="shared" si="93"/>
        <v>0</v>
      </c>
      <c r="J207" s="39">
        <f t="shared" si="94"/>
        <v>0</v>
      </c>
      <c r="K207" s="39">
        <f t="shared" si="95"/>
        <v>0</v>
      </c>
      <c r="L207" s="39">
        <f t="shared" si="96"/>
        <v>0</v>
      </c>
      <c r="M207" s="39">
        <f t="shared" si="97"/>
        <v>0</v>
      </c>
      <c r="O207" s="35">
        <f t="shared" si="98"/>
        <v>0</v>
      </c>
    </row>
    <row r="208" spans="2:15" ht="23.1" customHeight="1">
      <c r="B208" s="16">
        <f>AKUN!B205</f>
        <v>610120</v>
      </c>
      <c r="C208" s="7" t="str">
        <f t="shared" si="87"/>
        <v>TUNJANGAN ISTRI DAN ANAK</v>
      </c>
      <c r="D208" s="39">
        <f t="shared" si="88"/>
        <v>0</v>
      </c>
      <c r="E208" s="39">
        <f t="shared" si="89"/>
        <v>0</v>
      </c>
      <c r="F208" s="39">
        <f t="shared" si="90"/>
        <v>0</v>
      </c>
      <c r="G208" s="39">
        <f t="shared" si="91"/>
        <v>0</v>
      </c>
      <c r="H208" s="39">
        <f t="shared" si="92"/>
        <v>0</v>
      </c>
      <c r="I208" s="39">
        <f t="shared" si="93"/>
        <v>0</v>
      </c>
      <c r="J208" s="39">
        <f t="shared" si="94"/>
        <v>0</v>
      </c>
      <c r="K208" s="39">
        <f t="shared" si="95"/>
        <v>0</v>
      </c>
      <c r="L208" s="39">
        <f t="shared" si="96"/>
        <v>0</v>
      </c>
      <c r="M208" s="39">
        <f t="shared" si="97"/>
        <v>0</v>
      </c>
      <c r="O208" s="35">
        <f t="shared" si="98"/>
        <v>0</v>
      </c>
    </row>
    <row r="209" spans="2:15" ht="23.1" customHeight="1">
      <c r="B209" s="16">
        <f>AKUN!B206</f>
        <v>610121</v>
      </c>
      <c r="C209" s="7" t="str">
        <f t="shared" si="87"/>
        <v>TUNJANGAN TRANSPORT</v>
      </c>
      <c r="D209" s="39">
        <f t="shared" si="88"/>
        <v>0</v>
      </c>
      <c r="E209" s="39">
        <f t="shared" si="89"/>
        <v>0</v>
      </c>
      <c r="F209" s="39">
        <f t="shared" si="90"/>
        <v>0</v>
      </c>
      <c r="G209" s="39">
        <f t="shared" si="91"/>
        <v>0</v>
      </c>
      <c r="H209" s="39">
        <f t="shared" si="92"/>
        <v>0</v>
      </c>
      <c r="I209" s="39">
        <f t="shared" si="93"/>
        <v>0</v>
      </c>
      <c r="J209" s="39">
        <f t="shared" si="94"/>
        <v>0</v>
      </c>
      <c r="K209" s="39">
        <f t="shared" si="95"/>
        <v>0</v>
      </c>
      <c r="L209" s="39">
        <f t="shared" si="96"/>
        <v>0</v>
      </c>
      <c r="M209" s="39">
        <f t="shared" si="97"/>
        <v>0</v>
      </c>
      <c r="O209" s="35">
        <f t="shared" si="98"/>
        <v>0</v>
      </c>
    </row>
    <row r="210" spans="2:15" ht="23.1" customHeight="1">
      <c r="B210" s="16">
        <f>AKUN!B207</f>
        <v>610122</v>
      </c>
      <c r="C210" s="7" t="str">
        <f t="shared" si="87"/>
        <v>REFRESENTASI DIREKSI</v>
      </c>
      <c r="D210" s="39">
        <f t="shared" si="88"/>
        <v>0</v>
      </c>
      <c r="E210" s="39">
        <f t="shared" si="89"/>
        <v>0</v>
      </c>
      <c r="F210" s="39">
        <f t="shared" si="90"/>
        <v>0</v>
      </c>
      <c r="G210" s="39">
        <f t="shared" si="91"/>
        <v>0</v>
      </c>
      <c r="H210" s="39">
        <f t="shared" si="92"/>
        <v>0</v>
      </c>
      <c r="I210" s="39">
        <f t="shared" si="93"/>
        <v>0</v>
      </c>
      <c r="J210" s="39">
        <f t="shared" si="94"/>
        <v>0</v>
      </c>
      <c r="K210" s="39">
        <f t="shared" si="95"/>
        <v>0</v>
      </c>
      <c r="L210" s="39">
        <f t="shared" si="96"/>
        <v>0</v>
      </c>
      <c r="M210" s="39">
        <f t="shared" si="97"/>
        <v>0</v>
      </c>
      <c r="O210" s="35">
        <f t="shared" si="98"/>
        <v>0</v>
      </c>
    </row>
    <row r="211" spans="2:15" ht="23.1" customHeight="1">
      <c r="B211" s="16">
        <f>AKUN!B208</f>
        <v>610123</v>
      </c>
      <c r="C211" s="7" t="str">
        <f t="shared" si="87"/>
        <v>GAJI POKOK PEGAWAI</v>
      </c>
      <c r="D211" s="39">
        <f t="shared" si="88"/>
        <v>0</v>
      </c>
      <c r="E211" s="39">
        <f t="shared" si="89"/>
        <v>0</v>
      </c>
      <c r="F211" s="39">
        <f t="shared" si="90"/>
        <v>0</v>
      </c>
      <c r="G211" s="39">
        <f t="shared" si="91"/>
        <v>0</v>
      </c>
      <c r="H211" s="39">
        <f t="shared" si="92"/>
        <v>0</v>
      </c>
      <c r="I211" s="39">
        <f t="shared" si="93"/>
        <v>0</v>
      </c>
      <c r="J211" s="39">
        <f t="shared" si="94"/>
        <v>0</v>
      </c>
      <c r="K211" s="39">
        <f t="shared" si="95"/>
        <v>0</v>
      </c>
      <c r="L211" s="39">
        <f t="shared" si="96"/>
        <v>0</v>
      </c>
      <c r="M211" s="39">
        <f t="shared" si="97"/>
        <v>0</v>
      </c>
      <c r="O211" s="35">
        <f t="shared" si="98"/>
        <v>0</v>
      </c>
    </row>
    <row r="212" spans="2:15" ht="23.1" customHeight="1">
      <c r="B212" s="16">
        <f>AKUN!B209</f>
        <v>610125</v>
      </c>
      <c r="C212" s="7" t="str">
        <f t="shared" si="87"/>
        <v>TUNJANGAN KESEHATAN DAN BPJS TK-PEGAWAI</v>
      </c>
      <c r="D212" s="39">
        <f t="shared" si="88"/>
        <v>0</v>
      </c>
      <c r="E212" s="39">
        <f t="shared" si="89"/>
        <v>0</v>
      </c>
      <c r="F212" s="39">
        <f t="shared" si="90"/>
        <v>0</v>
      </c>
      <c r="G212" s="39">
        <f t="shared" si="91"/>
        <v>0</v>
      </c>
      <c r="H212" s="39">
        <f t="shared" si="92"/>
        <v>0</v>
      </c>
      <c r="I212" s="39">
        <f t="shared" si="93"/>
        <v>0</v>
      </c>
      <c r="J212" s="39">
        <f t="shared" si="94"/>
        <v>0</v>
      </c>
      <c r="K212" s="39">
        <f t="shared" si="95"/>
        <v>0</v>
      </c>
      <c r="L212" s="39">
        <f t="shared" si="96"/>
        <v>0</v>
      </c>
      <c r="M212" s="39">
        <f t="shared" si="97"/>
        <v>0</v>
      </c>
      <c r="O212" s="35">
        <f t="shared" si="98"/>
        <v>0</v>
      </c>
    </row>
    <row r="213" spans="2:15" ht="23.1" customHeight="1">
      <c r="B213" s="16">
        <f>AKUN!B210</f>
        <v>610127</v>
      </c>
      <c r="C213" s="7" t="str">
        <f t="shared" si="87"/>
        <v>TUNJANGAN MAKAN MINUM TRANSPORTASI &amp; T. KELUARGA</v>
      </c>
      <c r="D213" s="39">
        <f t="shared" si="88"/>
        <v>0</v>
      </c>
      <c r="E213" s="39">
        <f t="shared" si="89"/>
        <v>0</v>
      </c>
      <c r="F213" s="39">
        <f t="shared" si="90"/>
        <v>0</v>
      </c>
      <c r="G213" s="39">
        <f t="shared" si="91"/>
        <v>0</v>
      </c>
      <c r="H213" s="39">
        <f t="shared" si="92"/>
        <v>0</v>
      </c>
      <c r="I213" s="39">
        <f t="shared" si="93"/>
        <v>0</v>
      </c>
      <c r="J213" s="39">
        <f t="shared" si="94"/>
        <v>0</v>
      </c>
      <c r="K213" s="39">
        <f t="shared" si="95"/>
        <v>0</v>
      </c>
      <c r="L213" s="39">
        <f t="shared" si="96"/>
        <v>0</v>
      </c>
      <c r="M213" s="39">
        <f t="shared" si="97"/>
        <v>0</v>
      </c>
      <c r="O213" s="35">
        <f t="shared" si="98"/>
        <v>0</v>
      </c>
    </row>
    <row r="214" spans="2:15" ht="23.1" customHeight="1">
      <c r="B214" s="16">
        <f>AKUN!B211</f>
        <v>610129</v>
      </c>
      <c r="C214" s="7" t="str">
        <f t="shared" si="87"/>
        <v>BIAYA TUNJANGAN HARI RAYA</v>
      </c>
      <c r="D214" s="39">
        <f t="shared" si="88"/>
        <v>0</v>
      </c>
      <c r="E214" s="39">
        <f t="shared" si="89"/>
        <v>0</v>
      </c>
      <c r="F214" s="39">
        <f t="shared" si="90"/>
        <v>0</v>
      </c>
      <c r="G214" s="39">
        <f t="shared" si="91"/>
        <v>0</v>
      </c>
      <c r="H214" s="39">
        <f t="shared" si="92"/>
        <v>0</v>
      </c>
      <c r="I214" s="39">
        <f t="shared" si="93"/>
        <v>0</v>
      </c>
      <c r="J214" s="39">
        <f t="shared" si="94"/>
        <v>0</v>
      </c>
      <c r="K214" s="39">
        <f t="shared" si="95"/>
        <v>0</v>
      </c>
      <c r="L214" s="39">
        <f t="shared" si="96"/>
        <v>0</v>
      </c>
      <c r="M214" s="39">
        <f t="shared" si="97"/>
        <v>0</v>
      </c>
      <c r="O214" s="35">
        <f t="shared" si="98"/>
        <v>0</v>
      </c>
    </row>
    <row r="215" spans="2:15" ht="23.1" customHeight="1">
      <c r="B215" s="16">
        <f>AKUN!B212</f>
        <v>610130</v>
      </c>
      <c r="C215" s="7" t="str">
        <f t="shared" si="87"/>
        <v>BIAYA HONOR KOMITE AUDIT</v>
      </c>
      <c r="D215" s="39">
        <f t="shared" si="88"/>
        <v>0</v>
      </c>
      <c r="E215" s="39">
        <f t="shared" si="89"/>
        <v>0</v>
      </c>
      <c r="F215" s="39">
        <f t="shared" si="90"/>
        <v>38272500</v>
      </c>
      <c r="G215" s="39">
        <f t="shared" si="91"/>
        <v>0</v>
      </c>
      <c r="H215" s="39">
        <f t="shared" si="92"/>
        <v>38272500</v>
      </c>
      <c r="I215" s="39">
        <f t="shared" si="93"/>
        <v>0</v>
      </c>
      <c r="J215" s="39">
        <f t="shared" si="94"/>
        <v>38272500</v>
      </c>
      <c r="K215" s="39">
        <f t="shared" si="95"/>
        <v>0</v>
      </c>
      <c r="L215" s="39">
        <f t="shared" si="96"/>
        <v>0</v>
      </c>
      <c r="M215" s="39">
        <f t="shared" si="97"/>
        <v>0</v>
      </c>
      <c r="O215" s="35">
        <f t="shared" si="98"/>
        <v>1</v>
      </c>
    </row>
    <row r="216" spans="2:15" ht="23.1" customHeight="1">
      <c r="B216" s="16">
        <f>AKUN!B213</f>
        <v>610200</v>
      </c>
      <c r="C216" s="7" t="str">
        <f t="shared" si="87"/>
        <v>BIAYA ADM UMUM</v>
      </c>
      <c r="D216" s="39" t="str">
        <f t="shared" si="88"/>
        <v/>
      </c>
      <c r="E216" s="39" t="str">
        <f t="shared" si="89"/>
        <v/>
      </c>
      <c r="F216" s="39">
        <f t="shared" si="90"/>
        <v>0</v>
      </c>
      <c r="G216" s="39">
        <f t="shared" si="91"/>
        <v>0</v>
      </c>
      <c r="H216" s="39" t="str">
        <f t="shared" si="92"/>
        <v/>
      </c>
      <c r="I216" s="39" t="str">
        <f t="shared" si="93"/>
        <v/>
      </c>
      <c r="J216" s="39" t="str">
        <f t="shared" si="94"/>
        <v/>
      </c>
      <c r="K216" s="39" t="str">
        <f t="shared" si="95"/>
        <v/>
      </c>
      <c r="L216" s="39" t="str">
        <f t="shared" si="96"/>
        <v/>
      </c>
      <c r="M216" s="39" t="str">
        <f t="shared" si="97"/>
        <v/>
      </c>
      <c r="O216" s="35">
        <f t="shared" si="98"/>
        <v>1</v>
      </c>
    </row>
    <row r="217" spans="2:15" ht="23.1" customHeight="1">
      <c r="B217" s="16">
        <f>AKUN!B214</f>
        <v>610201</v>
      </c>
      <c r="C217" s="7" t="str">
        <f t="shared" si="87"/>
        <v>BIAYA DANA REFRESENTASI DIREKSI</v>
      </c>
      <c r="D217" s="39">
        <f t="shared" si="88"/>
        <v>0</v>
      </c>
      <c r="E217" s="39">
        <f t="shared" si="89"/>
        <v>0</v>
      </c>
      <c r="F217" s="39">
        <f t="shared" si="90"/>
        <v>345016700</v>
      </c>
      <c r="G217" s="39">
        <f t="shared" si="91"/>
        <v>0</v>
      </c>
      <c r="H217" s="39">
        <f t="shared" si="92"/>
        <v>345016700</v>
      </c>
      <c r="I217" s="39">
        <f t="shared" si="93"/>
        <v>0</v>
      </c>
      <c r="J217" s="39">
        <f t="shared" si="94"/>
        <v>345016700</v>
      </c>
      <c r="K217" s="39">
        <f t="shared" si="95"/>
        <v>0</v>
      </c>
      <c r="L217" s="39">
        <f t="shared" si="96"/>
        <v>0</v>
      </c>
      <c r="M217" s="39">
        <f t="shared" si="97"/>
        <v>0</v>
      </c>
      <c r="O217" s="35">
        <f t="shared" si="98"/>
        <v>1</v>
      </c>
    </row>
    <row r="218" spans="2:15" ht="23.1" customHeight="1">
      <c r="B218" s="16">
        <f>AKUN!B215</f>
        <v>610202</v>
      </c>
      <c r="C218" s="7" t="str">
        <f t="shared" si="87"/>
        <v>BIAYA KOORDINASI PEMBINA PERUSDA</v>
      </c>
      <c r="D218" s="39">
        <f t="shared" si="88"/>
        <v>0</v>
      </c>
      <c r="E218" s="39">
        <f t="shared" si="89"/>
        <v>0</v>
      </c>
      <c r="F218" s="39">
        <f t="shared" si="90"/>
        <v>262800000</v>
      </c>
      <c r="G218" s="39">
        <f t="shared" si="91"/>
        <v>0</v>
      </c>
      <c r="H218" s="39">
        <f t="shared" si="92"/>
        <v>262800000</v>
      </c>
      <c r="I218" s="39">
        <f t="shared" si="93"/>
        <v>0</v>
      </c>
      <c r="J218" s="39">
        <f t="shared" si="94"/>
        <v>262800000</v>
      </c>
      <c r="K218" s="39">
        <f t="shared" si="95"/>
        <v>0</v>
      </c>
      <c r="L218" s="39">
        <f t="shared" si="96"/>
        <v>0</v>
      </c>
      <c r="M218" s="39">
        <f t="shared" si="97"/>
        <v>0</v>
      </c>
      <c r="O218" s="35">
        <f t="shared" si="98"/>
        <v>1</v>
      </c>
    </row>
    <row r="219" spans="2:15" ht="23.1" customHeight="1">
      <c r="B219" s="16">
        <f>AKUN!B216</f>
        <v>610203</v>
      </c>
      <c r="C219" s="7" t="str">
        <f t="shared" si="87"/>
        <v>BIAYA PENINGKATAN SDM PEGAWAI</v>
      </c>
      <c r="D219" s="39">
        <f t="shared" si="88"/>
        <v>0</v>
      </c>
      <c r="E219" s="39">
        <f t="shared" si="89"/>
        <v>0</v>
      </c>
      <c r="F219" s="39">
        <f t="shared" si="90"/>
        <v>0</v>
      </c>
      <c r="G219" s="39">
        <f t="shared" si="91"/>
        <v>0</v>
      </c>
      <c r="H219" s="39">
        <f t="shared" si="92"/>
        <v>0</v>
      </c>
      <c r="I219" s="39">
        <f t="shared" si="93"/>
        <v>0</v>
      </c>
      <c r="J219" s="39">
        <f t="shared" si="94"/>
        <v>0</v>
      </c>
      <c r="K219" s="39">
        <f t="shared" si="95"/>
        <v>0</v>
      </c>
      <c r="L219" s="39">
        <f t="shared" si="96"/>
        <v>0</v>
      </c>
      <c r="M219" s="39">
        <f t="shared" si="97"/>
        <v>0</v>
      </c>
      <c r="O219" s="35">
        <f t="shared" si="98"/>
        <v>0</v>
      </c>
    </row>
    <row r="220" spans="2:15" ht="23.1" customHeight="1">
      <c r="B220" s="16">
        <f>AKUN!B217</f>
        <v>610204</v>
      </c>
      <c r="C220" s="7" t="str">
        <f t="shared" si="87"/>
        <v>BIAYA SOSIALISASI</v>
      </c>
      <c r="D220" s="39">
        <f t="shared" si="88"/>
        <v>0</v>
      </c>
      <c r="E220" s="39">
        <f t="shared" si="89"/>
        <v>0</v>
      </c>
      <c r="F220" s="39">
        <f t="shared" si="90"/>
        <v>32112087</v>
      </c>
      <c r="G220" s="39">
        <f t="shared" si="91"/>
        <v>0</v>
      </c>
      <c r="H220" s="39">
        <f t="shared" si="92"/>
        <v>32112087</v>
      </c>
      <c r="I220" s="39">
        <f t="shared" si="93"/>
        <v>0</v>
      </c>
      <c r="J220" s="39">
        <f t="shared" si="94"/>
        <v>32112087</v>
      </c>
      <c r="K220" s="39">
        <f t="shared" si="95"/>
        <v>0</v>
      </c>
      <c r="L220" s="39">
        <f t="shared" si="96"/>
        <v>0</v>
      </c>
      <c r="M220" s="39">
        <f t="shared" si="97"/>
        <v>0</v>
      </c>
      <c r="O220" s="35">
        <f t="shared" si="98"/>
        <v>1</v>
      </c>
    </row>
    <row r="221" spans="2:15" ht="23.1" customHeight="1">
      <c r="B221" s="16">
        <f>AKUN!B218</f>
        <v>610205</v>
      </c>
      <c r="C221" s="7" t="str">
        <f t="shared" si="87"/>
        <v>BIAYA MEDIA CETAK DAN ELEKTRONIK</v>
      </c>
      <c r="D221" s="39">
        <f t="shared" si="88"/>
        <v>0</v>
      </c>
      <c r="E221" s="39">
        <f t="shared" si="89"/>
        <v>0</v>
      </c>
      <c r="F221" s="39">
        <f t="shared" si="90"/>
        <v>168244200</v>
      </c>
      <c r="G221" s="39">
        <f t="shared" si="91"/>
        <v>0</v>
      </c>
      <c r="H221" s="39">
        <f t="shared" si="92"/>
        <v>168244200</v>
      </c>
      <c r="I221" s="39">
        <f t="shared" si="93"/>
        <v>0</v>
      </c>
      <c r="J221" s="39">
        <f t="shared" si="94"/>
        <v>168244200</v>
      </c>
      <c r="K221" s="39">
        <f t="shared" si="95"/>
        <v>0</v>
      </c>
      <c r="L221" s="39">
        <f t="shared" si="96"/>
        <v>0</v>
      </c>
      <c r="M221" s="39">
        <f t="shared" si="97"/>
        <v>0</v>
      </c>
      <c r="O221" s="35">
        <f t="shared" si="98"/>
        <v>1</v>
      </c>
    </row>
    <row r="222" spans="2:15" ht="23.1" customHeight="1">
      <c r="B222" s="16">
        <f>AKUN!B219</f>
        <v>610206</v>
      </c>
      <c r="C222" s="7" t="str">
        <f t="shared" si="87"/>
        <v>BIAYA HONOR PANITIA DAN PEMERIKSA BARANG</v>
      </c>
      <c r="D222" s="39">
        <f t="shared" si="88"/>
        <v>0</v>
      </c>
      <c r="E222" s="39">
        <f t="shared" si="89"/>
        <v>0</v>
      </c>
      <c r="F222" s="39">
        <f t="shared" si="90"/>
        <v>0</v>
      </c>
      <c r="G222" s="39">
        <f t="shared" si="91"/>
        <v>0</v>
      </c>
      <c r="H222" s="39">
        <f t="shared" si="92"/>
        <v>0</v>
      </c>
      <c r="I222" s="39">
        <f t="shared" si="93"/>
        <v>0</v>
      </c>
      <c r="J222" s="39">
        <f t="shared" si="94"/>
        <v>0</v>
      </c>
      <c r="K222" s="39">
        <f t="shared" si="95"/>
        <v>0</v>
      </c>
      <c r="L222" s="39">
        <f t="shared" si="96"/>
        <v>0</v>
      </c>
      <c r="M222" s="39">
        <f t="shared" si="97"/>
        <v>0</v>
      </c>
      <c r="O222" s="35">
        <f t="shared" si="98"/>
        <v>0</v>
      </c>
    </row>
    <row r="223" spans="2:15" ht="23.1" customHeight="1">
      <c r="B223" s="16">
        <f>AKUN!B220</f>
        <v>610207</v>
      </c>
      <c r="C223" s="7" t="str">
        <f t="shared" si="87"/>
        <v>BIAYA ALAT TULIS KANTOR (ATK)</v>
      </c>
      <c r="D223" s="39">
        <f t="shared" si="88"/>
        <v>0</v>
      </c>
      <c r="E223" s="39">
        <f t="shared" si="89"/>
        <v>0</v>
      </c>
      <c r="F223" s="39">
        <f t="shared" si="90"/>
        <v>43594870</v>
      </c>
      <c r="G223" s="39">
        <f t="shared" si="91"/>
        <v>0</v>
      </c>
      <c r="H223" s="39">
        <f t="shared" si="92"/>
        <v>43594870</v>
      </c>
      <c r="I223" s="39">
        <f t="shared" si="93"/>
        <v>0</v>
      </c>
      <c r="J223" s="39">
        <f t="shared" si="94"/>
        <v>43594870</v>
      </c>
      <c r="K223" s="39">
        <f t="shared" si="95"/>
        <v>0</v>
      </c>
      <c r="L223" s="39">
        <f t="shared" si="96"/>
        <v>0</v>
      </c>
      <c r="M223" s="39">
        <f t="shared" si="97"/>
        <v>0</v>
      </c>
      <c r="O223" s="35">
        <f t="shared" si="98"/>
        <v>1</v>
      </c>
    </row>
    <row r="224" spans="2:15" ht="23.1" customHeight="1">
      <c r="B224" s="16">
        <f>AKUN!B221</f>
        <v>610208</v>
      </c>
      <c r="C224" s="7" t="str">
        <f t="shared" si="87"/>
        <v>BIAYA BENDA BENDA POS DAN MATERAI</v>
      </c>
      <c r="D224" s="39">
        <f t="shared" si="88"/>
        <v>0</v>
      </c>
      <c r="E224" s="39">
        <f t="shared" si="89"/>
        <v>0</v>
      </c>
      <c r="F224" s="39">
        <f t="shared" si="90"/>
        <v>5268000</v>
      </c>
      <c r="G224" s="39">
        <f t="shared" si="91"/>
        <v>0</v>
      </c>
      <c r="H224" s="39">
        <f t="shared" si="92"/>
        <v>5268000</v>
      </c>
      <c r="I224" s="39">
        <f t="shared" si="93"/>
        <v>0</v>
      </c>
      <c r="J224" s="39">
        <f t="shared" si="94"/>
        <v>5268000</v>
      </c>
      <c r="K224" s="39">
        <f t="shared" si="95"/>
        <v>0</v>
      </c>
      <c r="L224" s="39">
        <f t="shared" si="96"/>
        <v>0</v>
      </c>
      <c r="M224" s="39">
        <f t="shared" si="97"/>
        <v>0</v>
      </c>
      <c r="O224" s="35">
        <f t="shared" si="98"/>
        <v>1</v>
      </c>
    </row>
    <row r="225" spans="2:15" ht="23.1" customHeight="1">
      <c r="B225" s="16">
        <f>AKUN!B222</f>
        <v>610209</v>
      </c>
      <c r="C225" s="7" t="str">
        <f t="shared" si="87"/>
        <v>BIAYA PEMELIHARAAN BANGUNAN KANTOR</v>
      </c>
      <c r="D225" s="39">
        <f t="shared" si="88"/>
        <v>0</v>
      </c>
      <c r="E225" s="39">
        <f t="shared" si="89"/>
        <v>0</v>
      </c>
      <c r="F225" s="39">
        <f t="shared" si="90"/>
        <v>24355214</v>
      </c>
      <c r="G225" s="39">
        <f t="shared" si="91"/>
        <v>0</v>
      </c>
      <c r="H225" s="39">
        <f t="shared" si="92"/>
        <v>24355214</v>
      </c>
      <c r="I225" s="39">
        <f t="shared" si="93"/>
        <v>0</v>
      </c>
      <c r="J225" s="39">
        <f t="shared" si="94"/>
        <v>24355214</v>
      </c>
      <c r="K225" s="39">
        <f t="shared" si="95"/>
        <v>0</v>
      </c>
      <c r="L225" s="39">
        <f t="shared" si="96"/>
        <v>0</v>
      </c>
      <c r="M225" s="39">
        <f t="shared" si="97"/>
        <v>0</v>
      </c>
      <c r="O225" s="35">
        <f t="shared" si="98"/>
        <v>1</v>
      </c>
    </row>
    <row r="226" spans="2:15" ht="23.1" customHeight="1">
      <c r="B226" s="16">
        <f>AKUN!B223</f>
        <v>610210</v>
      </c>
      <c r="C226" s="7" t="str">
        <f t="shared" si="87"/>
        <v>BIAYA PEMELIHARAAN INVENTARIS KANTOR</v>
      </c>
      <c r="D226" s="39">
        <f t="shared" si="88"/>
        <v>0</v>
      </c>
      <c r="E226" s="39">
        <f t="shared" si="89"/>
        <v>0</v>
      </c>
      <c r="F226" s="39">
        <f t="shared" si="90"/>
        <v>40225000</v>
      </c>
      <c r="G226" s="39">
        <f t="shared" si="91"/>
        <v>0</v>
      </c>
      <c r="H226" s="39">
        <f t="shared" si="92"/>
        <v>40225000</v>
      </c>
      <c r="I226" s="39">
        <f t="shared" si="93"/>
        <v>0</v>
      </c>
      <c r="J226" s="39">
        <f t="shared" si="94"/>
        <v>40225000</v>
      </c>
      <c r="K226" s="39">
        <f t="shared" si="95"/>
        <v>0</v>
      </c>
      <c r="L226" s="39">
        <f t="shared" si="96"/>
        <v>0</v>
      </c>
      <c r="M226" s="39">
        <f t="shared" si="97"/>
        <v>0</v>
      </c>
      <c r="O226" s="35">
        <f t="shared" si="98"/>
        <v>1</v>
      </c>
    </row>
    <row r="227" spans="2:15" ht="23.1" customHeight="1">
      <c r="B227" s="16">
        <f>AKUN!B224</f>
        <v>610211</v>
      </c>
      <c r="C227" s="7" t="str">
        <f t="shared" si="87"/>
        <v>BIAYA TELEPON KANTOR</v>
      </c>
      <c r="D227" s="39">
        <f t="shared" si="88"/>
        <v>0</v>
      </c>
      <c r="E227" s="39">
        <f t="shared" si="89"/>
        <v>0</v>
      </c>
      <c r="F227" s="39">
        <f t="shared" si="90"/>
        <v>24213043</v>
      </c>
      <c r="G227" s="39">
        <f t="shared" si="91"/>
        <v>0</v>
      </c>
      <c r="H227" s="39">
        <f t="shared" si="92"/>
        <v>24213043</v>
      </c>
      <c r="I227" s="39">
        <f t="shared" si="93"/>
        <v>0</v>
      </c>
      <c r="J227" s="39">
        <f t="shared" si="94"/>
        <v>24213043</v>
      </c>
      <c r="K227" s="39">
        <f t="shared" si="95"/>
        <v>0</v>
      </c>
      <c r="L227" s="39">
        <f t="shared" si="96"/>
        <v>0</v>
      </c>
      <c r="M227" s="39">
        <f t="shared" si="97"/>
        <v>0</v>
      </c>
      <c r="O227" s="35">
        <f t="shared" si="98"/>
        <v>1</v>
      </c>
    </row>
    <row r="228" spans="2:15" ht="23.1" customHeight="1">
      <c r="B228" s="16">
        <f>AKUN!B225</f>
        <v>610212</v>
      </c>
      <c r="C228" s="7" t="str">
        <f t="shared" si="87"/>
        <v>BIAYA LISTRIK DAN ENERGI KANTOR</v>
      </c>
      <c r="D228" s="39">
        <f t="shared" si="88"/>
        <v>0</v>
      </c>
      <c r="E228" s="39">
        <f t="shared" si="89"/>
        <v>0</v>
      </c>
      <c r="F228" s="39">
        <f t="shared" si="90"/>
        <v>67460456</v>
      </c>
      <c r="G228" s="39">
        <f t="shared" si="91"/>
        <v>0</v>
      </c>
      <c r="H228" s="39">
        <f t="shared" si="92"/>
        <v>67460456</v>
      </c>
      <c r="I228" s="39">
        <f t="shared" si="93"/>
        <v>0</v>
      </c>
      <c r="J228" s="39">
        <f t="shared" si="94"/>
        <v>67460456</v>
      </c>
      <c r="K228" s="39">
        <f t="shared" si="95"/>
        <v>0</v>
      </c>
      <c r="L228" s="39">
        <f t="shared" si="96"/>
        <v>0</v>
      </c>
      <c r="M228" s="39">
        <f t="shared" si="97"/>
        <v>0</v>
      </c>
      <c r="O228" s="35">
        <f t="shared" si="98"/>
        <v>1</v>
      </c>
    </row>
    <row r="229" spans="2:15" ht="23.1" customHeight="1">
      <c r="B229" s="16">
        <f>AKUN!B226</f>
        <v>610213</v>
      </c>
      <c r="C229" s="7" t="str">
        <f t="shared" si="87"/>
        <v>BIAYA SEWA FOTO COPY DAN PERJILIDAN</v>
      </c>
      <c r="D229" s="39">
        <f t="shared" si="88"/>
        <v>0</v>
      </c>
      <c r="E229" s="39">
        <f t="shared" si="89"/>
        <v>0</v>
      </c>
      <c r="F229" s="39">
        <f t="shared" si="90"/>
        <v>10579500</v>
      </c>
      <c r="G229" s="39">
        <f t="shared" si="91"/>
        <v>0</v>
      </c>
      <c r="H229" s="39">
        <f t="shared" si="92"/>
        <v>10579500</v>
      </c>
      <c r="I229" s="39">
        <f t="shared" si="93"/>
        <v>0</v>
      </c>
      <c r="J229" s="39">
        <f t="shared" si="94"/>
        <v>10579500</v>
      </c>
      <c r="K229" s="39">
        <f t="shared" si="95"/>
        <v>0</v>
      </c>
      <c r="L229" s="39">
        <f t="shared" si="96"/>
        <v>0</v>
      </c>
      <c r="M229" s="39">
        <f t="shared" si="97"/>
        <v>0</v>
      </c>
      <c r="O229" s="35">
        <f t="shared" si="98"/>
        <v>1</v>
      </c>
    </row>
    <row r="230" spans="2:15" ht="23.1" customHeight="1">
      <c r="B230" s="16">
        <f>AKUN!B227</f>
        <v>610214</v>
      </c>
      <c r="C230" s="7" t="str">
        <f t="shared" ref="C230:C278" si="99">IFERROR(INDEX(akun_ket,MATCH(B230,akun_kd,0)),"")</f>
        <v>TUNJANGAN UANG MAKAN DIREKSI</v>
      </c>
      <c r="D230" s="39">
        <f t="shared" ref="D230:D278" si="100">IFERROR(INDEX(akun_db,MATCH(B230&amp;" | "&amp;C230,akun_kb,0))+SUMIFS(ju_sld,ju_tgl,"&lt;"&amp;awal,ju_debet,B230&amp;" | "&amp;C230),"")</f>
        <v>0</v>
      </c>
      <c r="E230" s="39">
        <f t="shared" ref="E230:E278" si="101">IFERROR(INDEX(akun_kr,MATCH(B230&amp;" | "&amp;C230,akun_kb,0))+SUMIFS(ju_sld,ju_tgl,"&lt;"&amp;awal,ju_kr,B230&amp;" | "&amp;C230),"")</f>
        <v>0</v>
      </c>
      <c r="F230" s="39">
        <f t="shared" ref="F230:F278" si="102">IFERROR(SUMIFS(ju_sld,ju_tgl,"&gt;="&amp;awal,ju_tgl,"&lt;="&amp;akhir,ju_debet,B230&amp;" | "&amp;C230),0)</f>
        <v>0</v>
      </c>
      <c r="G230" s="39">
        <f t="shared" ref="G230:G278" si="103">IFERROR(SUMIFS(ju_sld,ju_tgl,"&gt;="&amp;awal,ju_tgl,"&lt;="&amp;akhir,ju_kr,B230&amp;" | "&amp;C230),0)</f>
        <v>0</v>
      </c>
      <c r="H230" s="39">
        <f t="shared" ref="H230:H278" si="104">IFERROR(IF(INDEX(typ_sn,MATCH(INDEX(akun_type,MATCH(B230,akun_kd,0)),typ_ket,0))="db",D230+F230-E230-G230,0),"")</f>
        <v>0</v>
      </c>
      <c r="I230" s="39">
        <f t="shared" ref="I230:I278" si="105">IFERROR(IF(INDEX(typ_sn,MATCH(INDEX(akun_type,MATCH(B230,akun_kd,0)),typ_ket,0))="Kr",G230+E230-F230-D230,0),"")</f>
        <v>0</v>
      </c>
      <c r="J230" s="39">
        <f t="shared" ref="J230:J278" si="106">IFERROR(IF(AND(INDEX(typ_sn,MATCH(INDEX(akun_type,MATCH(B230,akun_kd,0)),typ_ket,0))="db",INDEX(typ_pos,MATCH(INDEX(akun_type,MATCH(B230,akun_kd,0)),typ_ket,0))="lr"),H230-I230,0),"")</f>
        <v>0</v>
      </c>
      <c r="K230" s="39">
        <f t="shared" ref="K230:K278" si="107">IFERROR(IF(AND(INDEX(typ_sn,MATCH(INDEX(akun_type,MATCH(B230,akun_kd,0)),typ_ket,0))="kr",INDEX(typ_pos,MATCH(INDEX(akun_type,MATCH(B230,akun_kd,0)),typ_ket,0))="lr"),I230-H230,0),"")</f>
        <v>0</v>
      </c>
      <c r="L230" s="39">
        <f t="shared" ref="L230:L278" si="108">IFERROR(IF(AND(INDEX(typ_sn,MATCH(INDEX(akun_type,MATCH(B230,akun_kd,0)),typ_ket,0))="db",INDEX(typ_pos,MATCH(INDEX(akun_type,MATCH(B230,akun_kd,0)),typ_ket,0))="Nrc"),H230-I230,0),"")</f>
        <v>0</v>
      </c>
      <c r="M230" s="39">
        <f t="shared" ref="M230:M278" si="109">IFERROR(IF(AND(INDEX(typ_sn,MATCH(INDEX(akun_type,MATCH(B230,akun_kd,0)),typ_ket,0))="kr",INDEX(typ_pos,MATCH(INDEX(akun_type,MATCH(B230,akun_kd,0)),typ_ket,0))="nrc"),I230-H230,0),"")</f>
        <v>0</v>
      </c>
      <c r="O230" s="35">
        <f t="shared" ref="O230:O278" si="110">IF(AND(D230=0,E230=0,F230=0,G230=0,H230=0,I230=0,J230=0,K230=0,L230=0,M230=0),0,1)</f>
        <v>0</v>
      </c>
    </row>
    <row r="231" spans="2:15" ht="23.1" customHeight="1">
      <c r="B231" s="16">
        <f>AKUN!B228</f>
        <v>610215</v>
      </c>
      <c r="C231" s="7" t="str">
        <f t="shared" si="99"/>
        <v>BIAYA TAMU</v>
      </c>
      <c r="D231" s="39">
        <f t="shared" si="100"/>
        <v>0</v>
      </c>
      <c r="E231" s="39">
        <f t="shared" si="101"/>
        <v>0</v>
      </c>
      <c r="F231" s="39">
        <f t="shared" si="102"/>
        <v>106248406</v>
      </c>
      <c r="G231" s="39">
        <f t="shared" si="103"/>
        <v>0</v>
      </c>
      <c r="H231" s="39">
        <f t="shared" si="104"/>
        <v>106248406</v>
      </c>
      <c r="I231" s="39">
        <f t="shared" si="105"/>
        <v>0</v>
      </c>
      <c r="J231" s="39">
        <f t="shared" si="106"/>
        <v>106248406</v>
      </c>
      <c r="K231" s="39">
        <f t="shared" si="107"/>
        <v>0</v>
      </c>
      <c r="L231" s="39">
        <f t="shared" si="108"/>
        <v>0</v>
      </c>
      <c r="M231" s="39">
        <f t="shared" si="109"/>
        <v>0</v>
      </c>
      <c r="O231" s="35">
        <f t="shared" si="110"/>
        <v>1</v>
      </c>
    </row>
    <row r="232" spans="2:15" ht="23.1" customHeight="1">
      <c r="B232" s="16">
        <f>AKUN!B229</f>
        <v>610216</v>
      </c>
      <c r="C232" s="7" t="str">
        <f t="shared" si="99"/>
        <v>BIAYA PERALATAN DAN PERLENGKAPAN KANTOR</v>
      </c>
      <c r="D232" s="39">
        <f t="shared" si="100"/>
        <v>0</v>
      </c>
      <c r="E232" s="39">
        <f t="shared" si="101"/>
        <v>0</v>
      </c>
      <c r="F232" s="39">
        <f t="shared" si="102"/>
        <v>46589751</v>
      </c>
      <c r="G232" s="39">
        <f t="shared" si="103"/>
        <v>0</v>
      </c>
      <c r="H232" s="39">
        <f t="shared" si="104"/>
        <v>46589751</v>
      </c>
      <c r="I232" s="39">
        <f t="shared" si="105"/>
        <v>0</v>
      </c>
      <c r="J232" s="39">
        <f t="shared" si="106"/>
        <v>46589751</v>
      </c>
      <c r="K232" s="39">
        <f t="shared" si="107"/>
        <v>0</v>
      </c>
      <c r="L232" s="39">
        <f t="shared" si="108"/>
        <v>0</v>
      </c>
      <c r="M232" s="39">
        <f t="shared" si="109"/>
        <v>0</v>
      </c>
      <c r="O232" s="35">
        <f t="shared" si="110"/>
        <v>1</v>
      </c>
    </row>
    <row r="233" spans="2:15" ht="23.1" customHeight="1">
      <c r="B233" s="16">
        <f>AKUN!B230</f>
        <v>610217</v>
      </c>
      <c r="C233" s="7" t="str">
        <f t="shared" si="99"/>
        <v>BIAYA PERJALANAN DINAS</v>
      </c>
      <c r="D233" s="39">
        <f t="shared" si="100"/>
        <v>0</v>
      </c>
      <c r="E233" s="39">
        <f t="shared" si="101"/>
        <v>0</v>
      </c>
      <c r="F233" s="39">
        <f t="shared" si="102"/>
        <v>106321700</v>
      </c>
      <c r="G233" s="39">
        <f t="shared" si="103"/>
        <v>0</v>
      </c>
      <c r="H233" s="39">
        <f t="shared" si="104"/>
        <v>106321700</v>
      </c>
      <c r="I233" s="39">
        <f t="shared" si="105"/>
        <v>0</v>
      </c>
      <c r="J233" s="39">
        <f t="shared" si="106"/>
        <v>106321700</v>
      </c>
      <c r="K233" s="39">
        <f t="shared" si="107"/>
        <v>0</v>
      </c>
      <c r="L233" s="39">
        <f t="shared" si="108"/>
        <v>0</v>
      </c>
      <c r="M233" s="39">
        <f t="shared" si="109"/>
        <v>0</v>
      </c>
      <c r="O233" s="35">
        <f t="shared" si="110"/>
        <v>1</v>
      </c>
    </row>
    <row r="234" spans="2:15" ht="23.1" customHeight="1">
      <c r="B234" s="16">
        <f>AKUN!B231</f>
        <v>610218</v>
      </c>
      <c r="C234" s="7" t="str">
        <f t="shared" si="99"/>
        <v>BIAYA PAKAIAN DINAS DAN UPACARA RESMI</v>
      </c>
      <c r="D234" s="39">
        <f t="shared" si="100"/>
        <v>0</v>
      </c>
      <c r="E234" s="39">
        <f t="shared" si="101"/>
        <v>0</v>
      </c>
      <c r="F234" s="39">
        <f t="shared" si="102"/>
        <v>126859459</v>
      </c>
      <c r="G234" s="39">
        <f t="shared" si="103"/>
        <v>0</v>
      </c>
      <c r="H234" s="39">
        <f t="shared" si="104"/>
        <v>126859459</v>
      </c>
      <c r="I234" s="39">
        <f t="shared" si="105"/>
        <v>0</v>
      </c>
      <c r="J234" s="39">
        <f t="shared" si="106"/>
        <v>126859459</v>
      </c>
      <c r="K234" s="39">
        <f t="shared" si="107"/>
        <v>0</v>
      </c>
      <c r="L234" s="39">
        <f t="shared" si="108"/>
        <v>0</v>
      </c>
      <c r="M234" s="39">
        <f t="shared" si="109"/>
        <v>0</v>
      </c>
      <c r="O234" s="35">
        <f t="shared" si="110"/>
        <v>1</v>
      </c>
    </row>
    <row r="235" spans="2:15" ht="23.1" customHeight="1">
      <c r="B235" s="16">
        <f>AKUN!B232</f>
        <v>610219</v>
      </c>
      <c r="C235" s="7" t="str">
        <f t="shared" si="99"/>
        <v>BIAYA PAKAIAN OLAHRAGA</v>
      </c>
      <c r="D235" s="39">
        <f t="shared" si="100"/>
        <v>0</v>
      </c>
      <c r="E235" s="39">
        <f t="shared" si="101"/>
        <v>0</v>
      </c>
      <c r="F235" s="39">
        <f t="shared" si="102"/>
        <v>0</v>
      </c>
      <c r="G235" s="39">
        <f t="shared" si="103"/>
        <v>0</v>
      </c>
      <c r="H235" s="39">
        <f t="shared" si="104"/>
        <v>0</v>
      </c>
      <c r="I235" s="39">
        <f t="shared" si="105"/>
        <v>0</v>
      </c>
      <c r="J235" s="39">
        <f t="shared" si="106"/>
        <v>0</v>
      </c>
      <c r="K235" s="39">
        <f t="shared" si="107"/>
        <v>0</v>
      </c>
      <c r="L235" s="39">
        <f t="shared" si="108"/>
        <v>0</v>
      </c>
      <c r="M235" s="39">
        <f t="shared" si="109"/>
        <v>0</v>
      </c>
      <c r="O235" s="35">
        <f t="shared" si="110"/>
        <v>0</v>
      </c>
    </row>
    <row r="236" spans="2:15" ht="23.1" customHeight="1">
      <c r="B236" s="16">
        <f>AKUN!B233</f>
        <v>610220</v>
      </c>
      <c r="C236" s="7" t="str">
        <f t="shared" si="99"/>
        <v>BIAYA KEGIATAN DHARMA WANITA DAN KORPRI</v>
      </c>
      <c r="D236" s="39">
        <f t="shared" si="100"/>
        <v>0</v>
      </c>
      <c r="E236" s="39">
        <f t="shared" si="101"/>
        <v>0</v>
      </c>
      <c r="F236" s="39">
        <f t="shared" si="102"/>
        <v>0</v>
      </c>
      <c r="G236" s="39">
        <f t="shared" si="103"/>
        <v>0</v>
      </c>
      <c r="H236" s="39">
        <f t="shared" si="104"/>
        <v>0</v>
      </c>
      <c r="I236" s="39">
        <f t="shared" si="105"/>
        <v>0</v>
      </c>
      <c r="J236" s="39">
        <f t="shared" si="106"/>
        <v>0</v>
      </c>
      <c r="K236" s="39">
        <f t="shared" si="107"/>
        <v>0</v>
      </c>
      <c r="L236" s="39">
        <f t="shared" si="108"/>
        <v>0</v>
      </c>
      <c r="M236" s="39">
        <f t="shared" si="109"/>
        <v>0</v>
      </c>
      <c r="O236" s="35">
        <f t="shared" si="110"/>
        <v>0</v>
      </c>
    </row>
    <row r="237" spans="2:15" ht="23.1" customHeight="1">
      <c r="B237" s="16">
        <f>AKUN!B234</f>
        <v>610221</v>
      </c>
      <c r="C237" s="7" t="str">
        <f t="shared" si="99"/>
        <v>BIAYA PEMBINAAN KEAGAMAAN DAN OLAHRAGA</v>
      </c>
      <c r="D237" s="39">
        <f t="shared" si="100"/>
        <v>0</v>
      </c>
      <c r="E237" s="39">
        <f t="shared" si="101"/>
        <v>0</v>
      </c>
      <c r="F237" s="39">
        <f t="shared" si="102"/>
        <v>7423000</v>
      </c>
      <c r="G237" s="39">
        <f t="shared" si="103"/>
        <v>0</v>
      </c>
      <c r="H237" s="39">
        <f t="shared" si="104"/>
        <v>7423000</v>
      </c>
      <c r="I237" s="39">
        <f t="shared" si="105"/>
        <v>0</v>
      </c>
      <c r="J237" s="39">
        <f t="shared" si="106"/>
        <v>7423000</v>
      </c>
      <c r="K237" s="39">
        <f t="shared" si="107"/>
        <v>0</v>
      </c>
      <c r="L237" s="39">
        <f t="shared" si="108"/>
        <v>0</v>
      </c>
      <c r="M237" s="39">
        <f t="shared" si="109"/>
        <v>0</v>
      </c>
      <c r="O237" s="35">
        <f t="shared" si="110"/>
        <v>1</v>
      </c>
    </row>
    <row r="238" spans="2:15" ht="23.1" customHeight="1">
      <c r="B238" s="16">
        <f>AKUN!B235</f>
        <v>610222</v>
      </c>
      <c r="C238" s="7" t="str">
        <f t="shared" si="99"/>
        <v>BIAYA PERAYAAN DAERAH DAN NASIONAL</v>
      </c>
      <c r="D238" s="39">
        <f t="shared" si="100"/>
        <v>0</v>
      </c>
      <c r="E238" s="39">
        <f t="shared" si="101"/>
        <v>0</v>
      </c>
      <c r="F238" s="39">
        <f t="shared" si="102"/>
        <v>44785500</v>
      </c>
      <c r="G238" s="39">
        <f t="shared" si="103"/>
        <v>0</v>
      </c>
      <c r="H238" s="39">
        <f t="shared" si="104"/>
        <v>44785500</v>
      </c>
      <c r="I238" s="39">
        <f t="shared" si="105"/>
        <v>0</v>
      </c>
      <c r="J238" s="39">
        <f t="shared" si="106"/>
        <v>44785500</v>
      </c>
      <c r="K238" s="39">
        <f t="shared" si="107"/>
        <v>0</v>
      </c>
      <c r="L238" s="39">
        <f t="shared" si="108"/>
        <v>0</v>
      </c>
      <c r="M238" s="39">
        <f t="shared" si="109"/>
        <v>0</v>
      </c>
      <c r="O238" s="35">
        <f t="shared" si="110"/>
        <v>1</v>
      </c>
    </row>
    <row r="239" spans="2:15" ht="23.1" customHeight="1">
      <c r="B239" s="16">
        <f>AKUN!B236</f>
        <v>610223</v>
      </c>
      <c r="C239" s="7" t="str">
        <f t="shared" si="99"/>
        <v>BIAYA JASA AUDIT</v>
      </c>
      <c r="D239" s="39">
        <f t="shared" si="100"/>
        <v>0</v>
      </c>
      <c r="E239" s="39">
        <f t="shared" si="101"/>
        <v>0</v>
      </c>
      <c r="F239" s="39">
        <f t="shared" si="102"/>
        <v>60500000</v>
      </c>
      <c r="G239" s="39">
        <f t="shared" si="103"/>
        <v>0</v>
      </c>
      <c r="H239" s="39">
        <f t="shared" si="104"/>
        <v>60500000</v>
      </c>
      <c r="I239" s="39">
        <f t="shared" si="105"/>
        <v>0</v>
      </c>
      <c r="J239" s="39">
        <f t="shared" si="106"/>
        <v>60500000</v>
      </c>
      <c r="K239" s="39">
        <f t="shared" si="107"/>
        <v>0</v>
      </c>
      <c r="L239" s="39">
        <f t="shared" si="108"/>
        <v>0</v>
      </c>
      <c r="M239" s="39">
        <f t="shared" si="109"/>
        <v>0</v>
      </c>
      <c r="O239" s="35">
        <f t="shared" si="110"/>
        <v>1</v>
      </c>
    </row>
    <row r="240" spans="2:15" ht="23.1" customHeight="1">
      <c r="B240" s="16">
        <f>AKUN!B237</f>
        <v>610225</v>
      </c>
      <c r="C240" s="7" t="str">
        <f t="shared" si="99"/>
        <v>BIAYA FAMILY GATHERING</v>
      </c>
      <c r="D240" s="39">
        <f t="shared" si="100"/>
        <v>0</v>
      </c>
      <c r="E240" s="39">
        <f t="shared" si="101"/>
        <v>0</v>
      </c>
      <c r="F240" s="39">
        <f t="shared" si="102"/>
        <v>31364000</v>
      </c>
      <c r="G240" s="39">
        <f t="shared" si="103"/>
        <v>0</v>
      </c>
      <c r="H240" s="39">
        <f t="shared" si="104"/>
        <v>31364000</v>
      </c>
      <c r="I240" s="39">
        <f t="shared" si="105"/>
        <v>0</v>
      </c>
      <c r="J240" s="39">
        <f t="shared" si="106"/>
        <v>31364000</v>
      </c>
      <c r="K240" s="39">
        <f t="shared" si="107"/>
        <v>0</v>
      </c>
      <c r="L240" s="39">
        <f t="shared" si="108"/>
        <v>0</v>
      </c>
      <c r="M240" s="39">
        <f t="shared" si="109"/>
        <v>0</v>
      </c>
      <c r="O240" s="35">
        <f t="shared" si="110"/>
        <v>1</v>
      </c>
    </row>
    <row r="241" spans="2:15" ht="23.1" customHeight="1">
      <c r="B241" s="16">
        <f>AKUN!B238</f>
        <v>610226</v>
      </c>
      <c r="C241" s="7" t="str">
        <f t="shared" si="99"/>
        <v>BIAYA PENDIDIKAN</v>
      </c>
      <c r="D241" s="39">
        <f t="shared" si="100"/>
        <v>0</v>
      </c>
      <c r="E241" s="39">
        <f t="shared" si="101"/>
        <v>0</v>
      </c>
      <c r="F241" s="39">
        <f t="shared" si="102"/>
        <v>0</v>
      </c>
      <c r="G241" s="39">
        <f t="shared" si="103"/>
        <v>0</v>
      </c>
      <c r="H241" s="39">
        <f t="shared" si="104"/>
        <v>0</v>
      </c>
      <c r="I241" s="39">
        <f t="shared" si="105"/>
        <v>0</v>
      </c>
      <c r="J241" s="39">
        <f t="shared" si="106"/>
        <v>0</v>
      </c>
      <c r="K241" s="39">
        <f t="shared" si="107"/>
        <v>0</v>
      </c>
      <c r="L241" s="39">
        <f t="shared" si="108"/>
        <v>0</v>
      </c>
      <c r="M241" s="39">
        <f t="shared" si="109"/>
        <v>0</v>
      </c>
      <c r="O241" s="35">
        <f t="shared" si="110"/>
        <v>0</v>
      </c>
    </row>
    <row r="242" spans="2:15" ht="23.1" customHeight="1">
      <c r="B242" s="16">
        <f>AKUN!B239</f>
        <v>610227</v>
      </c>
      <c r="C242" s="7" t="str">
        <f t="shared" si="99"/>
        <v>BIAYA REWARD PEGAWAI</v>
      </c>
      <c r="D242" s="39">
        <f t="shared" si="100"/>
        <v>0</v>
      </c>
      <c r="E242" s="39">
        <f t="shared" si="101"/>
        <v>0</v>
      </c>
      <c r="F242" s="39">
        <f t="shared" si="102"/>
        <v>6550288</v>
      </c>
      <c r="G242" s="39">
        <f t="shared" si="103"/>
        <v>0</v>
      </c>
      <c r="H242" s="39">
        <f t="shared" si="104"/>
        <v>6550288</v>
      </c>
      <c r="I242" s="39">
        <f t="shared" si="105"/>
        <v>0</v>
      </c>
      <c r="J242" s="39">
        <f t="shared" si="106"/>
        <v>6550288</v>
      </c>
      <c r="K242" s="39">
        <f t="shared" si="107"/>
        <v>0</v>
      </c>
      <c r="L242" s="39">
        <f t="shared" si="108"/>
        <v>0</v>
      </c>
      <c r="M242" s="39">
        <f t="shared" si="109"/>
        <v>0</v>
      </c>
      <c r="O242" s="35">
        <f t="shared" si="110"/>
        <v>1</v>
      </c>
    </row>
    <row r="243" spans="2:15" ht="23.1" customHeight="1">
      <c r="B243" s="16">
        <f>AKUN!B240</f>
        <v>610228</v>
      </c>
      <c r="C243" s="7" t="str">
        <f t="shared" si="99"/>
        <v>BIAYA ASURANSI DAN SANTUNAN JUKIR DAN PEGAWAI</v>
      </c>
      <c r="D243" s="39">
        <f t="shared" si="100"/>
        <v>0</v>
      </c>
      <c r="E243" s="39">
        <f t="shared" si="101"/>
        <v>0</v>
      </c>
      <c r="F243" s="39">
        <f t="shared" si="102"/>
        <v>256230008</v>
      </c>
      <c r="G243" s="39">
        <f t="shared" si="103"/>
        <v>0</v>
      </c>
      <c r="H243" s="39">
        <f t="shared" si="104"/>
        <v>256230008</v>
      </c>
      <c r="I243" s="39">
        <f t="shared" si="105"/>
        <v>0</v>
      </c>
      <c r="J243" s="39">
        <f t="shared" si="106"/>
        <v>256230008</v>
      </c>
      <c r="K243" s="39">
        <f t="shared" si="107"/>
        <v>0</v>
      </c>
      <c r="L243" s="39">
        <f t="shared" si="108"/>
        <v>0</v>
      </c>
      <c r="M243" s="39">
        <f t="shared" si="109"/>
        <v>0</v>
      </c>
      <c r="O243" s="35">
        <f t="shared" si="110"/>
        <v>1</v>
      </c>
    </row>
    <row r="244" spans="2:15" ht="23.1" customHeight="1">
      <c r="B244" s="16">
        <f>AKUN!B241</f>
        <v>610229</v>
      </c>
      <c r="C244" s="7" t="str">
        <f t="shared" si="99"/>
        <v>BIAYA PAJAK PPH BADAN</v>
      </c>
      <c r="D244" s="39">
        <f t="shared" si="100"/>
        <v>0</v>
      </c>
      <c r="E244" s="39">
        <f t="shared" si="101"/>
        <v>0</v>
      </c>
      <c r="F244" s="39">
        <f t="shared" si="102"/>
        <v>0</v>
      </c>
      <c r="G244" s="39">
        <f t="shared" si="103"/>
        <v>0</v>
      </c>
      <c r="H244" s="39">
        <f t="shared" si="104"/>
        <v>0</v>
      </c>
      <c r="I244" s="39">
        <f t="shared" si="105"/>
        <v>0</v>
      </c>
      <c r="J244" s="39">
        <f t="shared" si="106"/>
        <v>0</v>
      </c>
      <c r="K244" s="39">
        <f t="shared" si="107"/>
        <v>0</v>
      </c>
      <c r="L244" s="39">
        <f t="shared" si="108"/>
        <v>0</v>
      </c>
      <c r="M244" s="39">
        <f t="shared" si="109"/>
        <v>0</v>
      </c>
      <c r="O244" s="35">
        <f t="shared" si="110"/>
        <v>0</v>
      </c>
    </row>
    <row r="245" spans="2:15" ht="23.1" customHeight="1">
      <c r="B245" s="16">
        <f>AKUN!B242</f>
        <v>610230</v>
      </c>
      <c r="C245" s="7" t="str">
        <f t="shared" si="99"/>
        <v>BIAYA INSENTIF PEMBUATAN RKAP DAN PERDA</v>
      </c>
      <c r="D245" s="39">
        <f t="shared" si="100"/>
        <v>0</v>
      </c>
      <c r="E245" s="39">
        <f t="shared" si="101"/>
        <v>0</v>
      </c>
      <c r="F245" s="39">
        <f t="shared" si="102"/>
        <v>5100000</v>
      </c>
      <c r="G245" s="39">
        <f t="shared" si="103"/>
        <v>0</v>
      </c>
      <c r="H245" s="39">
        <f t="shared" si="104"/>
        <v>5100000</v>
      </c>
      <c r="I245" s="39">
        <f t="shared" si="105"/>
        <v>0</v>
      </c>
      <c r="J245" s="39">
        <f t="shared" si="106"/>
        <v>5100000</v>
      </c>
      <c r="K245" s="39">
        <f t="shared" si="107"/>
        <v>0</v>
      </c>
      <c r="L245" s="39">
        <f t="shared" si="108"/>
        <v>0</v>
      </c>
      <c r="M245" s="39">
        <f t="shared" si="109"/>
        <v>0</v>
      </c>
      <c r="O245" s="35">
        <f t="shared" si="110"/>
        <v>1</v>
      </c>
    </row>
    <row r="246" spans="2:15" ht="23.1" customHeight="1">
      <c r="B246" s="16">
        <f>AKUN!B243</f>
        <v>610231</v>
      </c>
      <c r="C246" s="7" t="str">
        <f t="shared" si="99"/>
        <v>BIAYA HONOR TIM AHLI</v>
      </c>
      <c r="D246" s="39">
        <f t="shared" si="100"/>
        <v>0</v>
      </c>
      <c r="E246" s="39">
        <f t="shared" si="101"/>
        <v>0</v>
      </c>
      <c r="F246" s="39">
        <f t="shared" si="102"/>
        <v>0</v>
      </c>
      <c r="G246" s="39">
        <f t="shared" si="103"/>
        <v>0</v>
      </c>
      <c r="H246" s="39">
        <f t="shared" si="104"/>
        <v>0</v>
      </c>
      <c r="I246" s="39">
        <f t="shared" si="105"/>
        <v>0</v>
      </c>
      <c r="J246" s="39">
        <f t="shared" si="106"/>
        <v>0</v>
      </c>
      <c r="K246" s="39">
        <f t="shared" si="107"/>
        <v>0</v>
      </c>
      <c r="L246" s="39">
        <f t="shared" si="108"/>
        <v>0</v>
      </c>
      <c r="M246" s="39">
        <f t="shared" si="109"/>
        <v>0</v>
      </c>
      <c r="O246" s="35">
        <f t="shared" si="110"/>
        <v>0</v>
      </c>
    </row>
    <row r="247" spans="2:15" ht="23.1" customHeight="1">
      <c r="B247" s="16">
        <f>AKUN!B244</f>
        <v>610232</v>
      </c>
      <c r="C247" s="7" t="str">
        <f t="shared" si="99"/>
        <v>BIAYA ASSESMENT PEGAWAI</v>
      </c>
      <c r="D247" s="39">
        <f t="shared" si="100"/>
        <v>0</v>
      </c>
      <c r="E247" s="39">
        <f t="shared" si="101"/>
        <v>0</v>
      </c>
      <c r="F247" s="39">
        <f t="shared" si="102"/>
        <v>132000000</v>
      </c>
      <c r="G247" s="39">
        <f t="shared" si="103"/>
        <v>0</v>
      </c>
      <c r="H247" s="39">
        <f t="shared" si="104"/>
        <v>132000000</v>
      </c>
      <c r="I247" s="39">
        <f t="shared" si="105"/>
        <v>0</v>
      </c>
      <c r="J247" s="39">
        <f t="shared" si="106"/>
        <v>132000000</v>
      </c>
      <c r="K247" s="39">
        <f t="shared" si="107"/>
        <v>0</v>
      </c>
      <c r="L247" s="39">
        <f t="shared" si="108"/>
        <v>0</v>
      </c>
      <c r="M247" s="39">
        <f t="shared" si="109"/>
        <v>0</v>
      </c>
      <c r="O247" s="35">
        <f t="shared" si="110"/>
        <v>1</v>
      </c>
    </row>
    <row r="248" spans="2:15" ht="23.1" customHeight="1">
      <c r="B248" s="16">
        <f>AKUN!B245</f>
        <v>610233</v>
      </c>
      <c r="C248" s="7" t="str">
        <f t="shared" si="99"/>
        <v>BIAYA RAKORD DAN RAPAT KERJA PD. PARKIR</v>
      </c>
      <c r="D248" s="39">
        <f t="shared" si="100"/>
        <v>0</v>
      </c>
      <c r="E248" s="39">
        <f t="shared" si="101"/>
        <v>0</v>
      </c>
      <c r="F248" s="39">
        <f t="shared" si="102"/>
        <v>24856320</v>
      </c>
      <c r="G248" s="39">
        <f t="shared" si="103"/>
        <v>0</v>
      </c>
      <c r="H248" s="39">
        <f t="shared" si="104"/>
        <v>24856320</v>
      </c>
      <c r="I248" s="39">
        <f t="shared" si="105"/>
        <v>0</v>
      </c>
      <c r="J248" s="39">
        <f t="shared" si="106"/>
        <v>24856320</v>
      </c>
      <c r="K248" s="39">
        <f t="shared" si="107"/>
        <v>0</v>
      </c>
      <c r="L248" s="39">
        <f t="shared" si="108"/>
        <v>0</v>
      </c>
      <c r="M248" s="39">
        <f t="shared" si="109"/>
        <v>0</v>
      </c>
      <c r="O248" s="35">
        <f t="shared" si="110"/>
        <v>1</v>
      </c>
    </row>
    <row r="249" spans="2:15" ht="23.1" customHeight="1">
      <c r="B249" s="16">
        <f>AKUN!B246</f>
        <v>610234</v>
      </c>
      <c r="C249" s="7" t="str">
        <f t="shared" si="99"/>
        <v>BEBAN PESANGON</v>
      </c>
      <c r="D249" s="39">
        <f t="shared" si="100"/>
        <v>0</v>
      </c>
      <c r="E249" s="39">
        <f t="shared" si="101"/>
        <v>0</v>
      </c>
      <c r="F249" s="39">
        <f t="shared" si="102"/>
        <v>203530675</v>
      </c>
      <c r="G249" s="39">
        <f t="shared" si="103"/>
        <v>0</v>
      </c>
      <c r="H249" s="39">
        <f t="shared" si="104"/>
        <v>203530675</v>
      </c>
      <c r="I249" s="39">
        <f t="shared" si="105"/>
        <v>0</v>
      </c>
      <c r="J249" s="39">
        <f t="shared" si="106"/>
        <v>203530675</v>
      </c>
      <c r="K249" s="39">
        <f t="shared" si="107"/>
        <v>0</v>
      </c>
      <c r="L249" s="39">
        <f t="shared" si="108"/>
        <v>0</v>
      </c>
      <c r="M249" s="39">
        <f t="shared" si="109"/>
        <v>0</v>
      </c>
      <c r="O249" s="35">
        <f t="shared" si="110"/>
        <v>1</v>
      </c>
    </row>
    <row r="250" spans="2:15" ht="23.1" customHeight="1">
      <c r="B250" s="16">
        <f>AKUN!B247</f>
        <v>610235</v>
      </c>
      <c r="C250" s="7" t="str">
        <f t="shared" si="99"/>
        <v>BIAYA PENGHARGAAN</v>
      </c>
      <c r="D250" s="39">
        <f t="shared" si="100"/>
        <v>0</v>
      </c>
      <c r="E250" s="39">
        <f t="shared" si="101"/>
        <v>0</v>
      </c>
      <c r="F250" s="39">
        <f t="shared" si="102"/>
        <v>0</v>
      </c>
      <c r="G250" s="39">
        <f t="shared" si="103"/>
        <v>0</v>
      </c>
      <c r="H250" s="39">
        <f t="shared" si="104"/>
        <v>0</v>
      </c>
      <c r="I250" s="39">
        <f t="shared" si="105"/>
        <v>0</v>
      </c>
      <c r="J250" s="39">
        <f t="shared" si="106"/>
        <v>0</v>
      </c>
      <c r="K250" s="39">
        <f t="shared" si="107"/>
        <v>0</v>
      </c>
      <c r="L250" s="39">
        <f t="shared" si="108"/>
        <v>0</v>
      </c>
      <c r="M250" s="39">
        <f t="shared" si="109"/>
        <v>0</v>
      </c>
      <c r="O250" s="35">
        <f t="shared" si="110"/>
        <v>0</v>
      </c>
    </row>
    <row r="251" spans="2:15" ht="23.1" customHeight="1">
      <c r="B251" s="16">
        <f>AKUN!B248</f>
        <v>610236</v>
      </c>
      <c r="C251" s="7" t="str">
        <f t="shared" si="99"/>
        <v>BEBAN PENGHAPUSAN PIUTANG TAK TERTAGIH</v>
      </c>
      <c r="D251" s="39">
        <f t="shared" si="100"/>
        <v>0</v>
      </c>
      <c r="E251" s="39">
        <f t="shared" si="101"/>
        <v>0</v>
      </c>
      <c r="F251" s="39">
        <f t="shared" si="102"/>
        <v>0</v>
      </c>
      <c r="G251" s="39">
        <f t="shared" si="103"/>
        <v>0</v>
      </c>
      <c r="H251" s="39">
        <f t="shared" si="104"/>
        <v>0</v>
      </c>
      <c r="I251" s="39">
        <f t="shared" si="105"/>
        <v>0</v>
      </c>
      <c r="J251" s="39">
        <f t="shared" si="106"/>
        <v>0</v>
      </c>
      <c r="K251" s="39">
        <f t="shared" si="107"/>
        <v>0</v>
      </c>
      <c r="L251" s="39">
        <f t="shared" si="108"/>
        <v>0</v>
      </c>
      <c r="M251" s="39">
        <f t="shared" si="109"/>
        <v>0</v>
      </c>
      <c r="O251" s="35">
        <f t="shared" si="110"/>
        <v>0</v>
      </c>
    </row>
    <row r="252" spans="2:15" ht="23.1" customHeight="1">
      <c r="B252" s="16">
        <f>AKUN!B249</f>
        <v>610237</v>
      </c>
      <c r="C252" s="7" t="str">
        <f t="shared" si="99"/>
        <v>BEBAN DENDA PAJAK</v>
      </c>
      <c r="D252" s="39">
        <f t="shared" si="100"/>
        <v>0</v>
      </c>
      <c r="E252" s="39">
        <f t="shared" si="101"/>
        <v>0</v>
      </c>
      <c r="F252" s="39">
        <f t="shared" si="102"/>
        <v>5691380</v>
      </c>
      <c r="G252" s="39">
        <f t="shared" si="103"/>
        <v>0</v>
      </c>
      <c r="H252" s="39">
        <f t="shared" si="104"/>
        <v>5691380</v>
      </c>
      <c r="I252" s="39">
        <f t="shared" si="105"/>
        <v>0</v>
      </c>
      <c r="J252" s="39">
        <f t="shared" si="106"/>
        <v>5691380</v>
      </c>
      <c r="K252" s="39">
        <f t="shared" si="107"/>
        <v>0</v>
      </c>
      <c r="L252" s="39">
        <f t="shared" si="108"/>
        <v>0</v>
      </c>
      <c r="M252" s="39">
        <f t="shared" si="109"/>
        <v>0</v>
      </c>
      <c r="O252" s="35">
        <f t="shared" si="110"/>
        <v>1</v>
      </c>
    </row>
    <row r="253" spans="2:15" ht="23.1" customHeight="1">
      <c r="B253" s="16">
        <f>AKUN!B250</f>
        <v>610238</v>
      </c>
      <c r="C253" s="7" t="str">
        <f t="shared" si="99"/>
        <v xml:space="preserve">BEBAN PAJAK TERUTANG </v>
      </c>
      <c r="D253" s="39">
        <f t="shared" si="100"/>
        <v>0</v>
      </c>
      <c r="E253" s="39">
        <f t="shared" si="101"/>
        <v>0</v>
      </c>
      <c r="F253" s="39">
        <f t="shared" si="102"/>
        <v>17326610</v>
      </c>
      <c r="G253" s="39">
        <f t="shared" si="103"/>
        <v>0</v>
      </c>
      <c r="H253" s="39">
        <f t="shared" si="104"/>
        <v>17326610</v>
      </c>
      <c r="I253" s="39">
        <f t="shared" si="105"/>
        <v>0</v>
      </c>
      <c r="J253" s="39">
        <f t="shared" si="106"/>
        <v>17326610</v>
      </c>
      <c r="K253" s="39">
        <f t="shared" si="107"/>
        <v>0</v>
      </c>
      <c r="L253" s="39">
        <f t="shared" si="108"/>
        <v>0</v>
      </c>
      <c r="M253" s="39">
        <f t="shared" si="109"/>
        <v>0</v>
      </c>
      <c r="O253" s="35">
        <f t="shared" si="110"/>
        <v>1</v>
      </c>
    </row>
    <row r="254" spans="2:15" ht="23.1" customHeight="1">
      <c r="B254" s="16">
        <f>AKUN!B251</f>
        <v>610239</v>
      </c>
      <c r="C254" s="7" t="str">
        <f t="shared" si="99"/>
        <v>BEBAN DIVIDEN</v>
      </c>
      <c r="D254" s="39">
        <f t="shared" si="100"/>
        <v>0</v>
      </c>
      <c r="E254" s="39">
        <f t="shared" si="101"/>
        <v>0</v>
      </c>
      <c r="F254" s="39">
        <f t="shared" si="102"/>
        <v>0</v>
      </c>
      <c r="G254" s="39">
        <f t="shared" si="103"/>
        <v>0</v>
      </c>
      <c r="H254" s="39">
        <f t="shared" si="104"/>
        <v>0</v>
      </c>
      <c r="I254" s="39">
        <f t="shared" si="105"/>
        <v>0</v>
      </c>
      <c r="J254" s="39">
        <f t="shared" si="106"/>
        <v>0</v>
      </c>
      <c r="K254" s="39">
        <f t="shared" si="107"/>
        <v>0</v>
      </c>
      <c r="L254" s="39">
        <f t="shared" si="108"/>
        <v>0</v>
      </c>
      <c r="M254" s="39">
        <f t="shared" si="109"/>
        <v>0</v>
      </c>
      <c r="O254" s="35">
        <f t="shared" si="110"/>
        <v>0</v>
      </c>
    </row>
    <row r="255" spans="2:15" ht="23.1" customHeight="1">
      <c r="B255" s="16">
        <f>AKUN!B252</f>
        <v>610240</v>
      </c>
      <c r="C255" s="7" t="str">
        <f t="shared" si="99"/>
        <v>BEBAN PEMBUATAN BISNIS PLAN</v>
      </c>
      <c r="D255" s="39">
        <f t="shared" si="100"/>
        <v>0</v>
      </c>
      <c r="E255" s="39">
        <f t="shared" si="101"/>
        <v>0</v>
      </c>
      <c r="F255" s="39">
        <f t="shared" si="102"/>
        <v>39960000</v>
      </c>
      <c r="G255" s="39">
        <f t="shared" si="103"/>
        <v>0</v>
      </c>
      <c r="H255" s="39">
        <f t="shared" si="104"/>
        <v>39960000</v>
      </c>
      <c r="I255" s="39">
        <f t="shared" si="105"/>
        <v>0</v>
      </c>
      <c r="J255" s="39">
        <f t="shared" si="106"/>
        <v>39960000</v>
      </c>
      <c r="K255" s="39">
        <f t="shared" si="107"/>
        <v>0</v>
      </c>
      <c r="L255" s="39">
        <f t="shared" si="108"/>
        <v>0</v>
      </c>
      <c r="M255" s="39">
        <f t="shared" si="109"/>
        <v>0</v>
      </c>
      <c r="O255" s="35">
        <f t="shared" si="110"/>
        <v>1</v>
      </c>
    </row>
    <row r="256" spans="2:15" ht="23.1" customHeight="1">
      <c r="B256" s="16">
        <f>AKUN!B253</f>
        <v>610241</v>
      </c>
      <c r="C256" s="7" t="str">
        <f t="shared" si="99"/>
        <v>BEBAN PENGAKUAN DPLK DIREKSI (ASURANSI)</v>
      </c>
      <c r="D256" s="39">
        <f t="shared" si="100"/>
        <v>0</v>
      </c>
      <c r="E256" s="39">
        <f t="shared" si="101"/>
        <v>0</v>
      </c>
      <c r="F256" s="39">
        <f t="shared" si="102"/>
        <v>510000000</v>
      </c>
      <c r="G256" s="39">
        <f t="shared" si="103"/>
        <v>0</v>
      </c>
      <c r="H256" s="39">
        <f t="shared" si="104"/>
        <v>510000000</v>
      </c>
      <c r="I256" s="39">
        <f t="shared" si="105"/>
        <v>0</v>
      </c>
      <c r="J256" s="39">
        <f t="shared" si="106"/>
        <v>510000000</v>
      </c>
      <c r="K256" s="39">
        <f t="shared" si="107"/>
        <v>0</v>
      </c>
      <c r="L256" s="39">
        <f t="shared" si="108"/>
        <v>0</v>
      </c>
      <c r="M256" s="39">
        <f t="shared" si="109"/>
        <v>0</v>
      </c>
      <c r="O256" s="35">
        <f t="shared" si="110"/>
        <v>1</v>
      </c>
    </row>
    <row r="257" spans="2:15" ht="23.1" customHeight="1">
      <c r="B257" s="16">
        <f>AKUN!B254</f>
        <v>610242</v>
      </c>
      <c r="C257" s="7" t="str">
        <f t="shared" si="99"/>
        <v>BEBAN PENGAKUAN DPLK KARYAWAN (ASURANSI)</v>
      </c>
      <c r="D257" s="39">
        <f t="shared" si="100"/>
        <v>0</v>
      </c>
      <c r="E257" s="39">
        <f t="shared" si="101"/>
        <v>0</v>
      </c>
      <c r="F257" s="39">
        <f t="shared" si="102"/>
        <v>0</v>
      </c>
      <c r="G257" s="39">
        <f t="shared" si="103"/>
        <v>0</v>
      </c>
      <c r="H257" s="39">
        <f t="shared" si="104"/>
        <v>0</v>
      </c>
      <c r="I257" s="39">
        <f t="shared" si="105"/>
        <v>0</v>
      </c>
      <c r="J257" s="39">
        <f t="shared" si="106"/>
        <v>0</v>
      </c>
      <c r="K257" s="39">
        <f t="shared" si="107"/>
        <v>0</v>
      </c>
      <c r="L257" s="39">
        <f t="shared" si="108"/>
        <v>0</v>
      </c>
      <c r="M257" s="39">
        <f t="shared" si="109"/>
        <v>0</v>
      </c>
      <c r="O257" s="35">
        <f t="shared" si="110"/>
        <v>0</v>
      </c>
    </row>
    <row r="258" spans="2:15" ht="23.1" customHeight="1">
      <c r="B258" s="16">
        <f>AKUN!B255</f>
        <v>610243</v>
      </c>
      <c r="C258" s="7" t="str">
        <f t="shared" si="99"/>
        <v>BEBAN PEMBUATAN DOKUMENT 6</v>
      </c>
      <c r="D258" s="39">
        <f t="shared" si="100"/>
        <v>0</v>
      </c>
      <c r="E258" s="39">
        <f t="shared" si="101"/>
        <v>0</v>
      </c>
      <c r="F258" s="39">
        <f t="shared" si="102"/>
        <v>0</v>
      </c>
      <c r="G258" s="39">
        <f t="shared" si="103"/>
        <v>0</v>
      </c>
      <c r="H258" s="39">
        <f t="shared" si="104"/>
        <v>0</v>
      </c>
      <c r="I258" s="39">
        <f t="shared" si="105"/>
        <v>0</v>
      </c>
      <c r="J258" s="39">
        <f t="shared" si="106"/>
        <v>0</v>
      </c>
      <c r="K258" s="39">
        <f t="shared" si="107"/>
        <v>0</v>
      </c>
      <c r="L258" s="39">
        <f t="shared" si="108"/>
        <v>0</v>
      </c>
      <c r="M258" s="39">
        <f t="shared" si="109"/>
        <v>0</v>
      </c>
      <c r="O258" s="35">
        <f t="shared" si="110"/>
        <v>0</v>
      </c>
    </row>
    <row r="259" spans="2:15" ht="23.1" customHeight="1">
      <c r="B259" s="16">
        <f>AKUN!B256</f>
        <v>610300</v>
      </c>
      <c r="C259" s="7" t="str">
        <f t="shared" si="99"/>
        <v>BIAYA KEUANGAN (FINANCING)</v>
      </c>
      <c r="D259" s="39" t="str">
        <f t="shared" si="100"/>
        <v/>
      </c>
      <c r="E259" s="39" t="str">
        <f t="shared" si="101"/>
        <v/>
      </c>
      <c r="F259" s="39">
        <f t="shared" si="102"/>
        <v>0</v>
      </c>
      <c r="G259" s="39">
        <f t="shared" si="103"/>
        <v>0</v>
      </c>
      <c r="H259" s="39" t="str">
        <f t="shared" si="104"/>
        <v/>
      </c>
      <c r="I259" s="39" t="str">
        <f t="shared" si="105"/>
        <v/>
      </c>
      <c r="J259" s="39" t="str">
        <f t="shared" si="106"/>
        <v/>
      </c>
      <c r="K259" s="39" t="str">
        <f t="shared" si="107"/>
        <v/>
      </c>
      <c r="L259" s="39" t="str">
        <f t="shared" si="108"/>
        <v/>
      </c>
      <c r="M259" s="39" t="str">
        <f t="shared" si="109"/>
        <v/>
      </c>
      <c r="O259" s="35">
        <f t="shared" si="110"/>
        <v>1</v>
      </c>
    </row>
    <row r="260" spans="2:15" ht="23.1" customHeight="1">
      <c r="B260" s="16">
        <f>AKUN!B257</f>
        <v>610301</v>
      </c>
      <c r="C260" s="7" t="str">
        <f t="shared" si="99"/>
        <v>BUNGA PINJAMAN (KREDIT INVESTASI)</v>
      </c>
      <c r="D260" s="39">
        <f t="shared" si="100"/>
        <v>0</v>
      </c>
      <c r="E260" s="39">
        <f t="shared" si="101"/>
        <v>0</v>
      </c>
      <c r="F260" s="39">
        <f t="shared" si="102"/>
        <v>0</v>
      </c>
      <c r="G260" s="39">
        <f t="shared" si="103"/>
        <v>0</v>
      </c>
      <c r="H260" s="39">
        <f t="shared" si="104"/>
        <v>0</v>
      </c>
      <c r="I260" s="39">
        <f t="shared" si="105"/>
        <v>0</v>
      </c>
      <c r="J260" s="39">
        <f t="shared" si="106"/>
        <v>0</v>
      </c>
      <c r="K260" s="39">
        <f t="shared" si="107"/>
        <v>0</v>
      </c>
      <c r="L260" s="39">
        <f t="shared" si="108"/>
        <v>0</v>
      </c>
      <c r="M260" s="39">
        <f t="shared" si="109"/>
        <v>0</v>
      </c>
      <c r="O260" s="35">
        <f t="shared" si="110"/>
        <v>0</v>
      </c>
    </row>
    <row r="261" spans="2:15" ht="23.1" customHeight="1">
      <c r="B261" s="16">
        <f>AKUN!B258</f>
        <v>610302</v>
      </c>
      <c r="C261" s="7" t="str">
        <f t="shared" si="99"/>
        <v>BUNGA PINJAMAN (MODAL KERJA)</v>
      </c>
      <c r="D261" s="39">
        <f t="shared" si="100"/>
        <v>0</v>
      </c>
      <c r="E261" s="39">
        <f t="shared" si="101"/>
        <v>0</v>
      </c>
      <c r="F261" s="39">
        <f t="shared" si="102"/>
        <v>0</v>
      </c>
      <c r="G261" s="39">
        <f t="shared" si="103"/>
        <v>0</v>
      </c>
      <c r="H261" s="39">
        <f t="shared" si="104"/>
        <v>0</v>
      </c>
      <c r="I261" s="39">
        <f t="shared" si="105"/>
        <v>0</v>
      </c>
      <c r="J261" s="39">
        <f t="shared" si="106"/>
        <v>0</v>
      </c>
      <c r="K261" s="39">
        <f t="shared" si="107"/>
        <v>0</v>
      </c>
      <c r="L261" s="39">
        <f t="shared" si="108"/>
        <v>0</v>
      </c>
      <c r="M261" s="39">
        <f t="shared" si="109"/>
        <v>0</v>
      </c>
      <c r="O261" s="35">
        <f t="shared" si="110"/>
        <v>0</v>
      </c>
    </row>
    <row r="262" spans="2:15" ht="23.1" customHeight="1">
      <c r="B262" s="16">
        <f>AKUN!B259</f>
        <v>610303</v>
      </c>
      <c r="C262" s="7" t="str">
        <f t="shared" si="99"/>
        <v>BUNGA LEASING</v>
      </c>
      <c r="D262" s="39">
        <f t="shared" si="100"/>
        <v>0</v>
      </c>
      <c r="E262" s="39">
        <f t="shared" si="101"/>
        <v>0</v>
      </c>
      <c r="F262" s="39">
        <f t="shared" si="102"/>
        <v>0</v>
      </c>
      <c r="G262" s="39">
        <f t="shared" si="103"/>
        <v>0</v>
      </c>
      <c r="H262" s="39">
        <f t="shared" si="104"/>
        <v>0</v>
      </c>
      <c r="I262" s="39">
        <f t="shared" si="105"/>
        <v>0</v>
      </c>
      <c r="J262" s="39">
        <f t="shared" si="106"/>
        <v>0</v>
      </c>
      <c r="K262" s="39">
        <f t="shared" si="107"/>
        <v>0</v>
      </c>
      <c r="L262" s="39">
        <f t="shared" si="108"/>
        <v>0</v>
      </c>
      <c r="M262" s="39">
        <f t="shared" si="109"/>
        <v>0</v>
      </c>
      <c r="O262" s="35">
        <f t="shared" si="110"/>
        <v>0</v>
      </c>
    </row>
    <row r="263" spans="2:15" ht="23.1" customHeight="1">
      <c r="B263" s="16">
        <f>AKUN!B260</f>
        <v>610400</v>
      </c>
      <c r="C263" s="7" t="str">
        <f t="shared" si="99"/>
        <v>BIAYA PENYUSUTAN DAN AMORTISASI</v>
      </c>
      <c r="D263" s="39" t="str">
        <f t="shared" si="100"/>
        <v/>
      </c>
      <c r="E263" s="39" t="str">
        <f t="shared" si="101"/>
        <v/>
      </c>
      <c r="F263" s="39">
        <f t="shared" si="102"/>
        <v>0</v>
      </c>
      <c r="G263" s="39">
        <f t="shared" si="103"/>
        <v>0</v>
      </c>
      <c r="H263" s="39" t="str">
        <f t="shared" si="104"/>
        <v/>
      </c>
      <c r="I263" s="39" t="str">
        <f t="shared" si="105"/>
        <v/>
      </c>
      <c r="J263" s="39" t="str">
        <f t="shared" si="106"/>
        <v/>
      </c>
      <c r="K263" s="39" t="str">
        <f t="shared" si="107"/>
        <v/>
      </c>
      <c r="L263" s="39" t="str">
        <f t="shared" si="108"/>
        <v/>
      </c>
      <c r="M263" s="39" t="str">
        <f t="shared" si="109"/>
        <v/>
      </c>
      <c r="O263" s="35">
        <f t="shared" si="110"/>
        <v>1</v>
      </c>
    </row>
    <row r="264" spans="2:15" ht="23.1" customHeight="1">
      <c r="B264" s="16">
        <f>AKUN!B261</f>
        <v>610401</v>
      </c>
      <c r="C264" s="7" t="str">
        <f t="shared" si="99"/>
        <v>BEBAN PENYUSUTAN BANGUNAN KANTOR</v>
      </c>
      <c r="D264" s="39">
        <f t="shared" si="100"/>
        <v>0</v>
      </c>
      <c r="E264" s="39">
        <f t="shared" si="101"/>
        <v>0</v>
      </c>
      <c r="F264" s="39">
        <f t="shared" si="102"/>
        <v>33677508</v>
      </c>
      <c r="G264" s="39">
        <f t="shared" si="103"/>
        <v>0</v>
      </c>
      <c r="H264" s="39">
        <f t="shared" si="104"/>
        <v>33677508</v>
      </c>
      <c r="I264" s="39">
        <f t="shared" si="105"/>
        <v>0</v>
      </c>
      <c r="J264" s="39">
        <f t="shared" si="106"/>
        <v>33677508</v>
      </c>
      <c r="K264" s="39">
        <f t="shared" si="107"/>
        <v>0</v>
      </c>
      <c r="L264" s="39">
        <f t="shared" si="108"/>
        <v>0</v>
      </c>
      <c r="M264" s="39">
        <f t="shared" si="109"/>
        <v>0</v>
      </c>
      <c r="O264" s="35">
        <f t="shared" si="110"/>
        <v>1</v>
      </c>
    </row>
    <row r="265" spans="2:15" ht="23.1" customHeight="1">
      <c r="B265" s="16">
        <f>AKUN!B262</f>
        <v>610402</v>
      </c>
      <c r="C265" s="7" t="str">
        <f t="shared" si="99"/>
        <v>BEBAN PENYUSUTAN KENDARAAN</v>
      </c>
      <c r="D265" s="39">
        <f t="shared" si="100"/>
        <v>0</v>
      </c>
      <c r="E265" s="39">
        <f t="shared" si="101"/>
        <v>0</v>
      </c>
      <c r="F265" s="39">
        <f t="shared" si="102"/>
        <v>348383400</v>
      </c>
      <c r="G265" s="39">
        <f t="shared" si="103"/>
        <v>0</v>
      </c>
      <c r="H265" s="39">
        <f t="shared" si="104"/>
        <v>348383400</v>
      </c>
      <c r="I265" s="39">
        <f t="shared" si="105"/>
        <v>0</v>
      </c>
      <c r="J265" s="39">
        <f t="shared" si="106"/>
        <v>348383400</v>
      </c>
      <c r="K265" s="39">
        <f t="shared" si="107"/>
        <v>0</v>
      </c>
      <c r="L265" s="39">
        <f t="shared" si="108"/>
        <v>0</v>
      </c>
      <c r="M265" s="39">
        <f t="shared" si="109"/>
        <v>0</v>
      </c>
      <c r="O265" s="35">
        <f t="shared" si="110"/>
        <v>1</v>
      </c>
    </row>
    <row r="266" spans="2:15" ht="23.1" customHeight="1">
      <c r="B266" s="16">
        <f>AKUN!B263</f>
        <v>610403</v>
      </c>
      <c r="C266" s="7" t="str">
        <f t="shared" si="99"/>
        <v>BEBAN PENYUSUTAN RAMBU RAMBU</v>
      </c>
      <c r="D266" s="39">
        <f t="shared" si="100"/>
        <v>0</v>
      </c>
      <c r="E266" s="39">
        <f t="shared" si="101"/>
        <v>0</v>
      </c>
      <c r="F266" s="39">
        <f t="shared" si="102"/>
        <v>499992</v>
      </c>
      <c r="G266" s="39">
        <f t="shared" si="103"/>
        <v>0</v>
      </c>
      <c r="H266" s="39">
        <f t="shared" si="104"/>
        <v>499992</v>
      </c>
      <c r="I266" s="39">
        <f t="shared" si="105"/>
        <v>0</v>
      </c>
      <c r="J266" s="39">
        <f t="shared" si="106"/>
        <v>499992</v>
      </c>
      <c r="K266" s="39">
        <f t="shared" si="107"/>
        <v>0</v>
      </c>
      <c r="L266" s="39">
        <f t="shared" si="108"/>
        <v>0</v>
      </c>
      <c r="M266" s="39">
        <f t="shared" si="109"/>
        <v>0</v>
      </c>
      <c r="O266" s="35">
        <f t="shared" si="110"/>
        <v>1</v>
      </c>
    </row>
    <row r="267" spans="2:15" ht="23.1" customHeight="1">
      <c r="B267" s="16">
        <f>AKUN!B264</f>
        <v>610404</v>
      </c>
      <c r="C267" s="7" t="str">
        <f t="shared" si="99"/>
        <v>BEBAN PENYUSUTAN INVENTARIS KANTOR</v>
      </c>
      <c r="D267" s="39">
        <f t="shared" si="100"/>
        <v>0</v>
      </c>
      <c r="E267" s="39">
        <f t="shared" si="101"/>
        <v>0</v>
      </c>
      <c r="F267" s="39">
        <f t="shared" si="102"/>
        <v>72418494.316666663</v>
      </c>
      <c r="G267" s="39">
        <f t="shared" si="103"/>
        <v>0</v>
      </c>
      <c r="H267" s="39">
        <f t="shared" si="104"/>
        <v>72418494.316666663</v>
      </c>
      <c r="I267" s="39">
        <f t="shared" si="105"/>
        <v>0</v>
      </c>
      <c r="J267" s="39">
        <f t="shared" si="106"/>
        <v>72418494.316666663</v>
      </c>
      <c r="K267" s="39">
        <f t="shared" si="107"/>
        <v>0</v>
      </c>
      <c r="L267" s="39">
        <f t="shared" si="108"/>
        <v>0</v>
      </c>
      <c r="M267" s="39">
        <f t="shared" si="109"/>
        <v>0</v>
      </c>
      <c r="O267" s="35">
        <f t="shared" si="110"/>
        <v>1</v>
      </c>
    </row>
    <row r="268" spans="2:15" ht="23.1" customHeight="1">
      <c r="B268" s="16">
        <f>AKUN!B265</f>
        <v>610405</v>
      </c>
      <c r="C268" s="7" t="str">
        <f t="shared" si="99"/>
        <v>BEBAN AMORTISASI GOODWIL</v>
      </c>
      <c r="D268" s="39">
        <f t="shared" si="100"/>
        <v>0</v>
      </c>
      <c r="E268" s="39">
        <f t="shared" si="101"/>
        <v>0</v>
      </c>
      <c r="F268" s="39">
        <f t="shared" si="102"/>
        <v>207902750</v>
      </c>
      <c r="G268" s="39">
        <f t="shared" si="103"/>
        <v>0</v>
      </c>
      <c r="H268" s="39">
        <f t="shared" si="104"/>
        <v>207902750</v>
      </c>
      <c r="I268" s="39">
        <f t="shared" si="105"/>
        <v>0</v>
      </c>
      <c r="J268" s="39">
        <f t="shared" si="106"/>
        <v>207902750</v>
      </c>
      <c r="K268" s="39">
        <f t="shared" si="107"/>
        <v>0</v>
      </c>
      <c r="L268" s="39">
        <f t="shared" si="108"/>
        <v>0</v>
      </c>
      <c r="M268" s="39">
        <f t="shared" si="109"/>
        <v>0</v>
      </c>
      <c r="O268" s="35">
        <f t="shared" si="110"/>
        <v>1</v>
      </c>
    </row>
    <row r="269" spans="2:15" ht="23.1" customHeight="1">
      <c r="B269" s="16">
        <f>AKUN!B266</f>
        <v>610406</v>
      </c>
      <c r="C269" s="7" t="str">
        <f t="shared" si="99"/>
        <v>AMORTISASI BEBAN DITANGGUHKAN</v>
      </c>
      <c r="D269" s="39">
        <f t="shared" si="100"/>
        <v>0</v>
      </c>
      <c r="E269" s="39">
        <f t="shared" si="101"/>
        <v>0</v>
      </c>
      <c r="F269" s="39">
        <f t="shared" si="102"/>
        <v>64673333.333333321</v>
      </c>
      <c r="G269" s="39">
        <f t="shared" si="103"/>
        <v>0</v>
      </c>
      <c r="H269" s="39">
        <f t="shared" si="104"/>
        <v>64673333.333333321</v>
      </c>
      <c r="I269" s="39">
        <f t="shared" si="105"/>
        <v>0</v>
      </c>
      <c r="J269" s="39">
        <f t="shared" si="106"/>
        <v>64673333.333333321</v>
      </c>
      <c r="K269" s="39">
        <f t="shared" si="107"/>
        <v>0</v>
      </c>
      <c r="L269" s="39">
        <f t="shared" si="108"/>
        <v>0</v>
      </c>
      <c r="M269" s="39">
        <f t="shared" si="109"/>
        <v>0</v>
      </c>
      <c r="O269" s="35">
        <f t="shared" si="110"/>
        <v>1</v>
      </c>
    </row>
    <row r="270" spans="2:15" ht="23.1" customHeight="1">
      <c r="B270" s="16">
        <f>AKUN!B267</f>
        <v>610407</v>
      </c>
      <c r="C270" s="7" t="str">
        <f t="shared" ref="C270:C271" si="111">IFERROR(INDEX(akun_ket,MATCH(B270,akun_kd,0)),"")</f>
        <v>BEBAN AMORTISASI LAINNYA</v>
      </c>
      <c r="D270" s="39">
        <f t="shared" ref="D270:D271" si="112">IFERROR(INDEX(akun_db,MATCH(B270&amp;" | "&amp;C270,akun_kb,0))+SUMIFS(ju_sld,ju_tgl,"&lt;"&amp;awal,ju_debet,B270&amp;" | "&amp;C270),"")</f>
        <v>0</v>
      </c>
      <c r="E270" s="39">
        <f t="shared" ref="E270:E271" si="113">IFERROR(INDEX(akun_kr,MATCH(B270&amp;" | "&amp;C270,akun_kb,0))+SUMIFS(ju_sld,ju_tgl,"&lt;"&amp;awal,ju_kr,B270&amp;" | "&amp;C270),"")</f>
        <v>0</v>
      </c>
      <c r="F270" s="39">
        <f t="shared" ref="F270:F271" si="114">IFERROR(SUMIFS(ju_sld,ju_tgl,"&gt;="&amp;awal,ju_tgl,"&lt;="&amp;akhir,ju_debet,B270&amp;" | "&amp;C270),0)</f>
        <v>0</v>
      </c>
      <c r="G270" s="39">
        <f t="shared" ref="G270:G271" si="115">IFERROR(SUMIFS(ju_sld,ju_tgl,"&gt;="&amp;awal,ju_tgl,"&lt;="&amp;akhir,ju_kr,B270&amp;" | "&amp;C270),0)</f>
        <v>0</v>
      </c>
      <c r="H270" s="39">
        <f t="shared" ref="H270:H271" si="116">IFERROR(IF(INDEX(typ_sn,MATCH(INDEX(akun_type,MATCH(B270,akun_kd,0)),typ_ket,0))="db",D270+F270-E270-G270,0),"")</f>
        <v>0</v>
      </c>
      <c r="I270" s="39">
        <f t="shared" ref="I270:I271" si="117">IFERROR(IF(INDEX(typ_sn,MATCH(INDEX(akun_type,MATCH(B270,akun_kd,0)),typ_ket,0))="Kr",G270+E270-F270-D270,0),"")</f>
        <v>0</v>
      </c>
      <c r="J270" s="39">
        <f t="shared" ref="J270:J271" si="118">IFERROR(IF(AND(INDEX(typ_sn,MATCH(INDEX(akun_type,MATCH(B270,akun_kd,0)),typ_ket,0))="db",INDEX(typ_pos,MATCH(INDEX(akun_type,MATCH(B270,akun_kd,0)),typ_ket,0))="lr"),H270-I270,0),"")</f>
        <v>0</v>
      </c>
      <c r="K270" s="39">
        <f t="shared" ref="K270:K271" si="119">IFERROR(IF(AND(INDEX(typ_sn,MATCH(INDEX(akun_type,MATCH(B270,akun_kd,0)),typ_ket,0))="kr",INDEX(typ_pos,MATCH(INDEX(akun_type,MATCH(B270,akun_kd,0)),typ_ket,0))="lr"),I270-H270,0),"")</f>
        <v>0</v>
      </c>
      <c r="L270" s="39">
        <f t="shared" ref="L270:L271" si="120">IFERROR(IF(AND(INDEX(typ_sn,MATCH(INDEX(akun_type,MATCH(B270,akun_kd,0)),typ_ket,0))="db",INDEX(typ_pos,MATCH(INDEX(akun_type,MATCH(B270,akun_kd,0)),typ_ket,0))="Nrc"),H270-I270,0),"")</f>
        <v>0</v>
      </c>
      <c r="M270" s="39">
        <f t="shared" ref="M270:M271" si="121">IFERROR(IF(AND(INDEX(typ_sn,MATCH(INDEX(akun_type,MATCH(B270,akun_kd,0)),typ_ket,0))="kr",INDEX(typ_pos,MATCH(INDEX(akun_type,MATCH(B270,akun_kd,0)),typ_ket,0))="nrc"),I270-H270,0),"")</f>
        <v>0</v>
      </c>
      <c r="O270" s="35">
        <f t="shared" ref="O270:O271" si="122">IF(AND(D270=0,E270=0,F270=0,G270=0,H270=0,I270=0,J270=0,K270=0,L270=0,M270=0),0,1)</f>
        <v>0</v>
      </c>
    </row>
    <row r="271" spans="2:15" ht="23.1" customHeight="1">
      <c r="B271" s="16">
        <f>AKUN!B268</f>
        <v>610408</v>
      </c>
      <c r="C271" s="7" t="str">
        <f t="shared" si="111"/>
        <v>BEBAN PENYUSUTAN CMS</v>
      </c>
      <c r="D271" s="39">
        <f t="shared" si="112"/>
        <v>0</v>
      </c>
      <c r="E271" s="39">
        <f t="shared" si="113"/>
        <v>0</v>
      </c>
      <c r="F271" s="39">
        <f t="shared" si="114"/>
        <v>0</v>
      </c>
      <c r="G271" s="39">
        <f t="shared" si="115"/>
        <v>0</v>
      </c>
      <c r="H271" s="39">
        <f t="shared" si="116"/>
        <v>0</v>
      </c>
      <c r="I271" s="39">
        <f t="shared" si="117"/>
        <v>0</v>
      </c>
      <c r="J271" s="39">
        <f t="shared" si="118"/>
        <v>0</v>
      </c>
      <c r="K271" s="39">
        <f t="shared" si="119"/>
        <v>0</v>
      </c>
      <c r="L271" s="39">
        <f t="shared" si="120"/>
        <v>0</v>
      </c>
      <c r="M271" s="39">
        <f t="shared" si="121"/>
        <v>0</v>
      </c>
      <c r="O271" s="35">
        <f t="shared" si="122"/>
        <v>0</v>
      </c>
    </row>
    <row r="272" spans="2:15" ht="23.1" customHeight="1">
      <c r="B272" s="16">
        <f>AKUN!B269</f>
        <v>710100</v>
      </c>
      <c r="C272" s="7" t="str">
        <f t="shared" si="99"/>
        <v>PENDAPATAN LAIN-LAIN</v>
      </c>
      <c r="D272" s="39" t="str">
        <f t="shared" si="100"/>
        <v/>
      </c>
      <c r="E272" s="39" t="str">
        <f t="shared" si="101"/>
        <v/>
      </c>
      <c r="F272" s="39">
        <f t="shared" si="102"/>
        <v>0</v>
      </c>
      <c r="G272" s="39">
        <f t="shared" si="103"/>
        <v>0</v>
      </c>
      <c r="H272" s="39" t="str">
        <f t="shared" si="104"/>
        <v/>
      </c>
      <c r="I272" s="39" t="str">
        <f t="shared" si="105"/>
        <v/>
      </c>
      <c r="J272" s="39" t="str">
        <f t="shared" si="106"/>
        <v/>
      </c>
      <c r="K272" s="39" t="str">
        <f t="shared" si="107"/>
        <v/>
      </c>
      <c r="L272" s="39" t="str">
        <f t="shared" si="108"/>
        <v/>
      </c>
      <c r="M272" s="39" t="str">
        <f t="shared" si="109"/>
        <v/>
      </c>
      <c r="O272" s="35">
        <f t="shared" si="110"/>
        <v>1</v>
      </c>
    </row>
    <row r="273" spans="2:15" ht="23.1" customHeight="1">
      <c r="B273" s="16">
        <f>AKUN!B270</f>
        <v>710101</v>
      </c>
      <c r="C273" s="7" t="str">
        <f t="shared" si="99"/>
        <v>PENDAPATAN JASA GIRO</v>
      </c>
      <c r="D273" s="39">
        <f t="shared" si="100"/>
        <v>0</v>
      </c>
      <c r="E273" s="39">
        <f t="shared" si="101"/>
        <v>0</v>
      </c>
      <c r="F273" s="39">
        <f t="shared" si="102"/>
        <v>0</v>
      </c>
      <c r="G273" s="39">
        <f t="shared" si="103"/>
        <v>56037279.399999999</v>
      </c>
      <c r="H273" s="39">
        <f t="shared" si="104"/>
        <v>0</v>
      </c>
      <c r="I273" s="39">
        <f t="shared" si="105"/>
        <v>56037279.399999999</v>
      </c>
      <c r="J273" s="39">
        <f t="shared" si="106"/>
        <v>0</v>
      </c>
      <c r="K273" s="39">
        <f t="shared" si="107"/>
        <v>56037279.399999999</v>
      </c>
      <c r="L273" s="39">
        <f t="shared" si="108"/>
        <v>0</v>
      </c>
      <c r="M273" s="39">
        <f t="shared" si="109"/>
        <v>0</v>
      </c>
      <c r="O273" s="35">
        <f t="shared" si="110"/>
        <v>1</v>
      </c>
    </row>
    <row r="274" spans="2:15" ht="23.1" customHeight="1">
      <c r="B274" s="16">
        <f>AKUN!B271</f>
        <v>710102</v>
      </c>
      <c r="C274" s="7" t="str">
        <f t="shared" si="99"/>
        <v>PENDAPATAN PENJUALAN ASSET</v>
      </c>
      <c r="D274" s="39">
        <f t="shared" si="100"/>
        <v>0</v>
      </c>
      <c r="E274" s="39">
        <f t="shared" si="101"/>
        <v>0</v>
      </c>
      <c r="F274" s="39">
        <f t="shared" si="102"/>
        <v>0</v>
      </c>
      <c r="G274" s="39">
        <f t="shared" si="103"/>
        <v>0</v>
      </c>
      <c r="H274" s="39">
        <f t="shared" si="104"/>
        <v>0</v>
      </c>
      <c r="I274" s="39">
        <f t="shared" si="105"/>
        <v>0</v>
      </c>
      <c r="J274" s="39">
        <f t="shared" si="106"/>
        <v>0</v>
      </c>
      <c r="K274" s="39">
        <f t="shared" si="107"/>
        <v>0</v>
      </c>
      <c r="L274" s="39">
        <f t="shared" si="108"/>
        <v>0</v>
      </c>
      <c r="M274" s="39">
        <f t="shared" si="109"/>
        <v>0</v>
      </c>
      <c r="O274" s="35">
        <f t="shared" si="110"/>
        <v>0</v>
      </c>
    </row>
    <row r="275" spans="2:15" ht="23.1" customHeight="1">
      <c r="B275" s="16">
        <f>AKUN!B272</f>
        <v>710103</v>
      </c>
      <c r="C275" s="7" t="str">
        <f t="shared" si="99"/>
        <v>PENDAPATAN LAIN LAIN</v>
      </c>
      <c r="D275" s="39">
        <f t="shared" si="100"/>
        <v>0</v>
      </c>
      <c r="E275" s="39">
        <f t="shared" si="101"/>
        <v>0</v>
      </c>
      <c r="F275" s="39">
        <f t="shared" si="102"/>
        <v>0</v>
      </c>
      <c r="G275" s="39">
        <f t="shared" si="103"/>
        <v>48349180</v>
      </c>
      <c r="H275" s="39">
        <f t="shared" si="104"/>
        <v>0</v>
      </c>
      <c r="I275" s="39">
        <f t="shared" si="105"/>
        <v>48349180</v>
      </c>
      <c r="J275" s="39">
        <f t="shared" si="106"/>
        <v>0</v>
      </c>
      <c r="K275" s="39">
        <f t="shared" si="107"/>
        <v>48349180</v>
      </c>
      <c r="L275" s="39">
        <f t="shared" si="108"/>
        <v>0</v>
      </c>
      <c r="M275" s="39">
        <f t="shared" si="109"/>
        <v>0</v>
      </c>
      <c r="O275" s="35">
        <f t="shared" si="110"/>
        <v>1</v>
      </c>
    </row>
    <row r="276" spans="2:15" ht="23.1" customHeight="1">
      <c r="B276" s="16">
        <f>AKUN!B273</f>
        <v>720100</v>
      </c>
      <c r="C276" s="7" t="str">
        <f t="shared" si="99"/>
        <v>BIAYA LAIN-LAIN</v>
      </c>
      <c r="D276" s="39" t="str">
        <f t="shared" si="100"/>
        <v/>
      </c>
      <c r="E276" s="39" t="str">
        <f t="shared" si="101"/>
        <v/>
      </c>
      <c r="F276" s="39">
        <f t="shared" si="102"/>
        <v>0</v>
      </c>
      <c r="G276" s="39">
        <f t="shared" si="103"/>
        <v>0</v>
      </c>
      <c r="H276" s="39" t="str">
        <f t="shared" si="104"/>
        <v/>
      </c>
      <c r="I276" s="39" t="str">
        <f t="shared" si="105"/>
        <v/>
      </c>
      <c r="J276" s="39" t="str">
        <f t="shared" si="106"/>
        <v/>
      </c>
      <c r="K276" s="39" t="str">
        <f t="shared" si="107"/>
        <v/>
      </c>
      <c r="L276" s="39" t="str">
        <f t="shared" si="108"/>
        <v/>
      </c>
      <c r="M276" s="39" t="str">
        <f t="shared" si="109"/>
        <v/>
      </c>
      <c r="O276" s="35">
        <f t="shared" si="110"/>
        <v>1</v>
      </c>
    </row>
    <row r="277" spans="2:15" ht="23.1" customHeight="1">
      <c r="B277" s="16">
        <f>AKUN!B274</f>
        <v>720101</v>
      </c>
      <c r="C277" s="7" t="str">
        <f t="shared" si="99"/>
        <v>BIAYA ADMINISTRASI BANK</v>
      </c>
      <c r="D277" s="39">
        <f t="shared" si="100"/>
        <v>0</v>
      </c>
      <c r="E277" s="39">
        <f t="shared" si="101"/>
        <v>0</v>
      </c>
      <c r="F277" s="39">
        <f t="shared" si="102"/>
        <v>5909483.4399999995</v>
      </c>
      <c r="G277" s="39">
        <f t="shared" si="103"/>
        <v>0</v>
      </c>
      <c r="H277" s="39">
        <f t="shared" si="104"/>
        <v>5909483.4399999995</v>
      </c>
      <c r="I277" s="39">
        <f t="shared" si="105"/>
        <v>0</v>
      </c>
      <c r="J277" s="39">
        <f t="shared" si="106"/>
        <v>5909483.4399999995</v>
      </c>
      <c r="K277" s="39">
        <f t="shared" si="107"/>
        <v>0</v>
      </c>
      <c r="L277" s="39">
        <f t="shared" si="108"/>
        <v>0</v>
      </c>
      <c r="M277" s="39">
        <f t="shared" si="109"/>
        <v>0</v>
      </c>
      <c r="O277" s="35">
        <f t="shared" si="110"/>
        <v>1</v>
      </c>
    </row>
    <row r="278" spans="2:15" ht="23.1" customHeight="1">
      <c r="B278" s="16">
        <f>AKUN!B275</f>
        <v>720102</v>
      </c>
      <c r="C278" s="7" t="str">
        <f t="shared" si="99"/>
        <v>BIAYA PAJAK JASA GIRO</v>
      </c>
      <c r="D278" s="39">
        <f t="shared" si="100"/>
        <v>0</v>
      </c>
      <c r="E278" s="39">
        <f t="shared" si="101"/>
        <v>0</v>
      </c>
      <c r="F278" s="39">
        <f t="shared" si="102"/>
        <v>10441757.870000001</v>
      </c>
      <c r="G278" s="39">
        <f t="shared" si="103"/>
        <v>0</v>
      </c>
      <c r="H278" s="39">
        <f t="shared" si="104"/>
        <v>10441757.870000001</v>
      </c>
      <c r="I278" s="39">
        <f t="shared" si="105"/>
        <v>0</v>
      </c>
      <c r="J278" s="39">
        <f t="shared" si="106"/>
        <v>10441757.870000001</v>
      </c>
      <c r="K278" s="39">
        <f t="shared" si="107"/>
        <v>0</v>
      </c>
      <c r="L278" s="39">
        <f t="shared" si="108"/>
        <v>0</v>
      </c>
      <c r="M278" s="39">
        <f t="shared" si="109"/>
        <v>0</v>
      </c>
      <c r="O278" s="35">
        <f t="shared" si="110"/>
        <v>1</v>
      </c>
    </row>
    <row r="279" spans="2:15" ht="9.9499999999999993" customHeight="1">
      <c r="O279" s="35">
        <v>1</v>
      </c>
    </row>
    <row r="280" spans="2:15" ht="23.1" customHeight="1">
      <c r="B280" s="444" t="s">
        <v>72</v>
      </c>
      <c r="C280" s="445"/>
      <c r="D280" s="51">
        <f t="shared" ref="D280:M280" si="123">SUM(D11:D278)</f>
        <v>14242775107</v>
      </c>
      <c r="E280" s="51">
        <f t="shared" si="123"/>
        <v>14242775107</v>
      </c>
      <c r="F280" s="51">
        <f t="shared" si="123"/>
        <v>73027620286.22998</v>
      </c>
      <c r="G280" s="51">
        <f t="shared" si="123"/>
        <v>73027620286.230011</v>
      </c>
      <c r="H280" s="51">
        <f t="shared" si="123"/>
        <v>22010960616.399998</v>
      </c>
      <c r="I280" s="51">
        <f t="shared" si="123"/>
        <v>22010960616.400002</v>
      </c>
      <c r="J280" s="51">
        <f t="shared" si="123"/>
        <v>11427971866.960003</v>
      </c>
      <c r="K280" s="51">
        <f t="shared" si="123"/>
        <v>14919705659.4</v>
      </c>
      <c r="L280" s="51">
        <f t="shared" si="123"/>
        <v>10582988749.440001</v>
      </c>
      <c r="M280" s="51">
        <f t="shared" si="123"/>
        <v>7091254957</v>
      </c>
      <c r="O280" s="35">
        <v>1</v>
      </c>
    </row>
    <row r="281" spans="2:15" ht="23.1" customHeight="1">
      <c r="B281" s="2"/>
      <c r="C281" s="2"/>
      <c r="D281" s="43"/>
      <c r="E281" s="43"/>
      <c r="F281" s="43"/>
      <c r="G281" s="43"/>
      <c r="H281" s="43"/>
      <c r="I281" s="52" t="str">
        <f>IF(K281&gt;=0,"Laba","Rugi")</f>
        <v>Laba</v>
      </c>
      <c r="J281" s="51">
        <v>0</v>
      </c>
      <c r="K281" s="51">
        <f>K280-J280</f>
        <v>3491733792.4399967</v>
      </c>
      <c r="L281" s="51">
        <f>J281</f>
        <v>0</v>
      </c>
      <c r="M281" s="51">
        <f>K281</f>
        <v>3491733792.4399967</v>
      </c>
      <c r="O281" s="35">
        <v>1</v>
      </c>
    </row>
    <row r="282" spans="2:15" ht="23.1" customHeight="1">
      <c r="B282" s="2"/>
      <c r="C282" s="2"/>
      <c r="D282" s="43"/>
      <c r="E282" s="43"/>
      <c r="F282" s="43"/>
      <c r="G282" s="43"/>
      <c r="H282" s="43"/>
      <c r="I282" s="43"/>
      <c r="J282" s="43"/>
      <c r="K282" s="53" t="str">
        <f>IF(L282=M282,"Balance","Not Balance")</f>
        <v>Balance</v>
      </c>
      <c r="L282" s="51">
        <f>L280+L281</f>
        <v>10582988749.440001</v>
      </c>
      <c r="M282" s="51">
        <f>M280+M281</f>
        <v>10582988749.439997</v>
      </c>
      <c r="O282" s="35">
        <v>1</v>
      </c>
    </row>
  </sheetData>
  <autoFilter ref="O9:O282" xr:uid="{672B9923-2553-204C-BF28-8773D0B2E60B}"/>
  <mergeCells count="11">
    <mergeCell ref="B4:M4"/>
    <mergeCell ref="B5:M5"/>
    <mergeCell ref="B6:M6"/>
    <mergeCell ref="B280:C280"/>
    <mergeCell ref="D8:E8"/>
    <mergeCell ref="F8:G8"/>
    <mergeCell ref="H8:I8"/>
    <mergeCell ref="J8:K8"/>
    <mergeCell ref="L8:M8"/>
    <mergeCell ref="B8:B9"/>
    <mergeCell ref="C8:C9"/>
  </mergeCells>
  <hyperlinks>
    <hyperlink ref="B2" location="MENU!D8" display="MENU" xr:uid="{AA1AA678-B549-3E46-8386-FA30B9827E64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AE5C-FC76-2A43-92F0-B5602BFD7700}">
  <sheetPr codeName="Sheet11">
    <pageSetUpPr fitToPage="1"/>
  </sheetPr>
  <dimension ref="B2:H163"/>
  <sheetViews>
    <sheetView showGridLines="0" zoomScale="80" zoomScaleNormal="80" workbookViewId="0">
      <pane ySplit="7" topLeftCell="A41" activePane="bottomLeft" state="frozen"/>
      <selection pane="bottomLeft" activeCell="E43" sqref="E43"/>
    </sheetView>
  </sheetViews>
  <sheetFormatPr defaultColWidth="10.875" defaultRowHeight="23.1" customHeight="1" outlineLevelCol="1"/>
  <cols>
    <col min="1" max="1" width="3.375" style="1" customWidth="1"/>
    <col min="2" max="2" width="12.625" style="1" customWidth="1"/>
    <col min="3" max="3" width="51.375" style="1" customWidth="1"/>
    <col min="4" max="4" width="18" style="1" hidden="1" customWidth="1" outlineLevel="1"/>
    <col min="5" max="5" width="18.375" style="37" customWidth="1" collapsed="1"/>
    <col min="6" max="6" width="17.875" style="1" customWidth="1"/>
    <col min="7" max="7" width="4.125" style="1" customWidth="1"/>
    <col min="8" max="8" width="15" style="1" customWidth="1"/>
    <col min="9" max="16384" width="10.875" style="1"/>
  </cols>
  <sheetData>
    <row r="2" spans="2:8" ht="23.1" customHeight="1" thickBot="1">
      <c r="B2" s="90" t="s">
        <v>58</v>
      </c>
      <c r="C2" s="135" t="str">
        <f>LR!C2</f>
        <v>Kahfizul13@gmail.com</v>
      </c>
      <c r="D2" s="87"/>
      <c r="E2" s="88"/>
      <c r="F2" s="87"/>
    </row>
    <row r="4" spans="2:8" ht="23.1" customHeight="1">
      <c r="B4" s="435" t="str">
        <f>UPPER(BB!B4)</f>
        <v>PERUMDA PARKIR MAKASSAR RAYA</v>
      </c>
      <c r="C4" s="436"/>
      <c r="D4" s="436"/>
      <c r="E4" s="436"/>
      <c r="F4" s="437"/>
    </row>
    <row r="5" spans="2:8" ht="23.1" customHeight="1">
      <c r="B5" s="412" t="s">
        <v>125</v>
      </c>
      <c r="C5" s="413"/>
      <c r="D5" s="413"/>
      <c r="E5" s="413"/>
      <c r="F5" s="414"/>
    </row>
    <row r="6" spans="2:8" ht="23.1" customHeight="1" thickBot="1">
      <c r="B6" s="438" t="str">
        <f>"Per Tanggal "&amp;TEXT(akhir,"dd-mmm-yyy")</f>
        <v>Per Tanggal 31-Dec-2022</v>
      </c>
      <c r="C6" s="439"/>
      <c r="D6" s="439"/>
      <c r="E6" s="439"/>
      <c r="F6" s="440"/>
      <c r="H6" s="57" t="s">
        <v>142</v>
      </c>
    </row>
    <row r="7" spans="2:8" ht="9.9499999999999993" customHeight="1">
      <c r="H7" s="35">
        <f>IF(OR(E7&lt;0,E7&gt;0,E7=""),1,0)</f>
        <v>1</v>
      </c>
    </row>
    <row r="8" spans="2:8" ht="23.1" customHeight="1">
      <c r="B8" s="274" t="s">
        <v>271</v>
      </c>
      <c r="C8" s="205"/>
      <c r="D8" s="205"/>
      <c r="E8" s="306"/>
      <c r="F8" s="205"/>
      <c r="H8" s="35">
        <f>IF(OR(E8&lt;0,E8&gt;0,E8=""),1,0)</f>
        <v>1</v>
      </c>
    </row>
    <row r="9" spans="2:8" ht="23.1" customHeight="1">
      <c r="B9" s="248" t="s">
        <v>267</v>
      </c>
      <c r="C9" s="205"/>
      <c r="D9" s="205"/>
      <c r="E9" s="306"/>
      <c r="F9" s="205"/>
      <c r="H9" s="35">
        <f t="shared" ref="H9:H132" si="0">IF(OR(E9&lt;0,E9&gt;0,E9=""),1,0)</f>
        <v>1</v>
      </c>
    </row>
    <row r="10" spans="2:8" ht="23.1" customHeight="1">
      <c r="B10" s="232" t="s">
        <v>126</v>
      </c>
      <c r="C10" s="205"/>
      <c r="D10" s="205"/>
      <c r="E10" s="306"/>
      <c r="F10" s="205"/>
      <c r="H10" s="35">
        <f t="shared" si="0"/>
        <v>1</v>
      </c>
    </row>
    <row r="11" spans="2:8" ht="23.1" customHeight="1">
      <c r="B11" s="232" t="s">
        <v>266</v>
      </c>
      <c r="C11" s="205"/>
      <c r="D11" s="228" t="str">
        <f t="shared" ref="D11:D15" si="1">IFERROR(IF(INDEX(typ_sn,MATCH(INDEX(akun_type,MATCH(B11,akun_kb,0)),typ_ket,0))="db",SUMIF(nrl_kode,INDEX(akun_kd,MATCH(B11,akun_kb,0)),nrl_sadb)-SUMIF(nrl_kode,INDEX(akun_kd,MATCH(B11,akun_kb,0)),nrl_sakr),SUMIF(nrl_kode,INDEX(akun_kd,MATCH(B11,akun_kb,0)),nrl_sakr)-SUMIF(nrl_kode,INDEX(akun_kd,MATCH(B11,akun_kb,0)),nrl_sadb)),"")</f>
        <v/>
      </c>
      <c r="E11" s="228" t="str">
        <f t="shared" ref="E11:E15" si="2">IFERROR(IF(INDEX(typ_sn,MATCH(INDEX(akun_type,MATCH(B11,akun_kb,0)),typ_ket,0))="db",SUMIF(nrl_kode,INDEX(akun_kd,MATCH(B11,akun_kb,0)),nrl_akhirdb)-SUMIF(nrl_kode,INDEX(akun_kd,MATCH(B11,akun_kb,0)),nrl_akhirkr),SUMIF(nrl_kode,INDEX(akun_kd,MATCH(B11,akun_kb,0)),nrl_akhirkr)-SUMIF(nrl_kode,INDEX(akun_kd,MATCH(B11,akun_kb,0)),nrl_akhirdb)),"")</f>
        <v/>
      </c>
      <c r="F11" s="205"/>
      <c r="H11" s="35">
        <f t="shared" si="0"/>
        <v>1</v>
      </c>
    </row>
    <row r="12" spans="2:8" ht="23.1" customHeight="1">
      <c r="B12" s="227" t="str">
        <f>AKUN!H10</f>
        <v>110101 | KAS BENDAHARA PENERIMAAN</v>
      </c>
      <c r="C12" s="205"/>
      <c r="D12" s="228">
        <f t="shared" si="1"/>
        <v>27156105</v>
      </c>
      <c r="E12" s="228">
        <f t="shared" si="2"/>
        <v>500</v>
      </c>
      <c r="F12" s="205"/>
      <c r="H12" s="35">
        <f t="shared" si="0"/>
        <v>1</v>
      </c>
    </row>
    <row r="13" spans="2:8" ht="23.1" customHeight="1">
      <c r="B13" s="227" t="str">
        <f>AKUN!H11</f>
        <v>110102 | KAS BENDAHARA PENGELUARAN</v>
      </c>
      <c r="C13" s="205"/>
      <c r="D13" s="228">
        <f t="shared" si="1"/>
        <v>7852676</v>
      </c>
      <c r="E13" s="228">
        <f t="shared" si="2"/>
        <v>18860300</v>
      </c>
      <c r="F13" s="205"/>
      <c r="H13" s="35">
        <f t="shared" si="0"/>
        <v>1</v>
      </c>
    </row>
    <row r="14" spans="2:8" ht="23.1" customHeight="1">
      <c r="B14" s="227" t="str">
        <f>AKUN!H12</f>
        <v>110103 | KAS DALAM PERJALANAN</v>
      </c>
      <c r="C14" s="205"/>
      <c r="D14" s="228">
        <f t="shared" si="1"/>
        <v>0</v>
      </c>
      <c r="E14" s="228">
        <f t="shared" si="2"/>
        <v>0</v>
      </c>
      <c r="F14" s="205"/>
      <c r="H14" s="35">
        <f t="shared" si="0"/>
        <v>0</v>
      </c>
    </row>
    <row r="15" spans="2:8" ht="23.1" customHeight="1">
      <c r="B15" s="227" t="str">
        <f>AKUN!H13</f>
        <v>110104 | PENYETORAN KEMBALI KE KAS PD.PARKIR</v>
      </c>
      <c r="C15" s="205"/>
      <c r="D15" s="228">
        <f t="shared" si="1"/>
        <v>0</v>
      </c>
      <c r="E15" s="228">
        <f t="shared" si="2"/>
        <v>0</v>
      </c>
      <c r="F15" s="205"/>
      <c r="H15" s="35">
        <f t="shared" si="0"/>
        <v>0</v>
      </c>
    </row>
    <row r="16" spans="2:8" ht="23.1" customHeight="1">
      <c r="B16" s="229" t="s">
        <v>272</v>
      </c>
      <c r="C16" s="205"/>
      <c r="D16" s="230">
        <f>SUM(D11:D15)</f>
        <v>35008781</v>
      </c>
      <c r="E16" s="230"/>
      <c r="F16" s="231">
        <f>SUM(E11:E15)</f>
        <v>18860800</v>
      </c>
      <c r="H16" s="35">
        <f t="shared" si="0"/>
        <v>1</v>
      </c>
    </row>
    <row r="17" spans="2:8" ht="23.1" customHeight="1">
      <c r="B17" s="232" t="s">
        <v>268</v>
      </c>
      <c r="C17" s="205"/>
      <c r="D17" s="230"/>
      <c r="E17" s="230"/>
      <c r="F17" s="231"/>
      <c r="H17" s="35">
        <f t="shared" si="0"/>
        <v>1</v>
      </c>
    </row>
    <row r="18" spans="2:8" ht="23.1" customHeight="1">
      <c r="B18" s="227" t="str">
        <f>AKUN!H15</f>
        <v>110201 | BANK BTN</v>
      </c>
      <c r="C18" s="205"/>
      <c r="D18" s="228">
        <f t="shared" ref="D18:D32" si="3">IFERROR(IF(INDEX(typ_sn,MATCH(INDEX(akun_type,MATCH(B18,akun_kb,0)),typ_ket,0))="db",SUMIF(nrl_kode,INDEX(akun_kd,MATCH(B18,akun_kb,0)),nrl_sadb)-SUMIF(nrl_kode,INDEX(akun_kd,MATCH(B18,akun_kb,0)),nrl_sakr),SUMIF(nrl_kode,INDEX(akun_kd,MATCH(B18,akun_kb,0)),nrl_sakr)-SUMIF(nrl_kode,INDEX(akun_kd,MATCH(B18,akun_kb,0)),nrl_sadb)),"")</f>
        <v>815981072</v>
      </c>
      <c r="E18" s="228">
        <f t="shared" ref="E18:E32" si="4">IFERROR(IF(INDEX(typ_sn,MATCH(INDEX(akun_type,MATCH(B18,akun_kb,0)),typ_ket,0))="db",SUMIF(nrl_kode,INDEX(akun_kd,MATCH(B18,akun_kb,0)),nrl_akhirdb)-SUMIF(nrl_kode,INDEX(akun_kd,MATCH(B18,akun_kb,0)),nrl_akhirkr),SUMIF(nrl_kode,INDEX(akun_kd,MATCH(B18,akun_kb,0)),nrl_akhirkr)-SUMIF(nrl_kode,INDEX(akun_kd,MATCH(B18,akun_kb,0)),nrl_akhirdb)),"")</f>
        <v>3349055291.2299995</v>
      </c>
      <c r="F18" s="205"/>
      <c r="H18" s="35">
        <f t="shared" si="0"/>
        <v>1</v>
      </c>
    </row>
    <row r="19" spans="2:8" ht="23.1" customHeight="1">
      <c r="B19" s="227" t="str">
        <f>AKUN!H16</f>
        <v>110202 | BANK BTN 2</v>
      </c>
      <c r="C19" s="205"/>
      <c r="D19" s="228">
        <f t="shared" si="3"/>
        <v>0</v>
      </c>
      <c r="E19" s="228">
        <f t="shared" si="4"/>
        <v>1167000</v>
      </c>
      <c r="F19" s="205"/>
      <c r="H19" s="35">
        <f t="shared" si="0"/>
        <v>1</v>
      </c>
    </row>
    <row r="20" spans="2:8" ht="23.1" customHeight="1">
      <c r="B20" s="227" t="str">
        <f>AKUN!H17</f>
        <v>110203 | BANK MEGA SYARIAH</v>
      </c>
      <c r="C20" s="205"/>
      <c r="D20" s="228">
        <f t="shared" si="3"/>
        <v>0</v>
      </c>
      <c r="E20" s="228">
        <f t="shared" si="4"/>
        <v>2009173139.1700001</v>
      </c>
      <c r="F20" s="205"/>
      <c r="H20" s="35">
        <f t="shared" si="0"/>
        <v>1</v>
      </c>
    </row>
    <row r="21" spans="2:8" ht="23.1" customHeight="1">
      <c r="B21" s="227" t="str">
        <f>AKUN!H18</f>
        <v>110204 | BANK BPD SULSELBAR</v>
      </c>
      <c r="C21" s="205"/>
      <c r="D21" s="228">
        <f t="shared" si="3"/>
        <v>58615218</v>
      </c>
      <c r="E21" s="228">
        <f t="shared" si="4"/>
        <v>-0.39999997615814209</v>
      </c>
      <c r="F21" s="205"/>
      <c r="H21" s="35">
        <f t="shared" ref="H21:H32" si="5">IF(OR(E21&lt;0,E21&gt;0,E21=""),1,0)</f>
        <v>1</v>
      </c>
    </row>
    <row r="22" spans="2:8" ht="23.1" customHeight="1">
      <c r="B22" s="227" t="str">
        <f>AKUN!H19</f>
        <v>110205 | BANK BPD SULSELBAR 1300030000329814</v>
      </c>
      <c r="C22" s="205"/>
      <c r="D22" s="228">
        <f t="shared" si="3"/>
        <v>419143976</v>
      </c>
      <c r="E22" s="228">
        <f t="shared" si="4"/>
        <v>86740449.869999886</v>
      </c>
      <c r="F22" s="205"/>
      <c r="H22" s="35">
        <f t="shared" si="5"/>
        <v>1</v>
      </c>
    </row>
    <row r="23" spans="2:8" ht="23.1" customHeight="1">
      <c r="B23" s="227" t="str">
        <f>AKUN!H20</f>
        <v>110206 | BANK BPD SULSELBAR 130003123456789-2</v>
      </c>
      <c r="C23" s="205"/>
      <c r="D23" s="228">
        <f t="shared" si="3"/>
        <v>3509202</v>
      </c>
      <c r="E23" s="228">
        <f t="shared" si="4"/>
        <v>0</v>
      </c>
      <c r="F23" s="205"/>
      <c r="H23" s="35">
        <f t="shared" si="5"/>
        <v>0</v>
      </c>
    </row>
    <row r="24" spans="2:8" ht="23.1" customHeight="1">
      <c r="B24" s="227" t="str">
        <f>AKUN!H21</f>
        <v>110207 | BANK BRI</v>
      </c>
      <c r="C24" s="205"/>
      <c r="D24" s="228">
        <f t="shared" si="3"/>
        <v>6595167</v>
      </c>
      <c r="E24" s="228">
        <f t="shared" si="4"/>
        <v>0</v>
      </c>
      <c r="F24" s="205"/>
      <c r="H24" s="35">
        <f t="shared" si="5"/>
        <v>0</v>
      </c>
    </row>
    <row r="25" spans="2:8" ht="23.1" customHeight="1">
      <c r="B25" s="227" t="str">
        <f>AKUN!H22</f>
        <v>110208 | BANK PANIN DUBAI SYARIAH - 7009001988</v>
      </c>
      <c r="C25" s="205"/>
      <c r="D25" s="228">
        <f t="shared" si="3"/>
        <v>631511959</v>
      </c>
      <c r="E25" s="228">
        <f t="shared" si="4"/>
        <v>-0.24000072479248047</v>
      </c>
      <c r="F25" s="205"/>
      <c r="H25" s="35">
        <f t="shared" si="5"/>
        <v>1</v>
      </c>
    </row>
    <row r="26" spans="2:8" ht="23.1" customHeight="1">
      <c r="B26" s="227" t="str">
        <f>AKUN!H23</f>
        <v>110209 | BANK PANIN DUBAI SYARIAH - TABUNGAN</v>
      </c>
      <c r="C26" s="205"/>
      <c r="D26" s="228">
        <f t="shared" si="3"/>
        <v>1189265</v>
      </c>
      <c r="E26" s="228">
        <f t="shared" si="4"/>
        <v>0</v>
      </c>
      <c r="F26" s="205"/>
      <c r="H26" s="35">
        <f t="shared" si="5"/>
        <v>0</v>
      </c>
    </row>
    <row r="27" spans="2:8" ht="23.1" customHeight="1">
      <c r="B27" s="227" t="str">
        <f>AKUN!H24</f>
        <v>110210 | BANK BJB</v>
      </c>
      <c r="C27" s="205"/>
      <c r="D27" s="228">
        <f t="shared" si="3"/>
        <v>9991565</v>
      </c>
      <c r="E27" s="228">
        <f t="shared" si="4"/>
        <v>0</v>
      </c>
      <c r="F27" s="205"/>
      <c r="H27" s="35">
        <f t="shared" si="5"/>
        <v>0</v>
      </c>
    </row>
    <row r="28" spans="2:8" ht="23.1" customHeight="1">
      <c r="B28" s="227" t="str">
        <f>AKUN!H25</f>
        <v>110211 | BANK MANDIRI</v>
      </c>
      <c r="C28" s="205"/>
      <c r="D28" s="228">
        <f t="shared" si="3"/>
        <v>560003903</v>
      </c>
      <c r="E28" s="228">
        <f t="shared" si="4"/>
        <v>-0.36999988555908203</v>
      </c>
      <c r="F28" s="205"/>
      <c r="H28" s="35">
        <f t="shared" si="5"/>
        <v>1</v>
      </c>
    </row>
    <row r="29" spans="2:8" ht="23.1" customHeight="1">
      <c r="B29" s="227" t="str">
        <f>AKUN!H26</f>
        <v>110212 | BANK MANDIRI TASPEN</v>
      </c>
      <c r="C29" s="205"/>
      <c r="D29" s="228">
        <f t="shared" si="3"/>
        <v>73162212</v>
      </c>
      <c r="E29" s="228">
        <f t="shared" si="4"/>
        <v>-0.17000000178813934</v>
      </c>
      <c r="F29" s="205"/>
      <c r="H29" s="35">
        <f t="shared" si="5"/>
        <v>1</v>
      </c>
    </row>
    <row r="30" spans="2:8" ht="23.1" customHeight="1">
      <c r="B30" s="227" t="str">
        <f>AKUN!H27</f>
        <v>110213 | BANK BNI</v>
      </c>
      <c r="C30" s="205"/>
      <c r="D30" s="228">
        <f t="shared" si="3"/>
        <v>16381156</v>
      </c>
      <c r="E30" s="228">
        <f t="shared" si="4"/>
        <v>0</v>
      </c>
      <c r="F30" s="205"/>
      <c r="H30" s="35">
        <f t="shared" si="5"/>
        <v>0</v>
      </c>
    </row>
    <row r="31" spans="2:8" ht="23.1" customHeight="1">
      <c r="B31" s="227" t="str">
        <f>AKUN!H28</f>
        <v>110214 | BANK 1</v>
      </c>
      <c r="C31" s="205"/>
      <c r="D31" s="228">
        <f t="shared" si="3"/>
        <v>0</v>
      </c>
      <c r="E31" s="228">
        <f t="shared" si="4"/>
        <v>0</v>
      </c>
      <c r="F31" s="205"/>
      <c r="H31" s="35">
        <f t="shared" si="5"/>
        <v>0</v>
      </c>
    </row>
    <row r="32" spans="2:8" ht="23.1" customHeight="1">
      <c r="B32" s="227" t="str">
        <f>AKUN!H29</f>
        <v>110215 | BANK 2</v>
      </c>
      <c r="C32" s="205"/>
      <c r="D32" s="228">
        <f t="shared" si="3"/>
        <v>0</v>
      </c>
      <c r="E32" s="228">
        <f t="shared" si="4"/>
        <v>0</v>
      </c>
      <c r="F32" s="205"/>
      <c r="H32" s="35">
        <f t="shared" si="5"/>
        <v>0</v>
      </c>
    </row>
    <row r="33" spans="2:8" ht="23.1" customHeight="1">
      <c r="B33" s="229" t="s">
        <v>273</v>
      </c>
      <c r="C33" s="205"/>
      <c r="D33" s="230">
        <f>SUM(D18:D32)</f>
        <v>2596084695</v>
      </c>
      <c r="E33" s="228"/>
      <c r="F33" s="231">
        <f>SUM(E18:E32)</f>
        <v>5446135879.0899992</v>
      </c>
      <c r="H33" s="35">
        <f t="shared" si="0"/>
        <v>1</v>
      </c>
    </row>
    <row r="34" spans="2:8" ht="23.1" customHeight="1">
      <c r="B34" s="233" t="s">
        <v>127</v>
      </c>
      <c r="C34" s="234"/>
      <c r="D34" s="235">
        <f>D16+D33</f>
        <v>2631093476</v>
      </c>
      <c r="E34" s="236"/>
      <c r="F34" s="235">
        <f>SUM(F11:F33)</f>
        <v>5464996679.0899992</v>
      </c>
      <c r="H34" s="35">
        <f t="shared" si="0"/>
        <v>1</v>
      </c>
    </row>
    <row r="35" spans="2:8" ht="23.1" customHeight="1">
      <c r="B35" s="232" t="s">
        <v>269</v>
      </c>
      <c r="C35" s="205"/>
      <c r="D35" s="205"/>
      <c r="E35" s="228"/>
      <c r="F35" s="205"/>
      <c r="H35" s="35">
        <f t="shared" si="0"/>
        <v>1</v>
      </c>
    </row>
    <row r="36" spans="2:8" ht="23.1" customHeight="1">
      <c r="B36" s="227" t="str">
        <f>AKUN!H31</f>
        <v>110301 | PIUTANG USAHA PARKIR TEPI JALAN UMUM</v>
      </c>
      <c r="C36" s="205"/>
      <c r="D36" s="228">
        <f t="shared" ref="D36:D43" si="6">IFERROR(IF(INDEX(typ_sn,MATCH(INDEX(akun_type,MATCH(B36,akun_kb,0)),typ_ket,0))="db",SUMIF(nrl_kode,INDEX(akun_kd,MATCH(B36,akun_kb,0)),nrl_sadb)-SUMIF(nrl_kode,INDEX(akun_kd,MATCH(B36,akun_kb,0)),nrl_sakr),SUMIF(nrl_kode,INDEX(akun_kd,MATCH(B36,akun_kb,0)),nrl_sakr)-SUMIF(nrl_kode,INDEX(akun_kd,MATCH(B36,akun_kb,0)),nrl_sadb)),"")</f>
        <v>14324500</v>
      </c>
      <c r="E36" s="228">
        <f t="shared" ref="E36:E43" si="7">IFERROR(IF(INDEX(typ_sn,MATCH(INDEX(akun_type,MATCH(B36,akun_kb,0)),typ_ket,0))="db",SUMIF(nrl_kode,INDEX(akun_kd,MATCH(B36,akun_kb,0)),nrl_akhirdb)-SUMIF(nrl_kode,INDEX(akun_kd,MATCH(B36,akun_kb,0)),nrl_akhirkr),SUMIF(nrl_kode,INDEX(akun_kd,MATCH(B36,akun_kb,0)),nrl_akhirkr)-SUMIF(nrl_kode,INDEX(akun_kd,MATCH(B36,akun_kb,0)),nrl_akhirdb)),"")</f>
        <v>44257500</v>
      </c>
      <c r="F36" s="205"/>
      <c r="H36" s="35">
        <f t="shared" si="0"/>
        <v>1</v>
      </c>
    </row>
    <row r="37" spans="2:8" ht="23.1" customHeight="1">
      <c r="B37" s="227" t="str">
        <f>AKUN!H32</f>
        <v>110302 | PIUTANG USAHA PARKIR INSIDENTIL</v>
      </c>
      <c r="C37" s="205"/>
      <c r="D37" s="228">
        <f t="shared" si="6"/>
        <v>0</v>
      </c>
      <c r="E37" s="228">
        <f t="shared" si="7"/>
        <v>0</v>
      </c>
      <c r="F37" s="205"/>
      <c r="H37" s="35">
        <f t="shared" si="0"/>
        <v>0</v>
      </c>
    </row>
    <row r="38" spans="2:8" ht="23.1" customHeight="1">
      <c r="B38" s="227" t="str">
        <f>AKUN!H33</f>
        <v>110303 | PIUTANG USAHA PARKIR KOMERSIAL</v>
      </c>
      <c r="C38" s="205"/>
      <c r="D38" s="228">
        <f t="shared" si="6"/>
        <v>4100000</v>
      </c>
      <c r="E38" s="228">
        <f t="shared" si="7"/>
        <v>7125000</v>
      </c>
      <c r="F38" s="205"/>
      <c r="H38" s="35">
        <f t="shared" si="0"/>
        <v>1</v>
      </c>
    </row>
    <row r="39" spans="2:8" ht="23.1" customHeight="1">
      <c r="B39" s="227" t="str">
        <f>AKUN!H34</f>
        <v>110304 | PIUTANG USAHA PARKIR LANGGANA BULANAN (PLB)</v>
      </c>
      <c r="C39" s="205"/>
      <c r="D39" s="228">
        <f t="shared" si="6"/>
        <v>239035000</v>
      </c>
      <c r="E39" s="228">
        <f t="shared" si="7"/>
        <v>303945000</v>
      </c>
      <c r="F39" s="205"/>
      <c r="H39" s="35">
        <f t="shared" si="0"/>
        <v>1</v>
      </c>
    </row>
    <row r="40" spans="2:8" ht="23.1" customHeight="1">
      <c r="B40" s="227" t="str">
        <f>AKUN!H35</f>
        <v>110305 | PIUTANG INSIDENTIL ONLINE</v>
      </c>
      <c r="C40" s="205"/>
      <c r="D40" s="228">
        <f t="shared" si="6"/>
        <v>0</v>
      </c>
      <c r="E40" s="228">
        <f t="shared" si="7"/>
        <v>0</v>
      </c>
      <c r="F40" s="205"/>
      <c r="H40" s="35">
        <f t="shared" ref="H40:H43" si="8">IF(OR(E40&lt;0,E40&gt;0,E40=""),1,0)</f>
        <v>0</v>
      </c>
    </row>
    <row r="41" spans="2:8" ht="23.1" customHeight="1">
      <c r="B41" s="227" t="str">
        <f>AKUN!H36</f>
        <v>110306 | PIUTANG PARKIR KHUSUS BADAN USAHA</v>
      </c>
      <c r="C41" s="205"/>
      <c r="D41" s="228">
        <f t="shared" si="6"/>
        <v>0</v>
      </c>
      <c r="E41" s="228">
        <f t="shared" si="7"/>
        <v>0</v>
      </c>
      <c r="F41" s="205"/>
      <c r="H41" s="35">
        <f t="shared" si="8"/>
        <v>0</v>
      </c>
    </row>
    <row r="42" spans="2:8" ht="23.1" customHeight="1">
      <c r="B42" s="227" t="str">
        <f>AKUN!H37</f>
        <v>110307 | PIUTANG PARKIR TEKHNOLOGI / ONLINE</v>
      </c>
      <c r="C42" s="205"/>
      <c r="D42" s="228">
        <f t="shared" si="6"/>
        <v>2555000</v>
      </c>
      <c r="E42" s="228">
        <f>IFERROR(IF(INDEX(typ_sn,MATCH(INDEX(akun_type,MATCH(B42,akun_kb,0)),typ_ket,0))="db",SUMIF(nrl_kode,INDEX(akun_kd,MATCH(B42,akun_kb,0)),nrl_akhirdb)-SUMIF(nrl_kode,INDEX(akun_kd,MATCH(B42,akun_kb,0)),nrl_akhirkr),SUMIF(nrl_kode,INDEX(akun_kd,MATCH(B42,akun_kb,0)),nrl_akhirkr)-SUMIF(nrl_kode,INDEX(akun_kd,MATCH(B42,akun_kb,0)),nrl_akhirdb)),"")</f>
        <v>2406000</v>
      </c>
      <c r="F42" s="205"/>
      <c r="H42" s="35">
        <f t="shared" si="8"/>
        <v>1</v>
      </c>
    </row>
    <row r="43" spans="2:8" ht="23.1" customHeight="1">
      <c r="B43" s="227" t="str">
        <f>AKUN!H38</f>
        <v>110308 | PIUTANG PT.KTI (Kinarya Terbaik Indonesia)</v>
      </c>
      <c r="C43" s="205"/>
      <c r="D43" s="228">
        <f t="shared" si="6"/>
        <v>239464586</v>
      </c>
      <c r="E43" s="228">
        <f t="shared" si="7"/>
        <v>309464586</v>
      </c>
      <c r="F43" s="205"/>
      <c r="H43" s="35">
        <f t="shared" si="8"/>
        <v>1</v>
      </c>
    </row>
    <row r="44" spans="2:8" ht="23.1" customHeight="1">
      <c r="B44" s="317" t="s">
        <v>480</v>
      </c>
      <c r="C44" s="318"/>
      <c r="D44" s="319">
        <f>SUM(D36:D43)</f>
        <v>499479086</v>
      </c>
      <c r="E44" s="319"/>
      <c r="F44" s="320">
        <f>SUM(E36:E43)</f>
        <v>667198086</v>
      </c>
      <c r="H44" s="35"/>
    </row>
    <row r="45" spans="2:8" ht="23.1" customHeight="1">
      <c r="B45" s="232" t="s">
        <v>297</v>
      </c>
      <c r="C45" s="205"/>
      <c r="D45" s="228"/>
      <c r="E45" s="228"/>
      <c r="F45" s="205"/>
      <c r="H45" s="35"/>
    </row>
    <row r="46" spans="2:8" ht="23.1" customHeight="1">
      <c r="B46" s="227" t="str">
        <f>AKUN!H40</f>
        <v>110401 | PIUTANG DIREKSI</v>
      </c>
      <c r="C46" s="205"/>
      <c r="D46" s="228">
        <f t="shared" ref="D46:D49" si="9">IFERROR(IF(INDEX(typ_sn,MATCH(INDEX(akun_type,MATCH(B46,akun_kb,0)),typ_ket,0))="db",SUMIF(nrl_kode,INDEX(akun_kd,MATCH(B46,akun_kb,0)),nrl_sadb)-SUMIF(nrl_kode,INDEX(akun_kd,MATCH(B46,akun_kb,0)),nrl_sakr),SUMIF(nrl_kode,INDEX(akun_kd,MATCH(B46,akun_kb,0)),nrl_sakr)-SUMIF(nrl_kode,INDEX(akun_kd,MATCH(B46,akun_kb,0)),nrl_sadb)),"")</f>
        <v>2376534996</v>
      </c>
      <c r="E46" s="228">
        <f t="shared" ref="E46:E49" si="10">IFERROR(IF(INDEX(typ_sn,MATCH(INDEX(akun_type,MATCH(B46,akun_kb,0)),typ_ket,0))="db",SUMIF(nrl_kode,INDEX(akun_kd,MATCH(B46,akun_kb,0)),nrl_akhirdb)-SUMIF(nrl_kode,INDEX(akun_kd,MATCH(B46,akun_kb,0)),nrl_akhirkr),SUMIF(nrl_kode,INDEX(akun_kd,MATCH(B46,akun_kb,0)),nrl_akhirkr)-SUMIF(nrl_kode,INDEX(akun_kd,MATCH(B46,akun_kb,0)),nrl_akhirdb)),"")</f>
        <v>2376534996</v>
      </c>
      <c r="F46" s="205"/>
      <c r="H46" s="35"/>
    </row>
    <row r="47" spans="2:8" ht="23.1" customHeight="1">
      <c r="B47" s="227" t="str">
        <f>AKUN!H41</f>
        <v>110402 | PIUTANG BADAN PENGAWAS</v>
      </c>
      <c r="C47" s="205"/>
      <c r="D47" s="228">
        <f t="shared" si="9"/>
        <v>44500000</v>
      </c>
      <c r="E47" s="228">
        <f t="shared" si="10"/>
        <v>39500000</v>
      </c>
      <c r="F47" s="205"/>
      <c r="H47" s="35"/>
    </row>
    <row r="48" spans="2:8" ht="23.1" customHeight="1">
      <c r="B48" s="227" t="str">
        <f>AKUN!H42</f>
        <v>110403 | PIUTANG KARYAWAN</v>
      </c>
      <c r="C48" s="205"/>
      <c r="D48" s="228">
        <f t="shared" si="9"/>
        <v>87908574</v>
      </c>
      <c r="E48" s="228">
        <f t="shared" si="10"/>
        <v>87908574</v>
      </c>
      <c r="F48" s="205"/>
      <c r="H48" s="35"/>
    </row>
    <row r="49" spans="2:8" ht="23.1" customHeight="1">
      <c r="B49" s="227" t="str">
        <f>AKUN!H43</f>
        <v>110408 | CADANGAN KERUGIAN PIUTANG</v>
      </c>
      <c r="C49" s="205"/>
      <c r="D49" s="228">
        <f t="shared" si="9"/>
        <v>-55549514</v>
      </c>
      <c r="E49" s="228">
        <f t="shared" si="10"/>
        <v>-55549514</v>
      </c>
      <c r="F49" s="205"/>
      <c r="H49" s="35"/>
    </row>
    <row r="50" spans="2:8" ht="23.1" customHeight="1">
      <c r="B50" s="232" t="s">
        <v>481</v>
      </c>
      <c r="C50" s="205"/>
      <c r="D50" s="228">
        <f>SUM(D46:D49)</f>
        <v>2453394056</v>
      </c>
      <c r="E50" s="228"/>
      <c r="F50" s="218">
        <f>SUM(E46:E49)</f>
        <v>2448394056</v>
      </c>
      <c r="H50" s="35"/>
    </row>
    <row r="51" spans="2:8" ht="23.1" customHeight="1">
      <c r="B51" s="233" t="s">
        <v>128</v>
      </c>
      <c r="C51" s="234"/>
      <c r="D51" s="235">
        <f>D44+D50</f>
        <v>2952873142</v>
      </c>
      <c r="E51" s="236"/>
      <c r="F51" s="235">
        <f>F44+F50</f>
        <v>3115592142</v>
      </c>
      <c r="H51" s="35">
        <f t="shared" si="0"/>
        <v>1</v>
      </c>
    </row>
    <row r="52" spans="2:8" ht="23.1" customHeight="1">
      <c r="B52" s="232" t="s">
        <v>129</v>
      </c>
      <c r="C52" s="205"/>
      <c r="D52" s="205"/>
      <c r="E52" s="228"/>
      <c r="F52" s="205"/>
      <c r="H52" s="35">
        <f t="shared" si="0"/>
        <v>1</v>
      </c>
    </row>
    <row r="53" spans="2:8" ht="23.1" customHeight="1">
      <c r="B53" s="227" t="str">
        <f>AKUN!H45</f>
        <v>110601 | PERSEDIAAN KARCIS RODA 4 (R4)</v>
      </c>
      <c r="C53" s="205"/>
      <c r="D53" s="228">
        <f>IFERROR(IF(INDEX(typ_sn,MATCH(INDEX(akun_type,MATCH(B53,akun_kb,0)),typ_ket,0))="db",SUMIF(nrl_kode,INDEX(akun_kd,MATCH(B53,akun_kb,0)),nrl_sadb)-SUMIF(nrl_kode,INDEX(akun_kd,MATCH(B53,akun_kb,0)),nrl_sakr),SUMIF(nrl_kode,INDEX(akun_kd,MATCH(B53,akun_kb,0)),nrl_sakr)-SUMIF(nrl_kode,INDEX(akun_kd,MATCH(B53,akun_kb,0)),nrl_sadb)),"")</f>
        <v>4780000</v>
      </c>
      <c r="E53" s="228">
        <f>IFERROR(IF(INDEX(typ_sn,MATCH(INDEX(akun_type,MATCH(B53,akun_kb,0)),typ_ket,0))="db",SUMIF(nrl_kode,INDEX(akun_kd,MATCH(B53,akun_kb,0)),nrl_akhirdb)-SUMIF(nrl_kode,INDEX(akun_kd,MATCH(B53,akun_kb,0)),nrl_akhirkr),SUMIF(nrl_kode,INDEX(akun_kd,MATCH(B53,akun_kb,0)),nrl_akhirkr)-SUMIF(nrl_kode,INDEX(akun_kd,MATCH(B53,akun_kb,0)),nrl_akhirdb)),"")</f>
        <v>1866000</v>
      </c>
      <c r="F53" s="205"/>
      <c r="H53" s="35">
        <f t="shared" si="0"/>
        <v>1</v>
      </c>
    </row>
    <row r="54" spans="2:8" ht="23.1" customHeight="1">
      <c r="B54" s="227" t="str">
        <f>AKUN!H46</f>
        <v>110602 | PERSEDIAAN KARCIS RODA 2 (R2)</v>
      </c>
      <c r="C54" s="205"/>
      <c r="D54" s="228">
        <f>IFERROR(IF(INDEX(typ_sn,MATCH(INDEX(akun_type,MATCH(B54,akun_kb,0)),typ_ket,0))="db",SUMIF(nrl_kode,INDEX(akun_kd,MATCH(B54,akun_kb,0)),nrl_sadb)-SUMIF(nrl_kode,INDEX(akun_kd,MATCH(B54,akun_kb,0)),nrl_sakr),SUMIF(nrl_kode,INDEX(akun_kd,MATCH(B54,akun_kb,0)),nrl_sakr)-SUMIF(nrl_kode,INDEX(akun_kd,MATCH(B54,akun_kb,0)),nrl_sadb)),"")</f>
        <v>2675000</v>
      </c>
      <c r="E54" s="228">
        <f>IFERROR(IF(INDEX(typ_sn,MATCH(INDEX(akun_type,MATCH(B54,akun_kb,0)),typ_ket,0))="db",SUMIF(nrl_kode,INDEX(akun_kd,MATCH(B54,akun_kb,0)),nrl_akhirdb)-SUMIF(nrl_kode,INDEX(akun_kd,MATCH(B54,akun_kb,0)),nrl_akhirkr),SUMIF(nrl_kode,INDEX(akun_kd,MATCH(B54,akun_kb,0)),nrl_akhirkr)-SUMIF(nrl_kode,INDEX(akun_kd,MATCH(B54,akun_kb,0)),nrl_akhirdb)),"")</f>
        <v>1356000</v>
      </c>
      <c r="F54" s="205"/>
      <c r="H54" s="35">
        <f t="shared" si="0"/>
        <v>1</v>
      </c>
    </row>
    <row r="55" spans="2:8" ht="23.1" customHeight="1">
      <c r="B55" s="233" t="s">
        <v>130</v>
      </c>
      <c r="C55" s="234"/>
      <c r="D55" s="235">
        <f>SUM(D53:D54)</f>
        <v>7455000</v>
      </c>
      <c r="E55" s="253"/>
      <c r="F55" s="235">
        <f>SUM(E53:E54)</f>
        <v>3222000</v>
      </c>
      <c r="H55" s="35">
        <f t="shared" si="0"/>
        <v>1</v>
      </c>
    </row>
    <row r="56" spans="2:8" ht="23.1" customHeight="1">
      <c r="B56" s="232" t="s">
        <v>304</v>
      </c>
      <c r="C56" s="205"/>
      <c r="D56" s="205"/>
      <c r="E56" s="228"/>
      <c r="F56" s="205"/>
      <c r="H56" s="35">
        <f t="shared" si="0"/>
        <v>1</v>
      </c>
    </row>
    <row r="57" spans="2:8" ht="23.1" customHeight="1">
      <c r="B57" s="227" t="str">
        <f>AKUN!H48</f>
        <v>110701 | UANG MUKA PPH BADAN</v>
      </c>
      <c r="C57" s="205"/>
      <c r="D57" s="228">
        <f t="shared" ref="D57:D64" si="11">IFERROR(IF(INDEX(typ_sn,MATCH(INDEX(akun_type,MATCH(B57,akun_kb,0)),typ_ket,0))="db",SUMIF(nrl_kode,INDEX(akun_kd,MATCH(B57,akun_kb,0)),nrl_sadb)-SUMIF(nrl_kode,INDEX(akun_kd,MATCH(B57,akun_kb,0)),nrl_sakr),SUMIF(nrl_kode,INDEX(akun_kd,MATCH(B57,akun_kb,0)),nrl_sakr)-SUMIF(nrl_kode,INDEX(akun_kd,MATCH(B57,akun_kb,0)),nrl_sadb)),"")</f>
        <v>0</v>
      </c>
      <c r="E57" s="228">
        <f t="shared" ref="E57:E64" si="12">IFERROR(IF(INDEX(typ_sn,MATCH(INDEX(akun_type,MATCH(B57,akun_kb,0)),typ_ket,0))="db",SUMIF(nrl_kode,INDEX(akun_kd,MATCH(B57,akun_kb,0)),nrl_akhirdb)-SUMIF(nrl_kode,INDEX(akun_kd,MATCH(B57,akun_kb,0)),nrl_akhirkr),SUMIF(nrl_kode,INDEX(akun_kd,MATCH(B57,akun_kb,0)),nrl_akhirkr)-SUMIF(nrl_kode,INDEX(akun_kd,MATCH(B57,akun_kb,0)),nrl_akhirdb)),"")</f>
        <v>0</v>
      </c>
      <c r="F57" s="205"/>
      <c r="H57" s="35">
        <f t="shared" si="0"/>
        <v>0</v>
      </c>
    </row>
    <row r="58" spans="2:8" ht="23.1" customHeight="1">
      <c r="B58" s="227" t="str">
        <f>AKUN!H49</f>
        <v>110702 | UANG MUKA PPH PSL. 21</v>
      </c>
      <c r="C58" s="205"/>
      <c r="D58" s="228">
        <f t="shared" si="11"/>
        <v>0</v>
      </c>
      <c r="E58" s="228">
        <f t="shared" si="12"/>
        <v>0</v>
      </c>
      <c r="F58" s="205"/>
      <c r="H58" s="35">
        <f t="shared" si="0"/>
        <v>0</v>
      </c>
    </row>
    <row r="59" spans="2:8" ht="23.1" customHeight="1">
      <c r="B59" s="227" t="str">
        <f>AKUN!H50</f>
        <v>110703 | UANG MUKA PPH PSL. 25</v>
      </c>
      <c r="C59" s="205"/>
      <c r="D59" s="228">
        <f t="shared" si="11"/>
        <v>0</v>
      </c>
      <c r="E59" s="228">
        <f t="shared" si="12"/>
        <v>224449203</v>
      </c>
      <c r="F59" s="205"/>
      <c r="H59" s="35">
        <f t="shared" si="0"/>
        <v>1</v>
      </c>
    </row>
    <row r="60" spans="2:8" ht="23.1" customHeight="1">
      <c r="B60" s="227" t="str">
        <f>AKUN!H51</f>
        <v>110704 | UANG MUKA PPH PSL. 23</v>
      </c>
      <c r="C60" s="205"/>
      <c r="D60" s="228">
        <f t="shared" si="11"/>
        <v>0</v>
      </c>
      <c r="E60" s="228">
        <f t="shared" si="12"/>
        <v>0</v>
      </c>
      <c r="F60" s="205"/>
      <c r="H60" s="35">
        <f t="shared" si="0"/>
        <v>0</v>
      </c>
    </row>
    <row r="61" spans="2:8" ht="23.1" customHeight="1">
      <c r="B61" s="227" t="str">
        <f>AKUN!H52</f>
        <v>110705 | UANG MUKA PPN</v>
      </c>
      <c r="C61" s="205"/>
      <c r="D61" s="228">
        <f t="shared" si="11"/>
        <v>0</v>
      </c>
      <c r="E61" s="228">
        <f t="shared" si="12"/>
        <v>0</v>
      </c>
      <c r="F61" s="205"/>
      <c r="H61" s="35">
        <f t="shared" si="0"/>
        <v>0</v>
      </c>
    </row>
    <row r="62" spans="2:8" ht="23.1" customHeight="1">
      <c r="B62" s="227" t="str">
        <f>AKUN!H53</f>
        <v>110706 | UANG MUKA BIAYA PARKIR TEKHNOLOGI</v>
      </c>
      <c r="C62" s="205"/>
      <c r="D62" s="228">
        <f t="shared" si="11"/>
        <v>1000000</v>
      </c>
      <c r="E62" s="228">
        <f t="shared" si="12"/>
        <v>1000000</v>
      </c>
      <c r="F62" s="205"/>
      <c r="H62" s="35">
        <f t="shared" si="0"/>
        <v>1</v>
      </c>
    </row>
    <row r="63" spans="2:8" ht="23.1" customHeight="1">
      <c r="B63" s="227" t="str">
        <f>AKUN!H54</f>
        <v>110707 | UANG MUKA LAINNYA</v>
      </c>
      <c r="C63" s="205"/>
      <c r="D63" s="228">
        <f t="shared" si="11"/>
        <v>0</v>
      </c>
      <c r="E63" s="228">
        <f t="shared" si="12"/>
        <v>0</v>
      </c>
      <c r="F63" s="205"/>
      <c r="H63" s="35">
        <f t="shared" si="0"/>
        <v>0</v>
      </c>
    </row>
    <row r="64" spans="2:8" ht="23.1" customHeight="1">
      <c r="B64" s="227" t="str">
        <f>AKUN!H55</f>
        <v>110708 | UANG MUKA PAJAK PLB</v>
      </c>
      <c r="C64" s="205"/>
      <c r="D64" s="228">
        <f t="shared" si="11"/>
        <v>0</v>
      </c>
      <c r="E64" s="228">
        <f t="shared" si="12"/>
        <v>0</v>
      </c>
      <c r="F64" s="205"/>
      <c r="H64" s="35">
        <f t="shared" si="0"/>
        <v>0</v>
      </c>
    </row>
    <row r="65" spans="2:8" ht="23.1" customHeight="1" thickBot="1">
      <c r="B65" s="238" t="s">
        <v>482</v>
      </c>
      <c r="C65" s="239"/>
      <c r="D65" s="240">
        <f>SUM(D57:D64)</f>
        <v>1000000</v>
      </c>
      <c r="E65" s="241"/>
      <c r="F65" s="242">
        <f>SUM(E57:E64)</f>
        <v>225449203</v>
      </c>
      <c r="H65" s="35">
        <f t="shared" si="0"/>
        <v>1</v>
      </c>
    </row>
    <row r="66" spans="2:8" ht="23.1" customHeight="1" thickBot="1">
      <c r="B66" s="243" t="s">
        <v>274</v>
      </c>
      <c r="C66" s="244"/>
      <c r="D66" s="245">
        <f>D65+D55+D51+D34</f>
        <v>5592421618</v>
      </c>
      <c r="E66" s="246"/>
      <c r="F66" s="247">
        <f>F34+F51+F55+F65</f>
        <v>8809260024.0900002</v>
      </c>
      <c r="H66" s="35">
        <f t="shared" si="0"/>
        <v>1</v>
      </c>
    </row>
    <row r="67" spans="2:8" ht="8.1" customHeight="1">
      <c r="B67" s="248"/>
      <c r="C67" s="205"/>
      <c r="D67" s="205"/>
      <c r="E67" s="228"/>
      <c r="F67" s="205"/>
      <c r="H67" s="35">
        <f t="shared" si="0"/>
        <v>1</v>
      </c>
    </row>
    <row r="68" spans="2:8" ht="23.1" customHeight="1">
      <c r="B68" s="248" t="s">
        <v>235</v>
      </c>
      <c r="C68" s="205"/>
      <c r="D68" s="205"/>
      <c r="E68" s="228"/>
      <c r="F68" s="205"/>
      <c r="H68" s="35">
        <f t="shared" si="0"/>
        <v>1</v>
      </c>
    </row>
    <row r="69" spans="2:8" ht="23.1" customHeight="1">
      <c r="B69" s="227" t="str">
        <f>AKUN!H57</f>
        <v>120101 | TANAH</v>
      </c>
      <c r="C69" s="205"/>
      <c r="D69" s="228">
        <f t="shared" ref="D69:D81" si="13">IFERROR(IF(INDEX(typ_sn,MATCH(INDEX(akun_type,MATCH(B69,akun_kb,0)),typ_ket,0))="db",SUMIF(nrl_kode,INDEX(akun_kd,MATCH(B69,akun_kb,0)),nrl_sadb)-SUMIF(nrl_kode,INDEX(akun_kd,MATCH(B69,akun_kb,0)),nrl_sakr),SUMIF(nrl_kode,INDEX(akun_kd,MATCH(B69,akun_kb,0)),nrl_sakr)-SUMIF(nrl_kode,INDEX(akun_kd,MATCH(B69,akun_kb,0)),nrl_sadb)),"")</f>
        <v>500000000</v>
      </c>
      <c r="E69" s="228">
        <f t="shared" ref="E69:E81" si="14">IFERROR(IF(INDEX(typ_sn,MATCH(INDEX(akun_type,MATCH(B69,akun_kb,0)),typ_ket,0))="db",SUMIF(nrl_kode,INDEX(akun_kd,MATCH(B69,akun_kb,0)),nrl_akhirdb)-SUMIF(nrl_kode,INDEX(akun_kd,MATCH(B69,akun_kb,0)),nrl_akhirkr),SUMIF(nrl_kode,INDEX(akun_kd,MATCH(B69,akun_kb,0)),nrl_akhirkr)-SUMIF(nrl_kode,INDEX(akun_kd,MATCH(B69,akun_kb,0)),nrl_akhirdb)),"")</f>
        <v>500000000</v>
      </c>
      <c r="F69" s="205"/>
      <c r="H69" s="35">
        <f t="shared" si="0"/>
        <v>1</v>
      </c>
    </row>
    <row r="70" spans="2:8" ht="23.1" customHeight="1">
      <c r="B70" s="227" t="str">
        <f>AKUN!H58</f>
        <v>120102 | BANGUNAN KANTOR</v>
      </c>
      <c r="C70" s="205"/>
      <c r="D70" s="228">
        <f t="shared" si="13"/>
        <v>673550165</v>
      </c>
      <c r="E70" s="228">
        <f t="shared" si="14"/>
        <v>673550165</v>
      </c>
      <c r="F70" s="205"/>
      <c r="H70" s="35">
        <f t="shared" si="0"/>
        <v>1</v>
      </c>
    </row>
    <row r="71" spans="2:8" ht="23.1" customHeight="1">
      <c r="B71" s="227" t="str">
        <f>AKUN!H59</f>
        <v>120103 | KENDARAAN</v>
      </c>
      <c r="C71" s="205"/>
      <c r="D71" s="228">
        <f t="shared" si="13"/>
        <v>2419051800</v>
      </c>
      <c r="E71" s="228">
        <f t="shared" si="14"/>
        <v>2086662600</v>
      </c>
      <c r="F71" s="205"/>
      <c r="H71" s="35">
        <f t="shared" si="0"/>
        <v>1</v>
      </c>
    </row>
    <row r="72" spans="2:8" ht="23.1" customHeight="1">
      <c r="B72" s="227" t="str">
        <f>AKUN!H60</f>
        <v>120104 | RAMBU RAMBU</v>
      </c>
      <c r="C72" s="205"/>
      <c r="D72" s="228">
        <f t="shared" si="13"/>
        <v>14500000</v>
      </c>
      <c r="E72" s="228">
        <f t="shared" si="14"/>
        <v>14500000</v>
      </c>
      <c r="F72" s="205"/>
      <c r="H72" s="35">
        <f t="shared" si="0"/>
        <v>1</v>
      </c>
    </row>
    <row r="73" spans="2:8" ht="23.1" customHeight="1">
      <c r="B73" s="227" t="str">
        <f>AKUN!H61</f>
        <v>120105 | INVENTARIS KANTOR</v>
      </c>
      <c r="C73" s="205"/>
      <c r="D73" s="228">
        <f t="shared" si="13"/>
        <v>593544510</v>
      </c>
      <c r="E73" s="228">
        <f t="shared" si="14"/>
        <v>685084560</v>
      </c>
      <c r="F73" s="205"/>
      <c r="H73" s="35">
        <f t="shared" si="0"/>
        <v>1</v>
      </c>
    </row>
    <row r="74" spans="2:8" ht="23.1" customHeight="1">
      <c r="B74" s="227" t="str">
        <f>AKUN!H62</f>
        <v>120106 | SERVER CMS</v>
      </c>
      <c r="C74" s="205"/>
      <c r="D74" s="228">
        <f t="shared" ref="D74:D77" si="15">IFERROR(IF(INDEX(typ_sn,MATCH(INDEX(akun_type,MATCH(B74,akun_kb,0)),typ_ket,0))="db",SUMIF(nrl_kode,INDEX(akun_kd,MATCH(B74,akun_kb,0)),nrl_sadb)-SUMIF(nrl_kode,INDEX(akun_kd,MATCH(B74,akun_kb,0)),nrl_sakr),SUMIF(nrl_kode,INDEX(akun_kd,MATCH(B74,akun_kb,0)),nrl_sakr)-SUMIF(nrl_kode,INDEX(akun_kd,MATCH(B74,akun_kb,0)),nrl_sadb)),"")</f>
        <v>0</v>
      </c>
      <c r="E74" s="228">
        <f t="shared" ref="E74:E77" si="16">IFERROR(IF(INDEX(typ_sn,MATCH(INDEX(akun_type,MATCH(B74,akun_kb,0)),typ_ket,0))="db",SUMIF(nrl_kode,INDEX(akun_kd,MATCH(B74,akun_kb,0)),nrl_akhirdb)-SUMIF(nrl_kode,INDEX(akun_kd,MATCH(B74,akun_kb,0)),nrl_akhirkr),SUMIF(nrl_kode,INDEX(akun_kd,MATCH(B74,akun_kb,0)),nrl_akhirkr)-SUMIF(nrl_kode,INDEX(akun_kd,MATCH(B74,akun_kb,0)),nrl_akhirdb)),"")</f>
        <v>204462000</v>
      </c>
      <c r="F74" s="205"/>
      <c r="H74" s="35">
        <f t="shared" ref="H74:H77" si="17">IF(OR(E74&lt;0,E74&gt;0,E74=""),1,0)</f>
        <v>1</v>
      </c>
    </row>
    <row r="75" spans="2:8" ht="23.1" customHeight="1">
      <c r="B75" s="227" t="str">
        <f>AKUN!H63</f>
        <v>120107 | PENGADAAN LAPTOP</v>
      </c>
      <c r="C75" s="205"/>
      <c r="D75" s="228">
        <f t="shared" si="15"/>
        <v>0</v>
      </c>
      <c r="E75" s="228">
        <f t="shared" si="16"/>
        <v>0</v>
      </c>
      <c r="F75" s="205"/>
      <c r="H75" s="35">
        <f t="shared" si="17"/>
        <v>0</v>
      </c>
    </row>
    <row r="76" spans="2:8" ht="23.1" customHeight="1">
      <c r="B76" s="227" t="str">
        <f>AKUN!H64</f>
        <v>120108 | PENGADAAN KOMPUTER (PC) DAN HARD DISK</v>
      </c>
      <c r="C76" s="205"/>
      <c r="D76" s="228">
        <f t="shared" si="15"/>
        <v>0</v>
      </c>
      <c r="E76" s="228">
        <f t="shared" si="16"/>
        <v>0</v>
      </c>
      <c r="F76" s="205"/>
      <c r="H76" s="35">
        <f t="shared" si="17"/>
        <v>0</v>
      </c>
    </row>
    <row r="77" spans="2:8" ht="23.1" customHeight="1">
      <c r="B77" s="227" t="str">
        <f>AKUN!H65</f>
        <v>120109 | PENGADAAN PRINTER,SCANNER DAN INFOCUS</v>
      </c>
      <c r="C77" s="205"/>
      <c r="D77" s="228">
        <f t="shared" si="15"/>
        <v>0</v>
      </c>
      <c r="E77" s="228">
        <f t="shared" si="16"/>
        <v>0</v>
      </c>
      <c r="F77" s="205"/>
      <c r="H77" s="35">
        <f t="shared" si="17"/>
        <v>0</v>
      </c>
    </row>
    <row r="78" spans="2:8" ht="23.1" customHeight="1">
      <c r="B78" s="227" t="str">
        <f>AKUN!H67</f>
        <v>120201 | AKUMULASI PENYUSUTAN BANGUNAN KANTOR</v>
      </c>
      <c r="C78" s="205"/>
      <c r="D78" s="228">
        <f t="shared" si="13"/>
        <v>-309395274</v>
      </c>
      <c r="E78" s="228">
        <f t="shared" si="14"/>
        <v>-343072782</v>
      </c>
      <c r="F78" s="205"/>
      <c r="H78" s="35">
        <f t="shared" si="0"/>
        <v>1</v>
      </c>
    </row>
    <row r="79" spans="2:8" ht="23.1" customHeight="1">
      <c r="B79" s="227" t="str">
        <f>AKUN!H68</f>
        <v>120202 | AKUMULASI PENYUSUTAN KENDARAAN</v>
      </c>
      <c r="C79" s="205"/>
      <c r="D79" s="228">
        <f t="shared" si="13"/>
        <v>-2190031133</v>
      </c>
      <c r="E79" s="228">
        <f t="shared" si="14"/>
        <v>-2206025333</v>
      </c>
      <c r="F79" s="205"/>
      <c r="H79" s="35">
        <f t="shared" si="0"/>
        <v>1</v>
      </c>
    </row>
    <row r="80" spans="2:8" ht="23.1" customHeight="1">
      <c r="B80" s="227" t="str">
        <f>AKUN!H69</f>
        <v>120203 | AKUMULASI PENYUSUTAN RAMBU RAMBU</v>
      </c>
      <c r="C80" s="205"/>
      <c r="D80" s="228">
        <f t="shared" si="13"/>
        <v>-13458333</v>
      </c>
      <c r="E80" s="228">
        <f t="shared" si="14"/>
        <v>-13958325</v>
      </c>
      <c r="F80" s="205"/>
      <c r="H80" s="35">
        <f t="shared" si="0"/>
        <v>1</v>
      </c>
    </row>
    <row r="81" spans="2:8" ht="23.1" customHeight="1">
      <c r="B81" s="227" t="str">
        <f>AKUN!H70</f>
        <v>120204 | AKUMULASI PENYUSUTAN INVENTARIS KANTOR</v>
      </c>
      <c r="C81" s="205"/>
      <c r="D81" s="228">
        <f t="shared" si="13"/>
        <v>-472223165</v>
      </c>
      <c r="E81" s="228">
        <f t="shared" si="14"/>
        <v>-544641659.3166666</v>
      </c>
      <c r="F81" s="205"/>
      <c r="H81" s="35">
        <f t="shared" si="0"/>
        <v>1</v>
      </c>
    </row>
    <row r="82" spans="2:8" ht="23.1" customHeight="1">
      <c r="B82" s="227" t="str">
        <f>AKUN!H71</f>
        <v>120205 | AKUMULASI PENYUSUTAN SERVER CMS</v>
      </c>
      <c r="C82" s="205"/>
      <c r="D82" s="228">
        <f t="shared" ref="D82" si="18">IFERROR(IF(INDEX(typ_sn,MATCH(INDEX(akun_type,MATCH(B82,akun_kb,0)),typ_ket,0))="db",SUMIF(nrl_kode,INDEX(akun_kd,MATCH(B82,akun_kb,0)),nrl_sadb)-SUMIF(nrl_kode,INDEX(akun_kd,MATCH(B82,akun_kb,0)),nrl_sakr),SUMIF(nrl_kode,INDEX(akun_kd,MATCH(B82,akun_kb,0)),nrl_sakr)-SUMIF(nrl_kode,INDEX(akun_kd,MATCH(B82,akun_kb,0)),nrl_sadb)),"")</f>
        <v>0</v>
      </c>
      <c r="E82" s="228">
        <f t="shared" ref="E82" si="19">IFERROR(IF(INDEX(typ_sn,MATCH(INDEX(akun_type,MATCH(B82,akun_kb,0)),typ_ket,0))="db",SUMIF(nrl_kode,INDEX(akun_kd,MATCH(B82,akun_kb,0)),nrl_akhirdb)-SUMIF(nrl_kode,INDEX(akun_kd,MATCH(B82,akun_kb,0)),nrl_akhirkr),SUMIF(nrl_kode,INDEX(akun_kd,MATCH(B82,akun_kb,0)),nrl_akhirkr)-SUMIF(nrl_kode,INDEX(akun_kd,MATCH(B82,akun_kb,0)),nrl_akhirdb)),"")</f>
        <v>0</v>
      </c>
      <c r="F82" s="205"/>
      <c r="H82" s="35">
        <f t="shared" ref="H82" si="20">IF(OR(E82&lt;0,E82&gt;0,E82=""),1,0)</f>
        <v>0</v>
      </c>
    </row>
    <row r="83" spans="2:8" ht="23.1" customHeight="1">
      <c r="B83" s="249" t="s">
        <v>275</v>
      </c>
      <c r="C83" s="234"/>
      <c r="D83" s="235">
        <f>SUM(D69:D81)</f>
        <v>1215538570</v>
      </c>
      <c r="E83" s="236"/>
      <c r="F83" s="235">
        <f>SUM(E69:E82)</f>
        <v>1056561225.6833334</v>
      </c>
      <c r="H83" s="35">
        <f t="shared" si="0"/>
        <v>1</v>
      </c>
    </row>
    <row r="84" spans="2:8" ht="23.1" customHeight="1">
      <c r="B84" s="248" t="s">
        <v>318</v>
      </c>
      <c r="C84" s="205"/>
      <c r="D84" s="205"/>
      <c r="E84" s="228"/>
      <c r="F84" s="205"/>
      <c r="H84" s="35">
        <f t="shared" si="0"/>
        <v>1</v>
      </c>
    </row>
    <row r="85" spans="2:8" ht="23.1" customHeight="1">
      <c r="B85" s="227" t="str">
        <f>AKUN!H74</f>
        <v>130101 | GOODWILL</v>
      </c>
      <c r="C85" s="205"/>
      <c r="D85" s="228">
        <f t="shared" ref="D85:D104" si="21">IFERROR(IF(INDEX(typ_sn,MATCH(INDEX(akun_type,MATCH(B85,akun_kb,0)),typ_ket,0))="db",SUMIF(nrl_kode,INDEX(akun_kd,MATCH(B85,akun_kb,0)),nrl_sadb)-SUMIF(nrl_kode,INDEX(akun_kd,MATCH(B85,akun_kb,0)),nrl_sakr),SUMIF(nrl_kode,INDEX(akun_kd,MATCH(B85,akun_kb,0)),nrl_sakr)-SUMIF(nrl_kode,INDEX(akun_kd,MATCH(B85,akun_kb,0)),nrl_sadb)),"")</f>
        <v>2079027500</v>
      </c>
      <c r="E85" s="228">
        <f t="shared" ref="E85:E104" si="22">IFERROR(IF(INDEX(typ_sn,MATCH(INDEX(akun_type,MATCH(B85,akun_kb,0)),typ_ket,0))="db",SUMIF(nrl_kode,INDEX(akun_kd,MATCH(B85,akun_kb,0)),nrl_akhirdb)-SUMIF(nrl_kode,INDEX(akun_kd,MATCH(B85,akun_kb,0)),nrl_akhirkr),SUMIF(nrl_kode,INDEX(akun_kd,MATCH(B85,akun_kb,0)),nrl_akhirkr)-SUMIF(nrl_kode,INDEX(akun_kd,MATCH(B85,akun_kb,0)),nrl_akhirdb)),"")</f>
        <v>2079027500</v>
      </c>
      <c r="F85" s="218">
        <f>E85</f>
        <v>2079027500</v>
      </c>
      <c r="H85" s="35">
        <f t="shared" si="0"/>
        <v>1</v>
      </c>
    </row>
    <row r="86" spans="2:8" ht="23.1" customHeight="1">
      <c r="B86" s="227" t="str">
        <f>AKUN!H76</f>
        <v>130111 | SISTEM INFORMASI PARKIR/WEBSITE PD PARKIR</v>
      </c>
      <c r="C86" s="205"/>
      <c r="D86" s="228">
        <f t="shared" si="21"/>
        <v>40000000</v>
      </c>
      <c r="E86" s="228">
        <f t="shared" si="22"/>
        <v>51200000</v>
      </c>
      <c r="F86" s="218"/>
      <c r="H86" s="35">
        <f t="shared" si="0"/>
        <v>1</v>
      </c>
    </row>
    <row r="87" spans="2:8" ht="23.1" customHeight="1">
      <c r="B87" s="227" t="str">
        <f>AKUN!H77</f>
        <v>130112 | SISTEM INFORMASI KEUANGAN</v>
      </c>
      <c r="C87" s="205"/>
      <c r="D87" s="228">
        <f t="shared" si="21"/>
        <v>87000000</v>
      </c>
      <c r="E87" s="228">
        <f t="shared" si="22"/>
        <v>87000000</v>
      </c>
      <c r="F87" s="218"/>
      <c r="H87" s="35">
        <f t="shared" si="0"/>
        <v>1</v>
      </c>
    </row>
    <row r="88" spans="2:8" ht="23.1" customHeight="1">
      <c r="B88" s="227" t="str">
        <f>AKUN!H78</f>
        <v>130113 | RENSTRA</v>
      </c>
      <c r="C88" s="205"/>
      <c r="D88" s="228">
        <f t="shared" si="21"/>
        <v>45000000</v>
      </c>
      <c r="E88" s="228">
        <f t="shared" si="22"/>
        <v>45000000</v>
      </c>
      <c r="F88" s="218"/>
      <c r="H88" s="35">
        <f t="shared" si="0"/>
        <v>1</v>
      </c>
    </row>
    <row r="89" spans="2:8" ht="23.1" customHeight="1">
      <c r="B89" s="227" t="str">
        <f>AKUN!H79</f>
        <v>130114 | PEDOMAN AKUNTANSI</v>
      </c>
      <c r="C89" s="205"/>
      <c r="D89" s="228">
        <f t="shared" si="21"/>
        <v>95200000</v>
      </c>
      <c r="E89" s="228">
        <f t="shared" si="22"/>
        <v>95200000</v>
      </c>
      <c r="F89" s="218"/>
      <c r="H89" s="35">
        <f t="shared" si="0"/>
        <v>1</v>
      </c>
    </row>
    <row r="90" spans="2:8" ht="23.1" customHeight="1">
      <c r="B90" s="227" t="str">
        <f>AKUN!H80</f>
        <v>130115 | PEDOMAN PENYUSUNAN RKAP</v>
      </c>
      <c r="C90" s="205"/>
      <c r="D90" s="228">
        <f t="shared" si="21"/>
        <v>44800000</v>
      </c>
      <c r="E90" s="228">
        <f t="shared" si="22"/>
        <v>44800000</v>
      </c>
      <c r="F90" s="218"/>
      <c r="H90" s="35">
        <f t="shared" si="0"/>
        <v>1</v>
      </c>
    </row>
    <row r="91" spans="2:8" ht="23.1" customHeight="1">
      <c r="B91" s="227" t="str">
        <f>AKUN!H81</f>
        <v>130116 | ISO</v>
      </c>
      <c r="C91" s="205"/>
      <c r="D91" s="228">
        <f t="shared" si="21"/>
        <v>182100000</v>
      </c>
      <c r="E91" s="228">
        <f t="shared" si="22"/>
        <v>182100000</v>
      </c>
      <c r="F91" s="218"/>
      <c r="H91" s="35">
        <f t="shared" si="0"/>
        <v>1</v>
      </c>
    </row>
    <row r="92" spans="2:8" ht="23.1" customHeight="1">
      <c r="B92" s="227" t="str">
        <f>AKUN!H82</f>
        <v>130117 | PEMBUATAN SISTEM KWITANSI</v>
      </c>
      <c r="C92" s="205"/>
      <c r="D92" s="228">
        <f t="shared" si="21"/>
        <v>7250000</v>
      </c>
      <c r="E92" s="228">
        <f t="shared" si="22"/>
        <v>7250000</v>
      </c>
      <c r="F92" s="218"/>
      <c r="H92" s="35">
        <f t="shared" si="0"/>
        <v>1</v>
      </c>
    </row>
    <row r="93" spans="2:8" ht="23.1" customHeight="1">
      <c r="B93" s="227" t="str">
        <f>AKUN!H83</f>
        <v>130118 | MAP PARKING</v>
      </c>
      <c r="C93" s="205"/>
      <c r="D93" s="228">
        <f t="shared" si="21"/>
        <v>40000000</v>
      </c>
      <c r="E93" s="228">
        <f t="shared" si="22"/>
        <v>40000000</v>
      </c>
      <c r="F93" s="218"/>
      <c r="H93" s="35">
        <f t="shared" si="0"/>
        <v>1</v>
      </c>
    </row>
    <row r="94" spans="2:8" ht="23.1" customHeight="1">
      <c r="B94" s="227" t="str">
        <f>AKUN!H84</f>
        <v>130119 | PENYUSUNAN REGULASI PERDA</v>
      </c>
      <c r="C94" s="205"/>
      <c r="D94" s="228">
        <f t="shared" si="21"/>
        <v>67590000</v>
      </c>
      <c r="E94" s="228">
        <f t="shared" si="22"/>
        <v>67590000</v>
      </c>
      <c r="F94" s="218"/>
      <c r="H94" s="35">
        <f t="shared" si="0"/>
        <v>1</v>
      </c>
    </row>
    <row r="95" spans="2:8" ht="23.1" customHeight="1">
      <c r="B95" s="227" t="str">
        <f>AKUN!H85</f>
        <v>130120 | BIAYA PEMBUATAN SIM KEU</v>
      </c>
      <c r="C95" s="205"/>
      <c r="D95" s="228">
        <f t="shared" si="21"/>
        <v>74950000</v>
      </c>
      <c r="E95" s="228">
        <f t="shared" si="22"/>
        <v>74950000</v>
      </c>
      <c r="F95" s="218"/>
      <c r="H95" s="35">
        <f t="shared" si="0"/>
        <v>1</v>
      </c>
    </row>
    <row r="96" spans="2:8" ht="23.1" customHeight="1">
      <c r="B96" s="227" t="str">
        <f>AKUN!H86</f>
        <v>130121 | BIAYA PEMBUATAN SIM KEU 2</v>
      </c>
      <c r="C96" s="205"/>
      <c r="D96" s="228">
        <f t="shared" si="21"/>
        <v>28450000</v>
      </c>
      <c r="E96" s="228">
        <f t="shared" si="22"/>
        <v>28450000</v>
      </c>
      <c r="F96" s="218"/>
      <c r="H96" s="35">
        <f t="shared" si="0"/>
        <v>1</v>
      </c>
    </row>
    <row r="97" spans="2:8" ht="23.1" customHeight="1">
      <c r="B97" s="227" t="str">
        <f>AKUN!H87</f>
        <v>130122 | BIAYA PENGEMBANGAN SIM KEU</v>
      </c>
      <c r="C97" s="205"/>
      <c r="D97" s="228">
        <f t="shared" si="21"/>
        <v>74950000</v>
      </c>
      <c r="E97" s="228">
        <f t="shared" si="22"/>
        <v>74950000</v>
      </c>
      <c r="F97" s="218"/>
      <c r="H97" s="35">
        <f t="shared" si="0"/>
        <v>1</v>
      </c>
    </row>
    <row r="98" spans="2:8" ht="23.1" customHeight="1">
      <c r="B98" s="227" t="str">
        <f>AKUN!H88</f>
        <v>130123 | DESIGN GAMBAR PARKIRAN TAMAN</v>
      </c>
      <c r="C98" s="205"/>
      <c r="D98" s="228">
        <f t="shared" si="21"/>
        <v>198660000</v>
      </c>
      <c r="E98" s="228">
        <f t="shared" si="22"/>
        <v>198660000</v>
      </c>
      <c r="F98" s="218"/>
      <c r="H98" s="35">
        <f t="shared" si="0"/>
        <v>1</v>
      </c>
    </row>
    <row r="99" spans="2:8" ht="23.1" customHeight="1">
      <c r="B99" s="227" t="str">
        <f>AKUN!H89</f>
        <v>130124 | PEMBUATAN SOP</v>
      </c>
      <c r="C99" s="205"/>
      <c r="D99" s="228">
        <f t="shared" si="21"/>
        <v>60000000</v>
      </c>
      <c r="E99" s="228">
        <f t="shared" si="22"/>
        <v>60000000</v>
      </c>
      <c r="F99" s="218"/>
      <c r="H99" s="35">
        <f t="shared" si="0"/>
        <v>1</v>
      </c>
    </row>
    <row r="100" spans="2:8" ht="23.1" customHeight="1">
      <c r="B100" s="227" t="str">
        <f>AKUN!H90</f>
        <v>130125 | PEMBUATAN CORPORATE PLAN</v>
      </c>
      <c r="C100" s="205"/>
      <c r="D100" s="228">
        <f t="shared" si="21"/>
        <v>40000000</v>
      </c>
      <c r="E100" s="228">
        <f t="shared" si="22"/>
        <v>40000000</v>
      </c>
      <c r="F100" s="218"/>
      <c r="H100" s="35">
        <f t="shared" si="0"/>
        <v>1</v>
      </c>
    </row>
    <row r="101" spans="2:8" ht="23.1" customHeight="1">
      <c r="B101" s="227" t="str">
        <f>AKUN!H91</f>
        <v>130126 | SISTEM INFORMASI JUKIR DAN TITIK PARKIR</v>
      </c>
      <c r="C101" s="205"/>
      <c r="D101" s="228">
        <f t="shared" si="21"/>
        <v>79900000</v>
      </c>
      <c r="E101" s="228">
        <f t="shared" si="22"/>
        <v>79900000</v>
      </c>
      <c r="F101" s="218"/>
      <c r="H101" s="35">
        <f t="shared" si="0"/>
        <v>1</v>
      </c>
    </row>
    <row r="102" spans="2:8" ht="23.1" customHeight="1">
      <c r="B102" s="227" t="str">
        <f>AKUN!H92</f>
        <v>130127 | SISTEM INFORMASI PEGAWAI</v>
      </c>
      <c r="C102" s="205"/>
      <c r="D102" s="228">
        <f t="shared" si="21"/>
        <v>24850000</v>
      </c>
      <c r="E102" s="228">
        <f t="shared" si="22"/>
        <v>24850000</v>
      </c>
      <c r="F102" s="218"/>
      <c r="H102" s="35">
        <f t="shared" si="0"/>
        <v>1</v>
      </c>
    </row>
    <row r="103" spans="2:8" ht="23.1" customHeight="1">
      <c r="B103" s="227" t="str">
        <f>AKUN!H93</f>
        <v>130128 | APLIKASI GO PARKIR APP MOBILE</v>
      </c>
      <c r="C103" s="205"/>
      <c r="D103" s="228">
        <f t="shared" si="21"/>
        <v>16150000</v>
      </c>
      <c r="E103" s="228">
        <f t="shared" si="22"/>
        <v>16150000</v>
      </c>
      <c r="F103" s="218"/>
      <c r="H103" s="35">
        <f t="shared" si="0"/>
        <v>1</v>
      </c>
    </row>
    <row r="104" spans="2:8" ht="23.1" customHeight="1">
      <c r="B104" s="227" t="str">
        <f>AKUN!H94</f>
        <v>130129 | SIMKEU 2021</v>
      </c>
      <c r="C104" s="205"/>
      <c r="D104" s="228">
        <f t="shared" si="21"/>
        <v>176880000</v>
      </c>
      <c r="E104" s="228">
        <f t="shared" si="22"/>
        <v>176880000</v>
      </c>
      <c r="F104" s="218"/>
      <c r="H104" s="35">
        <f t="shared" si="0"/>
        <v>1</v>
      </c>
    </row>
    <row r="105" spans="2:8" ht="23.1" customHeight="1">
      <c r="B105" s="227" t="str">
        <f>AKUN!H95</f>
        <v>130130 | CORPORATE SYSTEM MMANGEMENT</v>
      </c>
      <c r="C105" s="205"/>
      <c r="D105" s="228">
        <f t="shared" ref="D105" si="23">IFERROR(IF(INDEX(typ_sn,MATCH(INDEX(akun_type,MATCH(B105,akun_kb,0)),typ_ket,0))="db",SUMIF(nrl_kode,INDEX(akun_kd,MATCH(B105,akun_kb,0)),nrl_sadb)-SUMIF(nrl_kode,INDEX(akun_kd,MATCH(B105,akun_kb,0)),nrl_sakr),SUMIF(nrl_kode,INDEX(akun_kd,MATCH(B105,akun_kb,0)),nrl_sakr)-SUMIF(nrl_kode,INDEX(akun_kd,MATCH(B105,akun_kb,0)),nrl_sadb)),"")</f>
        <v>0</v>
      </c>
      <c r="E105" s="228">
        <f t="shared" ref="E105" si="24">IFERROR(IF(INDEX(typ_sn,MATCH(INDEX(akun_type,MATCH(B105,akun_kb,0)),typ_ket,0))="db",SUMIF(nrl_kode,INDEX(akun_kd,MATCH(B105,akun_kb,0)),nrl_akhirdb)-SUMIF(nrl_kode,INDEX(akun_kd,MATCH(B105,akun_kb,0)),nrl_akhirkr),SUMIF(nrl_kode,INDEX(akun_kd,MATCH(B105,akun_kb,0)),nrl_akhirkr)-SUMIF(nrl_kode,INDEX(akun_kd,MATCH(B105,akun_kb,0)),nrl_akhirdb)),"")</f>
        <v>146000000</v>
      </c>
      <c r="F105" s="218"/>
      <c r="H105" s="35">
        <f t="shared" ref="H105" si="25">IF(OR(E105&lt;0,E105&gt;0,E105=""),1,0)</f>
        <v>1</v>
      </c>
    </row>
    <row r="106" spans="2:8" ht="10.5" customHeight="1">
      <c r="B106" s="227"/>
      <c r="C106" s="205"/>
      <c r="D106" s="228"/>
      <c r="E106" s="228"/>
      <c r="F106" s="218"/>
      <c r="H106" s="35"/>
    </row>
    <row r="107" spans="2:8" ht="23.1" customHeight="1">
      <c r="B107" s="321" t="s">
        <v>491</v>
      </c>
      <c r="C107" s="322"/>
      <c r="D107" s="323">
        <f>SUM(D86:D104)</f>
        <v>1383730000</v>
      </c>
      <c r="E107" s="323"/>
      <c r="F107" s="324">
        <f>SUM(E86:E105)</f>
        <v>1540930000</v>
      </c>
      <c r="H107" s="35">
        <f t="shared" si="0"/>
        <v>1</v>
      </c>
    </row>
    <row r="108" spans="2:8" ht="23.1" customHeight="1">
      <c r="B108" s="232" t="s">
        <v>321</v>
      </c>
      <c r="C108" s="205"/>
      <c r="D108" s="228"/>
      <c r="E108" s="228"/>
      <c r="F108" s="205"/>
      <c r="H108" s="35">
        <f t="shared" si="0"/>
        <v>1</v>
      </c>
    </row>
    <row r="109" spans="2:8" ht="23.1" customHeight="1">
      <c r="B109" s="227" t="str">
        <f>AKUN!H97</f>
        <v>130201 | AKUMULASI AMORTISASI GOODWILL</v>
      </c>
      <c r="C109" s="205"/>
      <c r="D109" s="228">
        <f>IFERROR(IF(INDEX(typ_sn,MATCH(INDEX(akun_type,MATCH(B109,akun_kb,0)),typ_ket,0))="db",SUMIF(nrl_kode,INDEX(akun_kd,MATCH(B109,akun_kb,0)),nrl_sadb)-SUMIF(nrl_kode,INDEX(akun_kd,MATCH(B109,akun_kb,0)),nrl_sakr),SUMIF(nrl_kode,INDEX(akun_kd,MATCH(B109,akun_kb,0)),nrl_sakr)-SUMIF(nrl_kode,INDEX(akun_kd,MATCH(B109,akun_kb,0)),nrl_sadb)),"")</f>
        <v>-1871124750</v>
      </c>
      <c r="E109" s="228">
        <f>IFERROR(IF(INDEX(typ_sn,MATCH(INDEX(akun_type,MATCH(B109,akun_kb,0)),typ_ket,0))="db",SUMIF(nrl_kode,INDEX(akun_kd,MATCH(B109,akun_kb,0)),nrl_akhirdb)-SUMIF(nrl_kode,INDEX(akun_kd,MATCH(B109,akun_kb,0)),nrl_akhirkr),SUMIF(nrl_kode,INDEX(akun_kd,MATCH(B109,akun_kb,0)),nrl_akhirkr)-SUMIF(nrl_kode,INDEX(akun_kd,MATCH(B109,akun_kb,0)),nrl_akhirdb)),"")</f>
        <v>-2079027500</v>
      </c>
      <c r="F109" s="205"/>
      <c r="H109" s="35">
        <f t="shared" si="0"/>
        <v>1</v>
      </c>
    </row>
    <row r="110" spans="2:8" ht="23.1" customHeight="1">
      <c r="B110" s="227" t="str">
        <f>AKUN!H98</f>
        <v>130202 | AKUMULASI AMORTISASI BEBAN DITANGGUHKAN</v>
      </c>
      <c r="C110" s="205"/>
      <c r="D110" s="228">
        <f>IFERROR(IF(INDEX(typ_sn,MATCH(INDEX(akun_type,MATCH(B110,akun_kb,0)),typ_ket,0))="db",SUMIF(nrl_kode,INDEX(akun_kd,MATCH(B110,akun_kb,0)),nrl_sadb)-SUMIF(nrl_kode,INDEX(akun_kd,MATCH(B110,akun_kb,0)),nrl_sakr),SUMIF(nrl_kode,INDEX(akun_kd,MATCH(B110,akun_kb,0)),nrl_sakr)-SUMIF(nrl_kode,INDEX(akun_kd,MATCH(B110,akun_kb,0)),nrl_sadb)),"")</f>
        <v>-1202189167</v>
      </c>
      <c r="E110" s="228">
        <f>IFERROR(IF(INDEX(typ_sn,MATCH(INDEX(akun_type,MATCH(B110,akun_kb,0)),typ_ket,0))="db",SUMIF(nrl_kode,INDEX(akun_kd,MATCH(B110,akun_kb,0)),nrl_akhirdb)-SUMIF(nrl_kode,INDEX(akun_kd,MATCH(B110,akun_kb,0)),nrl_akhirkr),SUMIF(nrl_kode,INDEX(akun_kd,MATCH(B110,akun_kb,0)),nrl_akhirkr)-SUMIF(nrl_kode,INDEX(akun_kd,MATCH(B110,akun_kb,0)),nrl_akhirdb)),"")</f>
        <v>-1266862500.3333333</v>
      </c>
      <c r="F110" s="218"/>
      <c r="H110" s="35">
        <f t="shared" si="0"/>
        <v>1</v>
      </c>
    </row>
    <row r="111" spans="2:8" ht="23.1" customHeight="1">
      <c r="B111" s="227" t="str">
        <f>AKUN!H99</f>
        <v>130203 | AKUMULASI AMORTISASI LAINNYA</v>
      </c>
      <c r="C111" s="205"/>
      <c r="D111" s="228">
        <f>IFERROR(IF(INDEX(typ_sn,MATCH(INDEX(akun_type,MATCH(B111,akun_kb,0)),typ_ket,0))="db",SUMIF(nrl_kode,INDEX(akun_kd,MATCH(B111,akun_kb,0)),nrl_sadb)-SUMIF(nrl_kode,INDEX(akun_kd,MATCH(B111,akun_kb,0)),nrl_sakr),SUMIF(nrl_kode,INDEX(akun_kd,MATCH(B111,akun_kb,0)),nrl_sakr)-SUMIF(nrl_kode,INDEX(akun_kd,MATCH(B111,akun_kb,0)),nrl_sadb)),"")</f>
        <v>0</v>
      </c>
      <c r="E111" s="228"/>
      <c r="F111" s="205"/>
      <c r="H111" s="35">
        <f t="shared" si="0"/>
        <v>1</v>
      </c>
    </row>
    <row r="112" spans="2:8" ht="23.1" customHeight="1">
      <c r="B112" s="321" t="s">
        <v>492</v>
      </c>
      <c r="C112" s="322"/>
      <c r="D112" s="323">
        <f>SUM(D108:D111)</f>
        <v>-3073313917</v>
      </c>
      <c r="E112" s="323"/>
      <c r="F112" s="324">
        <f>SUM(E108:E111)</f>
        <v>-3345890000.333333</v>
      </c>
      <c r="H112" s="35">
        <f t="shared" si="0"/>
        <v>1</v>
      </c>
    </row>
    <row r="113" spans="2:8" ht="23.1" customHeight="1">
      <c r="B113" s="232" t="s">
        <v>270</v>
      </c>
      <c r="C113" s="205"/>
      <c r="D113" s="228"/>
      <c r="E113" s="228"/>
      <c r="F113" s="205"/>
      <c r="H113" s="35">
        <f t="shared" si="0"/>
        <v>1</v>
      </c>
    </row>
    <row r="114" spans="2:8" ht="23.1" customHeight="1">
      <c r="B114" s="227" t="str">
        <f>AKUN!H101</f>
        <v>130301 | CADANGAN DANA PENSIUN (DPLK) PEGAWAI</v>
      </c>
      <c r="C114" s="205"/>
      <c r="D114" s="228">
        <f>IFERROR(IF(INDEX(typ_sn,MATCH(INDEX(akun_type,MATCH(B114,akun_kb,0)),typ_ket,0))="db",SUMIF(nrl_kode,INDEX(akun_kd,MATCH(B114,akun_kb,0)),nrl_sadb)-SUMIF(nrl_kode,INDEX(akun_kd,MATCH(B114,akun_kb,0)),nrl_sakr),SUMIF(nrl_kode,INDEX(akun_kd,MATCH(B114,akun_kb,0)),nrl_sakr)-SUMIF(nrl_kode,INDEX(akun_kd,MATCH(B114,akun_kb,0)),nrl_sadb)),"")</f>
        <v>421400000</v>
      </c>
      <c r="E114" s="228">
        <f>IFERROR(IF(INDEX(typ_sn,MATCH(INDEX(akun_type,MATCH(B114,akun_kb,0)),typ_ket,0))="db",SUMIF(nrl_kode,INDEX(akun_kd,MATCH(B114,akun_kb,0)),nrl_akhirdb)-SUMIF(nrl_kode,INDEX(akun_kd,MATCH(B114,akun_kb,0)),nrl_akhirkr),SUMIF(nrl_kode,INDEX(akun_kd,MATCH(B114,akun_kb,0)),nrl_akhirkr)-SUMIF(nrl_kode,INDEX(akun_kd,MATCH(B114,akun_kb,0)),nrl_akhirdb)),"")</f>
        <v>443100000</v>
      </c>
      <c r="F114" s="205"/>
      <c r="H114" s="35">
        <f t="shared" si="0"/>
        <v>1</v>
      </c>
    </row>
    <row r="115" spans="2:8" ht="23.1" customHeight="1">
      <c r="B115" s="227" t="str">
        <f>AKUN!H102</f>
        <v>130302 | CADANGAN DANA PENSIUN (DPLK) DIREKSI</v>
      </c>
      <c r="C115" s="205"/>
      <c r="D115" s="228">
        <f>IFERROR(IF(INDEX(typ_sn,MATCH(INDEX(akun_type,MATCH(B115,akun_kb,0)),typ_ket,0))="db",SUMIF(nrl_kode,INDEX(akun_kd,MATCH(B115,akun_kb,0)),nrl_sadb)-SUMIF(nrl_kode,INDEX(akun_kd,MATCH(B115,akun_kb,0)),nrl_sakr),SUMIF(nrl_kode,INDEX(akun_kd,MATCH(B115,akun_kb,0)),nrl_sakr)-SUMIF(nrl_kode,INDEX(akun_kd,MATCH(B115,akun_kb,0)),nrl_sadb)),"")</f>
        <v>510000000</v>
      </c>
      <c r="E115" s="228">
        <f>IFERROR(IF(INDEX(typ_sn,MATCH(INDEX(akun_type,MATCH(B115,akun_kb,0)),typ_ket,0))="db",SUMIF(nrl_kode,INDEX(akun_kd,MATCH(B115,akun_kb,0)),nrl_akhirdb)-SUMIF(nrl_kode,INDEX(akun_kd,MATCH(B115,akun_kb,0)),nrl_akhirkr),SUMIF(nrl_kode,INDEX(akun_kd,MATCH(B115,akun_kb,0)),nrl_akhirkr)-SUMIF(nrl_kode,INDEX(akun_kd,MATCH(B115,akun_kb,0)),nrl_akhirdb)),"")</f>
        <v>0</v>
      </c>
      <c r="F115" s="205"/>
      <c r="H115" s="35">
        <f t="shared" si="0"/>
        <v>0</v>
      </c>
    </row>
    <row r="116" spans="2:8" ht="23.1" customHeight="1">
      <c r="B116" s="232" t="s">
        <v>493</v>
      </c>
      <c r="C116" s="205"/>
      <c r="D116" s="228">
        <f>SUM(D114:D115)</f>
        <v>931400000</v>
      </c>
      <c r="E116" s="228"/>
      <c r="F116" s="218">
        <f>SUM(E114:E115)</f>
        <v>443100000</v>
      </c>
      <c r="H116" s="35">
        <f t="shared" si="0"/>
        <v>1</v>
      </c>
    </row>
    <row r="117" spans="2:8" ht="23.1" customHeight="1" thickBot="1">
      <c r="B117" s="250" t="s">
        <v>494</v>
      </c>
      <c r="C117" s="239"/>
      <c r="D117" s="240">
        <f>D116+D112+D107+D85</f>
        <v>1320843583</v>
      </c>
      <c r="E117" s="241"/>
      <c r="F117" s="240">
        <f>F116+F112+F107+F85</f>
        <v>717167499.66666698</v>
      </c>
      <c r="H117" s="35">
        <f t="shared" si="0"/>
        <v>1</v>
      </c>
    </row>
    <row r="118" spans="2:8" ht="23.1" customHeight="1" thickBot="1">
      <c r="B118" s="251" t="s">
        <v>132</v>
      </c>
      <c r="C118" s="244"/>
      <c r="D118" s="247">
        <f>D117+D83+D66</f>
        <v>8128803771</v>
      </c>
      <c r="E118" s="246"/>
      <c r="F118" s="247">
        <f>F117+F83+F66</f>
        <v>10582988749.440001</v>
      </c>
      <c r="H118" s="35">
        <f t="shared" si="0"/>
        <v>1</v>
      </c>
    </row>
    <row r="119" spans="2:8" ht="23.1" customHeight="1">
      <c r="B119" s="248"/>
      <c r="C119" s="205"/>
      <c r="D119" s="205"/>
      <c r="E119" s="228"/>
      <c r="F119" s="205"/>
      <c r="H119" s="35">
        <f t="shared" si="0"/>
        <v>1</v>
      </c>
    </row>
    <row r="120" spans="2:8" ht="23.1" customHeight="1">
      <c r="B120" s="252" t="s">
        <v>326</v>
      </c>
      <c r="C120" s="205"/>
      <c r="D120" s="205"/>
      <c r="E120" s="228"/>
      <c r="F120" s="205"/>
      <c r="H120" s="35">
        <f t="shared" si="0"/>
        <v>1</v>
      </c>
    </row>
    <row r="121" spans="2:8" ht="23.1" customHeight="1">
      <c r="B121" s="248" t="s">
        <v>327</v>
      </c>
      <c r="C121" s="205"/>
      <c r="D121" s="228" t="str">
        <f>IFERROR(IF(INDEX(typ_sn,MATCH(INDEX(akun_type,MATCH(B121,akun_kb,0)),typ_ket,0))="db",SUMIF(nrl_kode,INDEX(akun_kd,MATCH(B121,akun_kb,0)),nrl_sadb)-SUMIF(nrl_kode,INDEX(akun_kd,MATCH(B121,akun_kb,0)),nrl_sakr),SUMIF(nrl_kode,INDEX(akun_kd,MATCH(B121,akun_kb,0)),nrl_sakr)-SUMIF(nrl_kode,INDEX(akun_kd,MATCH(B121,akun_kb,0)),nrl_sadb)),"")</f>
        <v/>
      </c>
      <c r="E121" s="228" t="str">
        <f>IFERROR(IF(INDEX(typ_sn,MATCH(INDEX(akun_type,MATCH(B121,akun_kb,0)),typ_ket,0))="db",SUMIF(nrl_kode,INDEX(akun_kd,MATCH(B121,akun_kb,0)),nrl_akhirdb)-SUMIF(nrl_kode,INDEX(akun_kd,MATCH(B121,akun_kb,0)),nrl_akhirkr),SUMIF(nrl_kode,INDEX(akun_kd,MATCH(B121,akun_kb,0)),nrl_akhirkr)-SUMIF(nrl_kode,INDEX(akun_kd,MATCH(B121,akun_kb,0)),nrl_akhirdb)),"")</f>
        <v/>
      </c>
      <c r="F121" s="205"/>
      <c r="H121" s="35">
        <f t="shared" si="0"/>
        <v>1</v>
      </c>
    </row>
    <row r="122" spans="2:8" ht="23.1" customHeight="1">
      <c r="B122" s="248" t="s">
        <v>328</v>
      </c>
      <c r="C122" s="205"/>
      <c r="D122" s="228" t="str">
        <f>IFERROR(IF(INDEX(typ_sn,MATCH(INDEX(akun_type,MATCH(B122,akun_kb,0)),typ_ket,0))="db",SUMIF(nrl_kode,INDEX(akun_kd,MATCH(B122,akun_kb,0)),nrl_sadb)-SUMIF(nrl_kode,INDEX(akun_kd,MATCH(B122,akun_kb,0)),nrl_sakr),SUMIF(nrl_kode,INDEX(akun_kd,MATCH(B122,akun_kb,0)),nrl_sakr)-SUMIF(nrl_kode,INDEX(akun_kd,MATCH(B122,akun_kb,0)),nrl_sadb)),"")</f>
        <v/>
      </c>
      <c r="E122" s="228" t="str">
        <f>IFERROR(IF(INDEX(typ_sn,MATCH(INDEX(akun_type,MATCH(B122,akun_kb,0)),typ_ket,0))="db",SUMIF(nrl_kode,INDEX(akun_kd,MATCH(B122,akun_kb,0)),nrl_akhirdb)-SUMIF(nrl_kode,INDEX(akun_kd,MATCH(B122,akun_kb,0)),nrl_akhirkr),SUMIF(nrl_kode,INDEX(akun_kd,MATCH(B122,akun_kb,0)),nrl_akhirkr)-SUMIF(nrl_kode,INDEX(akun_kd,MATCH(B122,akun_kb,0)),nrl_akhirdb)),"")</f>
        <v/>
      </c>
      <c r="F122" s="205"/>
      <c r="H122" s="35">
        <f t="shared" si="0"/>
        <v>1</v>
      </c>
    </row>
    <row r="123" spans="2:8" ht="23.1" customHeight="1">
      <c r="B123" s="227" t="str">
        <f>AKUN!H106</f>
        <v>210101 | HUTANG BIAYA</v>
      </c>
      <c r="C123" s="205"/>
      <c r="D123" s="228">
        <f t="shared" ref="D123" si="26">IFERROR(IF(INDEX(typ_sn,MATCH(INDEX(akun_type,MATCH(B123,akun_kb,0)),typ_ket,0))="db",SUMIF(nrl_kode,INDEX(akun_kd,MATCH(B123,akun_kb,0)),nrl_sadb)-SUMIF(nrl_kode,INDEX(akun_kd,MATCH(B123,akun_kb,0)),nrl_sakr),SUMIF(nrl_kode,INDEX(akun_kd,MATCH(B123,akun_kb,0)),nrl_sakr)-SUMIF(nrl_kode,INDEX(akun_kd,MATCH(B123,akun_kb,0)),nrl_sadb)),"")</f>
        <v>0</v>
      </c>
      <c r="E123" s="228">
        <f t="shared" ref="E123" si="27">IFERROR(IF(INDEX(typ_sn,MATCH(INDEX(akun_type,MATCH(B123,akun_kb,0)),typ_ket,0))="db",SUMIF(nrl_kode,INDEX(akun_kd,MATCH(B123,akun_kb,0)),nrl_akhirdb)-SUMIF(nrl_kode,INDEX(akun_kd,MATCH(B123,akun_kb,0)),nrl_akhirkr),SUMIF(nrl_kode,INDEX(akun_kd,MATCH(B123,akun_kb,0)),nrl_akhirkr)-SUMIF(nrl_kode,INDEX(akun_kd,MATCH(B123,akun_kb,0)),nrl_akhirdb)),"")</f>
        <v>0</v>
      </c>
      <c r="F123" s="205"/>
      <c r="H123" s="35">
        <f t="shared" si="0"/>
        <v>0</v>
      </c>
    </row>
    <row r="124" spans="2:8" ht="23.1" customHeight="1">
      <c r="B124" s="227" t="str">
        <f>AKUN!H107</f>
        <v>210102 | DEPOSIT KOLEKTOR</v>
      </c>
      <c r="C124" s="205"/>
      <c r="D124" s="228">
        <f t="shared" ref="D124" si="28">IFERROR(IF(INDEX(typ_sn,MATCH(INDEX(akun_type,MATCH(B124,akun_kb,0)),typ_ket,0))="db",SUMIF(nrl_kode,INDEX(akun_kd,MATCH(B124,akun_kb,0)),nrl_sadb)-SUMIF(nrl_kode,INDEX(akun_kd,MATCH(B124,akun_kb,0)),nrl_sakr),SUMIF(nrl_kode,INDEX(akun_kd,MATCH(B124,akun_kb,0)),nrl_sakr)-SUMIF(nrl_kode,INDEX(akun_kd,MATCH(B124,akun_kb,0)),nrl_sadb)),"")</f>
        <v>1254293</v>
      </c>
      <c r="E124" s="228">
        <f t="shared" ref="E124" si="29">IFERROR(IF(INDEX(typ_sn,MATCH(INDEX(akun_type,MATCH(B124,akun_kb,0)),typ_ket,0))="db",SUMIF(nrl_kode,INDEX(akun_kd,MATCH(B124,akun_kb,0)),nrl_akhirdb)-SUMIF(nrl_kode,INDEX(akun_kd,MATCH(B124,akun_kb,0)),nrl_akhirkr),SUMIF(nrl_kode,INDEX(akun_kd,MATCH(B124,akun_kb,0)),nrl_akhirkr)-SUMIF(nrl_kode,INDEX(akun_kd,MATCH(B124,akun_kb,0)),nrl_akhirdb)),"")</f>
        <v>1254293</v>
      </c>
      <c r="F124" s="205"/>
      <c r="H124" s="35">
        <f t="shared" si="0"/>
        <v>1</v>
      </c>
    </row>
    <row r="125" spans="2:8" ht="23.1" customHeight="1">
      <c r="B125" s="227" t="str">
        <f>AKUN!H108</f>
        <v>210103 | HUTANG GAJI</v>
      </c>
      <c r="C125" s="205"/>
      <c r="D125" s="228">
        <f t="shared" ref="D125" si="30">IFERROR(IF(INDEX(typ_sn,MATCH(INDEX(akun_type,MATCH(B125,akun_kb,0)),typ_ket,0))="db",SUMIF(nrl_kode,INDEX(akun_kd,MATCH(B125,akun_kb,0)),nrl_sadb)-SUMIF(nrl_kode,INDEX(akun_kd,MATCH(B125,akun_kb,0)),nrl_sakr),SUMIF(nrl_kode,INDEX(akun_kd,MATCH(B125,akun_kb,0)),nrl_sakr)-SUMIF(nrl_kode,INDEX(akun_kd,MATCH(B125,akun_kb,0)),nrl_sadb)),"")</f>
        <v>0</v>
      </c>
      <c r="E125" s="228">
        <f t="shared" ref="E125" si="31">IFERROR(IF(INDEX(typ_sn,MATCH(INDEX(akun_type,MATCH(B125,akun_kb,0)),typ_ket,0))="db",SUMIF(nrl_kode,INDEX(akun_kd,MATCH(B125,akun_kb,0)),nrl_akhirdb)-SUMIF(nrl_kode,INDEX(akun_kd,MATCH(B125,akun_kb,0)),nrl_akhirkr),SUMIF(nrl_kode,INDEX(akun_kd,MATCH(B125,akun_kb,0)),nrl_akhirkr)-SUMIF(nrl_kode,INDEX(akun_kd,MATCH(B125,akun_kb,0)),nrl_akhirdb)),"")</f>
        <v>0</v>
      </c>
      <c r="F125" s="205"/>
      <c r="H125" s="35">
        <f t="shared" si="0"/>
        <v>0</v>
      </c>
    </row>
    <row r="126" spans="2:8" ht="23.1" customHeight="1">
      <c r="B126" s="227" t="str">
        <f>AKUN!H109</f>
        <v>210204 | HUTANG ACC ANGSURAN MOBIL OPERASIONAL</v>
      </c>
      <c r="C126" s="205"/>
      <c r="D126" s="228">
        <f t="shared" ref="D126" si="32">IFERROR(IF(INDEX(typ_sn,MATCH(INDEX(akun_type,MATCH(B126,akun_kb,0)),typ_ket,0))="db",SUMIF(nrl_kode,INDEX(akun_kd,MATCH(B126,akun_kb,0)),nrl_sadb)-SUMIF(nrl_kode,INDEX(akun_kd,MATCH(B126,akun_kb,0)),nrl_sakr),SUMIF(nrl_kode,INDEX(akun_kd,MATCH(B126,akun_kb,0)),nrl_sakr)-SUMIF(nrl_kode,INDEX(akun_kd,MATCH(B126,akun_kb,0)),nrl_sadb)),"")</f>
        <v>125810000</v>
      </c>
      <c r="E126" s="228">
        <f t="shared" ref="E126:E127" si="33">IFERROR(IF(INDEX(typ_sn,MATCH(INDEX(akun_type,MATCH(B126,akun_kb,0)),typ_ket,0))="db",SUMIF(nrl_kode,INDEX(akun_kd,MATCH(B126,akun_kb,0)),nrl_akhirdb)-SUMIF(nrl_kode,INDEX(akun_kd,MATCH(B126,akun_kb,0)),nrl_akhirkr),SUMIF(nrl_kode,INDEX(akun_kd,MATCH(B126,akun_kb,0)),nrl_akhirkr)-SUMIF(nrl_kode,INDEX(akun_kd,MATCH(B126,akun_kb,0)),nrl_akhirdb)),"")</f>
        <v>65210000</v>
      </c>
      <c r="F126" s="205"/>
      <c r="H126" s="35">
        <f t="shared" si="0"/>
        <v>1</v>
      </c>
    </row>
    <row r="127" spans="2:8" ht="23.1" customHeight="1">
      <c r="B127" s="227" t="str">
        <f>AKUN!H110</f>
        <v>210205 | HUTANG DEVIDEN</v>
      </c>
      <c r="C127" s="205"/>
      <c r="D127" s="228">
        <f t="shared" ref="D127" si="34">IFERROR(IF(INDEX(typ_sn,MATCH(INDEX(akun_type,MATCH(B127,akun_kb,0)),typ_ket,0))="db",SUMIF(nrl_kode,INDEX(akun_kd,MATCH(B127,akun_kb,0)),nrl_sadb)-SUMIF(nrl_kode,INDEX(akun_kd,MATCH(B127,akun_kb,0)),nrl_sakr),SUMIF(nrl_kode,INDEX(akun_kd,MATCH(B127,akun_kb,0)),nrl_sakr)-SUMIF(nrl_kode,INDEX(akun_kd,MATCH(B127,akun_kb,0)),nrl_sadb)),"")</f>
        <v>0</v>
      </c>
      <c r="E127" s="228">
        <f t="shared" si="33"/>
        <v>0</v>
      </c>
      <c r="F127" s="205"/>
      <c r="H127" s="35">
        <f t="shared" si="0"/>
        <v>0</v>
      </c>
    </row>
    <row r="128" spans="2:8" ht="23.1" customHeight="1">
      <c r="B128" s="227" t="str">
        <f>AKUN!H111</f>
        <v>210201 | HUTANG BANK JANGKA PENDEK</v>
      </c>
      <c r="C128" s="205"/>
      <c r="D128" s="228">
        <f t="shared" ref="D128" si="35">IFERROR(IF(INDEX(typ_sn,MATCH(INDEX(akun_type,MATCH(B128,akun_kb,0)),typ_ket,0))="db",SUMIF(nrl_kode,INDEX(akun_kd,MATCH(B128,akun_kb,0)),nrl_sadb)-SUMIF(nrl_kode,INDEX(akun_kd,MATCH(B128,akun_kb,0)),nrl_sakr),SUMIF(nrl_kode,INDEX(akun_kd,MATCH(B128,akun_kb,0)),nrl_sakr)-SUMIF(nrl_kode,INDEX(akun_kd,MATCH(B128,akun_kb,0)),nrl_sadb)),"")</f>
        <v>0</v>
      </c>
      <c r="E128" s="228">
        <f t="shared" ref="E128" si="36">IFERROR(IF(INDEX(typ_sn,MATCH(INDEX(akun_type,MATCH(B128,akun_kb,0)),typ_ket,0))="db",SUMIF(nrl_kode,INDEX(akun_kd,MATCH(B128,akun_kb,0)),nrl_akhirdb)-SUMIF(nrl_kode,INDEX(akun_kd,MATCH(B128,akun_kb,0)),nrl_akhirkr),SUMIF(nrl_kode,INDEX(akun_kd,MATCH(B128,akun_kb,0)),nrl_akhirkr)-SUMIF(nrl_kode,INDEX(akun_kd,MATCH(B128,akun_kb,0)),nrl_akhirdb)),"")</f>
        <v>0</v>
      </c>
      <c r="F128" s="205"/>
      <c r="H128" s="35">
        <f t="shared" si="0"/>
        <v>0</v>
      </c>
    </row>
    <row r="129" spans="2:8" ht="23.1" customHeight="1">
      <c r="B129" s="227" t="str">
        <f>AKUN!H112</f>
        <v>210215 | HUTANG JASPRO DIREKSI</v>
      </c>
      <c r="C129" s="205"/>
      <c r="D129" s="228">
        <f t="shared" ref="D129" si="37">IFERROR(IF(INDEX(typ_sn,MATCH(INDEX(akun_type,MATCH(B129,akun_kb,0)),typ_ket,0))="db",SUMIF(nrl_kode,INDEX(akun_kd,MATCH(B129,akun_kb,0)),nrl_sadb)-SUMIF(nrl_kode,INDEX(akun_kd,MATCH(B129,akun_kb,0)),nrl_sakr),SUMIF(nrl_kode,INDEX(akun_kd,MATCH(B129,akun_kb,0)),nrl_sakr)-SUMIF(nrl_kode,INDEX(akun_kd,MATCH(B129,akun_kb,0)),nrl_sadb)),"")</f>
        <v>0</v>
      </c>
      <c r="E129" s="228">
        <f t="shared" ref="E129" si="38">IFERROR(IF(INDEX(typ_sn,MATCH(INDEX(akun_type,MATCH(B129,akun_kb,0)),typ_ket,0))="db",SUMIF(nrl_kode,INDEX(akun_kd,MATCH(B129,akun_kb,0)),nrl_akhirdb)-SUMIF(nrl_kode,INDEX(akun_kd,MATCH(B129,akun_kb,0)),nrl_akhirkr),SUMIF(nrl_kode,INDEX(akun_kd,MATCH(B129,akun_kb,0)),nrl_akhirkr)-SUMIF(nrl_kode,INDEX(akun_kd,MATCH(B129,akun_kb,0)),nrl_akhirdb)),"")</f>
        <v>0</v>
      </c>
      <c r="F129" s="205"/>
      <c r="H129" s="35">
        <f t="shared" si="0"/>
        <v>0</v>
      </c>
    </row>
    <row r="130" spans="2:8" ht="23.1" customHeight="1">
      <c r="B130" s="227" t="str">
        <f>AKUN!H113</f>
        <v>210216 | HUTANG JASPRO KARYAWAN</v>
      </c>
      <c r="C130" s="205"/>
      <c r="D130" s="228">
        <f t="shared" ref="D130" si="39">IFERROR(IF(INDEX(typ_sn,MATCH(INDEX(akun_type,MATCH(B130,akun_kb,0)),typ_ket,0))="db",SUMIF(nrl_kode,INDEX(akun_kd,MATCH(B130,akun_kb,0)),nrl_sadb)-SUMIF(nrl_kode,INDEX(akun_kd,MATCH(B130,akun_kb,0)),nrl_sakr),SUMIF(nrl_kode,INDEX(akun_kd,MATCH(B130,akun_kb,0)),nrl_sakr)-SUMIF(nrl_kode,INDEX(akun_kd,MATCH(B130,akun_kb,0)),nrl_sadb)),"")</f>
        <v>0</v>
      </c>
      <c r="E130" s="228">
        <f t="shared" ref="E130" si="40">IFERROR(IF(INDEX(typ_sn,MATCH(INDEX(akun_type,MATCH(B130,akun_kb,0)),typ_ket,0))="db",SUMIF(nrl_kode,INDEX(akun_kd,MATCH(B130,akun_kb,0)),nrl_akhirdb)-SUMIF(nrl_kode,INDEX(akun_kd,MATCH(B130,akun_kb,0)),nrl_akhirkr),SUMIF(nrl_kode,INDEX(akun_kd,MATCH(B130,akun_kb,0)),nrl_akhirkr)-SUMIF(nrl_kode,INDEX(akun_kd,MATCH(B130,akun_kb,0)),nrl_akhirdb)),"")</f>
        <v>0</v>
      </c>
      <c r="F130" s="205"/>
      <c r="H130" s="35">
        <f t="shared" si="0"/>
        <v>0</v>
      </c>
    </row>
    <row r="131" spans="2:8" ht="23.1" customHeight="1">
      <c r="B131" s="249" t="s">
        <v>133</v>
      </c>
      <c r="C131" s="234"/>
      <c r="D131" s="237">
        <f>SUM(D122:D130)</f>
        <v>127064293</v>
      </c>
      <c r="E131" s="236"/>
      <c r="F131" s="253">
        <f>SUM(E122:E130)</f>
        <v>66464293</v>
      </c>
      <c r="H131" s="35">
        <f t="shared" si="0"/>
        <v>1</v>
      </c>
    </row>
    <row r="132" spans="2:8" ht="23.1" customHeight="1">
      <c r="B132" s="248" t="s">
        <v>337</v>
      </c>
      <c r="C132" s="205"/>
      <c r="D132" s="205"/>
      <c r="E132" s="228"/>
      <c r="F132" s="205"/>
      <c r="H132" s="35">
        <f t="shared" si="0"/>
        <v>1</v>
      </c>
    </row>
    <row r="133" spans="2:8" ht="23.1" customHeight="1">
      <c r="B133" s="206" t="str">
        <f>AKUN!H115</f>
        <v>210206 | HUTANG PAJAK (PPH BADAN)</v>
      </c>
      <c r="C133" s="205"/>
      <c r="D133" s="228">
        <f t="shared" ref="D133:D138" si="41">IFERROR(IF(INDEX(typ_sn,MATCH(INDEX(akun_type,MATCH(B133,akun_kb,0)),typ_ket,0))="db",SUMIF(nrl_kode,INDEX(akun_kd,MATCH(B133,akun_kb,0)),nrl_sadb)-SUMIF(nrl_kode,INDEX(akun_kd,MATCH(B133,akun_kb,0)),nrl_sakr),SUMIF(nrl_kode,INDEX(akun_kd,MATCH(B133,akun_kb,0)),nrl_sakr)-SUMIF(nrl_kode,INDEX(akun_kd,MATCH(B133,akun_kb,0)),nrl_sadb)),"")</f>
        <v>282850702</v>
      </c>
      <c r="E133" s="228">
        <f t="shared" ref="E133:E138" si="42">IFERROR(IF(INDEX(typ_sn,MATCH(INDEX(akun_type,MATCH(B133,akun_kb,0)),typ_ket,0))="db",SUMIF(nrl_kode,INDEX(akun_kd,MATCH(B133,akun_kb,0)),nrl_akhirdb)-SUMIF(nrl_kode,INDEX(akun_kd,MATCH(B133,akun_kb,0)),nrl_akhirkr),SUMIF(nrl_kode,INDEX(akun_kd,MATCH(B133,akun_kb,0)),nrl_akhirkr)-SUMIF(nrl_kode,INDEX(akun_kd,MATCH(B133,akun_kb,0)),nrl_akhirdb)),"")</f>
        <v>0</v>
      </c>
      <c r="F133" s="205"/>
      <c r="H133" s="35">
        <f t="shared" ref="H133:H136" si="43">IF(OR(E133&lt;0,E133&gt;0,E133=""),1,0)</f>
        <v>0</v>
      </c>
    </row>
    <row r="134" spans="2:8" ht="23.1" customHeight="1">
      <c r="B134" s="206" t="str">
        <f>AKUN!H116</f>
        <v>210207 | HUTANG PAJAK PARKIR PLB</v>
      </c>
      <c r="C134" s="205"/>
      <c r="D134" s="228">
        <f t="shared" si="41"/>
        <v>508871680</v>
      </c>
      <c r="E134" s="228">
        <f t="shared" si="42"/>
        <v>326009440</v>
      </c>
      <c r="F134" s="205"/>
      <c r="H134" s="35">
        <f t="shared" si="43"/>
        <v>1</v>
      </c>
    </row>
    <row r="135" spans="2:8" ht="23.1" customHeight="1">
      <c r="B135" s="206" t="str">
        <f>AKUN!H117</f>
        <v>210208 | HUTANG PAJAK PPH 21</v>
      </c>
      <c r="C135" s="205"/>
      <c r="D135" s="228">
        <f t="shared" si="41"/>
        <v>0</v>
      </c>
      <c r="E135" s="228">
        <f t="shared" si="42"/>
        <v>0</v>
      </c>
      <c r="F135" s="205"/>
      <c r="H135" s="35">
        <f t="shared" si="43"/>
        <v>0</v>
      </c>
    </row>
    <row r="136" spans="2:8" ht="23.1" customHeight="1">
      <c r="B136" s="206" t="str">
        <f>AKUN!H118</f>
        <v>210209 | HUTANG PAJAK PPH 25</v>
      </c>
      <c r="C136" s="205"/>
      <c r="D136" s="228">
        <f t="shared" si="41"/>
        <v>0</v>
      </c>
      <c r="E136" s="228">
        <f t="shared" si="42"/>
        <v>0</v>
      </c>
      <c r="F136" s="205"/>
      <c r="H136" s="35">
        <f t="shared" si="43"/>
        <v>0</v>
      </c>
    </row>
    <row r="137" spans="2:8" ht="23.1" customHeight="1">
      <c r="B137" s="206" t="str">
        <f>AKUN!H119</f>
        <v>210210 | HUTANG PAJAK PPH 23</v>
      </c>
      <c r="C137" s="205"/>
      <c r="D137" s="228">
        <f t="shared" si="41"/>
        <v>0</v>
      </c>
      <c r="E137" s="228">
        <f t="shared" si="42"/>
        <v>0</v>
      </c>
      <c r="F137" s="205"/>
      <c r="H137" s="35">
        <f t="shared" ref="H137:H163" si="44">IF(OR(E137&lt;0,E137&gt;0,E137=""),1,0)</f>
        <v>0</v>
      </c>
    </row>
    <row r="138" spans="2:8" ht="23.1" customHeight="1">
      <c r="B138" s="206" t="str">
        <f>AKUN!H120</f>
        <v>210211 | PPN KELUARAN</v>
      </c>
      <c r="C138" s="205"/>
      <c r="D138" s="228">
        <f t="shared" si="41"/>
        <v>0</v>
      </c>
      <c r="E138" s="228">
        <f t="shared" si="42"/>
        <v>0</v>
      </c>
      <c r="F138" s="205"/>
      <c r="H138" s="35">
        <f t="shared" si="44"/>
        <v>0</v>
      </c>
    </row>
    <row r="139" spans="2:8" ht="23.1" customHeight="1">
      <c r="B139" s="249" t="s">
        <v>134</v>
      </c>
      <c r="C139" s="234"/>
      <c r="D139" s="237">
        <f>SUM(D133:D138)</f>
        <v>791722382</v>
      </c>
      <c r="E139" s="236"/>
      <c r="F139" s="253">
        <f>SUM(E133:E138)</f>
        <v>326009440</v>
      </c>
      <c r="H139" s="35">
        <f t="shared" si="44"/>
        <v>1</v>
      </c>
    </row>
    <row r="140" spans="2:8" ht="23.1" customHeight="1">
      <c r="B140" s="248" t="s">
        <v>135</v>
      </c>
      <c r="C140" s="205"/>
      <c r="D140" s="205"/>
      <c r="E140" s="228"/>
      <c r="F140" s="205"/>
      <c r="H140" s="35">
        <f t="shared" si="44"/>
        <v>1</v>
      </c>
    </row>
    <row r="141" spans="2:8" ht="23.1" customHeight="1">
      <c r="B141" s="206" t="str">
        <f>AKUN!H122</f>
        <v>220101 | HUTANG JK JANGKA PANJANG - KMK</v>
      </c>
      <c r="C141" s="205"/>
      <c r="D141" s="228">
        <f>IFERROR(IF(INDEX(typ_sn,MATCH(INDEX(akun_type,MATCH(B141,akun_kb,0)),typ_ket,0))="db",SUMIF(nrl_kode,INDEX(akun_kd,MATCH(B141,akun_kb,0)),nrl_sadb)-SUMIF(nrl_kode,INDEX(akun_kd,MATCH(B141,akun_kb,0)),nrl_sakr),SUMIF(nrl_kode,INDEX(akun_kd,MATCH(B141,akun_kb,0)),nrl_sakr)-SUMIF(nrl_kode,INDEX(akun_kd,MATCH(B141,akun_kb,0)),nrl_sadb)),"")</f>
        <v>0</v>
      </c>
      <c r="E141" s="228">
        <f>IFERROR(IF(INDEX(typ_sn,MATCH(INDEX(akun_type,MATCH(B141,akun_kb,0)),typ_ket,0))="db",SUMIF(nrl_kode,INDEX(akun_kd,MATCH(B141,akun_kb,0)),nrl_akhirdb)-SUMIF(nrl_kode,INDEX(akun_kd,MATCH(B141,akun_kb,0)),nrl_akhirkr),SUMIF(nrl_kode,INDEX(akun_kd,MATCH(B141,akun_kb,0)),nrl_akhirkr)-SUMIF(nrl_kode,INDEX(akun_kd,MATCH(B141,akun_kb,0)),nrl_akhirdb)),"")</f>
        <v>0</v>
      </c>
      <c r="F141" s="205"/>
      <c r="H141" s="35">
        <f t="shared" si="44"/>
        <v>0</v>
      </c>
    </row>
    <row r="142" spans="2:8" ht="23.1" customHeight="1">
      <c r="B142" s="206" t="str">
        <f>AKUN!H123</f>
        <v>220102 | HUTANG JK JANGKA PANJANG - KI</v>
      </c>
      <c r="C142" s="205"/>
      <c r="D142" s="228">
        <f>IFERROR(IF(INDEX(typ_sn,MATCH(INDEX(akun_type,MATCH(B142,akun_kb,0)),typ_ket,0))="db",SUMIF(nrl_kode,INDEX(akun_kd,MATCH(B142,akun_kb,0)),nrl_sadb)-SUMIF(nrl_kode,INDEX(akun_kd,MATCH(B142,akun_kb,0)),nrl_sakr),SUMIF(nrl_kode,INDEX(akun_kd,MATCH(B142,akun_kb,0)),nrl_sakr)-SUMIF(nrl_kode,INDEX(akun_kd,MATCH(B142,akun_kb,0)),nrl_sadb)),"")</f>
        <v>0</v>
      </c>
      <c r="E142" s="228">
        <f>IFERROR(IF(INDEX(typ_sn,MATCH(INDEX(akun_type,MATCH(B142,akun_kb,0)),typ_ket,0))="db",SUMIF(nrl_kode,INDEX(akun_kd,MATCH(B142,akun_kb,0)),nrl_akhirdb)-SUMIF(nrl_kode,INDEX(akun_kd,MATCH(B142,akun_kb,0)),nrl_akhirkr),SUMIF(nrl_kode,INDEX(akun_kd,MATCH(B142,akun_kb,0)),nrl_akhirkr)-SUMIF(nrl_kode,INDEX(akun_kd,MATCH(B142,akun_kb,0)),nrl_akhirdb)),"")</f>
        <v>0</v>
      </c>
      <c r="F142" s="205"/>
      <c r="H142" s="35">
        <f t="shared" si="44"/>
        <v>0</v>
      </c>
    </row>
    <row r="143" spans="2:8" ht="23.1" customHeight="1" thickBot="1">
      <c r="B143" s="250" t="s">
        <v>136</v>
      </c>
      <c r="C143" s="239"/>
      <c r="D143" s="240">
        <f>SUM(D141:D142)</f>
        <v>0</v>
      </c>
      <c r="E143" s="241"/>
      <c r="F143" s="242">
        <f>SUM(E140:E142)</f>
        <v>0</v>
      </c>
      <c r="H143" s="35">
        <f t="shared" si="44"/>
        <v>1</v>
      </c>
    </row>
    <row r="144" spans="2:8" ht="23.1" customHeight="1" thickBot="1">
      <c r="B144" s="251" t="s">
        <v>140</v>
      </c>
      <c r="C144" s="244"/>
      <c r="D144" s="254">
        <f>D139+D143+D131</f>
        <v>918786675</v>
      </c>
      <c r="E144" s="246"/>
      <c r="F144" s="247">
        <f>F139+F143+F131</f>
        <v>392473733</v>
      </c>
      <c r="H144" s="35">
        <f t="shared" si="44"/>
        <v>1</v>
      </c>
    </row>
    <row r="145" spans="2:8" ht="23.1" customHeight="1">
      <c r="B145" s="248" t="s">
        <v>137</v>
      </c>
      <c r="C145" s="205"/>
      <c r="D145" s="205"/>
      <c r="E145" s="228"/>
      <c r="F145" s="205"/>
      <c r="H145" s="35">
        <f t="shared" si="44"/>
        <v>1</v>
      </c>
    </row>
    <row r="146" spans="2:8" ht="23.1" customHeight="1">
      <c r="B146" s="206" t="str">
        <f>AKUN!H125</f>
        <v>310101 | MODAL SAHAM</v>
      </c>
      <c r="C146" s="205"/>
      <c r="D146" s="228">
        <f t="shared" ref="D146:D154" si="45">IFERROR(IF(INDEX(typ_sn,MATCH(INDEX(akun_type,MATCH(B146,akun_kb,0)),typ_ket,0))="db",SUMIF(nrl_kode,INDEX(akun_kd,MATCH(B146,akun_kb,0)),nrl_sadb)-SUMIF(nrl_kode,INDEX(akun_kd,MATCH(B146,akun_kb,0)),nrl_sakr),SUMIF(nrl_kode,INDEX(akun_kd,MATCH(B146,akun_kb,0)),nrl_sakr)-SUMIF(nrl_kode,INDEX(akun_kd,MATCH(B146,akun_kb,0)),nrl_sadb)),"")</f>
        <v>2079027500</v>
      </c>
      <c r="E146" s="228">
        <f t="shared" ref="E146:E153" si="46">IFERROR(IF(INDEX(typ_sn,MATCH(INDEX(akun_type,MATCH(B146,akun_kb,0)),typ_ket,0))="db",SUMIF(nrl_kode,INDEX(akun_kd,MATCH(B146,akun_kb,0)),nrl_akhirdb)-SUMIF(nrl_kode,INDEX(akun_kd,MATCH(B146,akun_kb,0)),nrl_akhirkr),SUMIF(nrl_kode,INDEX(akun_kd,MATCH(B146,akun_kb,0)),nrl_akhirkr)-SUMIF(nrl_kode,INDEX(akun_kd,MATCH(B146,akun_kb,0)),nrl_akhirdb)),"")</f>
        <v>2079027500</v>
      </c>
      <c r="F146" s="205"/>
      <c r="H146" s="35">
        <f t="shared" si="44"/>
        <v>1</v>
      </c>
    </row>
    <row r="147" spans="2:8" ht="23.1" customHeight="1">
      <c r="B147" s="206" t="str">
        <f>AKUN!H126</f>
        <v>310102 | ASET PEMKOT DIPISAHKAN</v>
      </c>
      <c r="C147" s="205"/>
      <c r="D147" s="228">
        <f t="shared" si="45"/>
        <v>1258945600</v>
      </c>
      <c r="E147" s="228">
        <f t="shared" si="46"/>
        <v>1258945600</v>
      </c>
      <c r="F147" s="205"/>
      <c r="H147" s="35">
        <f t="shared" si="44"/>
        <v>1</v>
      </c>
    </row>
    <row r="148" spans="2:8" ht="23.1" customHeight="1">
      <c r="B148" s="206" t="str">
        <f>AKUN!H128</f>
        <v>310201 | DIVIDEN</v>
      </c>
      <c r="C148" s="205"/>
      <c r="D148" s="228">
        <f t="shared" si="45"/>
        <v>470964078</v>
      </c>
      <c r="E148" s="228">
        <f t="shared" si="46"/>
        <v>0</v>
      </c>
      <c r="F148" s="205"/>
      <c r="H148" s="35"/>
    </row>
    <row r="149" spans="2:8" ht="23.1" customHeight="1">
      <c r="B149" s="206" t="str">
        <f>AKUN!H129</f>
        <v>310202 | LABA DITAHAN - DANA CSR</v>
      </c>
      <c r="C149" s="205"/>
      <c r="D149" s="228">
        <f t="shared" si="45"/>
        <v>184187754</v>
      </c>
      <c r="E149" s="228">
        <f t="shared" si="46"/>
        <v>184187754</v>
      </c>
      <c r="F149" s="205"/>
      <c r="H149" s="35"/>
    </row>
    <row r="150" spans="2:8" ht="23.1" customHeight="1">
      <c r="B150" s="206" t="str">
        <f>AKUN!H130</f>
        <v>310203 | LABA DITAHAN - DANA SOSIAL</v>
      </c>
      <c r="C150" s="205"/>
      <c r="D150" s="228">
        <f t="shared" si="45"/>
        <v>471384847</v>
      </c>
      <c r="E150" s="228">
        <f t="shared" si="46"/>
        <v>471384847</v>
      </c>
      <c r="F150" s="205"/>
      <c r="H150" s="35"/>
    </row>
    <row r="151" spans="2:8" ht="23.1" customHeight="1">
      <c r="B151" s="206" t="str">
        <f>AKUN!H131</f>
        <v>310204 | LABA DITAHAN - DANA PENSIUN DAN SOKONGAN</v>
      </c>
      <c r="C151" s="205"/>
      <c r="D151" s="228">
        <f t="shared" si="45"/>
        <v>487257279</v>
      </c>
      <c r="E151" s="228">
        <f t="shared" si="46"/>
        <v>487257279</v>
      </c>
      <c r="F151" s="205"/>
      <c r="H151" s="35"/>
    </row>
    <row r="152" spans="2:8" ht="23.1" customHeight="1">
      <c r="B152" s="206" t="str">
        <f>AKUN!H132</f>
        <v>310205 | LABA DITAHAN - CADANGAN</v>
      </c>
      <c r="C152" s="205"/>
      <c r="D152" s="228">
        <f t="shared" si="45"/>
        <v>1766218871</v>
      </c>
      <c r="E152" s="228">
        <f t="shared" si="46"/>
        <v>2217978244</v>
      </c>
      <c r="F152" s="205"/>
      <c r="H152" s="35"/>
    </row>
    <row r="153" spans="2:8" ht="23.1" customHeight="1">
      <c r="B153" s="206" t="str">
        <f>AKUN!H133</f>
        <v>310206 | LABA TAHUN SEBELUMNYA</v>
      </c>
      <c r="C153" s="205"/>
      <c r="D153" s="228">
        <f t="shared" si="45"/>
        <v>492031167</v>
      </c>
      <c r="E153" s="228">
        <f t="shared" si="46"/>
        <v>0</v>
      </c>
      <c r="F153" s="205"/>
      <c r="H153" s="35">
        <f t="shared" si="44"/>
        <v>0</v>
      </c>
    </row>
    <row r="154" spans="2:8" ht="19.5" customHeight="1">
      <c r="B154" s="206" t="str">
        <f>AKUN!H134</f>
        <v>310207 | LABA TAHUN BERJALAN</v>
      </c>
      <c r="C154" s="205"/>
      <c r="D154" s="228">
        <f t="shared" si="45"/>
        <v>0</v>
      </c>
      <c r="E154" s="228">
        <f>LR!F164</f>
        <v>3491733792.4399986</v>
      </c>
      <c r="F154" s="205"/>
      <c r="H154" s="35">
        <f t="shared" si="44"/>
        <v>1</v>
      </c>
    </row>
    <row r="155" spans="2:8" ht="23.1" customHeight="1">
      <c r="B155" s="206" t="str">
        <f>AKUN!H135</f>
        <v>320100 | KOREKSI LABA</v>
      </c>
      <c r="C155" s="205"/>
      <c r="D155" s="228">
        <f t="shared" ref="D155" si="47">IFERROR(IF(INDEX(typ_sn,MATCH(INDEX(akun_type,MATCH(B155,akun_kb,0)),typ_ket,0))="db",SUMIF(nrl_kode,INDEX(akun_kd,MATCH(B155,akun_kb,0)),nrl_sadb)-SUMIF(nrl_kode,INDEX(akun_kd,MATCH(B155,akun_kb,0)),nrl_sakr),SUMIF(nrl_kode,INDEX(akun_kd,MATCH(B155,akun_kb,0)),nrl_sakr)-SUMIF(nrl_kode,INDEX(akun_kd,MATCH(B155,akun_kb,0)),nrl_sadb)),"")</f>
        <v>0</v>
      </c>
      <c r="E155" s="228">
        <f t="shared" ref="E155" si="48">IFERROR(IF(INDEX(typ_sn,MATCH(INDEX(akun_type,MATCH(B155,akun_kb,0)),typ_ket,0))="db",SUMIF(nrl_kode,INDEX(akun_kd,MATCH(B155,akun_kb,0)),nrl_akhirdb)-SUMIF(nrl_kode,INDEX(akun_kd,MATCH(B155,akun_kb,0)),nrl_akhirkr),SUMIF(nrl_kode,INDEX(akun_kd,MATCH(B155,akun_kb,0)),nrl_akhirkr)-SUMIF(nrl_kode,INDEX(akun_kd,MATCH(B155,akun_kb,0)),nrl_akhirdb)),"")</f>
        <v>0</v>
      </c>
      <c r="F155" s="205"/>
      <c r="H155" s="35">
        <f t="shared" ref="H155" si="49">IF(OR(E155&lt;0,E155&gt;0,E155=""),1,0)</f>
        <v>0</v>
      </c>
    </row>
    <row r="156" spans="2:8" ht="23.1" customHeight="1" thickBot="1">
      <c r="B156" s="250" t="s">
        <v>138</v>
      </c>
      <c r="C156" s="239"/>
      <c r="D156" s="255">
        <f>SUM(D146:D154)</f>
        <v>7210017096</v>
      </c>
      <c r="E156" s="241"/>
      <c r="F156" s="242">
        <f>SUM(E146:E155)</f>
        <v>10190515016.439999</v>
      </c>
      <c r="H156" s="35">
        <f t="shared" si="44"/>
        <v>1</v>
      </c>
    </row>
    <row r="157" spans="2:8" ht="23.1" customHeight="1" thickBot="1">
      <c r="B157" s="256" t="s">
        <v>139</v>
      </c>
      <c r="C157" s="244"/>
      <c r="D157" s="245">
        <f>D156+D144</f>
        <v>8128803771</v>
      </c>
      <c r="E157" s="246"/>
      <c r="F157" s="247">
        <f>F144+F156</f>
        <v>10582988749.439999</v>
      </c>
      <c r="H157" s="35">
        <f t="shared" si="44"/>
        <v>1</v>
      </c>
    </row>
    <row r="158" spans="2:8" ht="12.95" customHeight="1">
      <c r="B158" s="205"/>
      <c r="C158" s="205"/>
      <c r="D158" s="205"/>
      <c r="E158" s="228"/>
      <c r="F158" s="257" t="b">
        <f>F157=F118</f>
        <v>1</v>
      </c>
      <c r="H158" s="35">
        <f t="shared" si="44"/>
        <v>1</v>
      </c>
    </row>
    <row r="159" spans="2:8" ht="23.1" customHeight="1">
      <c r="B159" s="258" t="s">
        <v>66</v>
      </c>
      <c r="C159" s="259"/>
      <c r="D159" s="259"/>
      <c r="E159" s="260"/>
      <c r="F159" s="258" t="s">
        <v>141</v>
      </c>
      <c r="H159" s="35">
        <f t="shared" si="44"/>
        <v>1</v>
      </c>
    </row>
    <row r="160" spans="2:8" ht="23.1" customHeight="1">
      <c r="B160" s="206"/>
      <c r="C160" s="205"/>
      <c r="D160" s="205"/>
      <c r="E160" s="228"/>
      <c r="F160" s="206"/>
      <c r="H160" s="35">
        <f t="shared" si="44"/>
        <v>1</v>
      </c>
    </row>
    <row r="161" spans="2:8" ht="23.1" customHeight="1">
      <c r="B161" s="206"/>
      <c r="C161" s="205"/>
      <c r="D161" s="205"/>
      <c r="E161" s="228"/>
      <c r="F161" s="206"/>
      <c r="H161" s="35">
        <f t="shared" si="44"/>
        <v>1</v>
      </c>
    </row>
    <row r="162" spans="2:8" ht="23.1" customHeight="1">
      <c r="B162" s="206"/>
      <c r="C162" s="205"/>
      <c r="D162" s="205"/>
      <c r="E162" s="228"/>
      <c r="F162" s="206"/>
      <c r="H162" s="35">
        <f t="shared" si="44"/>
        <v>1</v>
      </c>
    </row>
    <row r="163" spans="2:8" ht="23.1" customHeight="1">
      <c r="B163" s="248" t="str">
        <f>prof_buat</f>
        <v>Suci Ramadhani</v>
      </c>
      <c r="C163" s="261" t="str">
        <f>prof_ketahui</f>
        <v>Sitti Rahmah, S.Sos</v>
      </c>
      <c r="D163" s="261"/>
      <c r="E163" s="230"/>
      <c r="F163" s="252" t="str">
        <f>prof_menyetujui</f>
        <v>Mu'Ammar Nor Amin, SE</v>
      </c>
      <c r="H163" s="35">
        <f t="shared" si="44"/>
        <v>1</v>
      </c>
    </row>
  </sheetData>
  <autoFilter ref="H6:H163" xr:uid="{BEC2AE5C-FC76-2A43-92F0-B5602BFD7700}"/>
  <mergeCells count="3">
    <mergeCell ref="B4:F4"/>
    <mergeCell ref="B5:F5"/>
    <mergeCell ref="B6:F6"/>
  </mergeCells>
  <hyperlinks>
    <hyperlink ref="B2" location="MENU!D8" display="MENU" xr:uid="{A73B5302-AF27-054B-8390-76F01F68C0DB}"/>
  </hyperlinks>
  <pageMargins left="0.7" right="0.7" top="0.75" bottom="0.75" header="0.3" footer="0.3"/>
  <pageSetup paperSize="9" scale="82" fitToHeight="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5242-B059-F54B-94CE-6EC253D750CD}">
  <sheetPr codeName="Sheet23">
    <pageSetUpPr fitToPage="1"/>
  </sheetPr>
  <dimension ref="B2:R166"/>
  <sheetViews>
    <sheetView showGridLines="0" topLeftCell="A88" workbookViewId="0">
      <selection activeCell="D163" sqref="D163"/>
    </sheetView>
  </sheetViews>
  <sheetFormatPr defaultColWidth="10.875" defaultRowHeight="23.1" customHeight="1" outlineLevelCol="1"/>
  <cols>
    <col min="1" max="1" width="3.375" style="1" customWidth="1"/>
    <col min="2" max="2" width="12.625" style="1" customWidth="1"/>
    <col min="3" max="3" width="35.5" style="1" customWidth="1"/>
    <col min="4" max="6" width="17.375" style="37" customWidth="1"/>
    <col min="7" max="15" width="17.375" style="37" hidden="1" customWidth="1" outlineLevel="1"/>
    <col min="16" max="16" width="17.375" style="1" customWidth="1" collapsed="1"/>
    <col min="17" max="17" width="4.125" style="1" customWidth="1"/>
    <col min="18" max="18" width="14.125" style="1" customWidth="1"/>
    <col min="19" max="19" width="21.875" style="1" customWidth="1"/>
    <col min="20" max="16384" width="10.875" style="1"/>
  </cols>
  <sheetData>
    <row r="2" spans="2:18" ht="23.1" customHeight="1" thickBot="1">
      <c r="B2" s="90" t="s">
        <v>58</v>
      </c>
      <c r="C2" s="135" t="str">
        <f>ARUSKAS!C2</f>
        <v>Kahfizul13@gmail.com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4" spans="2:18" ht="23.1" customHeight="1">
      <c r="B4" s="435" t="str">
        <f>UPPER(BB!B4)</f>
        <v>PERUMDA PARKIR MAKASSAR RAYA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7"/>
    </row>
    <row r="5" spans="2:18" ht="23.1" customHeight="1">
      <c r="B5" s="412" t="s">
        <v>191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4"/>
    </row>
    <row r="6" spans="2:18" ht="23.1" customHeight="1" thickBot="1">
      <c r="B6" s="449" t="str">
        <f>"Periode "&amp;TEXT(awal,"dd-mmm-yyy")&amp;" s/d "&amp;TEXT(akhir,"dd-mmm-yyy")</f>
        <v>Periode 01-Jan-2022 s/d 31-Dec-2022</v>
      </c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1"/>
      <c r="R6" s="57" t="s">
        <v>142</v>
      </c>
    </row>
    <row r="7" spans="2:18" ht="9.9499999999999993" customHeight="1">
      <c r="R7" s="35">
        <f>IF(OR(P7&gt;0,P7&lt;0,P7=""),1,0)</f>
        <v>1</v>
      </c>
    </row>
    <row r="8" spans="2:18" ht="23.1" customHeight="1" thickBot="1">
      <c r="B8" s="294" t="s">
        <v>144</v>
      </c>
      <c r="C8" s="295"/>
      <c r="D8" s="308" t="s">
        <v>92</v>
      </c>
      <c r="E8" s="211" t="s">
        <v>94</v>
      </c>
      <c r="F8" s="211" t="s">
        <v>185</v>
      </c>
      <c r="G8" s="307"/>
      <c r="H8" s="307"/>
      <c r="I8" s="307"/>
      <c r="J8" s="307"/>
      <c r="K8" s="307"/>
      <c r="L8" s="307"/>
      <c r="M8" s="307"/>
      <c r="N8" s="307"/>
      <c r="O8" s="307"/>
      <c r="P8" s="298" t="s">
        <v>72</v>
      </c>
      <c r="R8" s="35">
        <f t="shared" ref="R8" si="0">IF(OR(P8&gt;0,P8&lt;0,P8=""),1,0)</f>
        <v>1</v>
      </c>
    </row>
    <row r="9" spans="2:18" ht="23.1" customHeight="1">
      <c r="B9" s="299" t="str">
        <f>LR!B10</f>
        <v>410101 | PENDAPATAN PARKIR TEPI JALAN UMUM (TJU)</v>
      </c>
      <c r="C9" s="284"/>
      <c r="D9" s="300">
        <f t="shared" ref="D9:O28" si="1">IF(D$8="","",IF(INDEX(typ_sn,MATCH(INDEX(akun_type,MATCH($B9,akun_kb,0)),typ_ket,0))="db",SUMIFS(ju_sld,ju_tgl,"&gt;="&amp;awal,ju_tgl,"&lt;="&amp;akhir,ju_kr,$B9,ju_div2,"kr"&amp;D$8)-SUMIFS(ju_sld,ju_tgl,"&gt;="&amp;awal,ju_tgl,"&lt;="&amp;akhir,ju_debet,$B9,ju_div2,"db"&amp;D$8),SUMIFS(ju_sld,ju_tgl,"&gt;="&amp;awal,ju_tgl,"&lt;="&amp;akhir,ju_kr,$B9,ju_div2,"kr"&amp;D$8)-SUMIFS(ju_sld,ju_tgl,"&gt;="&amp;awal,ju_tgl,"&lt;="&amp;akhir,ju_debet,$B9,ju_div2,"db"&amp;D$8)))</f>
        <v>0</v>
      </c>
      <c r="E9" s="300">
        <f t="shared" si="1"/>
        <v>0</v>
      </c>
      <c r="F9" s="300">
        <f t="shared" si="1"/>
        <v>0</v>
      </c>
      <c r="G9" s="300" t="str">
        <f t="shared" si="1"/>
        <v/>
      </c>
      <c r="H9" s="300" t="str">
        <f t="shared" si="1"/>
        <v/>
      </c>
      <c r="I9" s="300" t="str">
        <f t="shared" si="1"/>
        <v/>
      </c>
      <c r="J9" s="300" t="str">
        <f t="shared" si="1"/>
        <v/>
      </c>
      <c r="K9" s="300" t="str">
        <f t="shared" si="1"/>
        <v/>
      </c>
      <c r="L9" s="300" t="str">
        <f t="shared" si="1"/>
        <v/>
      </c>
      <c r="M9" s="300" t="str">
        <f t="shared" si="1"/>
        <v/>
      </c>
      <c r="N9" s="300" t="str">
        <f t="shared" si="1"/>
        <v/>
      </c>
      <c r="O9" s="300" t="str">
        <f t="shared" si="1"/>
        <v/>
      </c>
      <c r="P9" s="301">
        <f t="shared" ref="P9" si="2">SUM(D9:O9)</f>
        <v>0</v>
      </c>
      <c r="R9" s="35">
        <f t="shared" ref="R9" si="3">IF(OR(P9&gt;0,P9&lt;0,P9=""),1,0)</f>
        <v>0</v>
      </c>
    </row>
    <row r="10" spans="2:18" ht="23.1" customHeight="1">
      <c r="B10" s="299" t="str">
        <f>LR!B11</f>
        <v>410102 | PENDAPATAN PARKIR INSIDENTIL</v>
      </c>
      <c r="C10" s="284"/>
      <c r="D10" s="300">
        <f t="shared" si="1"/>
        <v>0</v>
      </c>
      <c r="E10" s="300">
        <f t="shared" si="1"/>
        <v>0</v>
      </c>
      <c r="F10" s="300">
        <f t="shared" si="1"/>
        <v>0</v>
      </c>
      <c r="G10" s="300" t="str">
        <f t="shared" si="1"/>
        <v/>
      </c>
      <c r="H10" s="300" t="str">
        <f t="shared" si="1"/>
        <v/>
      </c>
      <c r="I10" s="300" t="str">
        <f t="shared" si="1"/>
        <v/>
      </c>
      <c r="J10" s="300" t="str">
        <f t="shared" si="1"/>
        <v/>
      </c>
      <c r="K10" s="300" t="str">
        <f t="shared" si="1"/>
        <v/>
      </c>
      <c r="L10" s="300" t="str">
        <f t="shared" si="1"/>
        <v/>
      </c>
      <c r="M10" s="300" t="str">
        <f t="shared" si="1"/>
        <v/>
      </c>
      <c r="N10" s="300" t="str">
        <f t="shared" si="1"/>
        <v/>
      </c>
      <c r="O10" s="300" t="str">
        <f t="shared" si="1"/>
        <v/>
      </c>
      <c r="P10" s="301">
        <f t="shared" ref="P10:P14" si="4">SUM(D10:O10)</f>
        <v>0</v>
      </c>
      <c r="R10" s="35">
        <f t="shared" ref="R10:R14" si="5">IF(OR(P10&gt;0,P10&lt;0,P10=""),1,0)</f>
        <v>0</v>
      </c>
    </row>
    <row r="11" spans="2:18" ht="23.1" customHeight="1">
      <c r="B11" s="299" t="str">
        <f>LR!B12</f>
        <v>410103 | PENDAPATAN PARKIR KOMERSIL</v>
      </c>
      <c r="C11" s="284"/>
      <c r="D11" s="300">
        <f t="shared" si="1"/>
        <v>0</v>
      </c>
      <c r="E11" s="300">
        <f t="shared" si="1"/>
        <v>0</v>
      </c>
      <c r="F11" s="300">
        <f t="shared" si="1"/>
        <v>0</v>
      </c>
      <c r="G11" s="300" t="str">
        <f t="shared" si="1"/>
        <v/>
      </c>
      <c r="H11" s="300" t="str">
        <f t="shared" si="1"/>
        <v/>
      </c>
      <c r="I11" s="300" t="str">
        <f t="shared" si="1"/>
        <v/>
      </c>
      <c r="J11" s="300" t="str">
        <f t="shared" si="1"/>
        <v/>
      </c>
      <c r="K11" s="300" t="str">
        <f t="shared" si="1"/>
        <v/>
      </c>
      <c r="L11" s="300" t="str">
        <f t="shared" si="1"/>
        <v/>
      </c>
      <c r="M11" s="300" t="str">
        <f t="shared" si="1"/>
        <v/>
      </c>
      <c r="N11" s="300" t="str">
        <f t="shared" si="1"/>
        <v/>
      </c>
      <c r="O11" s="300" t="str">
        <f t="shared" si="1"/>
        <v/>
      </c>
      <c r="P11" s="301">
        <f t="shared" si="4"/>
        <v>0</v>
      </c>
      <c r="R11" s="35">
        <f t="shared" si="5"/>
        <v>0</v>
      </c>
    </row>
    <row r="12" spans="2:18" ht="23.1" customHeight="1">
      <c r="B12" s="299" t="str">
        <f>LR!B13</f>
        <v>410104 | PENDAPATAN PARKIR LANGGANAN BULANAN</v>
      </c>
      <c r="C12" s="284"/>
      <c r="D12" s="300">
        <f t="shared" si="1"/>
        <v>0</v>
      </c>
      <c r="E12" s="300">
        <f t="shared" si="1"/>
        <v>0</v>
      </c>
      <c r="F12" s="300">
        <f t="shared" si="1"/>
        <v>0</v>
      </c>
      <c r="G12" s="300" t="str">
        <f t="shared" si="1"/>
        <v/>
      </c>
      <c r="H12" s="300" t="str">
        <f t="shared" si="1"/>
        <v/>
      </c>
      <c r="I12" s="300" t="str">
        <f t="shared" si="1"/>
        <v/>
      </c>
      <c r="J12" s="300" t="str">
        <f t="shared" si="1"/>
        <v/>
      </c>
      <c r="K12" s="300" t="str">
        <f t="shared" si="1"/>
        <v/>
      </c>
      <c r="L12" s="300" t="str">
        <f t="shared" si="1"/>
        <v/>
      </c>
      <c r="M12" s="300" t="str">
        <f t="shared" si="1"/>
        <v/>
      </c>
      <c r="N12" s="300" t="str">
        <f t="shared" si="1"/>
        <v/>
      </c>
      <c r="O12" s="300" t="str">
        <f t="shared" si="1"/>
        <v/>
      </c>
      <c r="P12" s="301">
        <f t="shared" si="4"/>
        <v>0</v>
      </c>
      <c r="R12" s="35">
        <f t="shared" si="5"/>
        <v>0</v>
      </c>
    </row>
    <row r="13" spans="2:18" ht="23.1" customHeight="1">
      <c r="B13" s="299" t="str">
        <f>LR!B14</f>
        <v>410105 | PENDAPATAN SEWA LAHAN PARKIR</v>
      </c>
      <c r="C13" s="284"/>
      <c r="D13" s="300">
        <f t="shared" si="1"/>
        <v>0</v>
      </c>
      <c r="E13" s="300">
        <f t="shared" si="1"/>
        <v>0</v>
      </c>
      <c r="F13" s="300">
        <f t="shared" si="1"/>
        <v>0</v>
      </c>
      <c r="G13" s="300" t="str">
        <f t="shared" si="1"/>
        <v/>
      </c>
      <c r="H13" s="300" t="str">
        <f t="shared" si="1"/>
        <v/>
      </c>
      <c r="I13" s="300" t="str">
        <f t="shared" si="1"/>
        <v/>
      </c>
      <c r="J13" s="300" t="str">
        <f t="shared" si="1"/>
        <v/>
      </c>
      <c r="K13" s="300" t="str">
        <f t="shared" si="1"/>
        <v/>
      </c>
      <c r="L13" s="300" t="str">
        <f t="shared" si="1"/>
        <v/>
      </c>
      <c r="M13" s="300" t="str">
        <f t="shared" si="1"/>
        <v/>
      </c>
      <c r="N13" s="300" t="str">
        <f t="shared" si="1"/>
        <v/>
      </c>
      <c r="O13" s="300" t="str">
        <f t="shared" si="1"/>
        <v/>
      </c>
      <c r="P13" s="301">
        <f t="shared" si="4"/>
        <v>0</v>
      </c>
      <c r="R13" s="35">
        <f t="shared" si="5"/>
        <v>0</v>
      </c>
    </row>
    <row r="14" spans="2:18" ht="23.1" customHeight="1">
      <c r="B14" s="299" t="str">
        <f>LR!B15</f>
        <v xml:space="preserve">410106 | PENDAPATAN PARKIR </v>
      </c>
      <c r="C14" s="284"/>
      <c r="D14" s="300">
        <f t="shared" si="1"/>
        <v>0</v>
      </c>
      <c r="E14" s="300">
        <f t="shared" si="1"/>
        <v>0</v>
      </c>
      <c r="F14" s="300">
        <f t="shared" si="1"/>
        <v>0</v>
      </c>
      <c r="G14" s="300" t="str">
        <f t="shared" si="1"/>
        <v/>
      </c>
      <c r="H14" s="300" t="str">
        <f t="shared" si="1"/>
        <v/>
      </c>
      <c r="I14" s="300" t="str">
        <f t="shared" si="1"/>
        <v/>
      </c>
      <c r="J14" s="300" t="str">
        <f t="shared" si="1"/>
        <v/>
      </c>
      <c r="K14" s="300" t="str">
        <f t="shared" si="1"/>
        <v/>
      </c>
      <c r="L14" s="300" t="str">
        <f t="shared" si="1"/>
        <v/>
      </c>
      <c r="M14" s="300" t="str">
        <f t="shared" si="1"/>
        <v/>
      </c>
      <c r="N14" s="300" t="str">
        <f t="shared" si="1"/>
        <v/>
      </c>
      <c r="O14" s="300" t="str">
        <f t="shared" si="1"/>
        <v/>
      </c>
      <c r="P14" s="301">
        <f t="shared" si="4"/>
        <v>0</v>
      </c>
      <c r="R14" s="35">
        <f t="shared" si="5"/>
        <v>0</v>
      </c>
    </row>
    <row r="15" spans="2:18" ht="23.1" customHeight="1">
      <c r="B15" s="299" t="str">
        <f>LR!B15</f>
        <v xml:space="preserve">410106 | PENDAPATAN PARKIR </v>
      </c>
      <c r="C15" s="284"/>
      <c r="D15" s="300">
        <f t="shared" si="1"/>
        <v>0</v>
      </c>
      <c r="E15" s="300">
        <f t="shared" si="1"/>
        <v>0</v>
      </c>
      <c r="F15" s="300">
        <f t="shared" si="1"/>
        <v>0</v>
      </c>
      <c r="G15" s="300" t="str">
        <f t="shared" si="1"/>
        <v/>
      </c>
      <c r="H15" s="300" t="str">
        <f t="shared" si="1"/>
        <v/>
      </c>
      <c r="I15" s="300" t="str">
        <f t="shared" si="1"/>
        <v/>
      </c>
      <c r="J15" s="300" t="str">
        <f t="shared" si="1"/>
        <v/>
      </c>
      <c r="K15" s="300" t="str">
        <f t="shared" si="1"/>
        <v/>
      </c>
      <c r="L15" s="300" t="str">
        <f t="shared" si="1"/>
        <v/>
      </c>
      <c r="M15" s="300" t="str">
        <f t="shared" si="1"/>
        <v/>
      </c>
      <c r="N15" s="300" t="str">
        <f t="shared" si="1"/>
        <v/>
      </c>
      <c r="O15" s="300" t="str">
        <f t="shared" si="1"/>
        <v/>
      </c>
      <c r="P15" s="301">
        <f t="shared" ref="P15" si="6">SUM(D15:O15)</f>
        <v>0</v>
      </c>
      <c r="R15" s="35">
        <f t="shared" ref="R15" si="7">IF(OR(P15&gt;0,P15&lt;0,P15=""),1,0)</f>
        <v>0</v>
      </c>
    </row>
    <row r="16" spans="2:18" ht="23.1" customHeight="1">
      <c r="B16" s="299" t="str">
        <f>LR!B16</f>
        <v>410107 | PENDAPATAN PARKIR TEKHNOLOGI / ONLINE</v>
      </c>
      <c r="C16" s="284"/>
      <c r="D16" s="300">
        <f t="shared" si="1"/>
        <v>0</v>
      </c>
      <c r="E16" s="300">
        <f t="shared" si="1"/>
        <v>0</v>
      </c>
      <c r="F16" s="300">
        <f t="shared" si="1"/>
        <v>0</v>
      </c>
      <c r="G16" s="300" t="str">
        <f t="shared" si="1"/>
        <v/>
      </c>
      <c r="H16" s="300" t="str">
        <f t="shared" si="1"/>
        <v/>
      </c>
      <c r="I16" s="300" t="str">
        <f t="shared" si="1"/>
        <v/>
      </c>
      <c r="J16" s="300" t="str">
        <f t="shared" si="1"/>
        <v/>
      </c>
      <c r="K16" s="300" t="str">
        <f t="shared" si="1"/>
        <v/>
      </c>
      <c r="L16" s="300" t="str">
        <f t="shared" si="1"/>
        <v/>
      </c>
      <c r="M16" s="300" t="str">
        <f t="shared" si="1"/>
        <v/>
      </c>
      <c r="N16" s="300" t="str">
        <f t="shared" si="1"/>
        <v/>
      </c>
      <c r="O16" s="300" t="str">
        <f t="shared" si="1"/>
        <v/>
      </c>
      <c r="P16" s="301">
        <f t="shared" ref="P16:P19" si="8">SUM(D16:O16)</f>
        <v>0</v>
      </c>
      <c r="R16" s="35">
        <f t="shared" ref="R16:R71" si="9">IF(OR(P16&gt;0,P16&lt;0,P16=""),1,0)</f>
        <v>0</v>
      </c>
    </row>
    <row r="17" spans="2:18" ht="23.1" customHeight="1">
      <c r="B17" s="299" t="str">
        <f>LR!B17</f>
        <v>TOTAL PENDAPATAN</v>
      </c>
      <c r="C17" s="284"/>
      <c r="D17" s="300" t="e">
        <f t="shared" si="1"/>
        <v>#N/A</v>
      </c>
      <c r="E17" s="300" t="e">
        <f t="shared" si="1"/>
        <v>#N/A</v>
      </c>
      <c r="F17" s="300" t="e">
        <f t="shared" si="1"/>
        <v>#N/A</v>
      </c>
      <c r="G17" s="300" t="str">
        <f t="shared" si="1"/>
        <v/>
      </c>
      <c r="H17" s="300" t="str">
        <f t="shared" si="1"/>
        <v/>
      </c>
      <c r="I17" s="300" t="str">
        <f t="shared" si="1"/>
        <v/>
      </c>
      <c r="J17" s="300" t="str">
        <f t="shared" si="1"/>
        <v/>
      </c>
      <c r="K17" s="300" t="str">
        <f t="shared" si="1"/>
        <v/>
      </c>
      <c r="L17" s="300" t="str">
        <f t="shared" si="1"/>
        <v/>
      </c>
      <c r="M17" s="300" t="str">
        <f t="shared" si="1"/>
        <v/>
      </c>
      <c r="N17" s="300" t="str">
        <f t="shared" si="1"/>
        <v/>
      </c>
      <c r="O17" s="300" t="str">
        <f t="shared" si="1"/>
        <v/>
      </c>
      <c r="P17" s="301" t="e">
        <f t="shared" si="8"/>
        <v>#N/A</v>
      </c>
      <c r="R17" s="35" t="e">
        <f t="shared" si="9"/>
        <v>#N/A</v>
      </c>
    </row>
    <row r="18" spans="2:18" ht="23.1" customHeight="1">
      <c r="B18" s="299" t="str">
        <f>LR!B18</f>
        <v>POTONGAN/PENGURANG PENDAPATAN</v>
      </c>
      <c r="C18" s="284"/>
      <c r="D18" s="300" t="e">
        <f t="shared" si="1"/>
        <v>#N/A</v>
      </c>
      <c r="E18" s="300" t="e">
        <f t="shared" si="1"/>
        <v>#N/A</v>
      </c>
      <c r="F18" s="300" t="e">
        <f t="shared" si="1"/>
        <v>#N/A</v>
      </c>
      <c r="G18" s="300" t="str">
        <f t="shared" si="1"/>
        <v/>
      </c>
      <c r="H18" s="300" t="str">
        <f t="shared" si="1"/>
        <v/>
      </c>
      <c r="I18" s="300" t="str">
        <f t="shared" si="1"/>
        <v/>
      </c>
      <c r="J18" s="300" t="str">
        <f t="shared" si="1"/>
        <v/>
      </c>
      <c r="K18" s="300" t="str">
        <f t="shared" si="1"/>
        <v/>
      </c>
      <c r="L18" s="300" t="str">
        <f t="shared" si="1"/>
        <v/>
      </c>
      <c r="M18" s="300" t="str">
        <f t="shared" si="1"/>
        <v/>
      </c>
      <c r="N18" s="300" t="str">
        <f t="shared" si="1"/>
        <v/>
      </c>
      <c r="O18" s="300" t="str">
        <f t="shared" si="1"/>
        <v/>
      </c>
      <c r="P18" s="301" t="e">
        <f t="shared" ref="P18" si="10">SUM(D18:O18)</f>
        <v>#N/A</v>
      </c>
      <c r="R18" s="35" t="e">
        <f t="shared" ref="R18" si="11">IF(OR(P18&gt;0,P18&lt;0,P18=""),1,0)</f>
        <v>#N/A</v>
      </c>
    </row>
    <row r="19" spans="2:18" ht="23.1" customHeight="1">
      <c r="B19" s="299" t="str">
        <f>LR!B19</f>
        <v>420101 | POTONGAN / PENGURANG PENDAPATAN - TJU</v>
      </c>
      <c r="C19" s="284"/>
      <c r="D19" s="300">
        <f t="shared" si="1"/>
        <v>0</v>
      </c>
      <c r="E19" s="300">
        <f t="shared" si="1"/>
        <v>0</v>
      </c>
      <c r="F19" s="300">
        <f t="shared" si="1"/>
        <v>0</v>
      </c>
      <c r="G19" s="300" t="str">
        <f t="shared" si="1"/>
        <v/>
      </c>
      <c r="H19" s="300" t="str">
        <f t="shared" si="1"/>
        <v/>
      </c>
      <c r="I19" s="300" t="str">
        <f t="shared" si="1"/>
        <v/>
      </c>
      <c r="J19" s="300" t="str">
        <f t="shared" si="1"/>
        <v/>
      </c>
      <c r="K19" s="300" t="str">
        <f t="shared" si="1"/>
        <v/>
      </c>
      <c r="L19" s="300" t="str">
        <f t="shared" si="1"/>
        <v/>
      </c>
      <c r="M19" s="300" t="str">
        <f t="shared" si="1"/>
        <v/>
      </c>
      <c r="N19" s="300" t="str">
        <f t="shared" si="1"/>
        <v/>
      </c>
      <c r="O19" s="300" t="str">
        <f t="shared" si="1"/>
        <v/>
      </c>
      <c r="P19" s="301">
        <f t="shared" si="8"/>
        <v>0</v>
      </c>
      <c r="R19" s="35">
        <f t="shared" si="9"/>
        <v>0</v>
      </c>
    </row>
    <row r="20" spans="2:18" ht="23.1" customHeight="1">
      <c r="B20" s="299" t="str">
        <f>LR!B21</f>
        <v>420103 | POTONGAN / PENGURANG PENDAPATAN - KOMERSIAL</v>
      </c>
      <c r="C20" s="284"/>
      <c r="D20" s="300">
        <f t="shared" si="1"/>
        <v>0</v>
      </c>
      <c r="E20" s="300">
        <f t="shared" si="1"/>
        <v>0</v>
      </c>
      <c r="F20" s="300">
        <f t="shared" si="1"/>
        <v>0</v>
      </c>
      <c r="G20" s="300" t="str">
        <f t="shared" si="1"/>
        <v/>
      </c>
      <c r="H20" s="300" t="str">
        <f t="shared" si="1"/>
        <v/>
      </c>
      <c r="I20" s="300" t="str">
        <f t="shared" si="1"/>
        <v/>
      </c>
      <c r="J20" s="300" t="str">
        <f t="shared" si="1"/>
        <v/>
      </c>
      <c r="K20" s="300" t="str">
        <f t="shared" si="1"/>
        <v/>
      </c>
      <c r="L20" s="300" t="str">
        <f t="shared" si="1"/>
        <v/>
      </c>
      <c r="M20" s="300" t="str">
        <f t="shared" si="1"/>
        <v/>
      </c>
      <c r="N20" s="300" t="str">
        <f t="shared" si="1"/>
        <v/>
      </c>
      <c r="O20" s="300" t="str">
        <f t="shared" si="1"/>
        <v/>
      </c>
      <c r="P20" s="301">
        <f t="shared" ref="P20:P71" si="12">SUM(D20:O20)</f>
        <v>0</v>
      </c>
      <c r="R20" s="35">
        <f t="shared" si="9"/>
        <v>0</v>
      </c>
    </row>
    <row r="21" spans="2:18" ht="23.1" customHeight="1">
      <c r="B21" s="299" t="str">
        <f>LR!B22</f>
        <v>420104 | POTONGAN / PENGURANG PENDAPATAN - PLB</v>
      </c>
      <c r="C21" s="284"/>
      <c r="D21" s="300">
        <f t="shared" si="1"/>
        <v>0</v>
      </c>
      <c r="E21" s="300">
        <f t="shared" si="1"/>
        <v>0</v>
      </c>
      <c r="F21" s="300">
        <f t="shared" si="1"/>
        <v>0</v>
      </c>
      <c r="G21" s="300" t="str">
        <f t="shared" si="1"/>
        <v/>
      </c>
      <c r="H21" s="300" t="str">
        <f t="shared" si="1"/>
        <v/>
      </c>
      <c r="I21" s="300" t="str">
        <f t="shared" si="1"/>
        <v/>
      </c>
      <c r="J21" s="300" t="str">
        <f t="shared" si="1"/>
        <v/>
      </c>
      <c r="K21" s="300" t="str">
        <f t="shared" si="1"/>
        <v/>
      </c>
      <c r="L21" s="300" t="str">
        <f t="shared" si="1"/>
        <v/>
      </c>
      <c r="M21" s="300" t="str">
        <f t="shared" si="1"/>
        <v/>
      </c>
      <c r="N21" s="300" t="str">
        <f t="shared" si="1"/>
        <v/>
      </c>
      <c r="O21" s="300" t="str">
        <f t="shared" si="1"/>
        <v/>
      </c>
      <c r="P21" s="301">
        <f t="shared" si="12"/>
        <v>0</v>
      </c>
      <c r="R21" s="35">
        <f t="shared" si="9"/>
        <v>0</v>
      </c>
    </row>
    <row r="22" spans="2:18" ht="23.1" customHeight="1">
      <c r="B22" s="299" t="str">
        <f>LR!B23</f>
        <v>420105 | POTONGAN / PENGURANG PENDAPATAN - INSIDENTIL ONLIN</v>
      </c>
      <c r="C22" s="284"/>
      <c r="D22" s="300">
        <f t="shared" si="1"/>
        <v>0</v>
      </c>
      <c r="E22" s="300">
        <f t="shared" si="1"/>
        <v>0</v>
      </c>
      <c r="F22" s="300">
        <f t="shared" si="1"/>
        <v>0</v>
      </c>
      <c r="G22" s="300" t="str">
        <f t="shared" si="1"/>
        <v/>
      </c>
      <c r="H22" s="300" t="str">
        <f t="shared" si="1"/>
        <v/>
      </c>
      <c r="I22" s="300" t="str">
        <f t="shared" si="1"/>
        <v/>
      </c>
      <c r="J22" s="300" t="str">
        <f t="shared" si="1"/>
        <v/>
      </c>
      <c r="K22" s="300" t="str">
        <f t="shared" si="1"/>
        <v/>
      </c>
      <c r="L22" s="300" t="str">
        <f t="shared" si="1"/>
        <v/>
      </c>
      <c r="M22" s="300" t="str">
        <f t="shared" si="1"/>
        <v/>
      </c>
      <c r="N22" s="300" t="str">
        <f t="shared" si="1"/>
        <v/>
      </c>
      <c r="O22" s="300" t="str">
        <f t="shared" si="1"/>
        <v/>
      </c>
      <c r="P22" s="301">
        <f t="shared" si="12"/>
        <v>0</v>
      </c>
      <c r="R22" s="35">
        <f t="shared" si="9"/>
        <v>0</v>
      </c>
    </row>
    <row r="23" spans="2:18" ht="23.1" customHeight="1">
      <c r="B23" s="299" t="str">
        <f>LR!B24</f>
        <v>420106 | POTONGAN / PENGURANG PENDAPATAN - KHUSUS BADAN USA</v>
      </c>
      <c r="C23" s="284"/>
      <c r="D23" s="300">
        <f t="shared" si="1"/>
        <v>0</v>
      </c>
      <c r="E23" s="300">
        <f t="shared" si="1"/>
        <v>0</v>
      </c>
      <c r="F23" s="300">
        <f t="shared" si="1"/>
        <v>0</v>
      </c>
      <c r="G23" s="300" t="str">
        <f t="shared" si="1"/>
        <v/>
      </c>
      <c r="H23" s="300" t="str">
        <f t="shared" si="1"/>
        <v/>
      </c>
      <c r="I23" s="300" t="str">
        <f t="shared" si="1"/>
        <v/>
      </c>
      <c r="J23" s="300" t="str">
        <f t="shared" si="1"/>
        <v/>
      </c>
      <c r="K23" s="300" t="str">
        <f t="shared" si="1"/>
        <v/>
      </c>
      <c r="L23" s="300" t="str">
        <f t="shared" si="1"/>
        <v/>
      </c>
      <c r="M23" s="300" t="str">
        <f t="shared" si="1"/>
        <v/>
      </c>
      <c r="N23" s="300" t="str">
        <f t="shared" si="1"/>
        <v/>
      </c>
      <c r="O23" s="300" t="str">
        <f t="shared" si="1"/>
        <v/>
      </c>
      <c r="P23" s="301">
        <f t="shared" si="12"/>
        <v>0</v>
      </c>
      <c r="R23" s="35">
        <f t="shared" si="9"/>
        <v>0</v>
      </c>
    </row>
    <row r="24" spans="2:18" ht="23.1" customHeight="1">
      <c r="B24" s="299" t="str">
        <f>LR!B25</f>
        <v>420107 | POTONGAN / PENGURANG PENDAPATAN - TEKNOLOGI / ONLI</v>
      </c>
      <c r="C24" s="284"/>
      <c r="D24" s="300">
        <f t="shared" si="1"/>
        <v>0</v>
      </c>
      <c r="E24" s="300">
        <f t="shared" si="1"/>
        <v>0</v>
      </c>
      <c r="F24" s="300">
        <f t="shared" si="1"/>
        <v>0</v>
      </c>
      <c r="G24" s="300" t="str">
        <f t="shared" si="1"/>
        <v/>
      </c>
      <c r="H24" s="300" t="str">
        <f t="shared" si="1"/>
        <v/>
      </c>
      <c r="I24" s="300" t="str">
        <f t="shared" si="1"/>
        <v/>
      </c>
      <c r="J24" s="300" t="str">
        <f t="shared" si="1"/>
        <v/>
      </c>
      <c r="K24" s="300" t="str">
        <f t="shared" si="1"/>
        <v/>
      </c>
      <c r="L24" s="300" t="str">
        <f t="shared" si="1"/>
        <v/>
      </c>
      <c r="M24" s="300" t="str">
        <f t="shared" si="1"/>
        <v/>
      </c>
      <c r="N24" s="300" t="str">
        <f t="shared" si="1"/>
        <v/>
      </c>
      <c r="O24" s="300" t="str">
        <f t="shared" si="1"/>
        <v/>
      </c>
      <c r="P24" s="301">
        <f t="shared" si="12"/>
        <v>0</v>
      </c>
      <c r="R24" s="35">
        <f t="shared" si="9"/>
        <v>0</v>
      </c>
    </row>
    <row r="25" spans="2:18" ht="23.1" customHeight="1">
      <c r="B25" s="299" t="str">
        <f>LR!B26</f>
        <v>TOTAL POTONGAN/PENGURANG PENDAPATAN</v>
      </c>
      <c r="C25" s="284"/>
      <c r="D25" s="300" t="e">
        <f t="shared" si="1"/>
        <v>#N/A</v>
      </c>
      <c r="E25" s="300" t="e">
        <f t="shared" si="1"/>
        <v>#N/A</v>
      </c>
      <c r="F25" s="300" t="e">
        <f t="shared" si="1"/>
        <v>#N/A</v>
      </c>
      <c r="G25" s="300" t="str">
        <f t="shared" si="1"/>
        <v/>
      </c>
      <c r="H25" s="300" t="str">
        <f t="shared" si="1"/>
        <v/>
      </c>
      <c r="I25" s="300" t="str">
        <f t="shared" si="1"/>
        <v/>
      </c>
      <c r="J25" s="300" t="str">
        <f t="shared" si="1"/>
        <v/>
      </c>
      <c r="K25" s="300" t="str">
        <f t="shared" si="1"/>
        <v/>
      </c>
      <c r="L25" s="300" t="str">
        <f t="shared" si="1"/>
        <v/>
      </c>
      <c r="M25" s="300" t="str">
        <f t="shared" si="1"/>
        <v/>
      </c>
      <c r="N25" s="300" t="str">
        <f t="shared" si="1"/>
        <v/>
      </c>
      <c r="O25" s="300" t="str">
        <f t="shared" si="1"/>
        <v/>
      </c>
      <c r="P25" s="301" t="e">
        <f t="shared" si="12"/>
        <v>#N/A</v>
      </c>
      <c r="R25" s="35" t="e">
        <f t="shared" si="9"/>
        <v>#N/A</v>
      </c>
    </row>
    <row r="26" spans="2:18" ht="23.1" customHeight="1">
      <c r="B26" s="299" t="str">
        <f>LR!B27</f>
        <v>TOTAL PENDAPATAN</v>
      </c>
      <c r="C26" s="284"/>
      <c r="D26" s="300" t="e">
        <f t="shared" si="1"/>
        <v>#N/A</v>
      </c>
      <c r="E26" s="300" t="e">
        <f t="shared" si="1"/>
        <v>#N/A</v>
      </c>
      <c r="F26" s="300" t="e">
        <f t="shared" si="1"/>
        <v>#N/A</v>
      </c>
      <c r="G26" s="300" t="str">
        <f t="shared" si="1"/>
        <v/>
      </c>
      <c r="H26" s="300" t="str">
        <f t="shared" si="1"/>
        <v/>
      </c>
      <c r="I26" s="300" t="str">
        <f t="shared" si="1"/>
        <v/>
      </c>
      <c r="J26" s="300" t="str">
        <f t="shared" si="1"/>
        <v/>
      </c>
      <c r="K26" s="300" t="str">
        <f t="shared" si="1"/>
        <v/>
      </c>
      <c r="L26" s="300" t="str">
        <f t="shared" si="1"/>
        <v/>
      </c>
      <c r="M26" s="300" t="str">
        <f t="shared" si="1"/>
        <v/>
      </c>
      <c r="N26" s="300" t="str">
        <f t="shared" si="1"/>
        <v/>
      </c>
      <c r="O26" s="300" t="str">
        <f t="shared" si="1"/>
        <v/>
      </c>
      <c r="P26" s="301" t="e">
        <f t="shared" si="12"/>
        <v>#N/A</v>
      </c>
      <c r="R26" s="35" t="e">
        <f t="shared" si="9"/>
        <v>#N/A</v>
      </c>
    </row>
    <row r="27" spans="2:18" ht="23.1" customHeight="1">
      <c r="B27" s="299" t="str">
        <f>LR!B28</f>
        <v>BIAYA OPERASI</v>
      </c>
      <c r="C27" s="284"/>
      <c r="D27" s="300" t="e">
        <f t="shared" ref="D27:O27" si="13">IF(D$8="","",IF(INDEX(typ_sn,MATCH(INDEX(akun_type,MATCH($B27,akun_kb,0)),typ_ket,0))="db",SUMIFS(ju_sld,ju_tgl,"&gt;="&amp;awal,ju_tgl,"&lt;="&amp;akhir,ju_kr,$B27,ju_div2,"kr"&amp;D$8)-SUMIFS(ju_sld,ju_tgl,"&gt;="&amp;awal,ju_tgl,"&lt;="&amp;akhir,ju_debet,$B27,ju_div2,"db"&amp;D$8),SUMIFS(ju_sld,ju_tgl,"&gt;="&amp;awal,ju_tgl,"&lt;="&amp;akhir,ju_kr,$B27,ju_div2,"kr"&amp;D$8)-SUMIFS(ju_sld,ju_tgl,"&gt;="&amp;awal,ju_tgl,"&lt;="&amp;akhir,ju_debet,$B27,ju_div2,"db"&amp;D$8)))</f>
        <v>#N/A</v>
      </c>
      <c r="E27" s="300" t="e">
        <f t="shared" si="13"/>
        <v>#N/A</v>
      </c>
      <c r="F27" s="300" t="e">
        <f t="shared" si="13"/>
        <v>#N/A</v>
      </c>
      <c r="G27" s="300" t="str">
        <f t="shared" si="13"/>
        <v/>
      </c>
      <c r="H27" s="300" t="str">
        <f t="shared" si="13"/>
        <v/>
      </c>
      <c r="I27" s="300" t="str">
        <f t="shared" si="13"/>
        <v/>
      </c>
      <c r="J27" s="300" t="str">
        <f t="shared" si="13"/>
        <v/>
      </c>
      <c r="K27" s="300" t="str">
        <f t="shared" si="13"/>
        <v/>
      </c>
      <c r="L27" s="300" t="str">
        <f t="shared" si="13"/>
        <v/>
      </c>
      <c r="M27" s="300" t="str">
        <f t="shared" si="13"/>
        <v/>
      </c>
      <c r="N27" s="300" t="str">
        <f t="shared" si="13"/>
        <v/>
      </c>
      <c r="O27" s="300" t="str">
        <f t="shared" si="13"/>
        <v/>
      </c>
      <c r="P27" s="301" t="e">
        <f t="shared" si="12"/>
        <v>#N/A</v>
      </c>
      <c r="R27" s="35" t="e">
        <f t="shared" si="9"/>
        <v>#N/A</v>
      </c>
    </row>
    <row r="28" spans="2:18" ht="23.1" customHeight="1">
      <c r="B28" s="299" t="str">
        <f>LR!B29</f>
        <v>BIAYA OPERASIONAL</v>
      </c>
      <c r="C28" s="284"/>
      <c r="D28" s="300" t="e">
        <f t="shared" si="1"/>
        <v>#N/A</v>
      </c>
      <c r="E28" s="300" t="e">
        <f t="shared" si="1"/>
        <v>#N/A</v>
      </c>
      <c r="F28" s="300" t="e">
        <f t="shared" si="1"/>
        <v>#N/A</v>
      </c>
      <c r="G28" s="300" t="str">
        <f t="shared" si="1"/>
        <v/>
      </c>
      <c r="H28" s="300" t="str">
        <f t="shared" si="1"/>
        <v/>
      </c>
      <c r="I28" s="300" t="str">
        <f t="shared" si="1"/>
        <v/>
      </c>
      <c r="J28" s="300" t="str">
        <f t="shared" si="1"/>
        <v/>
      </c>
      <c r="K28" s="300" t="str">
        <f t="shared" si="1"/>
        <v/>
      </c>
      <c r="L28" s="300" t="str">
        <f t="shared" si="1"/>
        <v/>
      </c>
      <c r="M28" s="300" t="str">
        <f t="shared" si="1"/>
        <v/>
      </c>
      <c r="N28" s="300" t="str">
        <f t="shared" si="1"/>
        <v/>
      </c>
      <c r="O28" s="300" t="str">
        <f t="shared" si="1"/>
        <v/>
      </c>
      <c r="P28" s="301" t="e">
        <f t="shared" si="12"/>
        <v>#N/A</v>
      </c>
      <c r="R28" s="35" t="e">
        <f t="shared" si="9"/>
        <v>#N/A</v>
      </c>
    </row>
    <row r="29" spans="2:18" ht="23.1" customHeight="1">
      <c r="B29" s="299" t="str">
        <f>LR!B30</f>
        <v>510101 | BIAYA CETAKAN</v>
      </c>
      <c r="C29" s="284"/>
      <c r="D29" s="300">
        <f t="shared" ref="D29:O44" si="14">IF(D$8="","",IF(INDEX(typ_sn,MATCH(INDEX(akun_type,MATCH($B29,akun_kb,0)),typ_ket,0))="db",SUMIFS(ju_sld,ju_tgl,"&gt;="&amp;awal,ju_tgl,"&lt;="&amp;akhir,ju_kr,$B29,ju_div2,"kr"&amp;D$8)-SUMIFS(ju_sld,ju_tgl,"&gt;="&amp;awal,ju_tgl,"&lt;="&amp;akhir,ju_debet,$B29,ju_div2,"db"&amp;D$8),SUMIFS(ju_sld,ju_tgl,"&gt;="&amp;awal,ju_tgl,"&lt;="&amp;akhir,ju_kr,$B29,ju_div2,"kr"&amp;D$8)-SUMIFS(ju_sld,ju_tgl,"&gt;="&amp;awal,ju_tgl,"&lt;="&amp;akhir,ju_debet,$B29,ju_div2,"db"&amp;D$8)))</f>
        <v>0</v>
      </c>
      <c r="E29" s="300">
        <f t="shared" si="14"/>
        <v>0</v>
      </c>
      <c r="F29" s="300">
        <f t="shared" si="14"/>
        <v>0</v>
      </c>
      <c r="G29" s="300" t="str">
        <f t="shared" si="14"/>
        <v/>
      </c>
      <c r="H29" s="300" t="str">
        <f t="shared" si="14"/>
        <v/>
      </c>
      <c r="I29" s="300" t="str">
        <f t="shared" si="14"/>
        <v/>
      </c>
      <c r="J29" s="300" t="str">
        <f t="shared" si="14"/>
        <v/>
      </c>
      <c r="K29" s="300" t="str">
        <f t="shared" si="14"/>
        <v/>
      </c>
      <c r="L29" s="300" t="str">
        <f t="shared" si="14"/>
        <v/>
      </c>
      <c r="M29" s="300" t="str">
        <f t="shared" si="14"/>
        <v/>
      </c>
      <c r="N29" s="300" t="str">
        <f t="shared" si="14"/>
        <v/>
      </c>
      <c r="O29" s="300" t="str">
        <f t="shared" si="14"/>
        <v/>
      </c>
      <c r="P29" s="301">
        <f t="shared" si="12"/>
        <v>0</v>
      </c>
      <c r="R29" s="35">
        <f t="shared" si="9"/>
        <v>0</v>
      </c>
    </row>
    <row r="30" spans="2:18" ht="23.1" customHeight="1">
      <c r="B30" s="299" t="str">
        <f>LR!B31</f>
        <v>510102 | BIAYA SURVEY / UJI PETIK</v>
      </c>
      <c r="C30" s="284"/>
      <c r="D30" s="300">
        <f t="shared" si="14"/>
        <v>0</v>
      </c>
      <c r="E30" s="300">
        <f t="shared" si="14"/>
        <v>0</v>
      </c>
      <c r="F30" s="300">
        <f t="shared" si="14"/>
        <v>0</v>
      </c>
      <c r="G30" s="300" t="str">
        <f t="shared" si="14"/>
        <v/>
      </c>
      <c r="H30" s="300" t="str">
        <f t="shared" si="14"/>
        <v/>
      </c>
      <c r="I30" s="300" t="str">
        <f t="shared" si="14"/>
        <v/>
      </c>
      <c r="J30" s="300" t="str">
        <f t="shared" si="14"/>
        <v/>
      </c>
      <c r="K30" s="300" t="str">
        <f t="shared" si="14"/>
        <v/>
      </c>
      <c r="L30" s="300" t="str">
        <f t="shared" si="14"/>
        <v/>
      </c>
      <c r="M30" s="300" t="str">
        <f t="shared" si="14"/>
        <v/>
      </c>
      <c r="N30" s="300" t="str">
        <f t="shared" si="14"/>
        <v/>
      </c>
      <c r="O30" s="300" t="str">
        <f t="shared" si="14"/>
        <v/>
      </c>
      <c r="P30" s="301">
        <f t="shared" si="12"/>
        <v>0</v>
      </c>
      <c r="R30" s="35">
        <f t="shared" si="9"/>
        <v>0</v>
      </c>
    </row>
    <row r="31" spans="2:18" ht="23.1" customHeight="1">
      <c r="B31" s="299" t="str">
        <f>LR!B32</f>
        <v>510103 | BIAYA OPERASIONAL TIM PATROLI KHUSUS</v>
      </c>
      <c r="C31" s="284"/>
      <c r="D31" s="300">
        <f t="shared" si="14"/>
        <v>0</v>
      </c>
      <c r="E31" s="300">
        <f t="shared" si="14"/>
        <v>0</v>
      </c>
      <c r="F31" s="300">
        <f t="shared" si="14"/>
        <v>0</v>
      </c>
      <c r="G31" s="300" t="str">
        <f t="shared" si="14"/>
        <v/>
      </c>
      <c r="H31" s="300" t="str">
        <f t="shared" si="14"/>
        <v/>
      </c>
      <c r="I31" s="300" t="str">
        <f t="shared" si="14"/>
        <v/>
      </c>
      <c r="J31" s="300" t="str">
        <f t="shared" si="14"/>
        <v/>
      </c>
      <c r="K31" s="300" t="str">
        <f t="shared" si="14"/>
        <v/>
      </c>
      <c r="L31" s="300" t="str">
        <f t="shared" si="14"/>
        <v/>
      </c>
      <c r="M31" s="300" t="str">
        <f t="shared" si="14"/>
        <v/>
      </c>
      <c r="N31" s="300" t="str">
        <f t="shared" si="14"/>
        <v/>
      </c>
      <c r="O31" s="300" t="str">
        <f t="shared" si="14"/>
        <v/>
      </c>
      <c r="P31" s="301">
        <f t="shared" si="12"/>
        <v>0</v>
      </c>
      <c r="R31" s="35">
        <f t="shared" si="9"/>
        <v>0</v>
      </c>
    </row>
    <row r="32" spans="2:18" ht="23.1" customHeight="1">
      <c r="B32" s="299" t="str">
        <f>LR!B33</f>
        <v>510104 | BIAYA OPERASIONAL TIM PATUH PARKIR</v>
      </c>
      <c r="C32" s="284"/>
      <c r="D32" s="300">
        <f t="shared" si="14"/>
        <v>0</v>
      </c>
      <c r="E32" s="300">
        <f t="shared" si="14"/>
        <v>0</v>
      </c>
      <c r="F32" s="300">
        <f t="shared" si="14"/>
        <v>0</v>
      </c>
      <c r="G32" s="300" t="str">
        <f t="shared" si="14"/>
        <v/>
      </c>
      <c r="H32" s="300" t="str">
        <f t="shared" si="14"/>
        <v/>
      </c>
      <c r="I32" s="300" t="str">
        <f t="shared" si="14"/>
        <v/>
      </c>
      <c r="J32" s="300" t="str">
        <f t="shared" si="14"/>
        <v/>
      </c>
      <c r="K32" s="300" t="str">
        <f t="shared" si="14"/>
        <v/>
      </c>
      <c r="L32" s="300" t="str">
        <f t="shared" si="14"/>
        <v/>
      </c>
      <c r="M32" s="300" t="str">
        <f t="shared" si="14"/>
        <v/>
      </c>
      <c r="N32" s="300" t="str">
        <f t="shared" si="14"/>
        <v/>
      </c>
      <c r="O32" s="300" t="str">
        <f t="shared" si="14"/>
        <v/>
      </c>
      <c r="P32" s="301">
        <f t="shared" si="12"/>
        <v>0</v>
      </c>
      <c r="R32" s="35">
        <f t="shared" si="9"/>
        <v>0</v>
      </c>
    </row>
    <row r="33" spans="2:18" ht="23.1" customHeight="1">
      <c r="B33" s="299" t="str">
        <f>LR!B34</f>
        <v>510105 | BIAYA OPERASIONAL PEGAWAI</v>
      </c>
      <c r="C33" s="284"/>
      <c r="D33" s="300">
        <f t="shared" si="14"/>
        <v>0</v>
      </c>
      <c r="E33" s="300">
        <f t="shared" si="14"/>
        <v>0</v>
      </c>
      <c r="F33" s="300">
        <f t="shared" si="14"/>
        <v>0</v>
      </c>
      <c r="G33" s="300" t="str">
        <f t="shared" si="14"/>
        <v/>
      </c>
      <c r="H33" s="300" t="str">
        <f t="shared" si="14"/>
        <v/>
      </c>
      <c r="I33" s="300" t="str">
        <f t="shared" si="14"/>
        <v/>
      </c>
      <c r="J33" s="300" t="str">
        <f t="shared" si="14"/>
        <v/>
      </c>
      <c r="K33" s="300" t="str">
        <f t="shared" si="14"/>
        <v/>
      </c>
      <c r="L33" s="300" t="str">
        <f t="shared" si="14"/>
        <v/>
      </c>
      <c r="M33" s="300" t="str">
        <f t="shared" si="14"/>
        <v/>
      </c>
      <c r="N33" s="300" t="str">
        <f t="shared" si="14"/>
        <v/>
      </c>
      <c r="O33" s="300" t="str">
        <f t="shared" si="14"/>
        <v/>
      </c>
      <c r="P33" s="301">
        <f t="shared" si="12"/>
        <v>0</v>
      </c>
      <c r="R33" s="35">
        <f t="shared" si="9"/>
        <v>0</v>
      </c>
    </row>
    <row r="34" spans="2:18" ht="23.1" customHeight="1">
      <c r="B34" s="299" t="str">
        <f>LR!B35</f>
        <v>510106 | BIAYA PAKET THR</v>
      </c>
      <c r="C34" s="284"/>
      <c r="D34" s="300">
        <f t="shared" si="14"/>
        <v>0</v>
      </c>
      <c r="E34" s="300">
        <f t="shared" si="14"/>
        <v>0</v>
      </c>
      <c r="F34" s="300">
        <f t="shared" si="14"/>
        <v>0</v>
      </c>
      <c r="G34" s="300" t="str">
        <f t="shared" si="14"/>
        <v/>
      </c>
      <c r="H34" s="300" t="str">
        <f t="shared" si="14"/>
        <v/>
      </c>
      <c r="I34" s="300" t="str">
        <f t="shared" si="14"/>
        <v/>
      </c>
      <c r="J34" s="300" t="str">
        <f t="shared" si="14"/>
        <v/>
      </c>
      <c r="K34" s="300" t="str">
        <f t="shared" si="14"/>
        <v/>
      </c>
      <c r="L34" s="300" t="str">
        <f t="shared" si="14"/>
        <v/>
      </c>
      <c r="M34" s="300" t="str">
        <f t="shared" si="14"/>
        <v/>
      </c>
      <c r="N34" s="300" t="str">
        <f t="shared" si="14"/>
        <v/>
      </c>
      <c r="O34" s="300" t="str">
        <f t="shared" si="14"/>
        <v/>
      </c>
      <c r="P34" s="301">
        <f t="shared" si="12"/>
        <v>0</v>
      </c>
      <c r="R34" s="35">
        <f t="shared" si="9"/>
        <v>0</v>
      </c>
    </row>
    <row r="35" spans="2:18" ht="23.1" customHeight="1">
      <c r="B35" s="299" t="str">
        <f>LR!B36</f>
        <v>510107 | BIAYA SHARING PARKIR ELEKTRONIK</v>
      </c>
      <c r="C35" s="284"/>
      <c r="D35" s="300">
        <f t="shared" si="14"/>
        <v>0</v>
      </c>
      <c r="E35" s="300">
        <f t="shared" si="14"/>
        <v>0</v>
      </c>
      <c r="F35" s="300">
        <f t="shared" si="14"/>
        <v>0</v>
      </c>
      <c r="G35" s="300" t="str">
        <f t="shared" si="14"/>
        <v/>
      </c>
      <c r="H35" s="300" t="str">
        <f t="shared" si="14"/>
        <v/>
      </c>
      <c r="I35" s="300" t="str">
        <f t="shared" si="14"/>
        <v/>
      </c>
      <c r="J35" s="300" t="str">
        <f t="shared" si="14"/>
        <v/>
      </c>
      <c r="K35" s="300" t="str">
        <f t="shared" si="14"/>
        <v/>
      </c>
      <c r="L35" s="300" t="str">
        <f t="shared" si="14"/>
        <v/>
      </c>
      <c r="M35" s="300" t="str">
        <f t="shared" si="14"/>
        <v/>
      </c>
      <c r="N35" s="300" t="str">
        <f t="shared" si="14"/>
        <v/>
      </c>
      <c r="O35" s="300" t="str">
        <f t="shared" si="14"/>
        <v/>
      </c>
      <c r="P35" s="301">
        <f t="shared" si="12"/>
        <v>0</v>
      </c>
      <c r="R35" s="35">
        <f t="shared" si="9"/>
        <v>0</v>
      </c>
    </row>
    <row r="36" spans="2:18" ht="23.1" customHeight="1">
      <c r="B36" s="299" t="str">
        <f>LR!B37</f>
        <v>510108 | BIAYA ASURANSI JUKIR</v>
      </c>
      <c r="C36" s="284"/>
      <c r="D36" s="300">
        <f t="shared" si="14"/>
        <v>0</v>
      </c>
      <c r="E36" s="300">
        <f t="shared" si="14"/>
        <v>0</v>
      </c>
      <c r="F36" s="300">
        <f t="shared" si="14"/>
        <v>0</v>
      </c>
      <c r="G36" s="300" t="str">
        <f t="shared" si="14"/>
        <v/>
      </c>
      <c r="H36" s="300" t="str">
        <f t="shared" si="14"/>
        <v/>
      </c>
      <c r="I36" s="300" t="str">
        <f t="shared" si="14"/>
        <v/>
      </c>
      <c r="J36" s="300" t="str">
        <f t="shared" si="14"/>
        <v/>
      </c>
      <c r="K36" s="300" t="str">
        <f t="shared" si="14"/>
        <v/>
      </c>
      <c r="L36" s="300" t="str">
        <f t="shared" si="14"/>
        <v/>
      </c>
      <c r="M36" s="300" t="str">
        <f t="shared" si="14"/>
        <v/>
      </c>
      <c r="N36" s="300" t="str">
        <f t="shared" si="14"/>
        <v/>
      </c>
      <c r="O36" s="300" t="str">
        <f t="shared" si="14"/>
        <v/>
      </c>
      <c r="P36" s="301">
        <f t="shared" si="12"/>
        <v>0</v>
      </c>
      <c r="R36" s="35">
        <f t="shared" si="9"/>
        <v>0</v>
      </c>
    </row>
    <row r="37" spans="2:18" ht="23.1" customHeight="1">
      <c r="B37" s="299" t="str">
        <f>LR!B38</f>
        <v>510109 | BIAYA PAKAIAN JUKIR</v>
      </c>
      <c r="C37" s="284"/>
      <c r="D37" s="300">
        <f t="shared" si="14"/>
        <v>0</v>
      </c>
      <c r="E37" s="300">
        <f t="shared" si="14"/>
        <v>0</v>
      </c>
      <c r="F37" s="300">
        <f t="shared" si="14"/>
        <v>0</v>
      </c>
      <c r="G37" s="300" t="str">
        <f t="shared" si="14"/>
        <v/>
      </c>
      <c r="H37" s="300" t="str">
        <f t="shared" si="14"/>
        <v/>
      </c>
      <c r="I37" s="300" t="str">
        <f t="shared" si="14"/>
        <v/>
      </c>
      <c r="J37" s="300" t="str">
        <f t="shared" si="14"/>
        <v/>
      </c>
      <c r="K37" s="300" t="str">
        <f t="shared" si="14"/>
        <v/>
      </c>
      <c r="L37" s="300" t="str">
        <f t="shared" si="14"/>
        <v/>
      </c>
      <c r="M37" s="300" t="str">
        <f t="shared" si="14"/>
        <v/>
      </c>
      <c r="N37" s="300" t="str">
        <f t="shared" si="14"/>
        <v/>
      </c>
      <c r="O37" s="300" t="str">
        <f t="shared" si="14"/>
        <v/>
      </c>
      <c r="P37" s="301">
        <f t="shared" si="12"/>
        <v>0</v>
      </c>
      <c r="R37" s="35">
        <f t="shared" si="9"/>
        <v>0</v>
      </c>
    </row>
    <row r="38" spans="2:18" ht="23.1" customHeight="1">
      <c r="B38" s="299" t="str">
        <f>LR!B39</f>
        <v>510110 | BIAYA TIM PENEGAK PERDA</v>
      </c>
      <c r="C38" s="284"/>
      <c r="D38" s="300">
        <f t="shared" si="14"/>
        <v>0</v>
      </c>
      <c r="E38" s="300">
        <f t="shared" si="14"/>
        <v>0</v>
      </c>
      <c r="F38" s="300">
        <f t="shared" si="14"/>
        <v>0</v>
      </c>
      <c r="G38" s="300" t="str">
        <f t="shared" si="14"/>
        <v/>
      </c>
      <c r="H38" s="300" t="str">
        <f t="shared" si="14"/>
        <v/>
      </c>
      <c r="I38" s="300" t="str">
        <f t="shared" si="14"/>
        <v/>
      </c>
      <c r="J38" s="300" t="str">
        <f t="shared" si="14"/>
        <v/>
      </c>
      <c r="K38" s="300" t="str">
        <f t="shared" si="14"/>
        <v/>
      </c>
      <c r="L38" s="300" t="str">
        <f t="shared" si="14"/>
        <v/>
      </c>
      <c r="M38" s="300" t="str">
        <f t="shared" si="14"/>
        <v/>
      </c>
      <c r="N38" s="300" t="str">
        <f t="shared" si="14"/>
        <v/>
      </c>
      <c r="O38" s="300" t="str">
        <f t="shared" si="14"/>
        <v/>
      </c>
      <c r="P38" s="301">
        <f t="shared" si="12"/>
        <v>0</v>
      </c>
      <c r="R38" s="35">
        <f t="shared" si="9"/>
        <v>0</v>
      </c>
    </row>
    <row r="39" spans="2:18" ht="23.1" customHeight="1">
      <c r="B39" s="299" t="str">
        <f>LR!B40</f>
        <v>510111 | BIAYA UPAH PUNGUT KOLEKTOR</v>
      </c>
      <c r="C39" s="284"/>
      <c r="D39" s="300">
        <f t="shared" si="14"/>
        <v>0</v>
      </c>
      <c r="E39" s="300">
        <f t="shared" si="14"/>
        <v>0</v>
      </c>
      <c r="F39" s="300">
        <f t="shared" si="14"/>
        <v>0</v>
      </c>
      <c r="G39" s="300" t="str">
        <f t="shared" si="14"/>
        <v/>
      </c>
      <c r="H39" s="300" t="str">
        <f t="shared" si="14"/>
        <v/>
      </c>
      <c r="I39" s="300" t="str">
        <f t="shared" si="14"/>
        <v/>
      </c>
      <c r="J39" s="300" t="str">
        <f t="shared" si="14"/>
        <v/>
      </c>
      <c r="K39" s="300" t="str">
        <f t="shared" si="14"/>
        <v/>
      </c>
      <c r="L39" s="300" t="str">
        <f t="shared" si="14"/>
        <v/>
      </c>
      <c r="M39" s="300" t="str">
        <f t="shared" si="14"/>
        <v/>
      </c>
      <c r="N39" s="300" t="str">
        <f t="shared" si="14"/>
        <v/>
      </c>
      <c r="O39" s="300" t="str">
        <f t="shared" si="14"/>
        <v/>
      </c>
      <c r="P39" s="301">
        <f t="shared" si="12"/>
        <v>0</v>
      </c>
      <c r="R39" s="35">
        <f t="shared" si="9"/>
        <v>0</v>
      </c>
    </row>
    <row r="40" spans="2:18" ht="23.1" customHeight="1">
      <c r="B40" s="299" t="str">
        <f>LR!B41</f>
        <v>510112 | BIAYA PAJAK PARKIR PLB</v>
      </c>
      <c r="C40" s="284"/>
      <c r="D40" s="300">
        <f t="shared" si="14"/>
        <v>0</v>
      </c>
      <c r="E40" s="300">
        <f t="shared" si="14"/>
        <v>0</v>
      </c>
      <c r="F40" s="300">
        <f t="shared" si="14"/>
        <v>0</v>
      </c>
      <c r="G40" s="300" t="str">
        <f t="shared" si="14"/>
        <v/>
      </c>
      <c r="H40" s="300" t="str">
        <f t="shared" si="14"/>
        <v/>
      </c>
      <c r="I40" s="300" t="str">
        <f t="shared" si="14"/>
        <v/>
      </c>
      <c r="J40" s="300" t="str">
        <f t="shared" si="14"/>
        <v/>
      </c>
      <c r="K40" s="300" t="str">
        <f t="shared" si="14"/>
        <v/>
      </c>
      <c r="L40" s="300" t="str">
        <f t="shared" si="14"/>
        <v/>
      </c>
      <c r="M40" s="300" t="str">
        <f t="shared" si="14"/>
        <v/>
      </c>
      <c r="N40" s="300" t="str">
        <f t="shared" si="14"/>
        <v/>
      </c>
      <c r="O40" s="300" t="str">
        <f t="shared" si="14"/>
        <v/>
      </c>
      <c r="P40" s="301">
        <f t="shared" si="12"/>
        <v>0</v>
      </c>
      <c r="R40" s="35">
        <f t="shared" si="9"/>
        <v>0</v>
      </c>
    </row>
    <row r="41" spans="2:18" ht="23.1" customHeight="1">
      <c r="B41" s="299" t="str">
        <f>LR!B42</f>
        <v>510113 | BIAYA ID CARD</v>
      </c>
      <c r="C41" s="284"/>
      <c r="D41" s="300">
        <f t="shared" si="14"/>
        <v>0</v>
      </c>
      <c r="E41" s="300">
        <f t="shared" si="14"/>
        <v>0</v>
      </c>
      <c r="F41" s="300">
        <f t="shared" si="14"/>
        <v>0</v>
      </c>
      <c r="G41" s="300" t="str">
        <f t="shared" si="14"/>
        <v/>
      </c>
      <c r="H41" s="300" t="str">
        <f t="shared" si="14"/>
        <v/>
      </c>
      <c r="I41" s="300" t="str">
        <f t="shared" si="14"/>
        <v/>
      </c>
      <c r="J41" s="300" t="str">
        <f t="shared" si="14"/>
        <v/>
      </c>
      <c r="K41" s="300" t="str">
        <f t="shared" si="14"/>
        <v/>
      </c>
      <c r="L41" s="300" t="str">
        <f t="shared" si="14"/>
        <v/>
      </c>
      <c r="M41" s="300" t="str">
        <f t="shared" si="14"/>
        <v/>
      </c>
      <c r="N41" s="300" t="str">
        <f t="shared" si="14"/>
        <v/>
      </c>
      <c r="O41" s="300" t="str">
        <f t="shared" si="14"/>
        <v/>
      </c>
      <c r="P41" s="301">
        <f t="shared" si="12"/>
        <v>0</v>
      </c>
      <c r="R41" s="35">
        <f t="shared" si="9"/>
        <v>0</v>
      </c>
    </row>
    <row r="42" spans="2:18" ht="23.1" customHeight="1">
      <c r="B42" s="299" t="str">
        <f>LR!B43</f>
        <v>510114 | BIAYA BAHAN BAKAR KENDARAAN OPERASIONAL</v>
      </c>
      <c r="C42" s="284"/>
      <c r="D42" s="300">
        <f t="shared" si="14"/>
        <v>0</v>
      </c>
      <c r="E42" s="300">
        <f t="shared" si="14"/>
        <v>0</v>
      </c>
      <c r="F42" s="300">
        <f t="shared" si="14"/>
        <v>0</v>
      </c>
      <c r="G42" s="300" t="str">
        <f t="shared" si="14"/>
        <v/>
      </c>
      <c r="H42" s="300" t="str">
        <f t="shared" si="14"/>
        <v/>
      </c>
      <c r="I42" s="300" t="str">
        <f t="shared" si="14"/>
        <v/>
      </c>
      <c r="J42" s="300" t="str">
        <f t="shared" si="14"/>
        <v/>
      </c>
      <c r="K42" s="300" t="str">
        <f t="shared" si="14"/>
        <v/>
      </c>
      <c r="L42" s="300" t="str">
        <f t="shared" si="14"/>
        <v/>
      </c>
      <c r="M42" s="300" t="str">
        <f t="shared" si="14"/>
        <v/>
      </c>
      <c r="N42" s="300" t="str">
        <f t="shared" si="14"/>
        <v/>
      </c>
      <c r="O42" s="300" t="str">
        <f t="shared" si="14"/>
        <v/>
      </c>
      <c r="P42" s="301">
        <f t="shared" si="12"/>
        <v>0</v>
      </c>
      <c r="R42" s="35">
        <f t="shared" si="9"/>
        <v>0</v>
      </c>
    </row>
    <row r="43" spans="2:18" ht="23.1" customHeight="1">
      <c r="B43" s="299" t="str">
        <f>LR!B44</f>
        <v>510115 | BIAYA MAINTENANCE KENDARAAN OPERASIONAL</v>
      </c>
      <c r="C43" s="284"/>
      <c r="D43" s="300">
        <f t="shared" si="14"/>
        <v>0</v>
      </c>
      <c r="E43" s="300">
        <f t="shared" si="14"/>
        <v>0</v>
      </c>
      <c r="F43" s="300">
        <f t="shared" si="14"/>
        <v>0</v>
      </c>
      <c r="G43" s="300" t="str">
        <f t="shared" si="14"/>
        <v/>
      </c>
      <c r="H43" s="300" t="str">
        <f t="shared" si="14"/>
        <v/>
      </c>
      <c r="I43" s="300" t="str">
        <f t="shared" si="14"/>
        <v/>
      </c>
      <c r="J43" s="300" t="str">
        <f t="shared" si="14"/>
        <v/>
      </c>
      <c r="K43" s="300" t="str">
        <f t="shared" si="14"/>
        <v/>
      </c>
      <c r="L43" s="300" t="str">
        <f t="shared" si="14"/>
        <v/>
      </c>
      <c r="M43" s="300" t="str">
        <f t="shared" si="14"/>
        <v/>
      </c>
      <c r="N43" s="300" t="str">
        <f t="shared" si="14"/>
        <v/>
      </c>
      <c r="O43" s="300" t="str">
        <f t="shared" si="14"/>
        <v/>
      </c>
      <c r="P43" s="301">
        <f t="shared" si="12"/>
        <v>0</v>
      </c>
      <c r="R43" s="35">
        <f t="shared" si="9"/>
        <v>0</v>
      </c>
    </row>
    <row r="44" spans="2:18" ht="23.1" customHeight="1">
      <c r="B44" s="299" t="str">
        <f>LR!B45</f>
        <v>510116 | BIAYA SURAT KENDARAAN (STNK)</v>
      </c>
      <c r="C44" s="284"/>
      <c r="D44" s="300">
        <f t="shared" si="14"/>
        <v>0</v>
      </c>
      <c r="E44" s="300">
        <f t="shared" si="14"/>
        <v>0</v>
      </c>
      <c r="F44" s="300">
        <f t="shared" si="14"/>
        <v>0</v>
      </c>
      <c r="G44" s="300" t="str">
        <f t="shared" si="14"/>
        <v/>
      </c>
      <c r="H44" s="300" t="str">
        <f t="shared" si="14"/>
        <v/>
      </c>
      <c r="I44" s="300" t="str">
        <f t="shared" si="14"/>
        <v/>
      </c>
      <c r="J44" s="300" t="str">
        <f t="shared" si="14"/>
        <v/>
      </c>
      <c r="K44" s="300" t="str">
        <f t="shared" si="14"/>
        <v/>
      </c>
      <c r="L44" s="300" t="str">
        <f t="shared" si="14"/>
        <v/>
      </c>
      <c r="M44" s="300" t="str">
        <f t="shared" si="14"/>
        <v/>
      </c>
      <c r="N44" s="300" t="str">
        <f t="shared" si="14"/>
        <v/>
      </c>
      <c r="O44" s="300" t="str">
        <f t="shared" si="14"/>
        <v/>
      </c>
      <c r="P44" s="301">
        <f t="shared" si="12"/>
        <v>0</v>
      </c>
      <c r="R44" s="35">
        <f t="shared" si="9"/>
        <v>0</v>
      </c>
    </row>
    <row r="45" spans="2:18" ht="23.1" customHeight="1">
      <c r="B45" s="299" t="str">
        <f>LR!B46</f>
        <v>510117 | BIAYA SHARING PENETAPAN BARU PLB</v>
      </c>
      <c r="C45" s="284"/>
      <c r="D45" s="300">
        <f t="shared" ref="D45:O60" si="15">IF(D$8="","",IF(INDEX(typ_sn,MATCH(INDEX(akun_type,MATCH($B45,akun_kb,0)),typ_ket,0))="db",SUMIFS(ju_sld,ju_tgl,"&gt;="&amp;awal,ju_tgl,"&lt;="&amp;akhir,ju_kr,$B45,ju_div2,"kr"&amp;D$8)-SUMIFS(ju_sld,ju_tgl,"&gt;="&amp;awal,ju_tgl,"&lt;="&amp;akhir,ju_debet,$B45,ju_div2,"db"&amp;D$8),SUMIFS(ju_sld,ju_tgl,"&gt;="&amp;awal,ju_tgl,"&lt;="&amp;akhir,ju_kr,$B45,ju_div2,"kr"&amp;D$8)-SUMIFS(ju_sld,ju_tgl,"&gt;="&amp;awal,ju_tgl,"&lt;="&amp;akhir,ju_debet,$B45,ju_div2,"db"&amp;D$8)))</f>
        <v>0</v>
      </c>
      <c r="E45" s="300">
        <f t="shared" si="15"/>
        <v>0</v>
      </c>
      <c r="F45" s="300">
        <f t="shared" si="15"/>
        <v>0</v>
      </c>
      <c r="G45" s="300" t="str">
        <f t="shared" si="15"/>
        <v/>
      </c>
      <c r="H45" s="300" t="str">
        <f t="shared" si="15"/>
        <v/>
      </c>
      <c r="I45" s="300" t="str">
        <f t="shared" si="15"/>
        <v/>
      </c>
      <c r="J45" s="300" t="str">
        <f t="shared" si="15"/>
        <v/>
      </c>
      <c r="K45" s="300" t="str">
        <f t="shared" si="15"/>
        <v/>
      </c>
      <c r="L45" s="300" t="str">
        <f t="shared" si="15"/>
        <v/>
      </c>
      <c r="M45" s="300" t="str">
        <f t="shared" si="15"/>
        <v/>
      </c>
      <c r="N45" s="300" t="str">
        <f t="shared" si="15"/>
        <v/>
      </c>
      <c r="O45" s="300" t="str">
        <f t="shared" si="15"/>
        <v/>
      </c>
      <c r="P45" s="301">
        <f t="shared" si="12"/>
        <v>0</v>
      </c>
      <c r="R45" s="35">
        <f t="shared" si="9"/>
        <v>0</v>
      </c>
    </row>
    <row r="46" spans="2:18" ht="23.1" customHeight="1">
      <c r="B46" s="299" t="str">
        <f>LR!B47</f>
        <v>510118 | BIAYA CSR</v>
      </c>
      <c r="C46" s="284"/>
      <c r="D46" s="300">
        <f t="shared" si="15"/>
        <v>0</v>
      </c>
      <c r="E46" s="300">
        <f t="shared" si="15"/>
        <v>0</v>
      </c>
      <c r="F46" s="300">
        <f t="shared" si="15"/>
        <v>0</v>
      </c>
      <c r="G46" s="300" t="str">
        <f t="shared" si="15"/>
        <v/>
      </c>
      <c r="H46" s="300" t="str">
        <f t="shared" si="15"/>
        <v/>
      </c>
      <c r="I46" s="300" t="str">
        <f t="shared" si="15"/>
        <v/>
      </c>
      <c r="J46" s="300" t="str">
        <f t="shared" si="15"/>
        <v/>
      </c>
      <c r="K46" s="300" t="str">
        <f t="shared" si="15"/>
        <v/>
      </c>
      <c r="L46" s="300" t="str">
        <f t="shared" si="15"/>
        <v/>
      </c>
      <c r="M46" s="300" t="str">
        <f t="shared" si="15"/>
        <v/>
      </c>
      <c r="N46" s="300" t="str">
        <f t="shared" si="15"/>
        <v/>
      </c>
      <c r="O46" s="300" t="str">
        <f t="shared" si="15"/>
        <v/>
      </c>
      <c r="P46" s="301">
        <f t="shared" si="12"/>
        <v>0</v>
      </c>
      <c r="R46" s="35">
        <f t="shared" si="9"/>
        <v>0</v>
      </c>
    </row>
    <row r="47" spans="2:18" ht="23.1" customHeight="1">
      <c r="B47" s="299" t="str">
        <f>LR!B48</f>
        <v>510119 | BIAYA PEMBINAAN LORONG</v>
      </c>
      <c r="C47" s="284"/>
      <c r="D47" s="300">
        <f t="shared" si="15"/>
        <v>0</v>
      </c>
      <c r="E47" s="300">
        <f t="shared" si="15"/>
        <v>0</v>
      </c>
      <c r="F47" s="300">
        <f t="shared" si="15"/>
        <v>0</v>
      </c>
      <c r="G47" s="300" t="str">
        <f t="shared" si="15"/>
        <v/>
      </c>
      <c r="H47" s="300" t="str">
        <f t="shared" si="15"/>
        <v/>
      </c>
      <c r="I47" s="300" t="str">
        <f t="shared" si="15"/>
        <v/>
      </c>
      <c r="J47" s="300" t="str">
        <f t="shared" si="15"/>
        <v/>
      </c>
      <c r="K47" s="300" t="str">
        <f t="shared" si="15"/>
        <v/>
      </c>
      <c r="L47" s="300" t="str">
        <f t="shared" si="15"/>
        <v/>
      </c>
      <c r="M47" s="300" t="str">
        <f t="shared" si="15"/>
        <v/>
      </c>
      <c r="N47" s="300" t="str">
        <f t="shared" si="15"/>
        <v/>
      </c>
      <c r="O47" s="300" t="str">
        <f t="shared" si="15"/>
        <v/>
      </c>
      <c r="P47" s="301">
        <f t="shared" si="12"/>
        <v>0</v>
      </c>
      <c r="R47" s="35">
        <f t="shared" si="9"/>
        <v>0</v>
      </c>
    </row>
    <row r="48" spans="2:18" ht="23.1" customHeight="1">
      <c r="B48" s="299" t="str">
        <f>LR!B49</f>
        <v>510120 | BIAYA KARTU CASHLESS</v>
      </c>
      <c r="C48" s="284"/>
      <c r="D48" s="300">
        <f t="shared" si="15"/>
        <v>0</v>
      </c>
      <c r="E48" s="300">
        <f t="shared" si="15"/>
        <v>0</v>
      </c>
      <c r="F48" s="300">
        <f t="shared" si="15"/>
        <v>0</v>
      </c>
      <c r="G48" s="300" t="str">
        <f t="shared" si="15"/>
        <v/>
      </c>
      <c r="H48" s="300" t="str">
        <f t="shared" si="15"/>
        <v/>
      </c>
      <c r="I48" s="300" t="str">
        <f t="shared" si="15"/>
        <v/>
      </c>
      <c r="J48" s="300" t="str">
        <f t="shared" si="15"/>
        <v/>
      </c>
      <c r="K48" s="300" t="str">
        <f t="shared" si="15"/>
        <v/>
      </c>
      <c r="L48" s="300" t="str">
        <f t="shared" si="15"/>
        <v/>
      </c>
      <c r="M48" s="300" t="str">
        <f t="shared" si="15"/>
        <v/>
      </c>
      <c r="N48" s="300" t="str">
        <f t="shared" si="15"/>
        <v/>
      </c>
      <c r="O48" s="300" t="str">
        <f t="shared" si="15"/>
        <v/>
      </c>
      <c r="P48" s="301">
        <f t="shared" si="12"/>
        <v>0</v>
      </c>
      <c r="R48" s="35">
        <f t="shared" si="9"/>
        <v>0</v>
      </c>
    </row>
    <row r="49" spans="2:18" ht="23.1" customHeight="1">
      <c r="B49" s="299" t="str">
        <f>LR!B50</f>
        <v>510121 | BIAYA OPERASIONAL JUKIR</v>
      </c>
      <c r="C49" s="284"/>
      <c r="D49" s="300">
        <f t="shared" si="15"/>
        <v>0</v>
      </c>
      <c r="E49" s="300">
        <f t="shared" si="15"/>
        <v>0</v>
      </c>
      <c r="F49" s="300">
        <f t="shared" si="15"/>
        <v>0</v>
      </c>
      <c r="G49" s="300" t="str">
        <f t="shared" si="15"/>
        <v/>
      </c>
      <c r="H49" s="300" t="str">
        <f t="shared" si="15"/>
        <v/>
      </c>
      <c r="I49" s="300" t="str">
        <f t="shared" si="15"/>
        <v/>
      </c>
      <c r="J49" s="300" t="str">
        <f t="shared" si="15"/>
        <v/>
      </c>
      <c r="K49" s="300" t="str">
        <f t="shared" si="15"/>
        <v/>
      </c>
      <c r="L49" s="300" t="str">
        <f t="shared" si="15"/>
        <v/>
      </c>
      <c r="M49" s="300" t="str">
        <f t="shared" si="15"/>
        <v/>
      </c>
      <c r="N49" s="300" t="str">
        <f t="shared" si="15"/>
        <v/>
      </c>
      <c r="O49" s="300" t="str">
        <f t="shared" si="15"/>
        <v/>
      </c>
      <c r="P49" s="301">
        <f t="shared" si="12"/>
        <v>0</v>
      </c>
      <c r="R49" s="35">
        <f t="shared" si="9"/>
        <v>0</v>
      </c>
    </row>
    <row r="50" spans="2:18" ht="23.1" customHeight="1">
      <c r="B50" s="299" t="str">
        <f>LR!B51</f>
        <v>510122 | BIAYA PERBAIKAN LAHAN PARKIR</v>
      </c>
      <c r="C50" s="284"/>
      <c r="D50" s="300">
        <f t="shared" si="15"/>
        <v>0</v>
      </c>
      <c r="E50" s="300">
        <f t="shared" si="15"/>
        <v>0</v>
      </c>
      <c r="F50" s="300">
        <f t="shared" si="15"/>
        <v>0</v>
      </c>
      <c r="G50" s="300" t="str">
        <f t="shared" si="15"/>
        <v/>
      </c>
      <c r="H50" s="300" t="str">
        <f t="shared" si="15"/>
        <v/>
      </c>
      <c r="I50" s="300" t="str">
        <f t="shared" si="15"/>
        <v/>
      </c>
      <c r="J50" s="300" t="str">
        <f t="shared" si="15"/>
        <v/>
      </c>
      <c r="K50" s="300" t="str">
        <f t="shared" si="15"/>
        <v/>
      </c>
      <c r="L50" s="300" t="str">
        <f t="shared" si="15"/>
        <v/>
      </c>
      <c r="M50" s="300" t="str">
        <f t="shared" si="15"/>
        <v/>
      </c>
      <c r="N50" s="300" t="str">
        <f t="shared" si="15"/>
        <v/>
      </c>
      <c r="O50" s="300" t="str">
        <f t="shared" si="15"/>
        <v/>
      </c>
      <c r="P50" s="301">
        <f t="shared" si="12"/>
        <v>0</v>
      </c>
      <c r="R50" s="35">
        <f t="shared" si="9"/>
        <v>0</v>
      </c>
    </row>
    <row r="51" spans="2:18" ht="23.1" customHeight="1">
      <c r="B51" s="299" t="str">
        <f>LR!B52</f>
        <v>510123 | BIAYA SHARING KTI</v>
      </c>
      <c r="C51" s="284"/>
      <c r="D51" s="300">
        <f t="shared" si="15"/>
        <v>0</v>
      </c>
      <c r="E51" s="300">
        <f t="shared" si="15"/>
        <v>0</v>
      </c>
      <c r="F51" s="300">
        <f t="shared" si="15"/>
        <v>0</v>
      </c>
      <c r="G51" s="300" t="str">
        <f t="shared" si="15"/>
        <v/>
      </c>
      <c r="H51" s="300" t="str">
        <f t="shared" si="15"/>
        <v/>
      </c>
      <c r="I51" s="300" t="str">
        <f t="shared" si="15"/>
        <v/>
      </c>
      <c r="J51" s="300" t="str">
        <f t="shared" si="15"/>
        <v/>
      </c>
      <c r="K51" s="300" t="str">
        <f t="shared" si="15"/>
        <v/>
      </c>
      <c r="L51" s="300" t="str">
        <f t="shared" si="15"/>
        <v/>
      </c>
      <c r="M51" s="300" t="str">
        <f t="shared" si="15"/>
        <v/>
      </c>
      <c r="N51" s="300" t="str">
        <f t="shared" si="15"/>
        <v/>
      </c>
      <c r="O51" s="300" t="str">
        <f t="shared" si="15"/>
        <v/>
      </c>
      <c r="P51" s="301">
        <f t="shared" si="12"/>
        <v>0</v>
      </c>
      <c r="R51" s="35">
        <f t="shared" si="9"/>
        <v>0</v>
      </c>
    </row>
    <row r="52" spans="2:18" ht="23.1" customHeight="1">
      <c r="B52" s="299" t="str">
        <f>LR!B53</f>
        <v>510124 | BIAYA PENERAPAN MEMBER PARKING KENDARAAN</v>
      </c>
      <c r="C52" s="284"/>
      <c r="D52" s="300">
        <f t="shared" si="15"/>
        <v>0</v>
      </c>
      <c r="E52" s="300">
        <f t="shared" si="15"/>
        <v>0</v>
      </c>
      <c r="F52" s="300">
        <f t="shared" si="15"/>
        <v>0</v>
      </c>
      <c r="G52" s="300" t="str">
        <f t="shared" si="15"/>
        <v/>
      </c>
      <c r="H52" s="300" t="str">
        <f t="shared" si="15"/>
        <v/>
      </c>
      <c r="I52" s="300" t="str">
        <f t="shared" si="15"/>
        <v/>
      </c>
      <c r="J52" s="300" t="str">
        <f t="shared" si="15"/>
        <v/>
      </c>
      <c r="K52" s="300" t="str">
        <f t="shared" si="15"/>
        <v/>
      </c>
      <c r="L52" s="300" t="str">
        <f t="shared" si="15"/>
        <v/>
      </c>
      <c r="M52" s="300" t="str">
        <f t="shared" si="15"/>
        <v/>
      </c>
      <c r="N52" s="300" t="str">
        <f t="shared" si="15"/>
        <v/>
      </c>
      <c r="O52" s="300" t="str">
        <f t="shared" si="15"/>
        <v/>
      </c>
      <c r="P52" s="301">
        <f t="shared" si="12"/>
        <v>0</v>
      </c>
      <c r="R52" s="35">
        <f t="shared" si="9"/>
        <v>0</v>
      </c>
    </row>
    <row r="53" spans="2:18" ht="23.1" customHeight="1">
      <c r="B53" s="299" t="str">
        <f>LR!B54</f>
        <v>TOTAL BIAYA OPERASIONAL</v>
      </c>
      <c r="C53" s="284"/>
      <c r="D53" s="300" t="e">
        <f t="shared" si="15"/>
        <v>#N/A</v>
      </c>
      <c r="E53" s="300" t="e">
        <f t="shared" si="15"/>
        <v>#N/A</v>
      </c>
      <c r="F53" s="300" t="e">
        <f t="shared" si="15"/>
        <v>#N/A</v>
      </c>
      <c r="G53" s="300" t="str">
        <f t="shared" si="15"/>
        <v/>
      </c>
      <c r="H53" s="300" t="str">
        <f t="shared" si="15"/>
        <v/>
      </c>
      <c r="I53" s="300" t="str">
        <f t="shared" si="15"/>
        <v/>
      </c>
      <c r="J53" s="300" t="str">
        <f t="shared" si="15"/>
        <v/>
      </c>
      <c r="K53" s="300" t="str">
        <f t="shared" si="15"/>
        <v/>
      </c>
      <c r="L53" s="300" t="str">
        <f t="shared" si="15"/>
        <v/>
      </c>
      <c r="M53" s="300" t="str">
        <f t="shared" si="15"/>
        <v/>
      </c>
      <c r="N53" s="300" t="str">
        <f t="shared" si="15"/>
        <v/>
      </c>
      <c r="O53" s="300" t="str">
        <f t="shared" si="15"/>
        <v/>
      </c>
      <c r="P53" s="301" t="e">
        <f t="shared" si="12"/>
        <v>#N/A</v>
      </c>
      <c r="R53" s="35" t="e">
        <f t="shared" si="9"/>
        <v>#N/A</v>
      </c>
    </row>
    <row r="54" spans="2:18" ht="23.1" customHeight="1">
      <c r="B54" s="299" t="str">
        <f>LR!B55</f>
        <v>BIAYA UPAH PUNGUT KOLEKTOR</v>
      </c>
      <c r="C54" s="284"/>
      <c r="D54" s="300" t="e">
        <f t="shared" si="15"/>
        <v>#N/A</v>
      </c>
      <c r="E54" s="300" t="e">
        <f t="shared" si="15"/>
        <v>#N/A</v>
      </c>
      <c r="F54" s="300" t="e">
        <f t="shared" si="15"/>
        <v>#N/A</v>
      </c>
      <c r="G54" s="300" t="str">
        <f t="shared" si="15"/>
        <v/>
      </c>
      <c r="H54" s="300" t="str">
        <f t="shared" si="15"/>
        <v/>
      </c>
      <c r="I54" s="300" t="str">
        <f t="shared" si="15"/>
        <v/>
      </c>
      <c r="J54" s="300" t="str">
        <f t="shared" si="15"/>
        <v/>
      </c>
      <c r="K54" s="300" t="str">
        <f t="shared" si="15"/>
        <v/>
      </c>
      <c r="L54" s="300" t="str">
        <f t="shared" si="15"/>
        <v/>
      </c>
      <c r="M54" s="300" t="str">
        <f t="shared" si="15"/>
        <v/>
      </c>
      <c r="N54" s="300" t="str">
        <f t="shared" si="15"/>
        <v/>
      </c>
      <c r="O54" s="300" t="str">
        <f t="shared" si="15"/>
        <v/>
      </c>
      <c r="P54" s="301" t="e">
        <f t="shared" si="12"/>
        <v>#N/A</v>
      </c>
      <c r="R54" s="35" t="e">
        <f t="shared" si="9"/>
        <v>#N/A</v>
      </c>
    </row>
    <row r="55" spans="2:18" ht="23.1" customHeight="1">
      <c r="B55" s="299" t="str">
        <f>LR!B56</f>
        <v>510201 | BIAYA TRANSPORT KOLEKTOR TJU</v>
      </c>
      <c r="C55" s="284"/>
      <c r="D55" s="300">
        <f t="shared" si="15"/>
        <v>0</v>
      </c>
      <c r="E55" s="300">
        <f t="shared" si="15"/>
        <v>0</v>
      </c>
      <c r="F55" s="300">
        <f t="shared" si="15"/>
        <v>0</v>
      </c>
      <c r="G55" s="300" t="str">
        <f t="shared" si="15"/>
        <v/>
      </c>
      <c r="H55" s="300" t="str">
        <f t="shared" si="15"/>
        <v/>
      </c>
      <c r="I55" s="300" t="str">
        <f t="shared" si="15"/>
        <v/>
      </c>
      <c r="J55" s="300" t="str">
        <f t="shared" si="15"/>
        <v/>
      </c>
      <c r="K55" s="300" t="str">
        <f t="shared" si="15"/>
        <v/>
      </c>
      <c r="L55" s="300" t="str">
        <f t="shared" si="15"/>
        <v/>
      </c>
      <c r="M55" s="300" t="str">
        <f t="shared" si="15"/>
        <v/>
      </c>
      <c r="N55" s="300" t="str">
        <f t="shared" si="15"/>
        <v/>
      </c>
      <c r="O55" s="300" t="str">
        <f t="shared" si="15"/>
        <v/>
      </c>
      <c r="P55" s="301">
        <f t="shared" si="12"/>
        <v>0</v>
      </c>
      <c r="R55" s="35">
        <f t="shared" si="9"/>
        <v>0</v>
      </c>
    </row>
    <row r="56" spans="2:18" ht="23.1" customHeight="1">
      <c r="B56" s="299" t="str">
        <f>LR!B57</f>
        <v>510202 | BIAYA TRANSPORT INSIDENTIL</v>
      </c>
      <c r="C56" s="284"/>
      <c r="D56" s="300">
        <f t="shared" si="15"/>
        <v>0</v>
      </c>
      <c r="E56" s="300">
        <f t="shared" si="15"/>
        <v>0</v>
      </c>
      <c r="F56" s="300">
        <f t="shared" si="15"/>
        <v>0</v>
      </c>
      <c r="G56" s="300" t="str">
        <f t="shared" si="15"/>
        <v/>
      </c>
      <c r="H56" s="300" t="str">
        <f t="shared" si="15"/>
        <v/>
      </c>
      <c r="I56" s="300" t="str">
        <f t="shared" si="15"/>
        <v/>
      </c>
      <c r="J56" s="300" t="str">
        <f t="shared" si="15"/>
        <v/>
      </c>
      <c r="K56" s="300" t="str">
        <f t="shared" si="15"/>
        <v/>
      </c>
      <c r="L56" s="300" t="str">
        <f t="shared" si="15"/>
        <v/>
      </c>
      <c r="M56" s="300" t="str">
        <f t="shared" si="15"/>
        <v/>
      </c>
      <c r="N56" s="300" t="str">
        <f t="shared" si="15"/>
        <v/>
      </c>
      <c r="O56" s="300" t="str">
        <f t="shared" si="15"/>
        <v/>
      </c>
      <c r="P56" s="301">
        <f t="shared" si="12"/>
        <v>0</v>
      </c>
      <c r="R56" s="35">
        <f t="shared" si="9"/>
        <v>0</v>
      </c>
    </row>
    <row r="57" spans="2:18" ht="23.1" customHeight="1">
      <c r="B57" s="299" t="str">
        <f>LR!B58</f>
        <v>510203 | BIAYA TRANSPORT KOMERSIAL</v>
      </c>
      <c r="C57" s="284"/>
      <c r="D57" s="300">
        <f t="shared" si="15"/>
        <v>0</v>
      </c>
      <c r="E57" s="300">
        <f t="shared" si="15"/>
        <v>0</v>
      </c>
      <c r="F57" s="300">
        <f t="shared" si="15"/>
        <v>0</v>
      </c>
      <c r="G57" s="300" t="str">
        <f t="shared" si="15"/>
        <v/>
      </c>
      <c r="H57" s="300" t="str">
        <f t="shared" si="15"/>
        <v/>
      </c>
      <c r="I57" s="300" t="str">
        <f t="shared" si="15"/>
        <v/>
      </c>
      <c r="J57" s="300" t="str">
        <f t="shared" si="15"/>
        <v/>
      </c>
      <c r="K57" s="300" t="str">
        <f t="shared" si="15"/>
        <v/>
      </c>
      <c r="L57" s="300" t="str">
        <f t="shared" si="15"/>
        <v/>
      </c>
      <c r="M57" s="300" t="str">
        <f t="shared" si="15"/>
        <v/>
      </c>
      <c r="N57" s="300" t="str">
        <f t="shared" si="15"/>
        <v/>
      </c>
      <c r="O57" s="300" t="str">
        <f t="shared" si="15"/>
        <v/>
      </c>
      <c r="P57" s="301">
        <f t="shared" si="12"/>
        <v>0</v>
      </c>
      <c r="R57" s="35">
        <f t="shared" si="9"/>
        <v>0</v>
      </c>
    </row>
    <row r="58" spans="2:18" ht="23.1" customHeight="1">
      <c r="B58" s="299" t="str">
        <f>LR!B59</f>
        <v>510204 | BIAYA TRANSPORT KOLEKTOR PLB</v>
      </c>
      <c r="C58" s="284"/>
      <c r="D58" s="300">
        <f t="shared" si="15"/>
        <v>0</v>
      </c>
      <c r="E58" s="300">
        <f t="shared" si="15"/>
        <v>0</v>
      </c>
      <c r="F58" s="300">
        <f t="shared" si="15"/>
        <v>0</v>
      </c>
      <c r="G58" s="300" t="str">
        <f t="shared" si="15"/>
        <v/>
      </c>
      <c r="H58" s="300" t="str">
        <f t="shared" si="15"/>
        <v/>
      </c>
      <c r="I58" s="300" t="str">
        <f t="shared" si="15"/>
        <v/>
      </c>
      <c r="J58" s="300" t="str">
        <f t="shared" si="15"/>
        <v/>
      </c>
      <c r="K58" s="300" t="str">
        <f t="shared" si="15"/>
        <v/>
      </c>
      <c r="L58" s="300" t="str">
        <f t="shared" si="15"/>
        <v/>
      </c>
      <c r="M58" s="300" t="str">
        <f t="shared" si="15"/>
        <v/>
      </c>
      <c r="N58" s="300" t="str">
        <f t="shared" si="15"/>
        <v/>
      </c>
      <c r="O58" s="300" t="str">
        <f t="shared" si="15"/>
        <v/>
      </c>
      <c r="P58" s="301">
        <f t="shared" si="12"/>
        <v>0</v>
      </c>
      <c r="R58" s="35">
        <f t="shared" si="9"/>
        <v>0</v>
      </c>
    </row>
    <row r="59" spans="2:18" ht="23.1" customHeight="1">
      <c r="B59" s="299" t="str">
        <f>LR!B60</f>
        <v>510205 | BIAYA TRANSPORT PARKIR IT</v>
      </c>
      <c r="C59" s="284"/>
      <c r="D59" s="300">
        <f t="shared" si="15"/>
        <v>0</v>
      </c>
      <c r="E59" s="300">
        <f t="shared" si="15"/>
        <v>0</v>
      </c>
      <c r="F59" s="300">
        <f t="shared" si="15"/>
        <v>0</v>
      </c>
      <c r="G59" s="300" t="str">
        <f t="shared" si="15"/>
        <v/>
      </c>
      <c r="H59" s="300" t="str">
        <f t="shared" si="15"/>
        <v/>
      </c>
      <c r="I59" s="300" t="str">
        <f t="shared" si="15"/>
        <v/>
      </c>
      <c r="J59" s="300" t="str">
        <f t="shared" si="15"/>
        <v/>
      </c>
      <c r="K59" s="300" t="str">
        <f t="shared" si="15"/>
        <v/>
      </c>
      <c r="L59" s="300" t="str">
        <f t="shared" si="15"/>
        <v/>
      </c>
      <c r="M59" s="300" t="str">
        <f t="shared" si="15"/>
        <v/>
      </c>
      <c r="N59" s="300" t="str">
        <f t="shared" si="15"/>
        <v/>
      </c>
      <c r="O59" s="300" t="str">
        <f t="shared" si="15"/>
        <v/>
      </c>
      <c r="P59" s="301">
        <f t="shared" si="12"/>
        <v>0</v>
      </c>
      <c r="R59" s="35">
        <f t="shared" si="9"/>
        <v>0</v>
      </c>
    </row>
    <row r="60" spans="2:18" ht="23.1" customHeight="1">
      <c r="B60" s="299" t="str">
        <f>LR!B61</f>
        <v>TOTAL BIAYA UPAH PUNGUT KOLEKTOR</v>
      </c>
      <c r="C60" s="284"/>
      <c r="D60" s="300" t="e">
        <f t="shared" si="15"/>
        <v>#N/A</v>
      </c>
      <c r="E60" s="300" t="e">
        <f t="shared" si="15"/>
        <v>#N/A</v>
      </c>
      <c r="F60" s="300" t="e">
        <f t="shared" si="15"/>
        <v>#N/A</v>
      </c>
      <c r="G60" s="300" t="str">
        <f t="shared" si="15"/>
        <v/>
      </c>
      <c r="H60" s="300" t="str">
        <f t="shared" si="15"/>
        <v/>
      </c>
      <c r="I60" s="300" t="str">
        <f t="shared" si="15"/>
        <v/>
      </c>
      <c r="J60" s="300" t="str">
        <f t="shared" si="15"/>
        <v/>
      </c>
      <c r="K60" s="300" t="str">
        <f t="shared" si="15"/>
        <v/>
      </c>
      <c r="L60" s="300" t="str">
        <f t="shared" si="15"/>
        <v/>
      </c>
      <c r="M60" s="300" t="str">
        <f t="shared" si="15"/>
        <v/>
      </c>
      <c r="N60" s="300" t="str">
        <f t="shared" si="15"/>
        <v/>
      </c>
      <c r="O60" s="300" t="str">
        <f t="shared" si="15"/>
        <v/>
      </c>
      <c r="P60" s="301" t="e">
        <f t="shared" si="12"/>
        <v>#N/A</v>
      </c>
      <c r="R60" s="35" t="e">
        <f t="shared" si="9"/>
        <v>#N/A</v>
      </c>
    </row>
    <row r="61" spans="2:18" ht="23.1" customHeight="1">
      <c r="B61" s="299" t="str">
        <f>LR!B62</f>
        <v>TOTAL BIAYA OPERASI</v>
      </c>
      <c r="C61" s="284"/>
      <c r="D61" s="300" t="e">
        <f t="shared" ref="D61:O76" si="16">IF(D$8="","",IF(INDEX(typ_sn,MATCH(INDEX(akun_type,MATCH($B61,akun_kb,0)),typ_ket,0))="db",SUMIFS(ju_sld,ju_tgl,"&gt;="&amp;awal,ju_tgl,"&lt;="&amp;akhir,ju_kr,$B61,ju_div2,"kr"&amp;D$8)-SUMIFS(ju_sld,ju_tgl,"&gt;="&amp;awal,ju_tgl,"&lt;="&amp;akhir,ju_debet,$B61,ju_div2,"db"&amp;D$8),SUMIFS(ju_sld,ju_tgl,"&gt;="&amp;awal,ju_tgl,"&lt;="&amp;akhir,ju_kr,$B61,ju_div2,"kr"&amp;D$8)-SUMIFS(ju_sld,ju_tgl,"&gt;="&amp;awal,ju_tgl,"&lt;="&amp;akhir,ju_debet,$B61,ju_div2,"db"&amp;D$8)))</f>
        <v>#N/A</v>
      </c>
      <c r="E61" s="300" t="e">
        <f t="shared" si="16"/>
        <v>#N/A</v>
      </c>
      <c r="F61" s="300" t="e">
        <f t="shared" si="16"/>
        <v>#N/A</v>
      </c>
      <c r="G61" s="300" t="str">
        <f t="shared" si="16"/>
        <v/>
      </c>
      <c r="H61" s="300" t="str">
        <f t="shared" si="16"/>
        <v/>
      </c>
      <c r="I61" s="300" t="str">
        <f t="shared" si="16"/>
        <v/>
      </c>
      <c r="J61" s="300" t="str">
        <f t="shared" si="16"/>
        <v/>
      </c>
      <c r="K61" s="300" t="str">
        <f t="shared" si="16"/>
        <v/>
      </c>
      <c r="L61" s="300" t="str">
        <f t="shared" si="16"/>
        <v/>
      </c>
      <c r="M61" s="300" t="str">
        <f t="shared" si="16"/>
        <v/>
      </c>
      <c r="N61" s="300" t="str">
        <f t="shared" si="16"/>
        <v/>
      </c>
      <c r="O61" s="300" t="str">
        <f t="shared" si="16"/>
        <v/>
      </c>
      <c r="P61" s="301" t="e">
        <f t="shared" si="12"/>
        <v>#N/A</v>
      </c>
      <c r="R61" s="35" t="e">
        <f t="shared" si="9"/>
        <v>#N/A</v>
      </c>
    </row>
    <row r="62" spans="2:18" ht="23.1" customHeight="1">
      <c r="B62" s="299" t="str">
        <f>LR!B63</f>
        <v>LABA KOTOR</v>
      </c>
      <c r="C62" s="284"/>
      <c r="D62" s="300" t="e">
        <f t="shared" si="16"/>
        <v>#N/A</v>
      </c>
      <c r="E62" s="300" t="e">
        <f t="shared" si="16"/>
        <v>#N/A</v>
      </c>
      <c r="F62" s="300" t="e">
        <f t="shared" si="16"/>
        <v>#N/A</v>
      </c>
      <c r="G62" s="300" t="str">
        <f t="shared" si="16"/>
        <v/>
      </c>
      <c r="H62" s="300" t="str">
        <f t="shared" si="16"/>
        <v/>
      </c>
      <c r="I62" s="300" t="str">
        <f t="shared" si="16"/>
        <v/>
      </c>
      <c r="J62" s="300" t="str">
        <f t="shared" si="16"/>
        <v/>
      </c>
      <c r="K62" s="300" t="str">
        <f t="shared" si="16"/>
        <v/>
      </c>
      <c r="L62" s="300" t="str">
        <f t="shared" si="16"/>
        <v/>
      </c>
      <c r="M62" s="300" t="str">
        <f t="shared" si="16"/>
        <v/>
      </c>
      <c r="N62" s="300" t="str">
        <f t="shared" si="16"/>
        <v/>
      </c>
      <c r="O62" s="300" t="str">
        <f t="shared" si="16"/>
        <v/>
      </c>
      <c r="P62" s="301" t="e">
        <f t="shared" si="12"/>
        <v>#N/A</v>
      </c>
      <c r="R62" s="35" t="e">
        <f t="shared" si="9"/>
        <v>#N/A</v>
      </c>
    </row>
    <row r="63" spans="2:18" ht="23.1" customHeight="1">
      <c r="B63" s="299" t="str">
        <f>LR!B64</f>
        <v>BIAYA ADMINISTRASI UMUM</v>
      </c>
      <c r="C63" s="284"/>
      <c r="D63" s="300" t="e">
        <f t="shared" si="16"/>
        <v>#N/A</v>
      </c>
      <c r="E63" s="300" t="e">
        <f t="shared" si="16"/>
        <v>#N/A</v>
      </c>
      <c r="F63" s="300" t="e">
        <f t="shared" si="16"/>
        <v>#N/A</v>
      </c>
      <c r="G63" s="300" t="str">
        <f t="shared" si="16"/>
        <v/>
      </c>
      <c r="H63" s="300" t="str">
        <f t="shared" si="16"/>
        <v/>
      </c>
      <c r="I63" s="300" t="str">
        <f t="shared" si="16"/>
        <v/>
      </c>
      <c r="J63" s="300" t="str">
        <f t="shared" si="16"/>
        <v/>
      </c>
      <c r="K63" s="300" t="str">
        <f t="shared" si="16"/>
        <v/>
      </c>
      <c r="L63" s="300" t="str">
        <f t="shared" si="16"/>
        <v/>
      </c>
      <c r="M63" s="300" t="str">
        <f t="shared" si="16"/>
        <v/>
      </c>
      <c r="N63" s="300" t="str">
        <f t="shared" si="16"/>
        <v/>
      </c>
      <c r="O63" s="300" t="str">
        <f t="shared" si="16"/>
        <v/>
      </c>
      <c r="P63" s="301" t="e">
        <f t="shared" si="12"/>
        <v>#N/A</v>
      </c>
      <c r="R63" s="35" t="e">
        <f t="shared" si="9"/>
        <v>#N/A</v>
      </c>
    </row>
    <row r="64" spans="2:18" ht="23.1" customHeight="1">
      <c r="B64" s="299" t="str">
        <f>LR!B65</f>
        <v>BIAYA GAJI</v>
      </c>
      <c r="C64" s="284"/>
      <c r="D64" s="300" t="e">
        <f t="shared" si="16"/>
        <v>#N/A</v>
      </c>
      <c r="E64" s="300" t="e">
        <f t="shared" si="16"/>
        <v>#N/A</v>
      </c>
      <c r="F64" s="300" t="e">
        <f t="shared" si="16"/>
        <v>#N/A</v>
      </c>
      <c r="G64" s="300" t="str">
        <f t="shared" si="16"/>
        <v/>
      </c>
      <c r="H64" s="300" t="str">
        <f t="shared" si="16"/>
        <v/>
      </c>
      <c r="I64" s="300" t="str">
        <f t="shared" si="16"/>
        <v/>
      </c>
      <c r="J64" s="300" t="str">
        <f t="shared" si="16"/>
        <v/>
      </c>
      <c r="K64" s="300" t="str">
        <f t="shared" si="16"/>
        <v/>
      </c>
      <c r="L64" s="300" t="str">
        <f t="shared" si="16"/>
        <v/>
      </c>
      <c r="M64" s="300" t="str">
        <f t="shared" si="16"/>
        <v/>
      </c>
      <c r="N64" s="300" t="str">
        <f t="shared" si="16"/>
        <v/>
      </c>
      <c r="O64" s="300" t="str">
        <f t="shared" si="16"/>
        <v/>
      </c>
      <c r="P64" s="301" t="e">
        <f t="shared" si="12"/>
        <v>#N/A</v>
      </c>
      <c r="R64" s="35" t="e">
        <f t="shared" si="9"/>
        <v>#N/A</v>
      </c>
    </row>
    <row r="65" spans="2:18" ht="23.1" customHeight="1">
      <c r="B65" s="299" t="str">
        <f>LR!B66</f>
        <v>610101 | BIAYA HONOR BADAN PENGAWAS DAN STAF BP</v>
      </c>
      <c r="C65" s="284"/>
      <c r="D65" s="300">
        <f t="shared" si="16"/>
        <v>0</v>
      </c>
      <c r="E65" s="300">
        <f t="shared" si="16"/>
        <v>0</v>
      </c>
      <c r="F65" s="300">
        <f t="shared" si="16"/>
        <v>0</v>
      </c>
      <c r="G65" s="300" t="str">
        <f t="shared" si="16"/>
        <v/>
      </c>
      <c r="H65" s="300" t="str">
        <f t="shared" si="16"/>
        <v/>
      </c>
      <c r="I65" s="300" t="str">
        <f t="shared" si="16"/>
        <v/>
      </c>
      <c r="J65" s="300" t="str">
        <f t="shared" si="16"/>
        <v/>
      </c>
      <c r="K65" s="300" t="str">
        <f t="shared" si="16"/>
        <v/>
      </c>
      <c r="L65" s="300" t="str">
        <f t="shared" si="16"/>
        <v/>
      </c>
      <c r="M65" s="300" t="str">
        <f t="shared" si="16"/>
        <v/>
      </c>
      <c r="N65" s="300" t="str">
        <f t="shared" si="16"/>
        <v/>
      </c>
      <c r="O65" s="300" t="str">
        <f t="shared" si="16"/>
        <v/>
      </c>
      <c r="P65" s="301">
        <f t="shared" si="12"/>
        <v>0</v>
      </c>
      <c r="R65" s="35">
        <f t="shared" si="9"/>
        <v>0</v>
      </c>
    </row>
    <row r="66" spans="2:18" ht="23.1" customHeight="1">
      <c r="B66" s="299" t="str">
        <f>LR!B67</f>
        <v>610102 | BIAYA TUNJANGAN BBM BADAN PENGAWAS</v>
      </c>
      <c r="C66" s="284"/>
      <c r="D66" s="300">
        <f t="shared" si="16"/>
        <v>0</v>
      </c>
      <c r="E66" s="300">
        <f t="shared" si="16"/>
        <v>0</v>
      </c>
      <c r="F66" s="300">
        <f t="shared" si="16"/>
        <v>0</v>
      </c>
      <c r="G66" s="300" t="str">
        <f t="shared" si="16"/>
        <v/>
      </c>
      <c r="H66" s="300" t="str">
        <f t="shared" si="16"/>
        <v/>
      </c>
      <c r="I66" s="300" t="str">
        <f t="shared" si="16"/>
        <v/>
      </c>
      <c r="J66" s="300" t="str">
        <f t="shared" si="16"/>
        <v/>
      </c>
      <c r="K66" s="300" t="str">
        <f t="shared" si="16"/>
        <v/>
      </c>
      <c r="L66" s="300" t="str">
        <f t="shared" si="16"/>
        <v/>
      </c>
      <c r="M66" s="300" t="str">
        <f t="shared" si="16"/>
        <v/>
      </c>
      <c r="N66" s="300" t="str">
        <f t="shared" si="16"/>
        <v/>
      </c>
      <c r="O66" s="300" t="str">
        <f t="shared" si="16"/>
        <v/>
      </c>
      <c r="P66" s="301">
        <f t="shared" si="12"/>
        <v>0</v>
      </c>
      <c r="R66" s="35">
        <f t="shared" si="9"/>
        <v>0</v>
      </c>
    </row>
    <row r="67" spans="2:18" ht="23.1" customHeight="1">
      <c r="B67" s="299" t="str">
        <f>LR!B68</f>
        <v>610103 | BIAYA TUNJANGAN MONITORING, EVALUASI DAN PELAPORAN</v>
      </c>
      <c r="C67" s="284"/>
      <c r="D67" s="300">
        <f t="shared" si="16"/>
        <v>0</v>
      </c>
      <c r="E67" s="300">
        <f t="shared" si="16"/>
        <v>0</v>
      </c>
      <c r="F67" s="300">
        <f t="shared" si="16"/>
        <v>0</v>
      </c>
      <c r="G67" s="300" t="str">
        <f t="shared" si="16"/>
        <v/>
      </c>
      <c r="H67" s="300" t="str">
        <f t="shared" si="16"/>
        <v/>
      </c>
      <c r="I67" s="300" t="str">
        <f t="shared" si="16"/>
        <v/>
      </c>
      <c r="J67" s="300" t="str">
        <f t="shared" si="16"/>
        <v/>
      </c>
      <c r="K67" s="300" t="str">
        <f t="shared" si="16"/>
        <v/>
      </c>
      <c r="L67" s="300" t="str">
        <f t="shared" si="16"/>
        <v/>
      </c>
      <c r="M67" s="300" t="str">
        <f t="shared" si="16"/>
        <v/>
      </c>
      <c r="N67" s="300" t="str">
        <f t="shared" si="16"/>
        <v/>
      </c>
      <c r="O67" s="300" t="str">
        <f t="shared" si="16"/>
        <v/>
      </c>
      <c r="P67" s="301">
        <f t="shared" si="12"/>
        <v>0</v>
      </c>
      <c r="R67" s="35">
        <f t="shared" si="9"/>
        <v>0</v>
      </c>
    </row>
    <row r="68" spans="2:18" ht="23.1" customHeight="1">
      <c r="B68" s="299" t="str">
        <f>LR!B69</f>
        <v>610104 | BIAYA GAJI DIREKSI</v>
      </c>
      <c r="C68" s="284"/>
      <c r="D68" s="300">
        <f t="shared" si="16"/>
        <v>0</v>
      </c>
      <c r="E68" s="300">
        <f t="shared" si="16"/>
        <v>0</v>
      </c>
      <c r="F68" s="300">
        <f t="shared" si="16"/>
        <v>0</v>
      </c>
      <c r="G68" s="300" t="str">
        <f t="shared" si="16"/>
        <v/>
      </c>
      <c r="H68" s="300" t="str">
        <f t="shared" si="16"/>
        <v/>
      </c>
      <c r="I68" s="300" t="str">
        <f t="shared" si="16"/>
        <v/>
      </c>
      <c r="J68" s="300" t="str">
        <f t="shared" si="16"/>
        <v/>
      </c>
      <c r="K68" s="300" t="str">
        <f t="shared" si="16"/>
        <v/>
      </c>
      <c r="L68" s="300" t="str">
        <f t="shared" si="16"/>
        <v/>
      </c>
      <c r="M68" s="300" t="str">
        <f t="shared" si="16"/>
        <v/>
      </c>
      <c r="N68" s="300" t="str">
        <f t="shared" si="16"/>
        <v/>
      </c>
      <c r="O68" s="300" t="str">
        <f t="shared" si="16"/>
        <v/>
      </c>
      <c r="P68" s="301">
        <f t="shared" si="12"/>
        <v>0</v>
      </c>
      <c r="R68" s="35">
        <f t="shared" si="9"/>
        <v>0</v>
      </c>
    </row>
    <row r="69" spans="2:18" ht="23.1" customHeight="1">
      <c r="B69" s="299" t="str">
        <f>LR!B70</f>
        <v>610105 | BIAYA GAJI DAN TUNJANGAN PEGAWAI ORGANIK</v>
      </c>
      <c r="C69" s="284"/>
      <c r="D69" s="300">
        <f t="shared" si="16"/>
        <v>0</v>
      </c>
      <c r="E69" s="300">
        <f t="shared" si="16"/>
        <v>0</v>
      </c>
      <c r="F69" s="300">
        <f t="shared" si="16"/>
        <v>0</v>
      </c>
      <c r="G69" s="300" t="str">
        <f t="shared" si="16"/>
        <v/>
      </c>
      <c r="H69" s="300" t="str">
        <f t="shared" si="16"/>
        <v/>
      </c>
      <c r="I69" s="300" t="str">
        <f t="shared" si="16"/>
        <v/>
      </c>
      <c r="J69" s="300" t="str">
        <f t="shared" si="16"/>
        <v/>
      </c>
      <c r="K69" s="300" t="str">
        <f t="shared" si="16"/>
        <v/>
      </c>
      <c r="L69" s="300" t="str">
        <f t="shared" si="16"/>
        <v/>
      </c>
      <c r="M69" s="300" t="str">
        <f t="shared" si="16"/>
        <v/>
      </c>
      <c r="N69" s="300" t="str">
        <f t="shared" si="16"/>
        <v/>
      </c>
      <c r="O69" s="300" t="str">
        <f t="shared" si="16"/>
        <v/>
      </c>
      <c r="P69" s="301">
        <f t="shared" si="12"/>
        <v>0</v>
      </c>
      <c r="R69" s="35">
        <f t="shared" si="9"/>
        <v>0</v>
      </c>
    </row>
    <row r="70" spans="2:18" ht="23.1" customHeight="1">
      <c r="B70" s="299" t="str">
        <f>LR!B71</f>
        <v>610106 | BIAYA UPAH TENAGA KONTRAK</v>
      </c>
      <c r="C70" s="284"/>
      <c r="D70" s="300">
        <f t="shared" si="16"/>
        <v>0</v>
      </c>
      <c r="E70" s="300">
        <f t="shared" si="16"/>
        <v>0</v>
      </c>
      <c r="F70" s="300">
        <f t="shared" si="16"/>
        <v>0</v>
      </c>
      <c r="G70" s="300" t="str">
        <f t="shared" si="16"/>
        <v/>
      </c>
      <c r="H70" s="300" t="str">
        <f t="shared" si="16"/>
        <v/>
      </c>
      <c r="I70" s="300" t="str">
        <f t="shared" si="16"/>
        <v/>
      </c>
      <c r="J70" s="300" t="str">
        <f t="shared" si="16"/>
        <v/>
      </c>
      <c r="K70" s="300" t="str">
        <f t="shared" si="16"/>
        <v/>
      </c>
      <c r="L70" s="300" t="str">
        <f t="shared" si="16"/>
        <v/>
      </c>
      <c r="M70" s="300" t="str">
        <f t="shared" si="16"/>
        <v/>
      </c>
      <c r="N70" s="300" t="str">
        <f t="shared" si="16"/>
        <v/>
      </c>
      <c r="O70" s="300" t="str">
        <f t="shared" si="16"/>
        <v/>
      </c>
      <c r="P70" s="301">
        <f t="shared" si="12"/>
        <v>0</v>
      </c>
      <c r="R70" s="35">
        <f t="shared" si="9"/>
        <v>0</v>
      </c>
    </row>
    <row r="71" spans="2:18" ht="23.1" customHeight="1">
      <c r="B71" s="299" t="str">
        <f>LR!B72</f>
        <v>610107 | BIAYA UPAH TENAGA HONOR</v>
      </c>
      <c r="C71" s="284"/>
      <c r="D71" s="300">
        <f t="shared" si="16"/>
        <v>0</v>
      </c>
      <c r="E71" s="300">
        <f t="shared" si="16"/>
        <v>0</v>
      </c>
      <c r="F71" s="300">
        <f t="shared" si="16"/>
        <v>0</v>
      </c>
      <c r="G71" s="300" t="str">
        <f t="shared" si="16"/>
        <v/>
      </c>
      <c r="H71" s="300" t="str">
        <f t="shared" si="16"/>
        <v/>
      </c>
      <c r="I71" s="300" t="str">
        <f t="shared" si="16"/>
        <v/>
      </c>
      <c r="J71" s="300" t="str">
        <f t="shared" si="16"/>
        <v/>
      </c>
      <c r="K71" s="300" t="str">
        <f t="shared" si="16"/>
        <v/>
      </c>
      <c r="L71" s="300" t="str">
        <f t="shared" si="16"/>
        <v/>
      </c>
      <c r="M71" s="300" t="str">
        <f t="shared" si="16"/>
        <v/>
      </c>
      <c r="N71" s="300" t="str">
        <f t="shared" si="16"/>
        <v/>
      </c>
      <c r="O71" s="300" t="str">
        <f t="shared" si="16"/>
        <v/>
      </c>
      <c r="P71" s="301">
        <f t="shared" si="12"/>
        <v>0</v>
      </c>
      <c r="R71" s="35">
        <f t="shared" si="9"/>
        <v>0</v>
      </c>
    </row>
    <row r="72" spans="2:18" ht="23.1" customHeight="1">
      <c r="B72" s="299" t="str">
        <f>LR!B73</f>
        <v>610108 | BIAYA INSENTIF DIREKSI DAN KARYAWAN</v>
      </c>
      <c r="C72" s="284"/>
      <c r="D72" s="300">
        <f t="shared" si="16"/>
        <v>0</v>
      </c>
      <c r="E72" s="300">
        <f t="shared" si="16"/>
        <v>0</v>
      </c>
      <c r="F72" s="300">
        <f t="shared" si="16"/>
        <v>0</v>
      </c>
      <c r="G72" s="300" t="str">
        <f t="shared" si="16"/>
        <v/>
      </c>
      <c r="H72" s="300" t="str">
        <f t="shared" si="16"/>
        <v/>
      </c>
      <c r="I72" s="300" t="str">
        <f t="shared" si="16"/>
        <v/>
      </c>
      <c r="J72" s="300" t="str">
        <f t="shared" si="16"/>
        <v/>
      </c>
      <c r="K72" s="300" t="str">
        <f t="shared" si="16"/>
        <v/>
      </c>
      <c r="L72" s="300" t="str">
        <f t="shared" si="16"/>
        <v/>
      </c>
      <c r="M72" s="300" t="str">
        <f t="shared" si="16"/>
        <v/>
      </c>
      <c r="N72" s="300" t="str">
        <f t="shared" si="16"/>
        <v/>
      </c>
      <c r="O72" s="300" t="str">
        <f t="shared" si="16"/>
        <v/>
      </c>
      <c r="P72" s="301">
        <f t="shared" ref="P72:P95" si="17">SUM(D72:O72)</f>
        <v>0</v>
      </c>
      <c r="R72" s="35">
        <f t="shared" ref="R72:R95" si="18">IF(OR(P72&gt;0,P72&lt;0,P72=""),1,0)</f>
        <v>0</v>
      </c>
    </row>
    <row r="73" spans="2:18" ht="23.1" customHeight="1">
      <c r="B73" s="299" t="str">
        <f>LR!B74</f>
        <v>610109 | BIAYA TUNJANGAN TELEKOMUNIKASI DIREKSI DAN KABAG</v>
      </c>
      <c r="C73" s="284"/>
      <c r="D73" s="300">
        <f t="shared" si="16"/>
        <v>0</v>
      </c>
      <c r="E73" s="300">
        <f t="shared" si="16"/>
        <v>0</v>
      </c>
      <c r="F73" s="300">
        <f t="shared" si="16"/>
        <v>0</v>
      </c>
      <c r="G73" s="300" t="str">
        <f t="shared" si="16"/>
        <v/>
      </c>
      <c r="H73" s="300" t="str">
        <f t="shared" si="16"/>
        <v/>
      </c>
      <c r="I73" s="300" t="str">
        <f t="shared" si="16"/>
        <v/>
      </c>
      <c r="J73" s="300" t="str">
        <f t="shared" si="16"/>
        <v/>
      </c>
      <c r="K73" s="300" t="str">
        <f t="shared" si="16"/>
        <v/>
      </c>
      <c r="L73" s="300" t="str">
        <f t="shared" si="16"/>
        <v/>
      </c>
      <c r="M73" s="300" t="str">
        <f t="shared" si="16"/>
        <v/>
      </c>
      <c r="N73" s="300" t="str">
        <f t="shared" si="16"/>
        <v/>
      </c>
      <c r="O73" s="300" t="str">
        <f t="shared" si="16"/>
        <v/>
      </c>
      <c r="P73" s="301">
        <f t="shared" si="17"/>
        <v>0</v>
      </c>
      <c r="R73" s="35">
        <f t="shared" si="18"/>
        <v>0</v>
      </c>
    </row>
    <row r="74" spans="2:18" ht="23.1" customHeight="1">
      <c r="B74" s="299" t="str">
        <f>LR!B75</f>
        <v>610110 | BIAYA TUNJANGAN KOORDINASI DIREKSI</v>
      </c>
      <c r="C74" s="284"/>
      <c r="D74" s="300">
        <f t="shared" si="16"/>
        <v>0</v>
      </c>
      <c r="E74" s="300">
        <f t="shared" si="16"/>
        <v>0</v>
      </c>
      <c r="F74" s="300">
        <f t="shared" si="16"/>
        <v>0</v>
      </c>
      <c r="G74" s="300" t="str">
        <f t="shared" si="16"/>
        <v/>
      </c>
      <c r="H74" s="300" t="str">
        <f t="shared" si="16"/>
        <v/>
      </c>
      <c r="I74" s="300" t="str">
        <f t="shared" si="16"/>
        <v/>
      </c>
      <c r="J74" s="300" t="str">
        <f t="shared" si="16"/>
        <v/>
      </c>
      <c r="K74" s="300" t="str">
        <f t="shared" si="16"/>
        <v/>
      </c>
      <c r="L74" s="300" t="str">
        <f t="shared" si="16"/>
        <v/>
      </c>
      <c r="M74" s="300" t="str">
        <f t="shared" si="16"/>
        <v/>
      </c>
      <c r="N74" s="300" t="str">
        <f t="shared" si="16"/>
        <v/>
      </c>
      <c r="O74" s="300" t="str">
        <f t="shared" si="16"/>
        <v/>
      </c>
      <c r="P74" s="301">
        <f t="shared" si="17"/>
        <v>0</v>
      </c>
      <c r="R74" s="35">
        <f t="shared" si="18"/>
        <v>0</v>
      </c>
    </row>
    <row r="75" spans="2:18" ht="23.1" customHeight="1">
      <c r="B75" s="299" t="str">
        <f>LR!B76</f>
        <v>610111 | BIAYA HONOR KONSULTAN HUKUM, KEUANGAN Dan IT</v>
      </c>
      <c r="C75" s="284"/>
      <c r="D75" s="300">
        <f t="shared" si="16"/>
        <v>0</v>
      </c>
      <c r="E75" s="300">
        <f t="shared" si="16"/>
        <v>0</v>
      </c>
      <c r="F75" s="300">
        <f t="shared" si="16"/>
        <v>0</v>
      </c>
      <c r="G75" s="300" t="str">
        <f t="shared" si="16"/>
        <v/>
      </c>
      <c r="H75" s="300" t="str">
        <f t="shared" si="16"/>
        <v/>
      </c>
      <c r="I75" s="300" t="str">
        <f t="shared" si="16"/>
        <v/>
      </c>
      <c r="J75" s="300" t="str">
        <f t="shared" si="16"/>
        <v/>
      </c>
      <c r="K75" s="300" t="str">
        <f t="shared" si="16"/>
        <v/>
      </c>
      <c r="L75" s="300" t="str">
        <f t="shared" si="16"/>
        <v/>
      </c>
      <c r="M75" s="300" t="str">
        <f t="shared" si="16"/>
        <v/>
      </c>
      <c r="N75" s="300" t="str">
        <f t="shared" si="16"/>
        <v/>
      </c>
      <c r="O75" s="300" t="str">
        <f t="shared" si="16"/>
        <v/>
      </c>
      <c r="P75" s="301">
        <f t="shared" si="17"/>
        <v>0</v>
      </c>
      <c r="R75" s="35">
        <f t="shared" si="18"/>
        <v>0</v>
      </c>
    </row>
    <row r="76" spans="2:18" ht="23.1" customHeight="1">
      <c r="B76" s="299" t="str">
        <f>LR!B77</f>
        <v>610112 | BIAYA CUTI DIREKSI</v>
      </c>
      <c r="C76" s="284"/>
      <c r="D76" s="300">
        <f t="shared" si="16"/>
        <v>0</v>
      </c>
      <c r="E76" s="300">
        <f t="shared" si="16"/>
        <v>0</v>
      </c>
      <c r="F76" s="300">
        <f t="shared" si="16"/>
        <v>0</v>
      </c>
      <c r="G76" s="300" t="str">
        <f t="shared" si="16"/>
        <v/>
      </c>
      <c r="H76" s="300" t="str">
        <f t="shared" si="16"/>
        <v/>
      </c>
      <c r="I76" s="300" t="str">
        <f t="shared" si="16"/>
        <v/>
      </c>
      <c r="J76" s="300" t="str">
        <f t="shared" si="16"/>
        <v/>
      </c>
      <c r="K76" s="300" t="str">
        <f t="shared" si="16"/>
        <v/>
      </c>
      <c r="L76" s="300" t="str">
        <f t="shared" si="16"/>
        <v/>
      </c>
      <c r="M76" s="300" t="str">
        <f t="shared" si="16"/>
        <v/>
      </c>
      <c r="N76" s="300" t="str">
        <f t="shared" si="16"/>
        <v/>
      </c>
      <c r="O76" s="300" t="str">
        <f t="shared" si="16"/>
        <v/>
      </c>
      <c r="P76" s="301">
        <f t="shared" si="17"/>
        <v>0</v>
      </c>
      <c r="R76" s="35">
        <f t="shared" si="18"/>
        <v>0</v>
      </c>
    </row>
    <row r="77" spans="2:18" ht="23.1" customHeight="1">
      <c r="B77" s="299" t="str">
        <f>LR!B78</f>
        <v>610113 | BIAYA LEMBUR DIREKSI DAN PEGAWAI</v>
      </c>
      <c r="C77" s="284"/>
      <c r="D77" s="300">
        <f t="shared" ref="D77:O92" si="19">IF(D$8="","",IF(INDEX(typ_sn,MATCH(INDEX(akun_type,MATCH($B77,akun_kb,0)),typ_ket,0))="db",SUMIFS(ju_sld,ju_tgl,"&gt;="&amp;awal,ju_tgl,"&lt;="&amp;akhir,ju_kr,$B77,ju_div2,"kr"&amp;D$8)-SUMIFS(ju_sld,ju_tgl,"&gt;="&amp;awal,ju_tgl,"&lt;="&amp;akhir,ju_debet,$B77,ju_div2,"db"&amp;D$8),SUMIFS(ju_sld,ju_tgl,"&gt;="&amp;awal,ju_tgl,"&lt;="&amp;akhir,ju_kr,$B77,ju_div2,"kr"&amp;D$8)-SUMIFS(ju_sld,ju_tgl,"&gt;="&amp;awal,ju_tgl,"&lt;="&amp;akhir,ju_debet,$B77,ju_div2,"db"&amp;D$8)))</f>
        <v>0</v>
      </c>
      <c r="E77" s="300">
        <f t="shared" si="19"/>
        <v>0</v>
      </c>
      <c r="F77" s="300">
        <f t="shared" si="19"/>
        <v>0</v>
      </c>
      <c r="G77" s="300" t="str">
        <f t="shared" si="19"/>
        <v/>
      </c>
      <c r="H77" s="300" t="str">
        <f t="shared" si="19"/>
        <v/>
      </c>
      <c r="I77" s="300" t="str">
        <f t="shared" si="19"/>
        <v/>
      </c>
      <c r="J77" s="300" t="str">
        <f t="shared" si="19"/>
        <v/>
      </c>
      <c r="K77" s="300" t="str">
        <f t="shared" si="19"/>
        <v/>
      </c>
      <c r="L77" s="300" t="str">
        <f t="shared" si="19"/>
        <v/>
      </c>
      <c r="M77" s="300" t="str">
        <f t="shared" si="19"/>
        <v/>
      </c>
      <c r="N77" s="300" t="str">
        <f t="shared" si="19"/>
        <v/>
      </c>
      <c r="O77" s="300" t="str">
        <f t="shared" si="19"/>
        <v/>
      </c>
      <c r="P77" s="301">
        <f t="shared" si="17"/>
        <v>0</v>
      </c>
      <c r="R77" s="35">
        <f t="shared" si="18"/>
        <v>0</v>
      </c>
    </row>
    <row r="78" spans="2:18" ht="23.1" customHeight="1">
      <c r="B78" s="299" t="str">
        <f>LR!B79</f>
        <v>610114 | BIAYA TUNJANGAN HARI RAYA (GAJI 13)</v>
      </c>
      <c r="C78" s="284"/>
      <c r="D78" s="300">
        <f t="shared" si="19"/>
        <v>0</v>
      </c>
      <c r="E78" s="300">
        <f t="shared" si="19"/>
        <v>0</v>
      </c>
      <c r="F78" s="300">
        <f t="shared" si="19"/>
        <v>0</v>
      </c>
      <c r="G78" s="300" t="str">
        <f t="shared" si="19"/>
        <v/>
      </c>
      <c r="H78" s="300" t="str">
        <f t="shared" si="19"/>
        <v/>
      </c>
      <c r="I78" s="300" t="str">
        <f t="shared" si="19"/>
        <v/>
      </c>
      <c r="J78" s="300" t="str">
        <f t="shared" si="19"/>
        <v/>
      </c>
      <c r="K78" s="300" t="str">
        <f t="shared" si="19"/>
        <v/>
      </c>
      <c r="L78" s="300" t="str">
        <f t="shared" si="19"/>
        <v/>
      </c>
      <c r="M78" s="300" t="str">
        <f t="shared" si="19"/>
        <v/>
      </c>
      <c r="N78" s="300" t="str">
        <f t="shared" si="19"/>
        <v/>
      </c>
      <c r="O78" s="300" t="str">
        <f t="shared" si="19"/>
        <v/>
      </c>
      <c r="P78" s="301">
        <f t="shared" si="17"/>
        <v>0</v>
      </c>
      <c r="R78" s="35">
        <f t="shared" si="18"/>
        <v>0</v>
      </c>
    </row>
    <row r="79" spans="2:18" ht="23.1" customHeight="1">
      <c r="B79" s="299" t="str">
        <f>LR!B80</f>
        <v>610115 | BIAYA HONOR TIM PENYUSUN RANPERDA PERUMDA</v>
      </c>
      <c r="C79" s="284"/>
      <c r="D79" s="300">
        <f t="shared" si="19"/>
        <v>0</v>
      </c>
      <c r="E79" s="300">
        <f t="shared" si="19"/>
        <v>0</v>
      </c>
      <c r="F79" s="300">
        <f t="shared" si="19"/>
        <v>0</v>
      </c>
      <c r="G79" s="300" t="str">
        <f t="shared" si="19"/>
        <v/>
      </c>
      <c r="H79" s="300" t="str">
        <f t="shared" si="19"/>
        <v/>
      </c>
      <c r="I79" s="300" t="str">
        <f t="shared" si="19"/>
        <v/>
      </c>
      <c r="J79" s="300" t="str">
        <f t="shared" si="19"/>
        <v/>
      </c>
      <c r="K79" s="300" t="str">
        <f t="shared" si="19"/>
        <v/>
      </c>
      <c r="L79" s="300" t="str">
        <f t="shared" si="19"/>
        <v/>
      </c>
      <c r="M79" s="300" t="str">
        <f t="shared" si="19"/>
        <v/>
      </c>
      <c r="N79" s="300" t="str">
        <f t="shared" si="19"/>
        <v/>
      </c>
      <c r="O79" s="300" t="str">
        <f t="shared" si="19"/>
        <v/>
      </c>
      <c r="P79" s="301">
        <f t="shared" si="17"/>
        <v>0</v>
      </c>
      <c r="R79" s="35">
        <f t="shared" si="18"/>
        <v>0</v>
      </c>
    </row>
    <row r="80" spans="2:18" ht="23.1" customHeight="1">
      <c r="B80" s="299" t="str">
        <f>LR!B81</f>
        <v>610116 | BIAYA HONOR TENAGA SUKARELA</v>
      </c>
      <c r="C80" s="284"/>
      <c r="D80" s="300">
        <f t="shared" si="19"/>
        <v>0</v>
      </c>
      <c r="E80" s="300">
        <f t="shared" si="19"/>
        <v>0</v>
      </c>
      <c r="F80" s="300">
        <f t="shared" si="19"/>
        <v>0</v>
      </c>
      <c r="G80" s="300" t="str">
        <f t="shared" si="19"/>
        <v/>
      </c>
      <c r="H80" s="300" t="str">
        <f t="shared" si="19"/>
        <v/>
      </c>
      <c r="I80" s="300" t="str">
        <f t="shared" si="19"/>
        <v/>
      </c>
      <c r="J80" s="300" t="str">
        <f t="shared" si="19"/>
        <v/>
      </c>
      <c r="K80" s="300" t="str">
        <f t="shared" si="19"/>
        <v/>
      </c>
      <c r="L80" s="300" t="str">
        <f t="shared" si="19"/>
        <v/>
      </c>
      <c r="M80" s="300" t="str">
        <f t="shared" si="19"/>
        <v/>
      </c>
      <c r="N80" s="300" t="str">
        <f t="shared" si="19"/>
        <v/>
      </c>
      <c r="O80" s="300" t="str">
        <f t="shared" si="19"/>
        <v/>
      </c>
      <c r="P80" s="301">
        <f t="shared" si="17"/>
        <v>0</v>
      </c>
      <c r="R80" s="35">
        <f t="shared" si="18"/>
        <v>0</v>
      </c>
    </row>
    <row r="81" spans="2:18" ht="23.1" customHeight="1">
      <c r="B81" s="299" t="str">
        <f>LR!B82</f>
        <v>610117 | BIAYA TUNJANGAN JABATAN</v>
      </c>
      <c r="C81" s="284"/>
      <c r="D81" s="300">
        <f t="shared" si="19"/>
        <v>0</v>
      </c>
      <c r="E81" s="300">
        <f t="shared" si="19"/>
        <v>0</v>
      </c>
      <c r="F81" s="300">
        <f t="shared" si="19"/>
        <v>0</v>
      </c>
      <c r="G81" s="300" t="str">
        <f t="shared" si="19"/>
        <v/>
      </c>
      <c r="H81" s="300" t="str">
        <f t="shared" si="19"/>
        <v/>
      </c>
      <c r="I81" s="300" t="str">
        <f t="shared" si="19"/>
        <v/>
      </c>
      <c r="J81" s="300" t="str">
        <f t="shared" si="19"/>
        <v/>
      </c>
      <c r="K81" s="300" t="str">
        <f t="shared" si="19"/>
        <v/>
      </c>
      <c r="L81" s="300" t="str">
        <f t="shared" si="19"/>
        <v/>
      </c>
      <c r="M81" s="300" t="str">
        <f t="shared" si="19"/>
        <v/>
      </c>
      <c r="N81" s="300" t="str">
        <f t="shared" si="19"/>
        <v/>
      </c>
      <c r="O81" s="300" t="str">
        <f t="shared" si="19"/>
        <v/>
      </c>
      <c r="P81" s="301">
        <f t="shared" si="17"/>
        <v>0</v>
      </c>
      <c r="R81" s="35">
        <f t="shared" si="18"/>
        <v>0</v>
      </c>
    </row>
    <row r="82" spans="2:18" ht="23.1" customHeight="1">
      <c r="B82" s="299" t="str">
        <f>LR!B83</f>
        <v>610118 | TUNJANGAN JAMSOSTEK KESEHATAN</v>
      </c>
      <c r="C82" s="284"/>
      <c r="D82" s="300">
        <f t="shared" si="19"/>
        <v>0</v>
      </c>
      <c r="E82" s="300">
        <f t="shared" si="19"/>
        <v>0</v>
      </c>
      <c r="F82" s="300">
        <f t="shared" si="19"/>
        <v>0</v>
      </c>
      <c r="G82" s="300" t="str">
        <f t="shared" si="19"/>
        <v/>
      </c>
      <c r="H82" s="300" t="str">
        <f t="shared" si="19"/>
        <v/>
      </c>
      <c r="I82" s="300" t="str">
        <f t="shared" si="19"/>
        <v/>
      </c>
      <c r="J82" s="300" t="str">
        <f t="shared" si="19"/>
        <v/>
      </c>
      <c r="K82" s="300" t="str">
        <f t="shared" si="19"/>
        <v/>
      </c>
      <c r="L82" s="300" t="str">
        <f t="shared" si="19"/>
        <v/>
      </c>
      <c r="M82" s="300" t="str">
        <f t="shared" si="19"/>
        <v/>
      </c>
      <c r="N82" s="300" t="str">
        <f t="shared" si="19"/>
        <v/>
      </c>
      <c r="O82" s="300" t="str">
        <f t="shared" si="19"/>
        <v/>
      </c>
      <c r="P82" s="301">
        <f t="shared" si="17"/>
        <v>0</v>
      </c>
      <c r="R82" s="35">
        <f t="shared" si="18"/>
        <v>0</v>
      </c>
    </row>
    <row r="83" spans="2:18" ht="23.1" customHeight="1">
      <c r="B83" s="299" t="str">
        <f>LR!B84</f>
        <v>610119 | TUNJANGAN JAMSOSTEK KETENAGAKERJAAN</v>
      </c>
      <c r="C83" s="284"/>
      <c r="D83" s="300">
        <f t="shared" si="19"/>
        <v>0</v>
      </c>
      <c r="E83" s="300">
        <f t="shared" si="19"/>
        <v>0</v>
      </c>
      <c r="F83" s="300">
        <f t="shared" si="19"/>
        <v>0</v>
      </c>
      <c r="G83" s="300" t="str">
        <f t="shared" si="19"/>
        <v/>
      </c>
      <c r="H83" s="300" t="str">
        <f t="shared" si="19"/>
        <v/>
      </c>
      <c r="I83" s="300" t="str">
        <f t="shared" si="19"/>
        <v/>
      </c>
      <c r="J83" s="300" t="str">
        <f t="shared" si="19"/>
        <v/>
      </c>
      <c r="K83" s="300" t="str">
        <f t="shared" si="19"/>
        <v/>
      </c>
      <c r="L83" s="300" t="str">
        <f t="shared" si="19"/>
        <v/>
      </c>
      <c r="M83" s="300" t="str">
        <f t="shared" si="19"/>
        <v/>
      </c>
      <c r="N83" s="300" t="str">
        <f t="shared" si="19"/>
        <v/>
      </c>
      <c r="O83" s="300" t="str">
        <f t="shared" si="19"/>
        <v/>
      </c>
      <c r="P83" s="301">
        <f t="shared" si="17"/>
        <v>0</v>
      </c>
      <c r="R83" s="35">
        <f t="shared" si="18"/>
        <v>0</v>
      </c>
    </row>
    <row r="84" spans="2:18" ht="23.1" customHeight="1">
      <c r="B84" s="299" t="str">
        <f>LR!B85</f>
        <v>610120 | TUNJANGAN ISTRI DAN ANAK</v>
      </c>
      <c r="C84" s="284"/>
      <c r="D84" s="300">
        <f t="shared" si="19"/>
        <v>0</v>
      </c>
      <c r="E84" s="300">
        <f t="shared" si="19"/>
        <v>0</v>
      </c>
      <c r="F84" s="300">
        <f t="shared" si="19"/>
        <v>0</v>
      </c>
      <c r="G84" s="300" t="str">
        <f t="shared" si="19"/>
        <v/>
      </c>
      <c r="H84" s="300" t="str">
        <f t="shared" si="19"/>
        <v/>
      </c>
      <c r="I84" s="300" t="str">
        <f t="shared" si="19"/>
        <v/>
      </c>
      <c r="J84" s="300" t="str">
        <f t="shared" si="19"/>
        <v/>
      </c>
      <c r="K84" s="300" t="str">
        <f t="shared" si="19"/>
        <v/>
      </c>
      <c r="L84" s="300" t="str">
        <f t="shared" si="19"/>
        <v/>
      </c>
      <c r="M84" s="300" t="str">
        <f t="shared" si="19"/>
        <v/>
      </c>
      <c r="N84" s="300" t="str">
        <f t="shared" si="19"/>
        <v/>
      </c>
      <c r="O84" s="300" t="str">
        <f t="shared" si="19"/>
        <v/>
      </c>
      <c r="P84" s="301">
        <f t="shared" si="17"/>
        <v>0</v>
      </c>
      <c r="R84" s="35">
        <f t="shared" si="18"/>
        <v>0</v>
      </c>
    </row>
    <row r="85" spans="2:18" ht="23.1" customHeight="1">
      <c r="B85" s="299" t="str">
        <f>LR!B86</f>
        <v>610121 | TUNJANGAN TRANSPORT</v>
      </c>
      <c r="C85" s="284"/>
      <c r="D85" s="300">
        <f t="shared" si="19"/>
        <v>0</v>
      </c>
      <c r="E85" s="300">
        <f t="shared" si="19"/>
        <v>0</v>
      </c>
      <c r="F85" s="300">
        <f t="shared" si="19"/>
        <v>0</v>
      </c>
      <c r="G85" s="300" t="str">
        <f t="shared" si="19"/>
        <v/>
      </c>
      <c r="H85" s="300" t="str">
        <f t="shared" si="19"/>
        <v/>
      </c>
      <c r="I85" s="300" t="str">
        <f t="shared" si="19"/>
        <v/>
      </c>
      <c r="J85" s="300" t="str">
        <f t="shared" si="19"/>
        <v/>
      </c>
      <c r="K85" s="300" t="str">
        <f t="shared" si="19"/>
        <v/>
      </c>
      <c r="L85" s="300" t="str">
        <f t="shared" si="19"/>
        <v/>
      </c>
      <c r="M85" s="300" t="str">
        <f t="shared" si="19"/>
        <v/>
      </c>
      <c r="N85" s="300" t="str">
        <f t="shared" si="19"/>
        <v/>
      </c>
      <c r="O85" s="300" t="str">
        <f t="shared" si="19"/>
        <v/>
      </c>
      <c r="P85" s="301">
        <f t="shared" si="17"/>
        <v>0</v>
      </c>
      <c r="R85" s="35">
        <f t="shared" si="18"/>
        <v>0</v>
      </c>
    </row>
    <row r="86" spans="2:18" ht="23.1" customHeight="1">
      <c r="B86" s="299" t="str">
        <f>LR!B87</f>
        <v>610122 | REFRESENTASI DIREKSI</v>
      </c>
      <c r="C86" s="284"/>
      <c r="D86" s="300">
        <f t="shared" si="19"/>
        <v>0</v>
      </c>
      <c r="E86" s="300">
        <f t="shared" si="19"/>
        <v>0</v>
      </c>
      <c r="F86" s="300">
        <f t="shared" si="19"/>
        <v>0</v>
      </c>
      <c r="G86" s="300" t="str">
        <f t="shared" si="19"/>
        <v/>
      </c>
      <c r="H86" s="300" t="str">
        <f t="shared" si="19"/>
        <v/>
      </c>
      <c r="I86" s="300" t="str">
        <f t="shared" si="19"/>
        <v/>
      </c>
      <c r="J86" s="300" t="str">
        <f t="shared" si="19"/>
        <v/>
      </c>
      <c r="K86" s="300" t="str">
        <f t="shared" si="19"/>
        <v/>
      </c>
      <c r="L86" s="300" t="str">
        <f t="shared" si="19"/>
        <v/>
      </c>
      <c r="M86" s="300" t="str">
        <f t="shared" si="19"/>
        <v/>
      </c>
      <c r="N86" s="300" t="str">
        <f t="shared" si="19"/>
        <v/>
      </c>
      <c r="O86" s="300" t="str">
        <f t="shared" si="19"/>
        <v/>
      </c>
      <c r="P86" s="301">
        <f t="shared" si="17"/>
        <v>0</v>
      </c>
      <c r="R86" s="35">
        <f t="shared" si="18"/>
        <v>0</v>
      </c>
    </row>
    <row r="87" spans="2:18" ht="23.1" customHeight="1">
      <c r="B87" s="299" t="str">
        <f>LR!B88</f>
        <v>610123 | GAJI POKOK PEGAWAI</v>
      </c>
      <c r="C87" s="284"/>
      <c r="D87" s="300">
        <f t="shared" si="19"/>
        <v>0</v>
      </c>
      <c r="E87" s="300">
        <f t="shared" si="19"/>
        <v>0</v>
      </c>
      <c r="F87" s="300">
        <f t="shared" si="19"/>
        <v>0</v>
      </c>
      <c r="G87" s="300" t="str">
        <f t="shared" si="19"/>
        <v/>
      </c>
      <c r="H87" s="300" t="str">
        <f t="shared" si="19"/>
        <v/>
      </c>
      <c r="I87" s="300" t="str">
        <f t="shared" si="19"/>
        <v/>
      </c>
      <c r="J87" s="300" t="str">
        <f t="shared" si="19"/>
        <v/>
      </c>
      <c r="K87" s="300" t="str">
        <f t="shared" si="19"/>
        <v/>
      </c>
      <c r="L87" s="300" t="str">
        <f t="shared" si="19"/>
        <v/>
      </c>
      <c r="M87" s="300" t="str">
        <f t="shared" si="19"/>
        <v/>
      </c>
      <c r="N87" s="300" t="str">
        <f t="shared" si="19"/>
        <v/>
      </c>
      <c r="O87" s="300" t="str">
        <f t="shared" si="19"/>
        <v/>
      </c>
      <c r="P87" s="301">
        <f t="shared" si="17"/>
        <v>0</v>
      </c>
      <c r="R87" s="35">
        <f t="shared" si="18"/>
        <v>0</v>
      </c>
    </row>
    <row r="88" spans="2:18" ht="23.1" customHeight="1">
      <c r="B88" s="299" t="str">
        <f>LR!B89</f>
        <v>610125 | TUNJANGAN KESEHATAN DAN BPJS TK-PEGAWAI</v>
      </c>
      <c r="C88" s="284"/>
      <c r="D88" s="300">
        <f t="shared" si="19"/>
        <v>0</v>
      </c>
      <c r="E88" s="300">
        <f t="shared" si="19"/>
        <v>0</v>
      </c>
      <c r="F88" s="300">
        <f t="shared" si="19"/>
        <v>0</v>
      </c>
      <c r="G88" s="300" t="str">
        <f t="shared" si="19"/>
        <v/>
      </c>
      <c r="H88" s="300" t="str">
        <f t="shared" si="19"/>
        <v/>
      </c>
      <c r="I88" s="300" t="str">
        <f t="shared" si="19"/>
        <v/>
      </c>
      <c r="J88" s="300" t="str">
        <f t="shared" si="19"/>
        <v/>
      </c>
      <c r="K88" s="300" t="str">
        <f t="shared" si="19"/>
        <v/>
      </c>
      <c r="L88" s="300" t="str">
        <f t="shared" si="19"/>
        <v/>
      </c>
      <c r="M88" s="300" t="str">
        <f t="shared" si="19"/>
        <v/>
      </c>
      <c r="N88" s="300" t="str">
        <f t="shared" si="19"/>
        <v/>
      </c>
      <c r="O88" s="300" t="str">
        <f t="shared" si="19"/>
        <v/>
      </c>
      <c r="P88" s="301">
        <f t="shared" si="17"/>
        <v>0</v>
      </c>
      <c r="R88" s="35">
        <f t="shared" si="18"/>
        <v>0</v>
      </c>
    </row>
    <row r="89" spans="2:18" ht="23.1" customHeight="1">
      <c r="B89" s="299" t="str">
        <f>LR!B90</f>
        <v>610127 | TUNJANGAN MAKAN MINUM TRANSPORTASI &amp; T. KELUARGA</v>
      </c>
      <c r="C89" s="284"/>
      <c r="D89" s="300">
        <f t="shared" si="19"/>
        <v>0</v>
      </c>
      <c r="E89" s="300">
        <f t="shared" si="19"/>
        <v>0</v>
      </c>
      <c r="F89" s="300">
        <f t="shared" si="19"/>
        <v>0</v>
      </c>
      <c r="G89" s="300" t="str">
        <f t="shared" si="19"/>
        <v/>
      </c>
      <c r="H89" s="300" t="str">
        <f t="shared" si="19"/>
        <v/>
      </c>
      <c r="I89" s="300" t="str">
        <f t="shared" si="19"/>
        <v/>
      </c>
      <c r="J89" s="300" t="str">
        <f t="shared" si="19"/>
        <v/>
      </c>
      <c r="K89" s="300" t="str">
        <f t="shared" si="19"/>
        <v/>
      </c>
      <c r="L89" s="300" t="str">
        <f t="shared" si="19"/>
        <v/>
      </c>
      <c r="M89" s="300" t="str">
        <f t="shared" si="19"/>
        <v/>
      </c>
      <c r="N89" s="300" t="str">
        <f t="shared" si="19"/>
        <v/>
      </c>
      <c r="O89" s="300" t="str">
        <f t="shared" si="19"/>
        <v/>
      </c>
      <c r="P89" s="301">
        <f t="shared" si="17"/>
        <v>0</v>
      </c>
      <c r="R89" s="35">
        <f t="shared" si="18"/>
        <v>0</v>
      </c>
    </row>
    <row r="90" spans="2:18" ht="23.1" customHeight="1">
      <c r="B90" s="299" t="str">
        <f>LR!B91</f>
        <v>610129 | BIAYA TUNJANGAN HARI RAYA</v>
      </c>
      <c r="C90" s="284"/>
      <c r="D90" s="300">
        <f t="shared" si="19"/>
        <v>0</v>
      </c>
      <c r="E90" s="300">
        <f t="shared" si="19"/>
        <v>0</v>
      </c>
      <c r="F90" s="300">
        <f t="shared" si="19"/>
        <v>0</v>
      </c>
      <c r="G90" s="300" t="str">
        <f t="shared" si="19"/>
        <v/>
      </c>
      <c r="H90" s="300" t="str">
        <f t="shared" si="19"/>
        <v/>
      </c>
      <c r="I90" s="300" t="str">
        <f t="shared" si="19"/>
        <v/>
      </c>
      <c r="J90" s="300" t="str">
        <f t="shared" si="19"/>
        <v/>
      </c>
      <c r="K90" s="300" t="str">
        <f t="shared" si="19"/>
        <v/>
      </c>
      <c r="L90" s="300" t="str">
        <f t="shared" si="19"/>
        <v/>
      </c>
      <c r="M90" s="300" t="str">
        <f t="shared" si="19"/>
        <v/>
      </c>
      <c r="N90" s="300" t="str">
        <f t="shared" si="19"/>
        <v/>
      </c>
      <c r="O90" s="300" t="str">
        <f t="shared" si="19"/>
        <v/>
      </c>
      <c r="P90" s="301">
        <f t="shared" si="17"/>
        <v>0</v>
      </c>
      <c r="R90" s="35">
        <f t="shared" si="18"/>
        <v>0</v>
      </c>
    </row>
    <row r="91" spans="2:18" ht="23.1" customHeight="1">
      <c r="B91" s="299" t="str">
        <f>LR!B92</f>
        <v>610130 | BIAYA HONOR KOMITE AUDIT</v>
      </c>
      <c r="C91" s="284"/>
      <c r="D91" s="300">
        <f t="shared" si="19"/>
        <v>0</v>
      </c>
      <c r="E91" s="300">
        <f t="shared" si="19"/>
        <v>0</v>
      </c>
      <c r="F91" s="300">
        <f t="shared" si="19"/>
        <v>0</v>
      </c>
      <c r="G91" s="300" t="str">
        <f t="shared" si="19"/>
        <v/>
      </c>
      <c r="H91" s="300" t="str">
        <f t="shared" si="19"/>
        <v/>
      </c>
      <c r="I91" s="300" t="str">
        <f t="shared" si="19"/>
        <v/>
      </c>
      <c r="J91" s="300" t="str">
        <f t="shared" si="19"/>
        <v/>
      </c>
      <c r="K91" s="300" t="str">
        <f t="shared" si="19"/>
        <v/>
      </c>
      <c r="L91" s="300" t="str">
        <f t="shared" si="19"/>
        <v/>
      </c>
      <c r="M91" s="300" t="str">
        <f t="shared" si="19"/>
        <v/>
      </c>
      <c r="N91" s="300" t="str">
        <f t="shared" si="19"/>
        <v/>
      </c>
      <c r="O91" s="300" t="str">
        <f t="shared" si="19"/>
        <v/>
      </c>
      <c r="P91" s="301">
        <f t="shared" si="17"/>
        <v>0</v>
      </c>
      <c r="R91" s="35">
        <f t="shared" si="18"/>
        <v>0</v>
      </c>
    </row>
    <row r="92" spans="2:18" ht="23.1" customHeight="1">
      <c r="B92" s="299" t="str">
        <f>LR!B93</f>
        <v>TOTAL BIAYA GAJI</v>
      </c>
      <c r="C92" s="284"/>
      <c r="D92" s="300" t="e">
        <f t="shared" si="19"/>
        <v>#N/A</v>
      </c>
      <c r="E92" s="300" t="e">
        <f t="shared" si="19"/>
        <v>#N/A</v>
      </c>
      <c r="F92" s="300" t="e">
        <f t="shared" si="19"/>
        <v>#N/A</v>
      </c>
      <c r="G92" s="300" t="str">
        <f t="shared" si="19"/>
        <v/>
      </c>
      <c r="H92" s="300" t="str">
        <f t="shared" si="19"/>
        <v/>
      </c>
      <c r="I92" s="300" t="str">
        <f t="shared" si="19"/>
        <v/>
      </c>
      <c r="J92" s="300" t="str">
        <f t="shared" si="19"/>
        <v/>
      </c>
      <c r="K92" s="300" t="str">
        <f t="shared" si="19"/>
        <v/>
      </c>
      <c r="L92" s="300" t="str">
        <f t="shared" si="19"/>
        <v/>
      </c>
      <c r="M92" s="300" t="str">
        <f t="shared" si="19"/>
        <v/>
      </c>
      <c r="N92" s="300" t="str">
        <f t="shared" si="19"/>
        <v/>
      </c>
      <c r="O92" s="300" t="str">
        <f t="shared" si="19"/>
        <v/>
      </c>
      <c r="P92" s="301" t="e">
        <f t="shared" si="17"/>
        <v>#N/A</v>
      </c>
      <c r="R92" s="35" t="e">
        <f t="shared" si="18"/>
        <v>#N/A</v>
      </c>
    </row>
    <row r="93" spans="2:18" ht="23.1" customHeight="1">
      <c r="B93" s="299" t="str">
        <f>LR!B94</f>
        <v>BIAYA ADM UMUM</v>
      </c>
      <c r="C93" s="284"/>
      <c r="D93" s="300" t="e">
        <f t="shared" ref="D93:O108" si="20">IF(D$8="","",IF(INDEX(typ_sn,MATCH(INDEX(akun_type,MATCH($B93,akun_kb,0)),typ_ket,0))="db",SUMIFS(ju_sld,ju_tgl,"&gt;="&amp;awal,ju_tgl,"&lt;="&amp;akhir,ju_kr,$B93,ju_div2,"kr"&amp;D$8)-SUMIFS(ju_sld,ju_tgl,"&gt;="&amp;awal,ju_tgl,"&lt;="&amp;akhir,ju_debet,$B93,ju_div2,"db"&amp;D$8),SUMIFS(ju_sld,ju_tgl,"&gt;="&amp;awal,ju_tgl,"&lt;="&amp;akhir,ju_kr,$B93,ju_div2,"kr"&amp;D$8)-SUMIFS(ju_sld,ju_tgl,"&gt;="&amp;awal,ju_tgl,"&lt;="&amp;akhir,ju_debet,$B93,ju_div2,"db"&amp;D$8)))</f>
        <v>#N/A</v>
      </c>
      <c r="E93" s="300" t="e">
        <f t="shared" si="20"/>
        <v>#N/A</v>
      </c>
      <c r="F93" s="300" t="e">
        <f t="shared" si="20"/>
        <v>#N/A</v>
      </c>
      <c r="G93" s="300" t="str">
        <f t="shared" si="20"/>
        <v/>
      </c>
      <c r="H93" s="300" t="str">
        <f t="shared" si="20"/>
        <v/>
      </c>
      <c r="I93" s="300" t="str">
        <f t="shared" si="20"/>
        <v/>
      </c>
      <c r="J93" s="300" t="str">
        <f t="shared" si="20"/>
        <v/>
      </c>
      <c r="K93" s="300" t="str">
        <f t="shared" si="20"/>
        <v/>
      </c>
      <c r="L93" s="300" t="str">
        <f t="shared" si="20"/>
        <v/>
      </c>
      <c r="M93" s="300" t="str">
        <f t="shared" si="20"/>
        <v/>
      </c>
      <c r="N93" s="300" t="str">
        <f t="shared" si="20"/>
        <v/>
      </c>
      <c r="O93" s="300" t="str">
        <f t="shared" si="20"/>
        <v/>
      </c>
      <c r="P93" s="301" t="e">
        <f t="shared" si="17"/>
        <v>#N/A</v>
      </c>
      <c r="R93" s="35" t="e">
        <f t="shared" si="18"/>
        <v>#N/A</v>
      </c>
    </row>
    <row r="94" spans="2:18" ht="23.1" customHeight="1">
      <c r="B94" s="299" t="str">
        <f>LR!B95</f>
        <v>610201 | BIAYA DANA REFRESENTASI DIREKSI</v>
      </c>
      <c r="C94" s="284"/>
      <c r="D94" s="300">
        <f t="shared" si="20"/>
        <v>0</v>
      </c>
      <c r="E94" s="300">
        <f t="shared" si="20"/>
        <v>0</v>
      </c>
      <c r="F94" s="300">
        <f t="shared" si="20"/>
        <v>0</v>
      </c>
      <c r="G94" s="300" t="str">
        <f t="shared" si="20"/>
        <v/>
      </c>
      <c r="H94" s="300" t="str">
        <f t="shared" si="20"/>
        <v/>
      </c>
      <c r="I94" s="300" t="str">
        <f t="shared" si="20"/>
        <v/>
      </c>
      <c r="J94" s="300" t="str">
        <f t="shared" si="20"/>
        <v/>
      </c>
      <c r="K94" s="300" t="str">
        <f t="shared" si="20"/>
        <v/>
      </c>
      <c r="L94" s="300" t="str">
        <f t="shared" si="20"/>
        <v/>
      </c>
      <c r="M94" s="300" t="str">
        <f t="shared" si="20"/>
        <v/>
      </c>
      <c r="N94" s="300" t="str">
        <f t="shared" si="20"/>
        <v/>
      </c>
      <c r="O94" s="300" t="str">
        <f t="shared" si="20"/>
        <v/>
      </c>
      <c r="P94" s="301">
        <f t="shared" si="17"/>
        <v>0</v>
      </c>
      <c r="R94" s="35">
        <f t="shared" si="18"/>
        <v>0</v>
      </c>
    </row>
    <row r="95" spans="2:18" ht="23.1" customHeight="1">
      <c r="B95" s="299" t="str">
        <f>LR!B96</f>
        <v>610202 | BIAYA KOORDINASI PEMBINA PERUSDA</v>
      </c>
      <c r="C95" s="284"/>
      <c r="D95" s="300">
        <f t="shared" si="20"/>
        <v>0</v>
      </c>
      <c r="E95" s="300">
        <f t="shared" si="20"/>
        <v>0</v>
      </c>
      <c r="F95" s="300">
        <f t="shared" si="20"/>
        <v>0</v>
      </c>
      <c r="G95" s="300" t="str">
        <f t="shared" si="20"/>
        <v/>
      </c>
      <c r="H95" s="300" t="str">
        <f t="shared" si="20"/>
        <v/>
      </c>
      <c r="I95" s="300" t="str">
        <f t="shared" si="20"/>
        <v/>
      </c>
      <c r="J95" s="300" t="str">
        <f t="shared" si="20"/>
        <v/>
      </c>
      <c r="K95" s="300" t="str">
        <f t="shared" si="20"/>
        <v/>
      </c>
      <c r="L95" s="300" t="str">
        <f t="shared" si="20"/>
        <v/>
      </c>
      <c r="M95" s="300" t="str">
        <f t="shared" si="20"/>
        <v/>
      </c>
      <c r="N95" s="300" t="str">
        <f t="shared" si="20"/>
        <v/>
      </c>
      <c r="O95" s="300" t="str">
        <f t="shared" si="20"/>
        <v/>
      </c>
      <c r="P95" s="301">
        <f t="shared" si="17"/>
        <v>0</v>
      </c>
      <c r="R95" s="35">
        <f t="shared" si="18"/>
        <v>0</v>
      </c>
    </row>
    <row r="96" spans="2:18" ht="23.1" customHeight="1">
      <c r="B96" s="299" t="str">
        <f>LR!B97</f>
        <v>610203 | BIAYA PENINGKATAN SDM PEGAWAI</v>
      </c>
      <c r="C96" s="284"/>
      <c r="D96" s="300">
        <f t="shared" si="20"/>
        <v>0</v>
      </c>
      <c r="E96" s="300">
        <f t="shared" si="20"/>
        <v>0</v>
      </c>
      <c r="F96" s="300">
        <f t="shared" si="20"/>
        <v>0</v>
      </c>
      <c r="G96" s="300" t="str">
        <f t="shared" si="20"/>
        <v/>
      </c>
      <c r="H96" s="300" t="str">
        <f t="shared" si="20"/>
        <v/>
      </c>
      <c r="I96" s="300" t="str">
        <f t="shared" si="20"/>
        <v/>
      </c>
      <c r="J96" s="300" t="str">
        <f t="shared" si="20"/>
        <v/>
      </c>
      <c r="K96" s="300" t="str">
        <f t="shared" si="20"/>
        <v/>
      </c>
      <c r="L96" s="300" t="str">
        <f t="shared" si="20"/>
        <v/>
      </c>
      <c r="M96" s="300" t="str">
        <f t="shared" si="20"/>
        <v/>
      </c>
      <c r="N96" s="300" t="str">
        <f t="shared" si="20"/>
        <v/>
      </c>
      <c r="O96" s="300" t="str">
        <f t="shared" si="20"/>
        <v/>
      </c>
      <c r="P96" s="301">
        <f t="shared" ref="P96:P110" si="21">SUM(D96:O96)</f>
        <v>0</v>
      </c>
      <c r="R96" s="35">
        <f t="shared" ref="R96:R110" si="22">IF(OR(P96&gt;0,P96&lt;0,P96=""),1,0)</f>
        <v>0</v>
      </c>
    </row>
    <row r="97" spans="2:18" ht="23.1" customHeight="1">
      <c r="B97" s="299" t="str">
        <f>LR!B98</f>
        <v>610204 | BIAYA SOSIALISASI</v>
      </c>
      <c r="C97" s="284"/>
      <c r="D97" s="300">
        <f t="shared" si="20"/>
        <v>0</v>
      </c>
      <c r="E97" s="300">
        <f t="shared" si="20"/>
        <v>0</v>
      </c>
      <c r="F97" s="300">
        <f t="shared" si="20"/>
        <v>0</v>
      </c>
      <c r="G97" s="300" t="str">
        <f t="shared" si="20"/>
        <v/>
      </c>
      <c r="H97" s="300" t="str">
        <f t="shared" si="20"/>
        <v/>
      </c>
      <c r="I97" s="300" t="str">
        <f t="shared" si="20"/>
        <v/>
      </c>
      <c r="J97" s="300" t="str">
        <f t="shared" si="20"/>
        <v/>
      </c>
      <c r="K97" s="300" t="str">
        <f t="shared" si="20"/>
        <v/>
      </c>
      <c r="L97" s="300" t="str">
        <f t="shared" si="20"/>
        <v/>
      </c>
      <c r="M97" s="300" t="str">
        <f t="shared" si="20"/>
        <v/>
      </c>
      <c r="N97" s="300" t="str">
        <f t="shared" si="20"/>
        <v/>
      </c>
      <c r="O97" s="300" t="str">
        <f t="shared" si="20"/>
        <v/>
      </c>
      <c r="P97" s="301">
        <f t="shared" si="21"/>
        <v>0</v>
      </c>
      <c r="R97" s="35">
        <f t="shared" si="22"/>
        <v>0</v>
      </c>
    </row>
    <row r="98" spans="2:18" ht="23.1" customHeight="1">
      <c r="B98" s="299" t="str">
        <f>LR!B99</f>
        <v>610205 | BIAYA MEDIA CETAK DAN ELEKTRONIK</v>
      </c>
      <c r="C98" s="284"/>
      <c r="D98" s="300">
        <f t="shared" si="20"/>
        <v>0</v>
      </c>
      <c r="E98" s="300">
        <f t="shared" si="20"/>
        <v>0</v>
      </c>
      <c r="F98" s="300">
        <f t="shared" si="20"/>
        <v>0</v>
      </c>
      <c r="G98" s="300" t="str">
        <f t="shared" si="20"/>
        <v/>
      </c>
      <c r="H98" s="300" t="str">
        <f t="shared" si="20"/>
        <v/>
      </c>
      <c r="I98" s="300" t="str">
        <f t="shared" si="20"/>
        <v/>
      </c>
      <c r="J98" s="300" t="str">
        <f t="shared" si="20"/>
        <v/>
      </c>
      <c r="K98" s="300" t="str">
        <f t="shared" si="20"/>
        <v/>
      </c>
      <c r="L98" s="300" t="str">
        <f t="shared" si="20"/>
        <v/>
      </c>
      <c r="M98" s="300" t="str">
        <f t="shared" si="20"/>
        <v/>
      </c>
      <c r="N98" s="300" t="str">
        <f t="shared" si="20"/>
        <v/>
      </c>
      <c r="O98" s="300" t="str">
        <f t="shared" si="20"/>
        <v/>
      </c>
      <c r="P98" s="301">
        <f t="shared" si="21"/>
        <v>0</v>
      </c>
      <c r="R98" s="35">
        <f t="shared" si="22"/>
        <v>0</v>
      </c>
    </row>
    <row r="99" spans="2:18" ht="23.1" customHeight="1">
      <c r="B99" s="299" t="str">
        <f>LR!B100</f>
        <v>610206 | BIAYA HONOR PANITIA DAN PEMERIKSA BARANG</v>
      </c>
      <c r="C99" s="284"/>
      <c r="D99" s="300">
        <f t="shared" si="20"/>
        <v>0</v>
      </c>
      <c r="E99" s="300">
        <f t="shared" si="20"/>
        <v>0</v>
      </c>
      <c r="F99" s="300">
        <f t="shared" si="20"/>
        <v>0</v>
      </c>
      <c r="G99" s="300" t="str">
        <f t="shared" si="20"/>
        <v/>
      </c>
      <c r="H99" s="300" t="str">
        <f t="shared" si="20"/>
        <v/>
      </c>
      <c r="I99" s="300" t="str">
        <f t="shared" si="20"/>
        <v/>
      </c>
      <c r="J99" s="300" t="str">
        <f t="shared" si="20"/>
        <v/>
      </c>
      <c r="K99" s="300" t="str">
        <f t="shared" si="20"/>
        <v/>
      </c>
      <c r="L99" s="300" t="str">
        <f t="shared" si="20"/>
        <v/>
      </c>
      <c r="M99" s="300" t="str">
        <f t="shared" si="20"/>
        <v/>
      </c>
      <c r="N99" s="300" t="str">
        <f t="shared" si="20"/>
        <v/>
      </c>
      <c r="O99" s="300" t="str">
        <f t="shared" si="20"/>
        <v/>
      </c>
      <c r="P99" s="301">
        <f t="shared" si="21"/>
        <v>0</v>
      </c>
      <c r="R99" s="35">
        <f t="shared" si="22"/>
        <v>0</v>
      </c>
    </row>
    <row r="100" spans="2:18" ht="23.1" customHeight="1">
      <c r="B100" s="299" t="str">
        <f>LR!B101</f>
        <v>610207 | BIAYA ALAT TULIS KANTOR (ATK)</v>
      </c>
      <c r="C100" s="284"/>
      <c r="D100" s="300">
        <f t="shared" si="20"/>
        <v>0</v>
      </c>
      <c r="E100" s="300">
        <f t="shared" si="20"/>
        <v>0</v>
      </c>
      <c r="F100" s="300">
        <f t="shared" si="20"/>
        <v>0</v>
      </c>
      <c r="G100" s="300" t="str">
        <f t="shared" si="20"/>
        <v/>
      </c>
      <c r="H100" s="300" t="str">
        <f t="shared" si="20"/>
        <v/>
      </c>
      <c r="I100" s="300" t="str">
        <f t="shared" si="20"/>
        <v/>
      </c>
      <c r="J100" s="300" t="str">
        <f t="shared" si="20"/>
        <v/>
      </c>
      <c r="K100" s="300" t="str">
        <f t="shared" si="20"/>
        <v/>
      </c>
      <c r="L100" s="300" t="str">
        <f t="shared" si="20"/>
        <v/>
      </c>
      <c r="M100" s="300" t="str">
        <f t="shared" si="20"/>
        <v/>
      </c>
      <c r="N100" s="300" t="str">
        <f t="shared" si="20"/>
        <v/>
      </c>
      <c r="O100" s="300" t="str">
        <f t="shared" si="20"/>
        <v/>
      </c>
      <c r="P100" s="301">
        <f t="shared" si="21"/>
        <v>0</v>
      </c>
      <c r="R100" s="35">
        <f t="shared" si="22"/>
        <v>0</v>
      </c>
    </row>
    <row r="101" spans="2:18" ht="23.1" customHeight="1">
      <c r="B101" s="299" t="str">
        <f>LR!B102</f>
        <v>610208 | BIAYA BENDA BENDA POS DAN MATERAI</v>
      </c>
      <c r="C101" s="284"/>
      <c r="D101" s="300">
        <f t="shared" si="20"/>
        <v>0</v>
      </c>
      <c r="E101" s="300">
        <f t="shared" si="20"/>
        <v>0</v>
      </c>
      <c r="F101" s="300">
        <f t="shared" si="20"/>
        <v>0</v>
      </c>
      <c r="G101" s="300" t="str">
        <f t="shared" si="20"/>
        <v/>
      </c>
      <c r="H101" s="300" t="str">
        <f t="shared" si="20"/>
        <v/>
      </c>
      <c r="I101" s="300" t="str">
        <f t="shared" si="20"/>
        <v/>
      </c>
      <c r="J101" s="300" t="str">
        <f t="shared" si="20"/>
        <v/>
      </c>
      <c r="K101" s="300" t="str">
        <f t="shared" si="20"/>
        <v/>
      </c>
      <c r="L101" s="300" t="str">
        <f t="shared" si="20"/>
        <v/>
      </c>
      <c r="M101" s="300" t="str">
        <f t="shared" si="20"/>
        <v/>
      </c>
      <c r="N101" s="300" t="str">
        <f t="shared" si="20"/>
        <v/>
      </c>
      <c r="O101" s="300" t="str">
        <f t="shared" si="20"/>
        <v/>
      </c>
      <c r="P101" s="301">
        <f t="shared" si="21"/>
        <v>0</v>
      </c>
      <c r="R101" s="35">
        <f t="shared" si="22"/>
        <v>0</v>
      </c>
    </row>
    <row r="102" spans="2:18" ht="23.1" customHeight="1">
      <c r="B102" s="299" t="str">
        <f>LR!B103</f>
        <v>610209 | BIAYA PEMELIHARAAN BANGUNAN KANTOR</v>
      </c>
      <c r="C102" s="284"/>
      <c r="D102" s="300">
        <f t="shared" si="20"/>
        <v>0</v>
      </c>
      <c r="E102" s="300">
        <f t="shared" si="20"/>
        <v>0</v>
      </c>
      <c r="F102" s="300">
        <f t="shared" si="20"/>
        <v>0</v>
      </c>
      <c r="G102" s="300" t="str">
        <f t="shared" si="20"/>
        <v/>
      </c>
      <c r="H102" s="300" t="str">
        <f t="shared" si="20"/>
        <v/>
      </c>
      <c r="I102" s="300" t="str">
        <f t="shared" si="20"/>
        <v/>
      </c>
      <c r="J102" s="300" t="str">
        <f t="shared" si="20"/>
        <v/>
      </c>
      <c r="K102" s="300" t="str">
        <f t="shared" si="20"/>
        <v/>
      </c>
      <c r="L102" s="300" t="str">
        <f t="shared" si="20"/>
        <v/>
      </c>
      <c r="M102" s="300" t="str">
        <f t="shared" si="20"/>
        <v/>
      </c>
      <c r="N102" s="300" t="str">
        <f t="shared" si="20"/>
        <v/>
      </c>
      <c r="O102" s="300" t="str">
        <f t="shared" si="20"/>
        <v/>
      </c>
      <c r="P102" s="301">
        <f t="shared" si="21"/>
        <v>0</v>
      </c>
      <c r="R102" s="35">
        <f t="shared" si="22"/>
        <v>0</v>
      </c>
    </row>
    <row r="103" spans="2:18" ht="23.1" customHeight="1">
      <c r="B103" s="299" t="str">
        <f>LR!B104</f>
        <v>610210 | BIAYA PEMELIHARAAN INVENTARIS KANTOR</v>
      </c>
      <c r="C103" s="284"/>
      <c r="D103" s="300">
        <f t="shared" si="20"/>
        <v>0</v>
      </c>
      <c r="E103" s="300">
        <f t="shared" si="20"/>
        <v>0</v>
      </c>
      <c r="F103" s="300">
        <f t="shared" si="20"/>
        <v>0</v>
      </c>
      <c r="G103" s="300" t="str">
        <f t="shared" si="20"/>
        <v/>
      </c>
      <c r="H103" s="300" t="str">
        <f t="shared" si="20"/>
        <v/>
      </c>
      <c r="I103" s="300" t="str">
        <f t="shared" si="20"/>
        <v/>
      </c>
      <c r="J103" s="300" t="str">
        <f t="shared" si="20"/>
        <v/>
      </c>
      <c r="K103" s="300" t="str">
        <f t="shared" si="20"/>
        <v/>
      </c>
      <c r="L103" s="300" t="str">
        <f t="shared" si="20"/>
        <v/>
      </c>
      <c r="M103" s="300" t="str">
        <f t="shared" si="20"/>
        <v/>
      </c>
      <c r="N103" s="300" t="str">
        <f t="shared" si="20"/>
        <v/>
      </c>
      <c r="O103" s="300" t="str">
        <f t="shared" si="20"/>
        <v/>
      </c>
      <c r="P103" s="301">
        <f t="shared" si="21"/>
        <v>0</v>
      </c>
      <c r="R103" s="35">
        <f t="shared" si="22"/>
        <v>0</v>
      </c>
    </row>
    <row r="104" spans="2:18" ht="23.1" customHeight="1">
      <c r="B104" s="299" t="str">
        <f>LR!B105</f>
        <v>610211 | BIAYA TELEPON KANTOR</v>
      </c>
      <c r="C104" s="284"/>
      <c r="D104" s="300">
        <f t="shared" si="20"/>
        <v>0</v>
      </c>
      <c r="E104" s="300">
        <f t="shared" si="20"/>
        <v>0</v>
      </c>
      <c r="F104" s="300">
        <f t="shared" si="20"/>
        <v>0</v>
      </c>
      <c r="G104" s="300" t="str">
        <f t="shared" si="20"/>
        <v/>
      </c>
      <c r="H104" s="300" t="str">
        <f t="shared" si="20"/>
        <v/>
      </c>
      <c r="I104" s="300" t="str">
        <f t="shared" si="20"/>
        <v/>
      </c>
      <c r="J104" s="300" t="str">
        <f t="shared" si="20"/>
        <v/>
      </c>
      <c r="K104" s="300" t="str">
        <f t="shared" si="20"/>
        <v/>
      </c>
      <c r="L104" s="300" t="str">
        <f t="shared" si="20"/>
        <v/>
      </c>
      <c r="M104" s="300" t="str">
        <f t="shared" si="20"/>
        <v/>
      </c>
      <c r="N104" s="300" t="str">
        <f t="shared" si="20"/>
        <v/>
      </c>
      <c r="O104" s="300" t="str">
        <f t="shared" si="20"/>
        <v/>
      </c>
      <c r="P104" s="301">
        <f t="shared" si="21"/>
        <v>0</v>
      </c>
      <c r="R104" s="35">
        <f t="shared" si="22"/>
        <v>0</v>
      </c>
    </row>
    <row r="105" spans="2:18" ht="23.1" customHeight="1">
      <c r="B105" s="299" t="str">
        <f>LR!B106</f>
        <v>610212 | BIAYA LISTRIK DAN ENERGI KANTOR</v>
      </c>
      <c r="C105" s="284"/>
      <c r="D105" s="300">
        <f t="shared" si="20"/>
        <v>0</v>
      </c>
      <c r="E105" s="300">
        <f t="shared" si="20"/>
        <v>0</v>
      </c>
      <c r="F105" s="300">
        <f t="shared" si="20"/>
        <v>0</v>
      </c>
      <c r="G105" s="300" t="str">
        <f t="shared" si="20"/>
        <v/>
      </c>
      <c r="H105" s="300" t="str">
        <f t="shared" si="20"/>
        <v/>
      </c>
      <c r="I105" s="300" t="str">
        <f t="shared" si="20"/>
        <v/>
      </c>
      <c r="J105" s="300" t="str">
        <f t="shared" si="20"/>
        <v/>
      </c>
      <c r="K105" s="300" t="str">
        <f t="shared" si="20"/>
        <v/>
      </c>
      <c r="L105" s="300" t="str">
        <f t="shared" si="20"/>
        <v/>
      </c>
      <c r="M105" s="300" t="str">
        <f t="shared" si="20"/>
        <v/>
      </c>
      <c r="N105" s="300" t="str">
        <f t="shared" si="20"/>
        <v/>
      </c>
      <c r="O105" s="300" t="str">
        <f t="shared" si="20"/>
        <v/>
      </c>
      <c r="P105" s="301">
        <f t="shared" si="21"/>
        <v>0</v>
      </c>
      <c r="R105" s="35">
        <f t="shared" si="22"/>
        <v>0</v>
      </c>
    </row>
    <row r="106" spans="2:18" ht="23.1" customHeight="1">
      <c r="B106" s="299" t="str">
        <f>LR!B107</f>
        <v>610213 | BIAYA SEWA FOTO COPY DAN PERJILIDAN</v>
      </c>
      <c r="C106" s="284"/>
      <c r="D106" s="300">
        <f t="shared" si="20"/>
        <v>0</v>
      </c>
      <c r="E106" s="300">
        <f t="shared" si="20"/>
        <v>0</v>
      </c>
      <c r="F106" s="300">
        <f t="shared" si="20"/>
        <v>0</v>
      </c>
      <c r="G106" s="300" t="str">
        <f t="shared" si="20"/>
        <v/>
      </c>
      <c r="H106" s="300" t="str">
        <f t="shared" si="20"/>
        <v/>
      </c>
      <c r="I106" s="300" t="str">
        <f t="shared" si="20"/>
        <v/>
      </c>
      <c r="J106" s="300" t="str">
        <f t="shared" si="20"/>
        <v/>
      </c>
      <c r="K106" s="300" t="str">
        <f t="shared" si="20"/>
        <v/>
      </c>
      <c r="L106" s="300" t="str">
        <f t="shared" si="20"/>
        <v/>
      </c>
      <c r="M106" s="300" t="str">
        <f t="shared" si="20"/>
        <v/>
      </c>
      <c r="N106" s="300" t="str">
        <f t="shared" si="20"/>
        <v/>
      </c>
      <c r="O106" s="300" t="str">
        <f t="shared" si="20"/>
        <v/>
      </c>
      <c r="P106" s="301">
        <f t="shared" si="21"/>
        <v>0</v>
      </c>
      <c r="R106" s="35">
        <f t="shared" si="22"/>
        <v>0</v>
      </c>
    </row>
    <row r="107" spans="2:18" ht="23.1" customHeight="1">
      <c r="B107" s="299" t="str">
        <f>LR!B108</f>
        <v>610214 | TUNJANGAN UANG MAKAN DIREKSI</v>
      </c>
      <c r="C107" s="284"/>
      <c r="D107" s="300">
        <f t="shared" si="20"/>
        <v>0</v>
      </c>
      <c r="E107" s="300">
        <f t="shared" si="20"/>
        <v>0</v>
      </c>
      <c r="F107" s="300">
        <f t="shared" si="20"/>
        <v>0</v>
      </c>
      <c r="G107" s="300" t="str">
        <f t="shared" si="20"/>
        <v/>
      </c>
      <c r="H107" s="300" t="str">
        <f t="shared" si="20"/>
        <v/>
      </c>
      <c r="I107" s="300" t="str">
        <f t="shared" si="20"/>
        <v/>
      </c>
      <c r="J107" s="300" t="str">
        <f t="shared" si="20"/>
        <v/>
      </c>
      <c r="K107" s="300" t="str">
        <f t="shared" si="20"/>
        <v/>
      </c>
      <c r="L107" s="300" t="str">
        <f t="shared" si="20"/>
        <v/>
      </c>
      <c r="M107" s="300" t="str">
        <f t="shared" si="20"/>
        <v/>
      </c>
      <c r="N107" s="300" t="str">
        <f t="shared" si="20"/>
        <v/>
      </c>
      <c r="O107" s="300" t="str">
        <f t="shared" si="20"/>
        <v/>
      </c>
      <c r="P107" s="301">
        <f t="shared" si="21"/>
        <v>0</v>
      </c>
      <c r="R107" s="35">
        <f t="shared" si="22"/>
        <v>0</v>
      </c>
    </row>
    <row r="108" spans="2:18" ht="23.1" customHeight="1">
      <c r="B108" s="299" t="str">
        <f>LR!B109</f>
        <v>610215 | BIAYA TAMU</v>
      </c>
      <c r="C108" s="284"/>
      <c r="D108" s="300">
        <f t="shared" si="20"/>
        <v>0</v>
      </c>
      <c r="E108" s="300">
        <f t="shared" si="20"/>
        <v>0</v>
      </c>
      <c r="F108" s="300">
        <f t="shared" si="20"/>
        <v>0</v>
      </c>
      <c r="G108" s="300" t="str">
        <f t="shared" si="20"/>
        <v/>
      </c>
      <c r="H108" s="300" t="str">
        <f t="shared" si="20"/>
        <v/>
      </c>
      <c r="I108" s="300" t="str">
        <f t="shared" si="20"/>
        <v/>
      </c>
      <c r="J108" s="300" t="str">
        <f t="shared" si="20"/>
        <v/>
      </c>
      <c r="K108" s="300" t="str">
        <f t="shared" si="20"/>
        <v/>
      </c>
      <c r="L108" s="300" t="str">
        <f t="shared" si="20"/>
        <v/>
      </c>
      <c r="M108" s="300" t="str">
        <f t="shared" si="20"/>
        <v/>
      </c>
      <c r="N108" s="300" t="str">
        <f t="shared" si="20"/>
        <v/>
      </c>
      <c r="O108" s="300" t="str">
        <f t="shared" si="20"/>
        <v/>
      </c>
      <c r="P108" s="301">
        <f t="shared" si="21"/>
        <v>0</v>
      </c>
      <c r="R108" s="35">
        <f t="shared" si="22"/>
        <v>0</v>
      </c>
    </row>
    <row r="109" spans="2:18" ht="23.1" customHeight="1">
      <c r="B109" s="299" t="str">
        <f>LR!B110</f>
        <v>610216 | BIAYA PERALATAN DAN PERLENGKAPAN KANTOR</v>
      </c>
      <c r="C109" s="284"/>
      <c r="D109" s="300">
        <f t="shared" ref="D109:O124" si="23">IF(D$8="","",IF(INDEX(typ_sn,MATCH(INDEX(akun_type,MATCH($B109,akun_kb,0)),typ_ket,0))="db",SUMIFS(ju_sld,ju_tgl,"&gt;="&amp;awal,ju_tgl,"&lt;="&amp;akhir,ju_kr,$B109,ju_div2,"kr"&amp;D$8)-SUMIFS(ju_sld,ju_tgl,"&gt;="&amp;awal,ju_tgl,"&lt;="&amp;akhir,ju_debet,$B109,ju_div2,"db"&amp;D$8),SUMIFS(ju_sld,ju_tgl,"&gt;="&amp;awal,ju_tgl,"&lt;="&amp;akhir,ju_kr,$B109,ju_div2,"kr"&amp;D$8)-SUMIFS(ju_sld,ju_tgl,"&gt;="&amp;awal,ju_tgl,"&lt;="&amp;akhir,ju_debet,$B109,ju_div2,"db"&amp;D$8)))</f>
        <v>0</v>
      </c>
      <c r="E109" s="300">
        <f t="shared" si="23"/>
        <v>0</v>
      </c>
      <c r="F109" s="300">
        <f t="shared" si="23"/>
        <v>0</v>
      </c>
      <c r="G109" s="300" t="str">
        <f t="shared" si="23"/>
        <v/>
      </c>
      <c r="H109" s="300" t="str">
        <f t="shared" si="23"/>
        <v/>
      </c>
      <c r="I109" s="300" t="str">
        <f t="shared" si="23"/>
        <v/>
      </c>
      <c r="J109" s="300" t="str">
        <f t="shared" si="23"/>
        <v/>
      </c>
      <c r="K109" s="300" t="str">
        <f t="shared" si="23"/>
        <v/>
      </c>
      <c r="L109" s="300" t="str">
        <f t="shared" si="23"/>
        <v/>
      </c>
      <c r="M109" s="300" t="str">
        <f t="shared" si="23"/>
        <v/>
      </c>
      <c r="N109" s="300" t="str">
        <f t="shared" si="23"/>
        <v/>
      </c>
      <c r="O109" s="300" t="str">
        <f t="shared" si="23"/>
        <v/>
      </c>
      <c r="P109" s="301">
        <f t="shared" si="21"/>
        <v>0</v>
      </c>
      <c r="R109" s="35">
        <f t="shared" si="22"/>
        <v>0</v>
      </c>
    </row>
    <row r="110" spans="2:18" ht="23.1" customHeight="1">
      <c r="B110" s="299" t="str">
        <f>LR!B111</f>
        <v>610217 | BIAYA PERJALANAN DINAS</v>
      </c>
      <c r="C110" s="284"/>
      <c r="D110" s="300">
        <f t="shared" si="23"/>
        <v>0</v>
      </c>
      <c r="E110" s="300">
        <f t="shared" si="23"/>
        <v>0</v>
      </c>
      <c r="F110" s="300">
        <f t="shared" si="23"/>
        <v>0</v>
      </c>
      <c r="G110" s="300" t="str">
        <f t="shared" si="23"/>
        <v/>
      </c>
      <c r="H110" s="300" t="str">
        <f t="shared" si="23"/>
        <v/>
      </c>
      <c r="I110" s="300" t="str">
        <f t="shared" si="23"/>
        <v/>
      </c>
      <c r="J110" s="300" t="str">
        <f t="shared" si="23"/>
        <v/>
      </c>
      <c r="K110" s="300" t="str">
        <f t="shared" si="23"/>
        <v/>
      </c>
      <c r="L110" s="300" t="str">
        <f t="shared" si="23"/>
        <v/>
      </c>
      <c r="M110" s="300" t="str">
        <f t="shared" si="23"/>
        <v/>
      </c>
      <c r="N110" s="300" t="str">
        <f t="shared" si="23"/>
        <v/>
      </c>
      <c r="O110" s="300" t="str">
        <f t="shared" si="23"/>
        <v/>
      </c>
      <c r="P110" s="301">
        <f t="shared" si="21"/>
        <v>0</v>
      </c>
      <c r="R110" s="35">
        <f t="shared" si="22"/>
        <v>0</v>
      </c>
    </row>
    <row r="111" spans="2:18" ht="23.1" customHeight="1">
      <c r="B111" s="299" t="str">
        <f>LR!B112</f>
        <v>610218 | BIAYA PAKAIAN DINAS DAN UPACARA RESMI</v>
      </c>
      <c r="C111" s="284"/>
      <c r="D111" s="300">
        <f t="shared" si="23"/>
        <v>0</v>
      </c>
      <c r="E111" s="300">
        <f t="shared" si="23"/>
        <v>0</v>
      </c>
      <c r="F111" s="300">
        <f t="shared" si="23"/>
        <v>0</v>
      </c>
      <c r="G111" s="300" t="str">
        <f t="shared" si="23"/>
        <v/>
      </c>
      <c r="H111" s="300" t="str">
        <f t="shared" si="23"/>
        <v/>
      </c>
      <c r="I111" s="300" t="str">
        <f t="shared" si="23"/>
        <v/>
      </c>
      <c r="J111" s="300" t="str">
        <f t="shared" si="23"/>
        <v/>
      </c>
      <c r="K111" s="300" t="str">
        <f t="shared" si="23"/>
        <v/>
      </c>
      <c r="L111" s="300" t="str">
        <f t="shared" si="23"/>
        <v/>
      </c>
      <c r="M111" s="300" t="str">
        <f t="shared" si="23"/>
        <v/>
      </c>
      <c r="N111" s="300" t="str">
        <f t="shared" si="23"/>
        <v/>
      </c>
      <c r="O111" s="300" t="str">
        <f t="shared" si="23"/>
        <v/>
      </c>
      <c r="P111" s="301">
        <f t="shared" ref="P111:P119" si="24">SUM(D111:O111)</f>
        <v>0</v>
      </c>
      <c r="R111" s="35">
        <f t="shared" ref="R111:R119" si="25">IF(OR(P111&gt;0,P111&lt;0,P111=""),1,0)</f>
        <v>0</v>
      </c>
    </row>
    <row r="112" spans="2:18" ht="23.1" customHeight="1">
      <c r="B112" s="299" t="str">
        <f>LR!B113</f>
        <v>610219 | BIAYA PAKAIAN OLAHRAGA</v>
      </c>
      <c r="C112" s="284"/>
      <c r="D112" s="300">
        <f t="shared" si="23"/>
        <v>0</v>
      </c>
      <c r="E112" s="300">
        <f t="shared" si="23"/>
        <v>0</v>
      </c>
      <c r="F112" s="300">
        <f t="shared" si="23"/>
        <v>0</v>
      </c>
      <c r="G112" s="300" t="str">
        <f t="shared" si="23"/>
        <v/>
      </c>
      <c r="H112" s="300" t="str">
        <f t="shared" si="23"/>
        <v/>
      </c>
      <c r="I112" s="300" t="str">
        <f t="shared" si="23"/>
        <v/>
      </c>
      <c r="J112" s="300" t="str">
        <f t="shared" si="23"/>
        <v/>
      </c>
      <c r="K112" s="300" t="str">
        <f t="shared" si="23"/>
        <v/>
      </c>
      <c r="L112" s="300" t="str">
        <f t="shared" si="23"/>
        <v/>
      </c>
      <c r="M112" s="300" t="str">
        <f t="shared" si="23"/>
        <v/>
      </c>
      <c r="N112" s="300" t="str">
        <f t="shared" si="23"/>
        <v/>
      </c>
      <c r="O112" s="300" t="str">
        <f t="shared" si="23"/>
        <v/>
      </c>
      <c r="P112" s="301">
        <f t="shared" si="24"/>
        <v>0</v>
      </c>
      <c r="R112" s="35">
        <f t="shared" si="25"/>
        <v>0</v>
      </c>
    </row>
    <row r="113" spans="2:18" ht="23.1" customHeight="1">
      <c r="B113" s="299" t="str">
        <f>LR!B114</f>
        <v>610220 | BIAYA KEGIATAN DHARMA WANITA DAN KORPRI</v>
      </c>
      <c r="C113" s="284"/>
      <c r="D113" s="300">
        <f t="shared" si="23"/>
        <v>0</v>
      </c>
      <c r="E113" s="300">
        <f t="shared" si="23"/>
        <v>0</v>
      </c>
      <c r="F113" s="300">
        <f t="shared" si="23"/>
        <v>0</v>
      </c>
      <c r="G113" s="300" t="str">
        <f t="shared" si="23"/>
        <v/>
      </c>
      <c r="H113" s="300" t="str">
        <f t="shared" si="23"/>
        <v/>
      </c>
      <c r="I113" s="300" t="str">
        <f t="shared" si="23"/>
        <v/>
      </c>
      <c r="J113" s="300" t="str">
        <f t="shared" si="23"/>
        <v/>
      </c>
      <c r="K113" s="300" t="str">
        <f t="shared" si="23"/>
        <v/>
      </c>
      <c r="L113" s="300" t="str">
        <f t="shared" si="23"/>
        <v/>
      </c>
      <c r="M113" s="300" t="str">
        <f t="shared" si="23"/>
        <v/>
      </c>
      <c r="N113" s="300" t="str">
        <f t="shared" si="23"/>
        <v/>
      </c>
      <c r="O113" s="300" t="str">
        <f t="shared" si="23"/>
        <v/>
      </c>
      <c r="P113" s="301">
        <f t="shared" si="24"/>
        <v>0</v>
      </c>
      <c r="R113" s="35">
        <f t="shared" si="25"/>
        <v>0</v>
      </c>
    </row>
    <row r="114" spans="2:18" ht="23.1" customHeight="1">
      <c r="B114" s="299" t="str">
        <f>LR!B115</f>
        <v>610221 | BIAYA PEMBINAAN KEAGAMAAN DAN OLAHRAGA</v>
      </c>
      <c r="C114" s="284"/>
      <c r="D114" s="300">
        <f t="shared" si="23"/>
        <v>0</v>
      </c>
      <c r="E114" s="300">
        <f t="shared" si="23"/>
        <v>0</v>
      </c>
      <c r="F114" s="300">
        <f t="shared" si="23"/>
        <v>0</v>
      </c>
      <c r="G114" s="300" t="str">
        <f t="shared" si="23"/>
        <v/>
      </c>
      <c r="H114" s="300" t="str">
        <f t="shared" si="23"/>
        <v/>
      </c>
      <c r="I114" s="300" t="str">
        <f t="shared" si="23"/>
        <v/>
      </c>
      <c r="J114" s="300" t="str">
        <f t="shared" si="23"/>
        <v/>
      </c>
      <c r="K114" s="300" t="str">
        <f t="shared" si="23"/>
        <v/>
      </c>
      <c r="L114" s="300" t="str">
        <f t="shared" si="23"/>
        <v/>
      </c>
      <c r="M114" s="300" t="str">
        <f t="shared" si="23"/>
        <v/>
      </c>
      <c r="N114" s="300" t="str">
        <f t="shared" si="23"/>
        <v/>
      </c>
      <c r="O114" s="300" t="str">
        <f t="shared" si="23"/>
        <v/>
      </c>
      <c r="P114" s="301">
        <f t="shared" si="24"/>
        <v>0</v>
      </c>
      <c r="R114" s="35">
        <f t="shared" si="25"/>
        <v>0</v>
      </c>
    </row>
    <row r="115" spans="2:18" ht="23.1" customHeight="1">
      <c r="B115" s="299" t="str">
        <f>LR!B116</f>
        <v>610222 | BIAYA PERAYAAN DAERAH DAN NASIONAL</v>
      </c>
      <c r="C115" s="284"/>
      <c r="D115" s="300">
        <f t="shared" si="23"/>
        <v>0</v>
      </c>
      <c r="E115" s="300">
        <f t="shared" si="23"/>
        <v>0</v>
      </c>
      <c r="F115" s="300">
        <f t="shared" si="23"/>
        <v>0</v>
      </c>
      <c r="G115" s="300" t="str">
        <f t="shared" si="23"/>
        <v/>
      </c>
      <c r="H115" s="300" t="str">
        <f t="shared" si="23"/>
        <v/>
      </c>
      <c r="I115" s="300" t="str">
        <f t="shared" si="23"/>
        <v/>
      </c>
      <c r="J115" s="300" t="str">
        <f t="shared" si="23"/>
        <v/>
      </c>
      <c r="K115" s="300" t="str">
        <f t="shared" si="23"/>
        <v/>
      </c>
      <c r="L115" s="300" t="str">
        <f t="shared" si="23"/>
        <v/>
      </c>
      <c r="M115" s="300" t="str">
        <f t="shared" si="23"/>
        <v/>
      </c>
      <c r="N115" s="300" t="str">
        <f t="shared" si="23"/>
        <v/>
      </c>
      <c r="O115" s="300" t="str">
        <f t="shared" si="23"/>
        <v/>
      </c>
      <c r="P115" s="301">
        <f t="shared" si="24"/>
        <v>0</v>
      </c>
      <c r="R115" s="35">
        <f t="shared" si="25"/>
        <v>0</v>
      </c>
    </row>
    <row r="116" spans="2:18" ht="23.1" customHeight="1">
      <c r="B116" s="299" t="str">
        <f>LR!B117</f>
        <v>610223 | BIAYA JASA AUDIT</v>
      </c>
      <c r="C116" s="284"/>
      <c r="D116" s="300">
        <f t="shared" si="23"/>
        <v>0</v>
      </c>
      <c r="E116" s="300">
        <f t="shared" si="23"/>
        <v>0</v>
      </c>
      <c r="F116" s="300">
        <f t="shared" si="23"/>
        <v>0</v>
      </c>
      <c r="G116" s="300" t="str">
        <f t="shared" si="23"/>
        <v/>
      </c>
      <c r="H116" s="300" t="str">
        <f t="shared" si="23"/>
        <v/>
      </c>
      <c r="I116" s="300" t="str">
        <f t="shared" si="23"/>
        <v/>
      </c>
      <c r="J116" s="300" t="str">
        <f t="shared" si="23"/>
        <v/>
      </c>
      <c r="K116" s="300" t="str">
        <f t="shared" si="23"/>
        <v/>
      </c>
      <c r="L116" s="300" t="str">
        <f t="shared" si="23"/>
        <v/>
      </c>
      <c r="M116" s="300" t="str">
        <f t="shared" si="23"/>
        <v/>
      </c>
      <c r="N116" s="300" t="str">
        <f t="shared" si="23"/>
        <v/>
      </c>
      <c r="O116" s="300" t="str">
        <f t="shared" si="23"/>
        <v/>
      </c>
      <c r="P116" s="301">
        <f t="shared" si="24"/>
        <v>0</v>
      </c>
      <c r="R116" s="35">
        <f t="shared" si="25"/>
        <v>0</v>
      </c>
    </row>
    <row r="117" spans="2:18" ht="23.1" customHeight="1">
      <c r="B117" s="299" t="str">
        <f>LR!B118</f>
        <v>610225 | BIAYA FAMILY GATHERING</v>
      </c>
      <c r="C117" s="284"/>
      <c r="D117" s="300">
        <f t="shared" si="23"/>
        <v>0</v>
      </c>
      <c r="E117" s="300">
        <f t="shared" si="23"/>
        <v>0</v>
      </c>
      <c r="F117" s="300">
        <f t="shared" si="23"/>
        <v>0</v>
      </c>
      <c r="G117" s="300" t="str">
        <f t="shared" si="23"/>
        <v/>
      </c>
      <c r="H117" s="300" t="str">
        <f t="shared" si="23"/>
        <v/>
      </c>
      <c r="I117" s="300" t="str">
        <f t="shared" si="23"/>
        <v/>
      </c>
      <c r="J117" s="300" t="str">
        <f t="shared" si="23"/>
        <v/>
      </c>
      <c r="K117" s="300" t="str">
        <f t="shared" si="23"/>
        <v/>
      </c>
      <c r="L117" s="300" t="str">
        <f t="shared" si="23"/>
        <v/>
      </c>
      <c r="M117" s="300" t="str">
        <f t="shared" si="23"/>
        <v/>
      </c>
      <c r="N117" s="300" t="str">
        <f t="shared" si="23"/>
        <v/>
      </c>
      <c r="O117" s="300" t="str">
        <f t="shared" si="23"/>
        <v/>
      </c>
      <c r="P117" s="301">
        <f t="shared" si="24"/>
        <v>0</v>
      </c>
      <c r="R117" s="35">
        <f t="shared" si="25"/>
        <v>0</v>
      </c>
    </row>
    <row r="118" spans="2:18" ht="23.1" customHeight="1">
      <c r="B118" s="299" t="str">
        <f>LR!B119</f>
        <v>610226 | BIAYA PENDIDIKAN</v>
      </c>
      <c r="C118" s="284"/>
      <c r="D118" s="300">
        <f t="shared" si="23"/>
        <v>0</v>
      </c>
      <c r="E118" s="300">
        <f t="shared" si="23"/>
        <v>0</v>
      </c>
      <c r="F118" s="300">
        <f t="shared" si="23"/>
        <v>0</v>
      </c>
      <c r="G118" s="300" t="str">
        <f t="shared" si="23"/>
        <v/>
      </c>
      <c r="H118" s="300" t="str">
        <f t="shared" si="23"/>
        <v/>
      </c>
      <c r="I118" s="300" t="str">
        <f t="shared" si="23"/>
        <v/>
      </c>
      <c r="J118" s="300" t="str">
        <f t="shared" si="23"/>
        <v/>
      </c>
      <c r="K118" s="300" t="str">
        <f t="shared" si="23"/>
        <v/>
      </c>
      <c r="L118" s="300" t="str">
        <f t="shared" si="23"/>
        <v/>
      </c>
      <c r="M118" s="300" t="str">
        <f t="shared" si="23"/>
        <v/>
      </c>
      <c r="N118" s="300" t="str">
        <f t="shared" si="23"/>
        <v/>
      </c>
      <c r="O118" s="300" t="str">
        <f t="shared" si="23"/>
        <v/>
      </c>
      <c r="P118" s="301">
        <f t="shared" si="24"/>
        <v>0</v>
      </c>
      <c r="R118" s="35">
        <f t="shared" si="25"/>
        <v>0</v>
      </c>
    </row>
    <row r="119" spans="2:18" ht="23.1" customHeight="1">
      <c r="B119" s="299" t="str">
        <f>LR!B120</f>
        <v>610227 | BIAYA REWARD PEGAWAI</v>
      </c>
      <c r="C119" s="284"/>
      <c r="D119" s="300">
        <f t="shared" si="23"/>
        <v>0</v>
      </c>
      <c r="E119" s="300">
        <f t="shared" si="23"/>
        <v>0</v>
      </c>
      <c r="F119" s="300">
        <f t="shared" si="23"/>
        <v>0</v>
      </c>
      <c r="G119" s="300" t="str">
        <f t="shared" si="23"/>
        <v/>
      </c>
      <c r="H119" s="300" t="str">
        <f t="shared" si="23"/>
        <v/>
      </c>
      <c r="I119" s="300" t="str">
        <f t="shared" si="23"/>
        <v/>
      </c>
      <c r="J119" s="300" t="str">
        <f t="shared" si="23"/>
        <v/>
      </c>
      <c r="K119" s="300" t="str">
        <f t="shared" si="23"/>
        <v/>
      </c>
      <c r="L119" s="300" t="str">
        <f t="shared" si="23"/>
        <v/>
      </c>
      <c r="M119" s="300" t="str">
        <f t="shared" si="23"/>
        <v/>
      </c>
      <c r="N119" s="300" t="str">
        <f t="shared" si="23"/>
        <v/>
      </c>
      <c r="O119" s="300" t="str">
        <f t="shared" si="23"/>
        <v/>
      </c>
      <c r="P119" s="301">
        <f t="shared" si="24"/>
        <v>0</v>
      </c>
      <c r="R119" s="35">
        <f t="shared" si="25"/>
        <v>0</v>
      </c>
    </row>
    <row r="120" spans="2:18" ht="23.1" customHeight="1">
      <c r="B120" s="299" t="str">
        <f>LR!B121</f>
        <v>610228 | BIAYA ASURANSI DAN SANTUNAN JUKIR DAN PEGAWAI</v>
      </c>
      <c r="C120" s="284"/>
      <c r="D120" s="300">
        <f t="shared" si="23"/>
        <v>0</v>
      </c>
      <c r="E120" s="300">
        <f t="shared" si="23"/>
        <v>0</v>
      </c>
      <c r="F120" s="300">
        <f t="shared" si="23"/>
        <v>0</v>
      </c>
      <c r="G120" s="300" t="str">
        <f t="shared" si="23"/>
        <v/>
      </c>
      <c r="H120" s="300" t="str">
        <f t="shared" si="23"/>
        <v/>
      </c>
      <c r="I120" s="300" t="str">
        <f t="shared" si="23"/>
        <v/>
      </c>
      <c r="J120" s="300" t="str">
        <f t="shared" si="23"/>
        <v/>
      </c>
      <c r="K120" s="300" t="str">
        <f t="shared" si="23"/>
        <v/>
      </c>
      <c r="L120" s="300" t="str">
        <f t="shared" si="23"/>
        <v/>
      </c>
      <c r="M120" s="300" t="str">
        <f t="shared" si="23"/>
        <v/>
      </c>
      <c r="N120" s="300" t="str">
        <f t="shared" si="23"/>
        <v/>
      </c>
      <c r="O120" s="300" t="str">
        <f t="shared" si="23"/>
        <v/>
      </c>
      <c r="P120" s="301">
        <f t="shared" ref="P120:P131" si="26">SUM(D120:O120)</f>
        <v>0</v>
      </c>
      <c r="R120" s="35">
        <f t="shared" ref="R120:R131" si="27">IF(OR(P120&gt;0,P120&lt;0,P120=""),1,0)</f>
        <v>0</v>
      </c>
    </row>
    <row r="121" spans="2:18" ht="23.1" customHeight="1">
      <c r="B121" s="299" t="str">
        <f>LR!B122</f>
        <v>610229 | BIAYA PAJAK PPH BADAN</v>
      </c>
      <c r="C121" s="284"/>
      <c r="D121" s="300">
        <f t="shared" si="23"/>
        <v>0</v>
      </c>
      <c r="E121" s="300">
        <f t="shared" si="23"/>
        <v>0</v>
      </c>
      <c r="F121" s="300">
        <f t="shared" si="23"/>
        <v>0</v>
      </c>
      <c r="G121" s="300" t="str">
        <f t="shared" si="23"/>
        <v/>
      </c>
      <c r="H121" s="300" t="str">
        <f t="shared" si="23"/>
        <v/>
      </c>
      <c r="I121" s="300" t="str">
        <f t="shared" si="23"/>
        <v/>
      </c>
      <c r="J121" s="300" t="str">
        <f t="shared" si="23"/>
        <v/>
      </c>
      <c r="K121" s="300" t="str">
        <f t="shared" si="23"/>
        <v/>
      </c>
      <c r="L121" s="300" t="str">
        <f t="shared" si="23"/>
        <v/>
      </c>
      <c r="M121" s="300" t="str">
        <f t="shared" si="23"/>
        <v/>
      </c>
      <c r="N121" s="300" t="str">
        <f t="shared" si="23"/>
        <v/>
      </c>
      <c r="O121" s="300" t="str">
        <f t="shared" si="23"/>
        <v/>
      </c>
      <c r="P121" s="301">
        <f t="shared" si="26"/>
        <v>0</v>
      </c>
      <c r="R121" s="35">
        <f t="shared" si="27"/>
        <v>0</v>
      </c>
    </row>
    <row r="122" spans="2:18" ht="23.1" customHeight="1">
      <c r="B122" s="299" t="str">
        <f>LR!B123</f>
        <v>610230 | BIAYA INSENTIF PEMBUATAN RKAP DAN PERDA</v>
      </c>
      <c r="C122" s="284"/>
      <c r="D122" s="300">
        <f t="shared" si="23"/>
        <v>0</v>
      </c>
      <c r="E122" s="300">
        <f t="shared" si="23"/>
        <v>0</v>
      </c>
      <c r="F122" s="300">
        <f t="shared" si="23"/>
        <v>0</v>
      </c>
      <c r="G122" s="300" t="str">
        <f t="shared" si="23"/>
        <v/>
      </c>
      <c r="H122" s="300" t="str">
        <f t="shared" si="23"/>
        <v/>
      </c>
      <c r="I122" s="300" t="str">
        <f t="shared" si="23"/>
        <v/>
      </c>
      <c r="J122" s="300" t="str">
        <f t="shared" si="23"/>
        <v/>
      </c>
      <c r="K122" s="300" t="str">
        <f t="shared" si="23"/>
        <v/>
      </c>
      <c r="L122" s="300" t="str">
        <f t="shared" si="23"/>
        <v/>
      </c>
      <c r="M122" s="300" t="str">
        <f t="shared" si="23"/>
        <v/>
      </c>
      <c r="N122" s="300" t="str">
        <f t="shared" si="23"/>
        <v/>
      </c>
      <c r="O122" s="300" t="str">
        <f t="shared" si="23"/>
        <v/>
      </c>
      <c r="P122" s="301">
        <f t="shared" si="26"/>
        <v>0</v>
      </c>
      <c r="R122" s="35">
        <f t="shared" si="27"/>
        <v>0</v>
      </c>
    </row>
    <row r="123" spans="2:18" ht="23.1" customHeight="1">
      <c r="B123" s="299" t="str">
        <f>LR!B124</f>
        <v>610231 | BIAYA HONOR TIM AHLI</v>
      </c>
      <c r="C123" s="284"/>
      <c r="D123" s="300">
        <f t="shared" si="23"/>
        <v>0</v>
      </c>
      <c r="E123" s="300">
        <f t="shared" si="23"/>
        <v>0</v>
      </c>
      <c r="F123" s="300">
        <f t="shared" si="23"/>
        <v>0</v>
      </c>
      <c r="G123" s="300" t="str">
        <f t="shared" si="23"/>
        <v/>
      </c>
      <c r="H123" s="300" t="str">
        <f t="shared" si="23"/>
        <v/>
      </c>
      <c r="I123" s="300" t="str">
        <f t="shared" si="23"/>
        <v/>
      </c>
      <c r="J123" s="300" t="str">
        <f t="shared" si="23"/>
        <v/>
      </c>
      <c r="K123" s="300" t="str">
        <f t="shared" si="23"/>
        <v/>
      </c>
      <c r="L123" s="300" t="str">
        <f t="shared" si="23"/>
        <v/>
      </c>
      <c r="M123" s="300" t="str">
        <f t="shared" si="23"/>
        <v/>
      </c>
      <c r="N123" s="300" t="str">
        <f t="shared" si="23"/>
        <v/>
      </c>
      <c r="O123" s="300" t="str">
        <f t="shared" si="23"/>
        <v/>
      </c>
      <c r="P123" s="301">
        <f t="shared" si="26"/>
        <v>0</v>
      </c>
      <c r="R123" s="35">
        <f t="shared" si="27"/>
        <v>0</v>
      </c>
    </row>
    <row r="124" spans="2:18" ht="23.1" customHeight="1">
      <c r="B124" s="299" t="str">
        <f>LR!B125</f>
        <v>610232 | BIAYA ASSESMENT PEGAWAI</v>
      </c>
      <c r="C124" s="284"/>
      <c r="D124" s="300">
        <f t="shared" si="23"/>
        <v>0</v>
      </c>
      <c r="E124" s="300">
        <f t="shared" si="23"/>
        <v>0</v>
      </c>
      <c r="F124" s="300">
        <f t="shared" si="23"/>
        <v>0</v>
      </c>
      <c r="G124" s="300" t="str">
        <f t="shared" si="23"/>
        <v/>
      </c>
      <c r="H124" s="300" t="str">
        <f t="shared" si="23"/>
        <v/>
      </c>
      <c r="I124" s="300" t="str">
        <f t="shared" si="23"/>
        <v/>
      </c>
      <c r="J124" s="300" t="str">
        <f t="shared" si="23"/>
        <v/>
      </c>
      <c r="K124" s="300" t="str">
        <f t="shared" si="23"/>
        <v/>
      </c>
      <c r="L124" s="300" t="str">
        <f t="shared" si="23"/>
        <v/>
      </c>
      <c r="M124" s="300" t="str">
        <f t="shared" si="23"/>
        <v/>
      </c>
      <c r="N124" s="300" t="str">
        <f t="shared" si="23"/>
        <v/>
      </c>
      <c r="O124" s="300" t="str">
        <f t="shared" si="23"/>
        <v/>
      </c>
      <c r="P124" s="301">
        <f t="shared" si="26"/>
        <v>0</v>
      </c>
      <c r="R124" s="35">
        <f t="shared" si="27"/>
        <v>0</v>
      </c>
    </row>
    <row r="125" spans="2:18" ht="23.1" customHeight="1">
      <c r="B125" s="299" t="str">
        <f>LR!B126</f>
        <v>610233 | BIAYA RAKORD DAN RAPAT KERJA PD. PARKIR</v>
      </c>
      <c r="C125" s="284"/>
      <c r="D125" s="300">
        <f t="shared" ref="D125:O140" si="28">IF(D$8="","",IF(INDEX(typ_sn,MATCH(INDEX(akun_type,MATCH($B125,akun_kb,0)),typ_ket,0))="db",SUMIFS(ju_sld,ju_tgl,"&gt;="&amp;awal,ju_tgl,"&lt;="&amp;akhir,ju_kr,$B125,ju_div2,"kr"&amp;D$8)-SUMIFS(ju_sld,ju_tgl,"&gt;="&amp;awal,ju_tgl,"&lt;="&amp;akhir,ju_debet,$B125,ju_div2,"db"&amp;D$8),SUMIFS(ju_sld,ju_tgl,"&gt;="&amp;awal,ju_tgl,"&lt;="&amp;akhir,ju_kr,$B125,ju_div2,"kr"&amp;D$8)-SUMIFS(ju_sld,ju_tgl,"&gt;="&amp;awal,ju_tgl,"&lt;="&amp;akhir,ju_debet,$B125,ju_div2,"db"&amp;D$8)))</f>
        <v>0</v>
      </c>
      <c r="E125" s="300">
        <f t="shared" si="28"/>
        <v>0</v>
      </c>
      <c r="F125" s="300">
        <f t="shared" si="28"/>
        <v>0</v>
      </c>
      <c r="G125" s="300" t="str">
        <f t="shared" si="28"/>
        <v/>
      </c>
      <c r="H125" s="300" t="str">
        <f t="shared" si="28"/>
        <v/>
      </c>
      <c r="I125" s="300" t="str">
        <f t="shared" si="28"/>
        <v/>
      </c>
      <c r="J125" s="300" t="str">
        <f t="shared" si="28"/>
        <v/>
      </c>
      <c r="K125" s="300" t="str">
        <f t="shared" si="28"/>
        <v/>
      </c>
      <c r="L125" s="300" t="str">
        <f t="shared" si="28"/>
        <v/>
      </c>
      <c r="M125" s="300" t="str">
        <f t="shared" si="28"/>
        <v/>
      </c>
      <c r="N125" s="300" t="str">
        <f t="shared" si="28"/>
        <v/>
      </c>
      <c r="O125" s="300" t="str">
        <f t="shared" si="28"/>
        <v/>
      </c>
      <c r="P125" s="301">
        <f t="shared" si="26"/>
        <v>0</v>
      </c>
      <c r="R125" s="35">
        <f t="shared" si="27"/>
        <v>0</v>
      </c>
    </row>
    <row r="126" spans="2:18" ht="23.1" customHeight="1">
      <c r="B126" s="299" t="str">
        <f>LR!B127</f>
        <v>610234 | BEBAN PESANGON</v>
      </c>
      <c r="C126" s="284"/>
      <c r="D126" s="300">
        <f t="shared" si="28"/>
        <v>0</v>
      </c>
      <c r="E126" s="300">
        <f t="shared" si="28"/>
        <v>0</v>
      </c>
      <c r="F126" s="300">
        <f t="shared" si="28"/>
        <v>0</v>
      </c>
      <c r="G126" s="300" t="str">
        <f t="shared" si="28"/>
        <v/>
      </c>
      <c r="H126" s="300" t="str">
        <f t="shared" si="28"/>
        <v/>
      </c>
      <c r="I126" s="300" t="str">
        <f t="shared" si="28"/>
        <v/>
      </c>
      <c r="J126" s="300" t="str">
        <f t="shared" si="28"/>
        <v/>
      </c>
      <c r="K126" s="300" t="str">
        <f t="shared" si="28"/>
        <v/>
      </c>
      <c r="L126" s="300" t="str">
        <f t="shared" si="28"/>
        <v/>
      </c>
      <c r="M126" s="300" t="str">
        <f t="shared" si="28"/>
        <v/>
      </c>
      <c r="N126" s="300" t="str">
        <f t="shared" si="28"/>
        <v/>
      </c>
      <c r="O126" s="300" t="str">
        <f t="shared" si="28"/>
        <v/>
      </c>
      <c r="P126" s="301">
        <f t="shared" si="26"/>
        <v>0</v>
      </c>
      <c r="R126" s="35">
        <f t="shared" si="27"/>
        <v>0</v>
      </c>
    </row>
    <row r="127" spans="2:18" ht="23.1" customHeight="1">
      <c r="B127" s="299" t="str">
        <f>LR!B128</f>
        <v>610235 | BIAYA PENGHARGAAN</v>
      </c>
      <c r="C127" s="284"/>
      <c r="D127" s="300">
        <f t="shared" si="28"/>
        <v>0</v>
      </c>
      <c r="E127" s="300">
        <f t="shared" si="28"/>
        <v>0</v>
      </c>
      <c r="F127" s="300">
        <f t="shared" si="28"/>
        <v>0</v>
      </c>
      <c r="G127" s="300" t="str">
        <f t="shared" si="28"/>
        <v/>
      </c>
      <c r="H127" s="300" t="str">
        <f t="shared" si="28"/>
        <v/>
      </c>
      <c r="I127" s="300" t="str">
        <f t="shared" si="28"/>
        <v/>
      </c>
      <c r="J127" s="300" t="str">
        <f t="shared" si="28"/>
        <v/>
      </c>
      <c r="K127" s="300" t="str">
        <f t="shared" si="28"/>
        <v/>
      </c>
      <c r="L127" s="300" t="str">
        <f t="shared" si="28"/>
        <v/>
      </c>
      <c r="M127" s="300" t="str">
        <f t="shared" si="28"/>
        <v/>
      </c>
      <c r="N127" s="300" t="str">
        <f t="shared" si="28"/>
        <v/>
      </c>
      <c r="O127" s="300" t="str">
        <f t="shared" si="28"/>
        <v/>
      </c>
      <c r="P127" s="301">
        <f t="shared" si="26"/>
        <v>0</v>
      </c>
      <c r="R127" s="35">
        <f t="shared" si="27"/>
        <v>0</v>
      </c>
    </row>
    <row r="128" spans="2:18" ht="23.1" customHeight="1">
      <c r="B128" s="299" t="str">
        <f>LR!B129</f>
        <v>610236 | BEBAN PENGHAPUSAN PIUTANG TAK TERTAGIH</v>
      </c>
      <c r="C128" s="284"/>
      <c r="D128" s="300">
        <f t="shared" si="28"/>
        <v>0</v>
      </c>
      <c r="E128" s="300">
        <f t="shared" si="28"/>
        <v>0</v>
      </c>
      <c r="F128" s="300">
        <f t="shared" si="28"/>
        <v>0</v>
      </c>
      <c r="G128" s="300" t="str">
        <f t="shared" si="28"/>
        <v/>
      </c>
      <c r="H128" s="300" t="str">
        <f t="shared" si="28"/>
        <v/>
      </c>
      <c r="I128" s="300" t="str">
        <f t="shared" si="28"/>
        <v/>
      </c>
      <c r="J128" s="300" t="str">
        <f t="shared" si="28"/>
        <v/>
      </c>
      <c r="K128" s="300" t="str">
        <f t="shared" si="28"/>
        <v/>
      </c>
      <c r="L128" s="300" t="str">
        <f t="shared" si="28"/>
        <v/>
      </c>
      <c r="M128" s="300" t="str">
        <f t="shared" si="28"/>
        <v/>
      </c>
      <c r="N128" s="300" t="str">
        <f t="shared" si="28"/>
        <v/>
      </c>
      <c r="O128" s="300" t="str">
        <f t="shared" si="28"/>
        <v/>
      </c>
      <c r="P128" s="301">
        <f t="shared" si="26"/>
        <v>0</v>
      </c>
      <c r="R128" s="35">
        <f t="shared" si="27"/>
        <v>0</v>
      </c>
    </row>
    <row r="129" spans="2:18" ht="23.1" customHeight="1">
      <c r="B129" s="299" t="str">
        <f>LR!B130</f>
        <v>610237 | BEBAN DENDA PAJAK</v>
      </c>
      <c r="C129" s="284"/>
      <c r="D129" s="300">
        <f t="shared" si="28"/>
        <v>0</v>
      </c>
      <c r="E129" s="300">
        <f t="shared" si="28"/>
        <v>0</v>
      </c>
      <c r="F129" s="300">
        <f t="shared" si="28"/>
        <v>0</v>
      </c>
      <c r="G129" s="300" t="str">
        <f t="shared" si="28"/>
        <v/>
      </c>
      <c r="H129" s="300" t="str">
        <f t="shared" si="28"/>
        <v/>
      </c>
      <c r="I129" s="300" t="str">
        <f t="shared" si="28"/>
        <v/>
      </c>
      <c r="J129" s="300" t="str">
        <f t="shared" si="28"/>
        <v/>
      </c>
      <c r="K129" s="300" t="str">
        <f t="shared" si="28"/>
        <v/>
      </c>
      <c r="L129" s="300" t="str">
        <f t="shared" si="28"/>
        <v/>
      </c>
      <c r="M129" s="300" t="str">
        <f t="shared" si="28"/>
        <v/>
      </c>
      <c r="N129" s="300" t="str">
        <f t="shared" si="28"/>
        <v/>
      </c>
      <c r="O129" s="300" t="str">
        <f t="shared" si="28"/>
        <v/>
      </c>
      <c r="P129" s="301">
        <f t="shared" si="26"/>
        <v>0</v>
      </c>
      <c r="R129" s="35">
        <f t="shared" si="27"/>
        <v>0</v>
      </c>
    </row>
    <row r="130" spans="2:18" ht="23.1" customHeight="1">
      <c r="B130" s="299" t="str">
        <f>LR!B131</f>
        <v xml:space="preserve">610238 | BEBAN PAJAK TERUTANG </v>
      </c>
      <c r="C130" s="284"/>
      <c r="D130" s="300">
        <f t="shared" si="28"/>
        <v>0</v>
      </c>
      <c r="E130" s="300">
        <f t="shared" si="28"/>
        <v>0</v>
      </c>
      <c r="F130" s="300">
        <f t="shared" si="28"/>
        <v>0</v>
      </c>
      <c r="G130" s="300" t="str">
        <f t="shared" si="28"/>
        <v/>
      </c>
      <c r="H130" s="300" t="str">
        <f t="shared" si="28"/>
        <v/>
      </c>
      <c r="I130" s="300" t="str">
        <f t="shared" si="28"/>
        <v/>
      </c>
      <c r="J130" s="300" t="str">
        <f t="shared" si="28"/>
        <v/>
      </c>
      <c r="K130" s="300" t="str">
        <f t="shared" si="28"/>
        <v/>
      </c>
      <c r="L130" s="300" t="str">
        <f t="shared" si="28"/>
        <v/>
      </c>
      <c r="M130" s="300" t="str">
        <f t="shared" si="28"/>
        <v/>
      </c>
      <c r="N130" s="300" t="str">
        <f t="shared" si="28"/>
        <v/>
      </c>
      <c r="O130" s="300" t="str">
        <f t="shared" si="28"/>
        <v/>
      </c>
      <c r="P130" s="301">
        <f t="shared" si="26"/>
        <v>0</v>
      </c>
      <c r="R130" s="35">
        <f t="shared" si="27"/>
        <v>0</v>
      </c>
    </row>
    <row r="131" spans="2:18" ht="23.1" customHeight="1">
      <c r="B131" s="299" t="str">
        <f>LR!B132</f>
        <v>610239 | BEBAN DIVIDEN</v>
      </c>
      <c r="C131" s="284"/>
      <c r="D131" s="300">
        <f t="shared" si="28"/>
        <v>0</v>
      </c>
      <c r="E131" s="300">
        <f t="shared" si="28"/>
        <v>0</v>
      </c>
      <c r="F131" s="300">
        <f t="shared" si="28"/>
        <v>0</v>
      </c>
      <c r="G131" s="300" t="str">
        <f t="shared" si="28"/>
        <v/>
      </c>
      <c r="H131" s="300" t="str">
        <f t="shared" si="28"/>
        <v/>
      </c>
      <c r="I131" s="300" t="str">
        <f t="shared" si="28"/>
        <v/>
      </c>
      <c r="J131" s="300" t="str">
        <f t="shared" si="28"/>
        <v/>
      </c>
      <c r="K131" s="300" t="str">
        <f t="shared" si="28"/>
        <v/>
      </c>
      <c r="L131" s="300" t="str">
        <f t="shared" si="28"/>
        <v/>
      </c>
      <c r="M131" s="300" t="str">
        <f t="shared" si="28"/>
        <v/>
      </c>
      <c r="N131" s="300" t="str">
        <f t="shared" si="28"/>
        <v/>
      </c>
      <c r="O131" s="300" t="str">
        <f t="shared" si="28"/>
        <v/>
      </c>
      <c r="P131" s="301">
        <f t="shared" si="26"/>
        <v>0</v>
      </c>
      <c r="R131" s="35">
        <f t="shared" si="27"/>
        <v>0</v>
      </c>
    </row>
    <row r="132" spans="2:18" ht="23.1" customHeight="1">
      <c r="B132" s="299" t="str">
        <f>LR!B133</f>
        <v>610240 | BEBAN PEMBUATAN BISNIS PLAN</v>
      </c>
      <c r="C132" s="284"/>
      <c r="D132" s="300">
        <f t="shared" si="28"/>
        <v>0</v>
      </c>
      <c r="E132" s="300">
        <f t="shared" si="28"/>
        <v>0</v>
      </c>
      <c r="F132" s="300">
        <f t="shared" si="28"/>
        <v>0</v>
      </c>
      <c r="G132" s="300" t="str">
        <f t="shared" si="28"/>
        <v/>
      </c>
      <c r="H132" s="300" t="str">
        <f t="shared" si="28"/>
        <v/>
      </c>
      <c r="I132" s="300" t="str">
        <f t="shared" si="28"/>
        <v/>
      </c>
      <c r="J132" s="300" t="str">
        <f t="shared" si="28"/>
        <v/>
      </c>
      <c r="K132" s="300" t="str">
        <f t="shared" si="28"/>
        <v/>
      </c>
      <c r="L132" s="300" t="str">
        <f t="shared" si="28"/>
        <v/>
      </c>
      <c r="M132" s="300" t="str">
        <f t="shared" si="28"/>
        <v/>
      </c>
      <c r="N132" s="300" t="str">
        <f t="shared" si="28"/>
        <v/>
      </c>
      <c r="O132" s="300" t="str">
        <f t="shared" si="28"/>
        <v/>
      </c>
      <c r="P132" s="301">
        <f t="shared" ref="P132:P149" si="29">SUM(D132:O132)</f>
        <v>0</v>
      </c>
      <c r="R132" s="35">
        <f t="shared" ref="R132:R149" si="30">IF(OR(P132&gt;0,P132&lt;0,P132=""),1,0)</f>
        <v>0</v>
      </c>
    </row>
    <row r="133" spans="2:18" ht="23.1" customHeight="1">
      <c r="B133" s="299" t="str">
        <f>LR!B134</f>
        <v>610241 | BEBAN PENGAKUAN DPLK DIREKSI (ASURANSI)</v>
      </c>
      <c r="C133" s="284"/>
      <c r="D133" s="300">
        <f t="shared" si="28"/>
        <v>0</v>
      </c>
      <c r="E133" s="300">
        <f t="shared" si="28"/>
        <v>0</v>
      </c>
      <c r="F133" s="300">
        <f t="shared" si="28"/>
        <v>0</v>
      </c>
      <c r="G133" s="300" t="str">
        <f t="shared" si="28"/>
        <v/>
      </c>
      <c r="H133" s="300" t="str">
        <f t="shared" si="28"/>
        <v/>
      </c>
      <c r="I133" s="300" t="str">
        <f t="shared" si="28"/>
        <v/>
      </c>
      <c r="J133" s="300" t="str">
        <f t="shared" si="28"/>
        <v/>
      </c>
      <c r="K133" s="300" t="str">
        <f t="shared" si="28"/>
        <v/>
      </c>
      <c r="L133" s="300" t="str">
        <f t="shared" si="28"/>
        <v/>
      </c>
      <c r="M133" s="300" t="str">
        <f t="shared" si="28"/>
        <v/>
      </c>
      <c r="N133" s="300" t="str">
        <f t="shared" si="28"/>
        <v/>
      </c>
      <c r="O133" s="300" t="str">
        <f t="shared" si="28"/>
        <v/>
      </c>
      <c r="P133" s="301">
        <f t="shared" si="29"/>
        <v>0</v>
      </c>
      <c r="R133" s="35">
        <f t="shared" si="30"/>
        <v>0</v>
      </c>
    </row>
    <row r="134" spans="2:18" ht="23.1" customHeight="1">
      <c r="B134" s="299" t="str">
        <f>LR!B135</f>
        <v>610242 | BEBAN PENGAKUAN DPLK KARYAWAN (ASURANSI)</v>
      </c>
      <c r="C134" s="284"/>
      <c r="D134" s="300">
        <f t="shared" si="28"/>
        <v>0</v>
      </c>
      <c r="E134" s="300">
        <f t="shared" si="28"/>
        <v>0</v>
      </c>
      <c r="F134" s="300">
        <f t="shared" si="28"/>
        <v>0</v>
      </c>
      <c r="G134" s="300" t="str">
        <f t="shared" si="28"/>
        <v/>
      </c>
      <c r="H134" s="300" t="str">
        <f t="shared" si="28"/>
        <v/>
      </c>
      <c r="I134" s="300" t="str">
        <f t="shared" si="28"/>
        <v/>
      </c>
      <c r="J134" s="300" t="str">
        <f t="shared" si="28"/>
        <v/>
      </c>
      <c r="K134" s="300" t="str">
        <f t="shared" si="28"/>
        <v/>
      </c>
      <c r="L134" s="300" t="str">
        <f t="shared" si="28"/>
        <v/>
      </c>
      <c r="M134" s="300" t="str">
        <f t="shared" si="28"/>
        <v/>
      </c>
      <c r="N134" s="300" t="str">
        <f t="shared" si="28"/>
        <v/>
      </c>
      <c r="O134" s="300" t="str">
        <f t="shared" si="28"/>
        <v/>
      </c>
      <c r="P134" s="301">
        <f t="shared" si="29"/>
        <v>0</v>
      </c>
      <c r="R134" s="35">
        <f t="shared" si="30"/>
        <v>0</v>
      </c>
    </row>
    <row r="135" spans="2:18" ht="23.1" customHeight="1">
      <c r="B135" s="299" t="str">
        <f>LR!B136</f>
        <v>610243 | BEBAN PEMBUATAN DOKUMENT 6</v>
      </c>
      <c r="C135" s="284"/>
      <c r="D135" s="300">
        <f t="shared" si="28"/>
        <v>0</v>
      </c>
      <c r="E135" s="300">
        <f t="shared" si="28"/>
        <v>0</v>
      </c>
      <c r="F135" s="300">
        <f t="shared" si="28"/>
        <v>0</v>
      </c>
      <c r="G135" s="300" t="str">
        <f t="shared" si="28"/>
        <v/>
      </c>
      <c r="H135" s="300" t="str">
        <f t="shared" si="28"/>
        <v/>
      </c>
      <c r="I135" s="300" t="str">
        <f t="shared" si="28"/>
        <v/>
      </c>
      <c r="J135" s="300" t="str">
        <f t="shared" si="28"/>
        <v/>
      </c>
      <c r="K135" s="300" t="str">
        <f t="shared" si="28"/>
        <v/>
      </c>
      <c r="L135" s="300" t="str">
        <f t="shared" si="28"/>
        <v/>
      </c>
      <c r="M135" s="300" t="str">
        <f t="shared" si="28"/>
        <v/>
      </c>
      <c r="N135" s="300" t="str">
        <f t="shared" si="28"/>
        <v/>
      </c>
      <c r="O135" s="300" t="str">
        <f t="shared" si="28"/>
        <v/>
      </c>
      <c r="P135" s="301">
        <f t="shared" si="29"/>
        <v>0</v>
      </c>
      <c r="R135" s="35">
        <f t="shared" si="30"/>
        <v>0</v>
      </c>
    </row>
    <row r="136" spans="2:18" ht="23.1" customHeight="1">
      <c r="B136" s="299" t="str">
        <f>LR!B137</f>
        <v>TOTAL BIAYA UMUM</v>
      </c>
      <c r="C136" s="284"/>
      <c r="D136" s="300" t="e">
        <f t="shared" si="28"/>
        <v>#N/A</v>
      </c>
      <c r="E136" s="300" t="e">
        <f t="shared" si="28"/>
        <v>#N/A</v>
      </c>
      <c r="F136" s="300" t="e">
        <f t="shared" si="28"/>
        <v>#N/A</v>
      </c>
      <c r="G136" s="300" t="str">
        <f t="shared" si="28"/>
        <v/>
      </c>
      <c r="H136" s="300" t="str">
        <f t="shared" si="28"/>
        <v/>
      </c>
      <c r="I136" s="300" t="str">
        <f t="shared" si="28"/>
        <v/>
      </c>
      <c r="J136" s="300" t="str">
        <f t="shared" si="28"/>
        <v/>
      </c>
      <c r="K136" s="300" t="str">
        <f t="shared" si="28"/>
        <v/>
      </c>
      <c r="L136" s="300" t="str">
        <f t="shared" si="28"/>
        <v/>
      </c>
      <c r="M136" s="300" t="str">
        <f t="shared" si="28"/>
        <v/>
      </c>
      <c r="N136" s="300" t="str">
        <f t="shared" si="28"/>
        <v/>
      </c>
      <c r="O136" s="300" t="str">
        <f t="shared" si="28"/>
        <v/>
      </c>
      <c r="P136" s="301" t="e">
        <f t="shared" si="29"/>
        <v>#N/A</v>
      </c>
      <c r="R136" s="35" t="e">
        <f t="shared" si="30"/>
        <v>#N/A</v>
      </c>
    </row>
    <row r="137" spans="2:18" ht="23.1" customHeight="1">
      <c r="B137" s="299" t="str">
        <f>LR!B138</f>
        <v>BIAYA KEUANGAN (FINANCING)</v>
      </c>
      <c r="C137" s="284"/>
      <c r="D137" s="300" t="e">
        <f t="shared" si="28"/>
        <v>#N/A</v>
      </c>
      <c r="E137" s="300" t="e">
        <f t="shared" si="28"/>
        <v>#N/A</v>
      </c>
      <c r="F137" s="300" t="e">
        <f t="shared" si="28"/>
        <v>#N/A</v>
      </c>
      <c r="G137" s="300" t="str">
        <f t="shared" si="28"/>
        <v/>
      </c>
      <c r="H137" s="300" t="str">
        <f t="shared" si="28"/>
        <v/>
      </c>
      <c r="I137" s="300" t="str">
        <f t="shared" si="28"/>
        <v/>
      </c>
      <c r="J137" s="300" t="str">
        <f t="shared" si="28"/>
        <v/>
      </c>
      <c r="K137" s="300" t="str">
        <f t="shared" si="28"/>
        <v/>
      </c>
      <c r="L137" s="300" t="str">
        <f t="shared" si="28"/>
        <v/>
      </c>
      <c r="M137" s="300" t="str">
        <f t="shared" si="28"/>
        <v/>
      </c>
      <c r="N137" s="300" t="str">
        <f t="shared" si="28"/>
        <v/>
      </c>
      <c r="O137" s="300" t="str">
        <f t="shared" si="28"/>
        <v/>
      </c>
      <c r="P137" s="301" t="e">
        <f t="shared" si="29"/>
        <v>#N/A</v>
      </c>
      <c r="R137" s="35" t="e">
        <f t="shared" si="30"/>
        <v>#N/A</v>
      </c>
    </row>
    <row r="138" spans="2:18" ht="23.1" customHeight="1">
      <c r="B138" s="299" t="str">
        <f>LR!B139</f>
        <v>610301 | BUNGA PINJAMAN (KREDIT INVESTASI)</v>
      </c>
      <c r="C138" s="284"/>
      <c r="D138" s="300">
        <f t="shared" si="28"/>
        <v>0</v>
      </c>
      <c r="E138" s="300">
        <f t="shared" si="28"/>
        <v>0</v>
      </c>
      <c r="F138" s="300">
        <f t="shared" si="28"/>
        <v>0</v>
      </c>
      <c r="G138" s="300" t="str">
        <f t="shared" si="28"/>
        <v/>
      </c>
      <c r="H138" s="300" t="str">
        <f t="shared" si="28"/>
        <v/>
      </c>
      <c r="I138" s="300" t="str">
        <f t="shared" si="28"/>
        <v/>
      </c>
      <c r="J138" s="300" t="str">
        <f t="shared" si="28"/>
        <v/>
      </c>
      <c r="K138" s="300" t="str">
        <f t="shared" si="28"/>
        <v/>
      </c>
      <c r="L138" s="300" t="str">
        <f t="shared" si="28"/>
        <v/>
      </c>
      <c r="M138" s="300" t="str">
        <f t="shared" si="28"/>
        <v/>
      </c>
      <c r="N138" s="300" t="str">
        <f t="shared" si="28"/>
        <v/>
      </c>
      <c r="O138" s="300" t="str">
        <f t="shared" si="28"/>
        <v/>
      </c>
      <c r="P138" s="301">
        <f t="shared" si="29"/>
        <v>0</v>
      </c>
      <c r="R138" s="35">
        <f t="shared" si="30"/>
        <v>0</v>
      </c>
    </row>
    <row r="139" spans="2:18" ht="23.1" customHeight="1">
      <c r="B139" s="299" t="str">
        <f>LR!B140</f>
        <v>610302 | BUNGA PINJAMAN (MODAL KERJA)</v>
      </c>
      <c r="C139" s="284"/>
      <c r="D139" s="300">
        <f t="shared" si="28"/>
        <v>0</v>
      </c>
      <c r="E139" s="300">
        <f t="shared" si="28"/>
        <v>0</v>
      </c>
      <c r="F139" s="300">
        <f t="shared" si="28"/>
        <v>0</v>
      </c>
      <c r="G139" s="300" t="str">
        <f t="shared" si="28"/>
        <v/>
      </c>
      <c r="H139" s="300" t="str">
        <f t="shared" si="28"/>
        <v/>
      </c>
      <c r="I139" s="300" t="str">
        <f t="shared" si="28"/>
        <v/>
      </c>
      <c r="J139" s="300" t="str">
        <f t="shared" si="28"/>
        <v/>
      </c>
      <c r="K139" s="300" t="str">
        <f t="shared" si="28"/>
        <v/>
      </c>
      <c r="L139" s="300" t="str">
        <f t="shared" si="28"/>
        <v/>
      </c>
      <c r="M139" s="300" t="str">
        <f t="shared" si="28"/>
        <v/>
      </c>
      <c r="N139" s="300" t="str">
        <f t="shared" si="28"/>
        <v/>
      </c>
      <c r="O139" s="300" t="str">
        <f t="shared" si="28"/>
        <v/>
      </c>
      <c r="P139" s="301">
        <f t="shared" si="29"/>
        <v>0</v>
      </c>
      <c r="R139" s="35">
        <f t="shared" si="30"/>
        <v>0</v>
      </c>
    </row>
    <row r="140" spans="2:18" ht="23.1" customHeight="1">
      <c r="B140" s="299" t="str">
        <f>LR!B141</f>
        <v>610303 | BUNGA LEASING</v>
      </c>
      <c r="C140" s="284"/>
      <c r="D140" s="300">
        <f t="shared" si="28"/>
        <v>0</v>
      </c>
      <c r="E140" s="300">
        <f t="shared" si="28"/>
        <v>0</v>
      </c>
      <c r="F140" s="300">
        <f t="shared" si="28"/>
        <v>0</v>
      </c>
      <c r="G140" s="300" t="str">
        <f t="shared" si="28"/>
        <v/>
      </c>
      <c r="H140" s="300" t="str">
        <f t="shared" si="28"/>
        <v/>
      </c>
      <c r="I140" s="300" t="str">
        <f t="shared" si="28"/>
        <v/>
      </c>
      <c r="J140" s="300" t="str">
        <f t="shared" si="28"/>
        <v/>
      </c>
      <c r="K140" s="300" t="str">
        <f t="shared" si="28"/>
        <v/>
      </c>
      <c r="L140" s="300" t="str">
        <f t="shared" si="28"/>
        <v/>
      </c>
      <c r="M140" s="300" t="str">
        <f t="shared" si="28"/>
        <v/>
      </c>
      <c r="N140" s="300" t="str">
        <f t="shared" si="28"/>
        <v/>
      </c>
      <c r="O140" s="300" t="str">
        <f t="shared" si="28"/>
        <v/>
      </c>
      <c r="P140" s="301">
        <f t="shared" si="29"/>
        <v>0</v>
      </c>
      <c r="R140" s="35">
        <f t="shared" si="30"/>
        <v>0</v>
      </c>
    </row>
    <row r="141" spans="2:18" ht="23.1" customHeight="1">
      <c r="B141" s="299" t="str">
        <f>LR!B142</f>
        <v>TOTAL BIAYA KEUANGAN</v>
      </c>
      <c r="C141" s="284"/>
      <c r="D141" s="300" t="e">
        <f t="shared" ref="D141:O156" si="31">IF(D$8="","",IF(INDEX(typ_sn,MATCH(INDEX(akun_type,MATCH($B141,akun_kb,0)),typ_ket,0))="db",SUMIFS(ju_sld,ju_tgl,"&gt;="&amp;awal,ju_tgl,"&lt;="&amp;akhir,ju_kr,$B141,ju_div2,"kr"&amp;D$8)-SUMIFS(ju_sld,ju_tgl,"&gt;="&amp;awal,ju_tgl,"&lt;="&amp;akhir,ju_debet,$B141,ju_div2,"db"&amp;D$8),SUMIFS(ju_sld,ju_tgl,"&gt;="&amp;awal,ju_tgl,"&lt;="&amp;akhir,ju_kr,$B141,ju_div2,"kr"&amp;D$8)-SUMIFS(ju_sld,ju_tgl,"&gt;="&amp;awal,ju_tgl,"&lt;="&amp;akhir,ju_debet,$B141,ju_div2,"db"&amp;D$8)))</f>
        <v>#N/A</v>
      </c>
      <c r="E141" s="300" t="e">
        <f t="shared" si="31"/>
        <v>#N/A</v>
      </c>
      <c r="F141" s="300" t="e">
        <f t="shared" si="31"/>
        <v>#N/A</v>
      </c>
      <c r="G141" s="300" t="str">
        <f t="shared" si="31"/>
        <v/>
      </c>
      <c r="H141" s="300" t="str">
        <f t="shared" si="31"/>
        <v/>
      </c>
      <c r="I141" s="300" t="str">
        <f t="shared" si="31"/>
        <v/>
      </c>
      <c r="J141" s="300" t="str">
        <f t="shared" si="31"/>
        <v/>
      </c>
      <c r="K141" s="300" t="str">
        <f t="shared" si="31"/>
        <v/>
      </c>
      <c r="L141" s="300" t="str">
        <f t="shared" si="31"/>
        <v/>
      </c>
      <c r="M141" s="300" t="str">
        <f t="shared" si="31"/>
        <v/>
      </c>
      <c r="N141" s="300" t="str">
        <f t="shared" si="31"/>
        <v/>
      </c>
      <c r="O141" s="300" t="str">
        <f t="shared" si="31"/>
        <v/>
      </c>
      <c r="P141" s="301" t="e">
        <f t="shared" si="29"/>
        <v>#N/A</v>
      </c>
      <c r="R141" s="35" t="e">
        <f t="shared" si="30"/>
        <v>#N/A</v>
      </c>
    </row>
    <row r="142" spans="2:18" ht="23.1" customHeight="1">
      <c r="B142" s="299" t="str">
        <f>LR!B143</f>
        <v>BIAYA PENYUSUTAN DAN AMORTISASI</v>
      </c>
      <c r="C142" s="284"/>
      <c r="D142" s="300" t="e">
        <f t="shared" si="31"/>
        <v>#N/A</v>
      </c>
      <c r="E142" s="300" t="e">
        <f t="shared" si="31"/>
        <v>#N/A</v>
      </c>
      <c r="F142" s="300" t="e">
        <f t="shared" si="31"/>
        <v>#N/A</v>
      </c>
      <c r="G142" s="300" t="str">
        <f t="shared" si="31"/>
        <v/>
      </c>
      <c r="H142" s="300" t="str">
        <f t="shared" si="31"/>
        <v/>
      </c>
      <c r="I142" s="300" t="str">
        <f t="shared" si="31"/>
        <v/>
      </c>
      <c r="J142" s="300" t="str">
        <f t="shared" si="31"/>
        <v/>
      </c>
      <c r="K142" s="300" t="str">
        <f t="shared" si="31"/>
        <v/>
      </c>
      <c r="L142" s="300" t="str">
        <f t="shared" si="31"/>
        <v/>
      </c>
      <c r="M142" s="300" t="str">
        <f t="shared" si="31"/>
        <v/>
      </c>
      <c r="N142" s="300" t="str">
        <f t="shared" si="31"/>
        <v/>
      </c>
      <c r="O142" s="300" t="str">
        <f t="shared" si="31"/>
        <v/>
      </c>
      <c r="P142" s="301" t="e">
        <f t="shared" si="29"/>
        <v>#N/A</v>
      </c>
      <c r="R142" s="35" t="e">
        <f t="shared" si="30"/>
        <v>#N/A</v>
      </c>
    </row>
    <row r="143" spans="2:18" ht="23.1" customHeight="1">
      <c r="B143" s="299" t="str">
        <f>LR!B144</f>
        <v>610401 | BEBAN PENYUSUTAN BANGUNAN KANTOR</v>
      </c>
      <c r="C143" s="284"/>
      <c r="D143" s="300">
        <f t="shared" si="31"/>
        <v>0</v>
      </c>
      <c r="E143" s="300">
        <f t="shared" si="31"/>
        <v>0</v>
      </c>
      <c r="F143" s="300">
        <f t="shared" si="31"/>
        <v>0</v>
      </c>
      <c r="G143" s="300" t="str">
        <f t="shared" si="31"/>
        <v/>
      </c>
      <c r="H143" s="300" t="str">
        <f t="shared" si="31"/>
        <v/>
      </c>
      <c r="I143" s="300" t="str">
        <f t="shared" si="31"/>
        <v/>
      </c>
      <c r="J143" s="300" t="str">
        <f t="shared" si="31"/>
        <v/>
      </c>
      <c r="K143" s="300" t="str">
        <f t="shared" si="31"/>
        <v/>
      </c>
      <c r="L143" s="300" t="str">
        <f t="shared" si="31"/>
        <v/>
      </c>
      <c r="M143" s="300" t="str">
        <f t="shared" si="31"/>
        <v/>
      </c>
      <c r="N143" s="300" t="str">
        <f t="shared" si="31"/>
        <v/>
      </c>
      <c r="O143" s="300" t="str">
        <f t="shared" si="31"/>
        <v/>
      </c>
      <c r="P143" s="301">
        <f t="shared" si="29"/>
        <v>0</v>
      </c>
      <c r="R143" s="35">
        <f t="shared" si="30"/>
        <v>0</v>
      </c>
    </row>
    <row r="144" spans="2:18" ht="23.1" customHeight="1">
      <c r="B144" s="299" t="str">
        <f>LR!B145</f>
        <v>610402 | BEBAN PENYUSUTAN KENDARAAN</v>
      </c>
      <c r="C144" s="284"/>
      <c r="D144" s="300">
        <f t="shared" si="31"/>
        <v>0</v>
      </c>
      <c r="E144" s="300">
        <f t="shared" si="31"/>
        <v>0</v>
      </c>
      <c r="F144" s="300">
        <f t="shared" si="31"/>
        <v>0</v>
      </c>
      <c r="G144" s="300" t="str">
        <f t="shared" si="31"/>
        <v/>
      </c>
      <c r="H144" s="300" t="str">
        <f t="shared" si="31"/>
        <v/>
      </c>
      <c r="I144" s="300" t="str">
        <f t="shared" si="31"/>
        <v/>
      </c>
      <c r="J144" s="300" t="str">
        <f t="shared" si="31"/>
        <v/>
      </c>
      <c r="K144" s="300" t="str">
        <f t="shared" si="31"/>
        <v/>
      </c>
      <c r="L144" s="300" t="str">
        <f t="shared" si="31"/>
        <v/>
      </c>
      <c r="M144" s="300" t="str">
        <f t="shared" si="31"/>
        <v/>
      </c>
      <c r="N144" s="300" t="str">
        <f t="shared" si="31"/>
        <v/>
      </c>
      <c r="O144" s="300" t="str">
        <f t="shared" si="31"/>
        <v/>
      </c>
      <c r="P144" s="301">
        <f t="shared" si="29"/>
        <v>0</v>
      </c>
      <c r="R144" s="35">
        <f t="shared" si="30"/>
        <v>0</v>
      </c>
    </row>
    <row r="145" spans="2:18" ht="23.1" customHeight="1">
      <c r="B145" s="299" t="str">
        <f>LR!B146</f>
        <v>610403 | BEBAN PENYUSUTAN RAMBU RAMBU</v>
      </c>
      <c r="C145" s="284"/>
      <c r="D145" s="300">
        <f t="shared" si="31"/>
        <v>0</v>
      </c>
      <c r="E145" s="300">
        <f t="shared" si="31"/>
        <v>0</v>
      </c>
      <c r="F145" s="300">
        <f t="shared" si="31"/>
        <v>0</v>
      </c>
      <c r="G145" s="300" t="str">
        <f t="shared" si="31"/>
        <v/>
      </c>
      <c r="H145" s="300" t="str">
        <f t="shared" si="31"/>
        <v/>
      </c>
      <c r="I145" s="300" t="str">
        <f t="shared" si="31"/>
        <v/>
      </c>
      <c r="J145" s="300" t="str">
        <f t="shared" si="31"/>
        <v/>
      </c>
      <c r="K145" s="300" t="str">
        <f t="shared" si="31"/>
        <v/>
      </c>
      <c r="L145" s="300" t="str">
        <f t="shared" si="31"/>
        <v/>
      </c>
      <c r="M145" s="300" t="str">
        <f t="shared" si="31"/>
        <v/>
      </c>
      <c r="N145" s="300" t="str">
        <f t="shared" si="31"/>
        <v/>
      </c>
      <c r="O145" s="300" t="str">
        <f t="shared" si="31"/>
        <v/>
      </c>
      <c r="P145" s="301">
        <f t="shared" si="29"/>
        <v>0</v>
      </c>
      <c r="R145" s="35">
        <f t="shared" si="30"/>
        <v>0</v>
      </c>
    </row>
    <row r="146" spans="2:18" ht="23.1" customHeight="1">
      <c r="B146" s="299" t="str">
        <f>LR!B147</f>
        <v>610404 | BEBAN PENYUSUTAN INVENTARIS KANTOR</v>
      </c>
      <c r="C146" s="284"/>
      <c r="D146" s="300">
        <f t="shared" si="31"/>
        <v>0</v>
      </c>
      <c r="E146" s="300">
        <f t="shared" si="31"/>
        <v>0</v>
      </c>
      <c r="F146" s="300">
        <f t="shared" si="31"/>
        <v>0</v>
      </c>
      <c r="G146" s="300" t="str">
        <f t="shared" si="31"/>
        <v/>
      </c>
      <c r="H146" s="300" t="str">
        <f t="shared" si="31"/>
        <v/>
      </c>
      <c r="I146" s="300" t="str">
        <f t="shared" si="31"/>
        <v/>
      </c>
      <c r="J146" s="300" t="str">
        <f t="shared" si="31"/>
        <v/>
      </c>
      <c r="K146" s="300" t="str">
        <f t="shared" si="31"/>
        <v/>
      </c>
      <c r="L146" s="300" t="str">
        <f t="shared" si="31"/>
        <v/>
      </c>
      <c r="M146" s="300" t="str">
        <f t="shared" si="31"/>
        <v/>
      </c>
      <c r="N146" s="300" t="str">
        <f t="shared" si="31"/>
        <v/>
      </c>
      <c r="O146" s="300" t="str">
        <f t="shared" si="31"/>
        <v/>
      </c>
      <c r="P146" s="301">
        <f t="shared" si="29"/>
        <v>0</v>
      </c>
      <c r="R146" s="35">
        <f t="shared" si="30"/>
        <v>0</v>
      </c>
    </row>
    <row r="147" spans="2:18" ht="23.1" customHeight="1">
      <c r="B147" s="299" t="str">
        <f>LR!B148</f>
        <v>610405 | BEBAN AMORTISASI GOODWIL</v>
      </c>
      <c r="C147" s="284"/>
      <c r="D147" s="300">
        <f t="shared" si="31"/>
        <v>0</v>
      </c>
      <c r="E147" s="300">
        <f t="shared" si="31"/>
        <v>0</v>
      </c>
      <c r="F147" s="300">
        <f t="shared" si="31"/>
        <v>0</v>
      </c>
      <c r="G147" s="300" t="str">
        <f t="shared" si="31"/>
        <v/>
      </c>
      <c r="H147" s="300" t="str">
        <f t="shared" si="31"/>
        <v/>
      </c>
      <c r="I147" s="300" t="str">
        <f t="shared" si="31"/>
        <v/>
      </c>
      <c r="J147" s="300" t="str">
        <f t="shared" si="31"/>
        <v/>
      </c>
      <c r="K147" s="300" t="str">
        <f t="shared" si="31"/>
        <v/>
      </c>
      <c r="L147" s="300" t="str">
        <f t="shared" si="31"/>
        <v/>
      </c>
      <c r="M147" s="300" t="str">
        <f t="shared" si="31"/>
        <v/>
      </c>
      <c r="N147" s="300" t="str">
        <f t="shared" si="31"/>
        <v/>
      </c>
      <c r="O147" s="300" t="str">
        <f t="shared" si="31"/>
        <v/>
      </c>
      <c r="P147" s="301">
        <f t="shared" si="29"/>
        <v>0</v>
      </c>
      <c r="R147" s="35">
        <f t="shared" si="30"/>
        <v>0</v>
      </c>
    </row>
    <row r="148" spans="2:18" ht="23.1" customHeight="1">
      <c r="B148" s="299" t="str">
        <f>LR!B149</f>
        <v>610406 | AMORTISASI BEBAN DITANGGUHKAN</v>
      </c>
      <c r="C148" s="284"/>
      <c r="D148" s="300">
        <f t="shared" si="31"/>
        <v>0</v>
      </c>
      <c r="E148" s="300">
        <f t="shared" si="31"/>
        <v>0</v>
      </c>
      <c r="F148" s="300">
        <f t="shared" si="31"/>
        <v>0</v>
      </c>
      <c r="G148" s="300" t="str">
        <f t="shared" si="31"/>
        <v/>
      </c>
      <c r="H148" s="300" t="str">
        <f t="shared" si="31"/>
        <v/>
      </c>
      <c r="I148" s="300" t="str">
        <f t="shared" si="31"/>
        <v/>
      </c>
      <c r="J148" s="300" t="str">
        <f t="shared" si="31"/>
        <v/>
      </c>
      <c r="K148" s="300" t="str">
        <f t="shared" si="31"/>
        <v/>
      </c>
      <c r="L148" s="300" t="str">
        <f t="shared" si="31"/>
        <v/>
      </c>
      <c r="M148" s="300" t="str">
        <f t="shared" si="31"/>
        <v/>
      </c>
      <c r="N148" s="300" t="str">
        <f t="shared" si="31"/>
        <v/>
      </c>
      <c r="O148" s="300" t="str">
        <f t="shared" si="31"/>
        <v/>
      </c>
      <c r="P148" s="301">
        <f t="shared" si="29"/>
        <v>0</v>
      </c>
      <c r="R148" s="35">
        <f t="shared" si="30"/>
        <v>0</v>
      </c>
    </row>
    <row r="149" spans="2:18" ht="23.1" customHeight="1">
      <c r="B149" s="299" t="str">
        <f>LR!B150</f>
        <v>610407 | BEBAN AMORTISASI LAINNYA</v>
      </c>
      <c r="C149" s="284"/>
      <c r="D149" s="300">
        <f t="shared" si="31"/>
        <v>0</v>
      </c>
      <c r="E149" s="300">
        <f t="shared" si="31"/>
        <v>0</v>
      </c>
      <c r="F149" s="300">
        <f t="shared" si="31"/>
        <v>0</v>
      </c>
      <c r="G149" s="300" t="str">
        <f t="shared" si="31"/>
        <v/>
      </c>
      <c r="H149" s="300" t="str">
        <f t="shared" si="31"/>
        <v/>
      </c>
      <c r="I149" s="300" t="str">
        <f t="shared" si="31"/>
        <v/>
      </c>
      <c r="J149" s="300" t="str">
        <f t="shared" si="31"/>
        <v/>
      </c>
      <c r="K149" s="300" t="str">
        <f t="shared" si="31"/>
        <v/>
      </c>
      <c r="L149" s="300" t="str">
        <f t="shared" si="31"/>
        <v/>
      </c>
      <c r="M149" s="300" t="str">
        <f t="shared" si="31"/>
        <v/>
      </c>
      <c r="N149" s="300" t="str">
        <f t="shared" si="31"/>
        <v/>
      </c>
      <c r="O149" s="300" t="str">
        <f t="shared" si="31"/>
        <v/>
      </c>
      <c r="P149" s="301">
        <f t="shared" si="29"/>
        <v>0</v>
      </c>
      <c r="R149" s="35">
        <f t="shared" si="30"/>
        <v>0</v>
      </c>
    </row>
    <row r="150" spans="2:18" ht="23.1" customHeight="1">
      <c r="B150" s="299" t="str">
        <f>LR!B151</f>
        <v>610408 | BEBAN PENYUSUTAN CMS</v>
      </c>
      <c r="C150" s="284"/>
      <c r="D150" s="300">
        <f t="shared" si="31"/>
        <v>0</v>
      </c>
      <c r="E150" s="300">
        <f t="shared" si="31"/>
        <v>0</v>
      </c>
      <c r="F150" s="300">
        <f t="shared" si="31"/>
        <v>0</v>
      </c>
      <c r="G150" s="300" t="str">
        <f t="shared" si="31"/>
        <v/>
      </c>
      <c r="H150" s="300" t="str">
        <f t="shared" si="31"/>
        <v/>
      </c>
      <c r="I150" s="300" t="str">
        <f t="shared" si="31"/>
        <v/>
      </c>
      <c r="J150" s="300" t="str">
        <f t="shared" si="31"/>
        <v/>
      </c>
      <c r="K150" s="300" t="str">
        <f t="shared" si="31"/>
        <v/>
      </c>
      <c r="L150" s="300" t="str">
        <f t="shared" si="31"/>
        <v/>
      </c>
      <c r="M150" s="300" t="str">
        <f t="shared" si="31"/>
        <v/>
      </c>
      <c r="N150" s="300" t="str">
        <f t="shared" si="31"/>
        <v/>
      </c>
      <c r="O150" s="300" t="str">
        <f t="shared" si="31"/>
        <v/>
      </c>
      <c r="P150" s="301">
        <f t="shared" ref="P150:P161" si="32">SUM(D150:O150)</f>
        <v>0</v>
      </c>
      <c r="R150" s="35">
        <f t="shared" ref="R150:R161" si="33">IF(OR(P150&gt;0,P150&lt;0,P150=""),1,0)</f>
        <v>0</v>
      </c>
    </row>
    <row r="151" spans="2:18" ht="23.1" customHeight="1">
      <c r="B151" s="299" t="str">
        <f>LR!B152</f>
        <v>TOTAL BIAYA PENYUSUTAN</v>
      </c>
      <c r="C151" s="284"/>
      <c r="D151" s="300" t="e">
        <f t="shared" si="31"/>
        <v>#N/A</v>
      </c>
      <c r="E151" s="300" t="e">
        <f t="shared" si="31"/>
        <v>#N/A</v>
      </c>
      <c r="F151" s="300" t="e">
        <f t="shared" si="31"/>
        <v>#N/A</v>
      </c>
      <c r="G151" s="300" t="str">
        <f t="shared" si="31"/>
        <v/>
      </c>
      <c r="H151" s="300" t="str">
        <f t="shared" si="31"/>
        <v/>
      </c>
      <c r="I151" s="300" t="str">
        <f t="shared" si="31"/>
        <v/>
      </c>
      <c r="J151" s="300" t="str">
        <f t="shared" si="31"/>
        <v/>
      </c>
      <c r="K151" s="300" t="str">
        <f t="shared" si="31"/>
        <v/>
      </c>
      <c r="L151" s="300" t="str">
        <f t="shared" si="31"/>
        <v/>
      </c>
      <c r="M151" s="300" t="str">
        <f t="shared" si="31"/>
        <v/>
      </c>
      <c r="N151" s="300" t="str">
        <f t="shared" si="31"/>
        <v/>
      </c>
      <c r="O151" s="300" t="str">
        <f t="shared" si="31"/>
        <v/>
      </c>
      <c r="P151" s="301" t="e">
        <f t="shared" si="32"/>
        <v>#N/A</v>
      </c>
      <c r="R151" s="35" t="e">
        <f t="shared" si="33"/>
        <v>#N/A</v>
      </c>
    </row>
    <row r="152" spans="2:18" ht="23.1" customHeight="1">
      <c r="B152" s="299" t="str">
        <f>LR!B153</f>
        <v>TOTAL BIAYA OPERASIONAL</v>
      </c>
      <c r="C152" s="284"/>
      <c r="D152" s="300" t="e">
        <f t="shared" si="31"/>
        <v>#N/A</v>
      </c>
      <c r="E152" s="300" t="e">
        <f t="shared" si="31"/>
        <v>#N/A</v>
      </c>
      <c r="F152" s="300" t="e">
        <f t="shared" si="31"/>
        <v>#N/A</v>
      </c>
      <c r="G152" s="300" t="str">
        <f t="shared" si="31"/>
        <v/>
      </c>
      <c r="H152" s="300" t="str">
        <f t="shared" si="31"/>
        <v/>
      </c>
      <c r="I152" s="300" t="str">
        <f t="shared" si="31"/>
        <v/>
      </c>
      <c r="J152" s="300" t="str">
        <f t="shared" si="31"/>
        <v/>
      </c>
      <c r="K152" s="300" t="str">
        <f t="shared" si="31"/>
        <v/>
      </c>
      <c r="L152" s="300" t="str">
        <f t="shared" si="31"/>
        <v/>
      </c>
      <c r="M152" s="300" t="str">
        <f t="shared" si="31"/>
        <v/>
      </c>
      <c r="N152" s="300" t="str">
        <f t="shared" si="31"/>
        <v/>
      </c>
      <c r="O152" s="300" t="str">
        <f t="shared" si="31"/>
        <v/>
      </c>
      <c r="P152" s="301" t="e">
        <f t="shared" si="32"/>
        <v>#N/A</v>
      </c>
      <c r="R152" s="35" t="e">
        <f t="shared" si="33"/>
        <v>#N/A</v>
      </c>
    </row>
    <row r="153" spans="2:18" ht="23.1" customHeight="1">
      <c r="B153" s="299" t="str">
        <f>LR!B154</f>
        <v>LABA OPERASIONAL</v>
      </c>
      <c r="C153" s="284"/>
      <c r="D153" s="300" t="e">
        <f t="shared" si="31"/>
        <v>#N/A</v>
      </c>
      <c r="E153" s="300" t="e">
        <f t="shared" si="31"/>
        <v>#N/A</v>
      </c>
      <c r="F153" s="300" t="e">
        <f t="shared" si="31"/>
        <v>#N/A</v>
      </c>
      <c r="G153" s="300" t="str">
        <f t="shared" si="31"/>
        <v/>
      </c>
      <c r="H153" s="300" t="str">
        <f t="shared" si="31"/>
        <v/>
      </c>
      <c r="I153" s="300" t="str">
        <f t="shared" si="31"/>
        <v/>
      </c>
      <c r="J153" s="300" t="str">
        <f t="shared" si="31"/>
        <v/>
      </c>
      <c r="K153" s="300" t="str">
        <f t="shared" si="31"/>
        <v/>
      </c>
      <c r="L153" s="300" t="str">
        <f t="shared" si="31"/>
        <v/>
      </c>
      <c r="M153" s="300" t="str">
        <f t="shared" si="31"/>
        <v/>
      </c>
      <c r="N153" s="300" t="str">
        <f t="shared" si="31"/>
        <v/>
      </c>
      <c r="O153" s="300" t="str">
        <f t="shared" si="31"/>
        <v/>
      </c>
      <c r="P153" s="301" t="e">
        <f t="shared" si="32"/>
        <v>#N/A</v>
      </c>
      <c r="R153" s="35" t="e">
        <f t="shared" si="33"/>
        <v>#N/A</v>
      </c>
    </row>
    <row r="154" spans="2:18" ht="23.1" customHeight="1">
      <c r="B154" s="299" t="str">
        <f>LR!B155</f>
        <v>PENDAPATAN (BEBAN) LAINNYA</v>
      </c>
      <c r="C154" s="284"/>
      <c r="D154" s="300" t="e">
        <f t="shared" si="31"/>
        <v>#N/A</v>
      </c>
      <c r="E154" s="300" t="e">
        <f t="shared" si="31"/>
        <v>#N/A</v>
      </c>
      <c r="F154" s="300" t="e">
        <f t="shared" si="31"/>
        <v>#N/A</v>
      </c>
      <c r="G154" s="300" t="str">
        <f t="shared" si="31"/>
        <v/>
      </c>
      <c r="H154" s="300" t="str">
        <f t="shared" si="31"/>
        <v/>
      </c>
      <c r="I154" s="300" t="str">
        <f t="shared" si="31"/>
        <v/>
      </c>
      <c r="J154" s="300" t="str">
        <f t="shared" si="31"/>
        <v/>
      </c>
      <c r="K154" s="300" t="str">
        <f t="shared" si="31"/>
        <v/>
      </c>
      <c r="L154" s="300" t="str">
        <f t="shared" si="31"/>
        <v/>
      </c>
      <c r="M154" s="300" t="str">
        <f t="shared" si="31"/>
        <v/>
      </c>
      <c r="N154" s="300" t="str">
        <f t="shared" si="31"/>
        <v/>
      </c>
      <c r="O154" s="300" t="str">
        <f t="shared" si="31"/>
        <v/>
      </c>
      <c r="P154" s="301" t="e">
        <f t="shared" si="32"/>
        <v>#N/A</v>
      </c>
      <c r="R154" s="35" t="e">
        <f t="shared" si="33"/>
        <v>#N/A</v>
      </c>
    </row>
    <row r="155" spans="2:18" ht="23.1" customHeight="1">
      <c r="B155" s="299" t="str">
        <f>LR!B156</f>
        <v>PENDAPATAN LAINNYA</v>
      </c>
      <c r="C155" s="284"/>
      <c r="D155" s="300" t="e">
        <f t="shared" si="31"/>
        <v>#N/A</v>
      </c>
      <c r="E155" s="300" t="e">
        <f t="shared" si="31"/>
        <v>#N/A</v>
      </c>
      <c r="F155" s="300" t="e">
        <f t="shared" si="31"/>
        <v>#N/A</v>
      </c>
      <c r="G155" s="300" t="str">
        <f t="shared" si="31"/>
        <v/>
      </c>
      <c r="H155" s="300" t="str">
        <f t="shared" si="31"/>
        <v/>
      </c>
      <c r="I155" s="300" t="str">
        <f t="shared" si="31"/>
        <v/>
      </c>
      <c r="J155" s="300" t="str">
        <f t="shared" si="31"/>
        <v/>
      </c>
      <c r="K155" s="300" t="str">
        <f t="shared" si="31"/>
        <v/>
      </c>
      <c r="L155" s="300" t="str">
        <f t="shared" si="31"/>
        <v/>
      </c>
      <c r="M155" s="300" t="str">
        <f t="shared" si="31"/>
        <v/>
      </c>
      <c r="N155" s="300" t="str">
        <f t="shared" si="31"/>
        <v/>
      </c>
      <c r="O155" s="300" t="str">
        <f t="shared" si="31"/>
        <v/>
      </c>
      <c r="P155" s="301" t="e">
        <f t="shared" si="32"/>
        <v>#N/A</v>
      </c>
      <c r="R155" s="35" t="e">
        <f t="shared" si="33"/>
        <v>#N/A</v>
      </c>
    </row>
    <row r="156" spans="2:18" ht="23.1" customHeight="1">
      <c r="B156" s="299" t="str">
        <f>LR!B157</f>
        <v>710101 | PENDAPATAN JASA GIRO</v>
      </c>
      <c r="C156" s="284"/>
      <c r="D156" s="300">
        <f t="shared" si="31"/>
        <v>0</v>
      </c>
      <c r="E156" s="300">
        <f t="shared" si="31"/>
        <v>0</v>
      </c>
      <c r="F156" s="300">
        <f t="shared" si="31"/>
        <v>0</v>
      </c>
      <c r="G156" s="300" t="str">
        <f t="shared" si="31"/>
        <v/>
      </c>
      <c r="H156" s="300" t="str">
        <f t="shared" si="31"/>
        <v/>
      </c>
      <c r="I156" s="300" t="str">
        <f t="shared" si="31"/>
        <v/>
      </c>
      <c r="J156" s="300" t="str">
        <f t="shared" si="31"/>
        <v/>
      </c>
      <c r="K156" s="300" t="str">
        <f t="shared" si="31"/>
        <v/>
      </c>
      <c r="L156" s="300" t="str">
        <f t="shared" si="31"/>
        <v/>
      </c>
      <c r="M156" s="300" t="str">
        <f t="shared" si="31"/>
        <v/>
      </c>
      <c r="N156" s="300" t="str">
        <f t="shared" si="31"/>
        <v/>
      </c>
      <c r="O156" s="300" t="str">
        <f t="shared" si="31"/>
        <v/>
      </c>
      <c r="P156" s="301">
        <f t="shared" si="32"/>
        <v>0</v>
      </c>
      <c r="R156" s="35">
        <f t="shared" si="33"/>
        <v>0</v>
      </c>
    </row>
    <row r="157" spans="2:18" ht="23.1" customHeight="1">
      <c r="B157" s="299" t="str">
        <f>LR!B158</f>
        <v>710102 | PENDAPATAN PENJUALAN ASSET</v>
      </c>
      <c r="C157" s="284"/>
      <c r="D157" s="300">
        <f t="shared" ref="D157:O163" si="34">IF(D$8="","",IF(INDEX(typ_sn,MATCH(INDEX(akun_type,MATCH($B157,akun_kb,0)),typ_ket,0))="db",SUMIFS(ju_sld,ju_tgl,"&gt;="&amp;awal,ju_tgl,"&lt;="&amp;akhir,ju_kr,$B157,ju_div2,"kr"&amp;D$8)-SUMIFS(ju_sld,ju_tgl,"&gt;="&amp;awal,ju_tgl,"&lt;="&amp;akhir,ju_debet,$B157,ju_div2,"db"&amp;D$8),SUMIFS(ju_sld,ju_tgl,"&gt;="&amp;awal,ju_tgl,"&lt;="&amp;akhir,ju_kr,$B157,ju_div2,"kr"&amp;D$8)-SUMIFS(ju_sld,ju_tgl,"&gt;="&amp;awal,ju_tgl,"&lt;="&amp;akhir,ju_debet,$B157,ju_div2,"db"&amp;D$8)))</f>
        <v>0</v>
      </c>
      <c r="E157" s="300">
        <f t="shared" si="34"/>
        <v>0</v>
      </c>
      <c r="F157" s="300">
        <f t="shared" si="34"/>
        <v>0</v>
      </c>
      <c r="G157" s="300" t="str">
        <f t="shared" si="34"/>
        <v/>
      </c>
      <c r="H157" s="300" t="str">
        <f t="shared" si="34"/>
        <v/>
      </c>
      <c r="I157" s="300" t="str">
        <f t="shared" si="34"/>
        <v/>
      </c>
      <c r="J157" s="300" t="str">
        <f t="shared" si="34"/>
        <v/>
      </c>
      <c r="K157" s="300" t="str">
        <f t="shared" si="34"/>
        <v/>
      </c>
      <c r="L157" s="300" t="str">
        <f t="shared" si="34"/>
        <v/>
      </c>
      <c r="M157" s="300" t="str">
        <f t="shared" si="34"/>
        <v/>
      </c>
      <c r="N157" s="300" t="str">
        <f t="shared" si="34"/>
        <v/>
      </c>
      <c r="O157" s="300" t="str">
        <f t="shared" si="34"/>
        <v/>
      </c>
      <c r="P157" s="301">
        <f t="shared" si="32"/>
        <v>0</v>
      </c>
      <c r="R157" s="35">
        <f t="shared" si="33"/>
        <v>0</v>
      </c>
    </row>
    <row r="158" spans="2:18" ht="23.1" customHeight="1">
      <c r="B158" s="299" t="str">
        <f>LR!B159</f>
        <v>710103 | PENDAPATAN LAIN LAIN</v>
      </c>
      <c r="C158" s="284"/>
      <c r="D158" s="300">
        <f t="shared" si="34"/>
        <v>0</v>
      </c>
      <c r="E158" s="300">
        <f t="shared" si="34"/>
        <v>0</v>
      </c>
      <c r="F158" s="300">
        <f t="shared" si="34"/>
        <v>0</v>
      </c>
      <c r="G158" s="300" t="str">
        <f t="shared" si="34"/>
        <v/>
      </c>
      <c r="H158" s="300" t="str">
        <f t="shared" si="34"/>
        <v/>
      </c>
      <c r="I158" s="300" t="str">
        <f t="shared" si="34"/>
        <v/>
      </c>
      <c r="J158" s="300" t="str">
        <f t="shared" si="34"/>
        <v/>
      </c>
      <c r="K158" s="300" t="str">
        <f t="shared" si="34"/>
        <v/>
      </c>
      <c r="L158" s="300" t="str">
        <f t="shared" si="34"/>
        <v/>
      </c>
      <c r="M158" s="300" t="str">
        <f t="shared" si="34"/>
        <v/>
      </c>
      <c r="N158" s="300" t="str">
        <f t="shared" si="34"/>
        <v/>
      </c>
      <c r="O158" s="300" t="str">
        <f t="shared" si="34"/>
        <v/>
      </c>
      <c r="P158" s="301">
        <f t="shared" si="32"/>
        <v>0</v>
      </c>
      <c r="R158" s="35">
        <f t="shared" si="33"/>
        <v>0</v>
      </c>
    </row>
    <row r="159" spans="2:18" ht="23.1" customHeight="1">
      <c r="B159" s="299" t="str">
        <f>LR!B160</f>
        <v>BEBAN LAINNYA</v>
      </c>
      <c r="C159" s="284"/>
      <c r="D159" s="300" t="e">
        <f t="shared" si="34"/>
        <v>#N/A</v>
      </c>
      <c r="E159" s="300" t="e">
        <f t="shared" si="34"/>
        <v>#N/A</v>
      </c>
      <c r="F159" s="300" t="e">
        <f t="shared" si="34"/>
        <v>#N/A</v>
      </c>
      <c r="G159" s="300" t="str">
        <f t="shared" si="34"/>
        <v/>
      </c>
      <c r="H159" s="300" t="str">
        <f t="shared" si="34"/>
        <v/>
      </c>
      <c r="I159" s="300" t="str">
        <f t="shared" si="34"/>
        <v/>
      </c>
      <c r="J159" s="300" t="str">
        <f t="shared" si="34"/>
        <v/>
      </c>
      <c r="K159" s="300" t="str">
        <f t="shared" si="34"/>
        <v/>
      </c>
      <c r="L159" s="300" t="str">
        <f t="shared" si="34"/>
        <v/>
      </c>
      <c r="M159" s="300" t="str">
        <f t="shared" si="34"/>
        <v/>
      </c>
      <c r="N159" s="300" t="str">
        <f t="shared" si="34"/>
        <v/>
      </c>
      <c r="O159" s="300" t="str">
        <f t="shared" si="34"/>
        <v/>
      </c>
      <c r="P159" s="301" t="e">
        <f t="shared" si="32"/>
        <v>#N/A</v>
      </c>
      <c r="R159" s="35" t="e">
        <f t="shared" si="33"/>
        <v>#N/A</v>
      </c>
    </row>
    <row r="160" spans="2:18" ht="23.1" customHeight="1">
      <c r="B160" s="299" t="str">
        <f>LR!B161</f>
        <v>720101 | BIAYA ADMINISTRASI BANK</v>
      </c>
      <c r="C160" s="284"/>
      <c r="D160" s="300">
        <f t="shared" si="34"/>
        <v>0</v>
      </c>
      <c r="E160" s="300">
        <f t="shared" si="34"/>
        <v>0</v>
      </c>
      <c r="F160" s="300">
        <f t="shared" si="34"/>
        <v>0</v>
      </c>
      <c r="G160" s="300" t="str">
        <f t="shared" si="34"/>
        <v/>
      </c>
      <c r="H160" s="300" t="str">
        <f t="shared" si="34"/>
        <v/>
      </c>
      <c r="I160" s="300" t="str">
        <f t="shared" si="34"/>
        <v/>
      </c>
      <c r="J160" s="300" t="str">
        <f t="shared" si="34"/>
        <v/>
      </c>
      <c r="K160" s="300" t="str">
        <f t="shared" si="34"/>
        <v/>
      </c>
      <c r="L160" s="300" t="str">
        <f t="shared" si="34"/>
        <v/>
      </c>
      <c r="M160" s="300" t="str">
        <f t="shared" si="34"/>
        <v/>
      </c>
      <c r="N160" s="300" t="str">
        <f t="shared" si="34"/>
        <v/>
      </c>
      <c r="O160" s="300" t="str">
        <f t="shared" si="34"/>
        <v/>
      </c>
      <c r="P160" s="301">
        <f t="shared" si="32"/>
        <v>0</v>
      </c>
      <c r="R160" s="35">
        <f t="shared" si="33"/>
        <v>0</v>
      </c>
    </row>
    <row r="161" spans="2:18" ht="23.1" customHeight="1">
      <c r="B161" s="299" t="str">
        <f>LR!B162</f>
        <v>720102 | BIAYA PAJAK JASA GIRO</v>
      </c>
      <c r="C161" s="284"/>
      <c r="D161" s="300">
        <f t="shared" si="34"/>
        <v>0</v>
      </c>
      <c r="E161" s="300">
        <f t="shared" si="34"/>
        <v>0</v>
      </c>
      <c r="F161" s="300">
        <f t="shared" si="34"/>
        <v>0</v>
      </c>
      <c r="G161" s="300" t="str">
        <f t="shared" si="34"/>
        <v/>
      </c>
      <c r="H161" s="300" t="str">
        <f t="shared" si="34"/>
        <v/>
      </c>
      <c r="I161" s="300" t="str">
        <f t="shared" si="34"/>
        <v/>
      </c>
      <c r="J161" s="300" t="str">
        <f t="shared" si="34"/>
        <v/>
      </c>
      <c r="K161" s="300" t="str">
        <f t="shared" si="34"/>
        <v/>
      </c>
      <c r="L161" s="300" t="str">
        <f t="shared" si="34"/>
        <v/>
      </c>
      <c r="M161" s="300" t="str">
        <f t="shared" si="34"/>
        <v/>
      </c>
      <c r="N161" s="300" t="str">
        <f t="shared" si="34"/>
        <v/>
      </c>
      <c r="O161" s="300" t="str">
        <f t="shared" si="34"/>
        <v/>
      </c>
      <c r="P161" s="301">
        <f t="shared" si="32"/>
        <v>0</v>
      </c>
      <c r="R161" s="35">
        <f t="shared" si="33"/>
        <v>0</v>
      </c>
    </row>
    <row r="162" spans="2:18" ht="23.1" customHeight="1">
      <c r="B162" s="299" t="str">
        <f>LR!B163</f>
        <v>TOTAL PENDAPATAN (BEBAN) LAINNYA</v>
      </c>
      <c r="C162" s="284"/>
      <c r="D162" s="300" t="e">
        <f t="shared" si="34"/>
        <v>#N/A</v>
      </c>
      <c r="E162" s="300" t="e">
        <f t="shared" si="34"/>
        <v>#N/A</v>
      </c>
      <c r="F162" s="300" t="e">
        <f t="shared" si="34"/>
        <v>#N/A</v>
      </c>
      <c r="G162" s="300" t="str">
        <f t="shared" si="34"/>
        <v/>
      </c>
      <c r="H162" s="300" t="str">
        <f t="shared" si="34"/>
        <v/>
      </c>
      <c r="I162" s="300" t="str">
        <f t="shared" si="34"/>
        <v/>
      </c>
      <c r="J162" s="300" t="str">
        <f t="shared" si="34"/>
        <v/>
      </c>
      <c r="K162" s="300" t="str">
        <f t="shared" si="34"/>
        <v/>
      </c>
      <c r="L162" s="300" t="str">
        <f t="shared" si="34"/>
        <v/>
      </c>
      <c r="M162" s="300" t="str">
        <f t="shared" si="34"/>
        <v/>
      </c>
      <c r="N162" s="300" t="str">
        <f t="shared" si="34"/>
        <v/>
      </c>
      <c r="O162" s="300" t="str">
        <f t="shared" si="34"/>
        <v/>
      </c>
      <c r="P162" s="301" t="e">
        <f t="shared" ref="P162:P163" si="35">SUM(D162:O162)</f>
        <v>#N/A</v>
      </c>
      <c r="R162" s="35" t="e">
        <f t="shared" ref="R162:R163" si="36">IF(OR(P162&gt;0,P162&lt;0,P162=""),1,0)</f>
        <v>#N/A</v>
      </c>
    </row>
    <row r="163" spans="2:18" ht="23.1" customHeight="1">
      <c r="B163" s="299" t="str">
        <f>LR!B164</f>
        <v>LABA (RUGI)</v>
      </c>
      <c r="C163" s="284"/>
      <c r="D163" s="300" t="e">
        <f t="shared" si="34"/>
        <v>#N/A</v>
      </c>
      <c r="E163" s="300" t="e">
        <f t="shared" si="34"/>
        <v>#N/A</v>
      </c>
      <c r="F163" s="300" t="e">
        <f t="shared" si="34"/>
        <v>#N/A</v>
      </c>
      <c r="G163" s="300" t="str">
        <f t="shared" si="34"/>
        <v/>
      </c>
      <c r="H163" s="300" t="str">
        <f t="shared" si="34"/>
        <v/>
      </c>
      <c r="I163" s="300" t="str">
        <f t="shared" si="34"/>
        <v/>
      </c>
      <c r="J163" s="300" t="str">
        <f t="shared" si="34"/>
        <v/>
      </c>
      <c r="K163" s="300" t="str">
        <f t="shared" si="34"/>
        <v/>
      </c>
      <c r="L163" s="300" t="str">
        <f t="shared" si="34"/>
        <v/>
      </c>
      <c r="M163" s="300" t="str">
        <f t="shared" si="34"/>
        <v/>
      </c>
      <c r="N163" s="300" t="str">
        <f t="shared" si="34"/>
        <v/>
      </c>
      <c r="O163" s="300" t="str">
        <f t="shared" si="34"/>
        <v/>
      </c>
      <c r="P163" s="301" t="e">
        <f t="shared" si="35"/>
        <v>#N/A</v>
      </c>
      <c r="R163" s="35" t="e">
        <f t="shared" si="36"/>
        <v>#N/A</v>
      </c>
    </row>
    <row r="164" spans="2:18" ht="23.1" customHeight="1">
      <c r="B164" s="3"/>
      <c r="P164" s="3"/>
    </row>
    <row r="165" spans="2:18" ht="23.1" customHeight="1">
      <c r="B165" s="3"/>
      <c r="P165" s="3"/>
    </row>
    <row r="166" spans="2:18" ht="23.1" customHeight="1">
      <c r="B166" s="4"/>
      <c r="C166" s="62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4"/>
    </row>
  </sheetData>
  <autoFilter ref="R6:R163" xr:uid="{9D275242-B059-F54B-94CE-6EC253D750CD}"/>
  <mergeCells count="3">
    <mergeCell ref="B4:P4"/>
    <mergeCell ref="B5:P5"/>
    <mergeCell ref="B6:P6"/>
  </mergeCells>
  <dataValidations count="1">
    <dataValidation type="list" allowBlank="1" showInputMessage="1" showErrorMessage="1" sqref="D8:O8" xr:uid="{68B656AC-5736-7440-9B30-6010FB249292}">
      <formula1>div_list</formula1>
    </dataValidation>
  </dataValidations>
  <hyperlinks>
    <hyperlink ref="B2" location="MENU!D8" display="MENU" xr:uid="{FB12E54E-A9F7-FA46-990E-5D976EEF4343}"/>
  </hyperlinks>
  <pageMargins left="0.7" right="0.7" top="0.75" bottom="0.75" header="0.3" footer="0.3"/>
  <pageSetup paperSize="9" scale="69" fitToHeight="5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88C4-03E0-394A-933D-5A727C0F00F3}">
  <sheetPr codeName="Sheet24">
    <pageSetUpPr fitToPage="1"/>
  </sheetPr>
  <dimension ref="B2:H164"/>
  <sheetViews>
    <sheetView topLeftCell="A152" workbookViewId="0">
      <selection activeCell="E165" sqref="E165"/>
    </sheetView>
  </sheetViews>
  <sheetFormatPr defaultColWidth="10.875" defaultRowHeight="23.1" customHeight="1"/>
  <cols>
    <col min="1" max="1" width="3.375" style="205" customWidth="1"/>
    <col min="2" max="2" width="12.625" style="205" customWidth="1"/>
    <col min="3" max="3" width="51.375" style="205" customWidth="1"/>
    <col min="4" max="4" width="17.375" style="228" customWidth="1"/>
    <col min="5" max="5" width="17.375" style="205" customWidth="1"/>
    <col min="6" max="6" width="4.125" style="205" customWidth="1"/>
    <col min="7" max="7" width="15" style="205" customWidth="1"/>
    <col min="8" max="8" width="29.625" style="205" customWidth="1"/>
    <col min="9" max="16384" width="10.875" style="205"/>
  </cols>
  <sheetData>
    <row r="2" spans="2:8" ht="23.1" customHeight="1" thickBot="1">
      <c r="B2" s="208" t="s">
        <v>58</v>
      </c>
      <c r="C2" s="135" t="str">
        <f>ARUSKAS!C2</f>
        <v>Kahfizul13@gmail.com</v>
      </c>
      <c r="D2" s="303"/>
      <c r="E2" s="304"/>
    </row>
    <row r="4" spans="2:8" ht="23.1" customHeight="1">
      <c r="B4" s="435" t="str">
        <f>UPPER(BB!B4)</f>
        <v>PERUMDA PARKIR MAKASSAR RAYA</v>
      </c>
      <c r="C4" s="436"/>
      <c r="D4" s="436"/>
      <c r="E4" s="437"/>
      <c r="G4" s="305" t="s">
        <v>81</v>
      </c>
      <c r="H4" s="222" t="s">
        <v>185</v>
      </c>
    </row>
    <row r="5" spans="2:8" ht="23.1" customHeight="1">
      <c r="B5" s="412" t="str">
        <f>"LABA RUGI DIVISI "&amp;UPPER(INDEX(div_ket,MATCH(H4,div_kd2,0)))</f>
        <v>LABA RUGI DIVISI CABANG 2</v>
      </c>
      <c r="C5" s="413"/>
      <c r="D5" s="413"/>
      <c r="E5" s="414"/>
    </row>
    <row r="6" spans="2:8" ht="23.1" customHeight="1" thickBot="1">
      <c r="B6" s="449" t="str">
        <f>"Periode "&amp;TEXT(awal,"dd-mmm-yyy")&amp;" s/d "&amp;TEXT(akhir,"dd-mmm-yyy")</f>
        <v>Periode 01-Jan-2022 s/d 31-Dec-2022</v>
      </c>
      <c r="C6" s="450"/>
      <c r="D6" s="450"/>
      <c r="E6" s="451"/>
      <c r="G6" s="243" t="s">
        <v>142</v>
      </c>
    </row>
    <row r="7" spans="2:8" ht="9.9499999999999993" customHeight="1">
      <c r="G7" s="278">
        <f>IF(OR(D7&gt;0,D7&lt;0,D7=""),1,0)</f>
        <v>1</v>
      </c>
    </row>
    <row r="8" spans="2:8" ht="23.1" customHeight="1">
      <c r="B8" s="274" t="s">
        <v>144</v>
      </c>
      <c r="D8" s="306"/>
      <c r="G8" s="278">
        <f t="shared" ref="G8:G9" si="0">IF(OR(D8&gt;0,D8&lt;0,D8=""),1,0)</f>
        <v>1</v>
      </c>
    </row>
    <row r="9" spans="2:8" ht="23.1" customHeight="1">
      <c r="B9" s="206" t="str">
        <f>LR!B9</f>
        <v>PENDAPATAN</v>
      </c>
      <c r="G9" s="278">
        <f t="shared" si="0"/>
        <v>1</v>
      </c>
    </row>
    <row r="10" spans="2:8" ht="23.1" customHeight="1">
      <c r="B10" s="206" t="str">
        <f>LR!B10</f>
        <v>410101 | PENDAPATAN PARKIR TEPI JALAN UMUM (TJU)</v>
      </c>
      <c r="D10" s="228">
        <f>IF(INDEX(typ_sn,MATCH(INDEX(akun_type,MATCH(B10,akun_kb,0)),typ_ket,0))="KR",SUMIFS(ju_sld,ju_tgl,"&gt;="&amp;awal,ju_tgl,"&lt;="&amp;akhir,ju_div2,"kr"&amp;$H$4,ju_kr,B10)-SUMIFS(ju_sld,ju_tgl,"&gt;="&amp;awal,ju_tgl,"&lt;="&amp;akhir,ju_div2,"DB"&amp;$H$4,ju_debet,B10))</f>
        <v>0</v>
      </c>
      <c r="G10" s="278">
        <f t="shared" ref="G10" si="1">IF(OR(D10&gt;0,D10&lt;0,D10=""),1,0)</f>
        <v>0</v>
      </c>
    </row>
    <row r="11" spans="2:8" ht="23.1" customHeight="1">
      <c r="B11" s="206" t="str">
        <f>LR!B11</f>
        <v>410102 | PENDAPATAN PARKIR INSIDENTIL</v>
      </c>
      <c r="D11" s="228">
        <f>IF(INDEX(typ_sn,MATCH(INDEX(akun_type,MATCH(B11,akun_kb,0)),typ_ket,0))="KR",SUMIFS(ju_sld,ju_tgl,"&gt;="&amp;awal,ju_tgl,"&lt;="&amp;akhir,ju_div2,"kr"&amp;$H$4,ju_kr,B11)-SUMIFS(ju_sld,ju_tgl,"&gt;="&amp;awal,ju_tgl,"&lt;="&amp;akhir,ju_div2,"DB"&amp;$H$4,ju_debet,B11))</f>
        <v>0</v>
      </c>
      <c r="G11" s="278">
        <f t="shared" ref="G11:G15" si="2">IF(OR(D11&gt;0,D11&lt;0,D11=""),1,0)</f>
        <v>0</v>
      </c>
    </row>
    <row r="12" spans="2:8" ht="23.1" customHeight="1">
      <c r="B12" s="206" t="str">
        <f>LR!B12</f>
        <v>410103 | PENDAPATAN PARKIR KOMERSIL</v>
      </c>
      <c r="D12" s="228">
        <f>IF(INDEX(typ_sn,MATCH(INDEX(akun_type,MATCH(B12,akun_kb,0)),typ_ket,0))="KR",SUMIFS(ju_sld,ju_tgl,"&gt;="&amp;awal,ju_tgl,"&lt;="&amp;akhir,ju_div2,"kr"&amp;$H$4,ju_kr,B12)-SUMIFS(ju_sld,ju_tgl,"&gt;="&amp;awal,ju_tgl,"&lt;="&amp;akhir,ju_div2,"DB"&amp;$H$4,ju_debet,B12))</f>
        <v>0</v>
      </c>
      <c r="G12" s="278">
        <f t="shared" si="2"/>
        <v>0</v>
      </c>
    </row>
    <row r="13" spans="2:8" ht="23.1" customHeight="1">
      <c r="B13" s="206" t="str">
        <f>LR!B13</f>
        <v>410104 | PENDAPATAN PARKIR LANGGANAN BULANAN</v>
      </c>
      <c r="D13" s="228">
        <f>IF(INDEX(typ_sn,MATCH(INDEX(akun_type,MATCH(B13,akun_kb,0)),typ_ket,0))="KR",SUMIFS(ju_sld,ju_tgl,"&gt;="&amp;awal,ju_tgl,"&lt;="&amp;akhir,ju_div2,"kr"&amp;$H$4,ju_kr,B13)-SUMIFS(ju_sld,ju_tgl,"&gt;="&amp;awal,ju_tgl,"&lt;="&amp;akhir,ju_div2,"DB"&amp;$H$4,ju_debet,B13))</f>
        <v>0</v>
      </c>
      <c r="G13" s="278">
        <f t="shared" si="2"/>
        <v>0</v>
      </c>
    </row>
    <row r="14" spans="2:8" ht="23.1" customHeight="1">
      <c r="B14" s="206" t="str">
        <f>LR!B14</f>
        <v>410105 | PENDAPATAN SEWA LAHAN PARKIR</v>
      </c>
      <c r="D14" s="228">
        <f>IF(INDEX(typ_sn,MATCH(INDEX(akun_type,MATCH(B14,akun_kb,0)),typ_ket,0))="KR",SUMIFS(ju_sld,ju_tgl,"&gt;="&amp;awal,ju_tgl,"&lt;="&amp;akhir,ju_div2,"kr"&amp;$H$4,ju_kr,B14)-SUMIFS(ju_sld,ju_tgl,"&gt;="&amp;awal,ju_tgl,"&lt;="&amp;akhir,ju_div2,"DB"&amp;$H$4,ju_debet,B14))</f>
        <v>0</v>
      </c>
      <c r="G14" s="278">
        <f t="shared" si="2"/>
        <v>0</v>
      </c>
    </row>
    <row r="15" spans="2:8" ht="23.1" customHeight="1">
      <c r="B15" s="206" t="str">
        <f>LR!B15</f>
        <v xml:space="preserve">410106 | PENDAPATAN PARKIR </v>
      </c>
      <c r="D15" s="228">
        <f>IF(INDEX(typ_sn,MATCH(INDEX(akun_type,MATCH(B15,akun_kb,0)),typ_ket,0))="KR",SUMIFS(ju_sld,ju_tgl,"&gt;="&amp;awal,ju_tgl,"&lt;="&amp;akhir,ju_div2,"kr"&amp;$H$4,ju_kr,B15)-SUMIFS(ju_sld,ju_tgl,"&gt;="&amp;awal,ju_tgl,"&lt;="&amp;akhir,ju_div2,"DB"&amp;$H$4,ju_debet,B15))</f>
        <v>0</v>
      </c>
      <c r="G15" s="278">
        <f t="shared" si="2"/>
        <v>0</v>
      </c>
    </row>
    <row r="16" spans="2:8" ht="23.1" customHeight="1">
      <c r="B16" s="206" t="str">
        <f>LR!B16</f>
        <v>410107 | PENDAPATAN PARKIR TEKHNOLOGI / ONLINE</v>
      </c>
      <c r="D16" s="228">
        <f>IF(INDEX(typ_sn,MATCH(INDEX(akun_type,MATCH(B16,akun_kb,0)),typ_ket,0))="KR",SUMIFS(ju_sld,ju_tgl,"&gt;="&amp;awal,ju_tgl,"&lt;="&amp;akhir,ju_div2,"kr"&amp;$H$4,ju_kr,B16)-SUMIFS(ju_sld,ju_tgl,"&gt;="&amp;awal,ju_tgl,"&lt;="&amp;akhir,ju_div2,"DB"&amp;$H$4,ju_debet,B16))</f>
        <v>0</v>
      </c>
      <c r="G16" s="278">
        <f t="shared" ref="G16:G23" si="3">IF(OR(D16&gt;0,D16&lt;0,D16=""),1,0)</f>
        <v>0</v>
      </c>
    </row>
    <row r="17" spans="2:7" ht="23.1" customHeight="1">
      <c r="B17" s="206" t="str">
        <f>LR!B17</f>
        <v>TOTAL PENDAPATAN</v>
      </c>
      <c r="E17" s="218">
        <f>SUM(D10:D16)</f>
        <v>0</v>
      </c>
      <c r="G17" s="278">
        <f t="shared" si="3"/>
        <v>1</v>
      </c>
    </row>
    <row r="18" spans="2:7" ht="23.1" customHeight="1">
      <c r="B18" s="206" t="str">
        <f>LR!B18</f>
        <v>POTONGAN/PENGURANG PENDAPATAN</v>
      </c>
      <c r="G18" s="278">
        <f t="shared" si="3"/>
        <v>1</v>
      </c>
    </row>
    <row r="19" spans="2:7" ht="23.1" customHeight="1">
      <c r="B19" s="206" t="str">
        <f>LR!B19</f>
        <v>420101 | POTONGAN / PENGURANG PENDAPATAN - TJU</v>
      </c>
      <c r="D19" s="228">
        <f>IF(INDEX(typ_sn,MATCH(INDEX(akun_type,MATCH(B19,akun_kb,0)),typ_ket,0))="KR",SUMIFS(ju_sld,ju_tgl,"&gt;="&amp;awal,ju_tgl,"&lt;="&amp;akhir,ju_div2,"kr"&amp;$H$4,ju_kr,B19)-SUMIFS(ju_sld,ju_tgl,"&gt;="&amp;awal,ju_tgl,"&lt;="&amp;akhir,ju_div2,"DB"&amp;$H$4,ju_debet,B19))</f>
        <v>0</v>
      </c>
      <c r="G19" s="278">
        <f t="shared" si="3"/>
        <v>0</v>
      </c>
    </row>
    <row r="20" spans="2:7" ht="23.1" customHeight="1">
      <c r="B20" s="206" t="str">
        <f>LR!B20</f>
        <v>420102 | POTONGAN / PENGURANG PENDAPATAN - INSIDENTIL</v>
      </c>
      <c r="D20" s="228">
        <f>IF(INDEX(typ_sn,MATCH(INDEX(akun_type,MATCH(B20,akun_kb,0)),typ_ket,0))="KR",SUMIFS(ju_sld,ju_tgl,"&gt;="&amp;awal,ju_tgl,"&lt;="&amp;akhir,ju_div2,"kr"&amp;$H$4,ju_kr,B20)-SUMIFS(ju_sld,ju_tgl,"&gt;="&amp;awal,ju_tgl,"&lt;="&amp;akhir,ju_div2,"DB"&amp;$H$4,ju_debet,B20))</f>
        <v>0</v>
      </c>
      <c r="G20" s="278">
        <f t="shared" si="3"/>
        <v>0</v>
      </c>
    </row>
    <row r="21" spans="2:7" ht="23.1" customHeight="1">
      <c r="B21" s="206" t="str">
        <f>LR!B21</f>
        <v>420103 | POTONGAN / PENGURANG PENDAPATAN - KOMERSIAL</v>
      </c>
      <c r="D21" s="228">
        <f>IF(INDEX(typ_sn,MATCH(INDEX(akun_type,MATCH(B21,akun_kb,0)),typ_ket,0))="KR",SUMIFS(ju_sld,ju_tgl,"&gt;="&amp;awal,ju_tgl,"&lt;="&amp;akhir,ju_div2,"kr"&amp;$H$4,ju_kr,B21)-SUMIFS(ju_sld,ju_tgl,"&gt;="&amp;awal,ju_tgl,"&lt;="&amp;akhir,ju_div2,"DB"&amp;$H$4,ju_debet,B21))</f>
        <v>0</v>
      </c>
      <c r="G21" s="278">
        <f t="shared" si="3"/>
        <v>0</v>
      </c>
    </row>
    <row r="22" spans="2:7" ht="23.1" customHeight="1">
      <c r="B22" s="206" t="str">
        <f>LR!B22</f>
        <v>420104 | POTONGAN / PENGURANG PENDAPATAN - PLB</v>
      </c>
      <c r="D22" s="228">
        <f>IF(INDEX(typ_sn,MATCH(INDEX(akun_type,MATCH(B22,akun_kb,0)),typ_ket,0))="KR",SUMIFS(ju_sld,ju_tgl,"&gt;="&amp;awal,ju_tgl,"&lt;="&amp;akhir,ju_div2,"kr"&amp;$H$4,ju_kr,B22)-SUMIFS(ju_sld,ju_tgl,"&gt;="&amp;awal,ju_tgl,"&lt;="&amp;akhir,ju_div2,"DB"&amp;$H$4,ju_debet,B22))</f>
        <v>0</v>
      </c>
      <c r="G22" s="278">
        <f t="shared" si="3"/>
        <v>0</v>
      </c>
    </row>
    <row r="23" spans="2:7" ht="23.1" customHeight="1">
      <c r="B23" s="206" t="str">
        <f>LR!B23</f>
        <v>420105 | POTONGAN / PENGURANG PENDAPATAN - INSIDENTIL ONLIN</v>
      </c>
      <c r="D23" s="228">
        <f>IF(INDEX(typ_sn,MATCH(INDEX(akun_type,MATCH(B23,akun_kb,0)),typ_ket,0))="KR",SUMIFS(ju_sld,ju_tgl,"&gt;="&amp;awal,ju_tgl,"&lt;="&amp;akhir,ju_div2,"kr"&amp;$H$4,ju_kr,B23)-SUMIFS(ju_sld,ju_tgl,"&gt;="&amp;awal,ju_tgl,"&lt;="&amp;akhir,ju_div2,"DB"&amp;$H$4,ju_debet,B23))</f>
        <v>0</v>
      </c>
      <c r="G23" s="278">
        <f t="shared" si="3"/>
        <v>0</v>
      </c>
    </row>
    <row r="24" spans="2:7" ht="23.1" customHeight="1">
      <c r="B24" s="206" t="str">
        <f>LR!B24</f>
        <v>420106 | POTONGAN / PENGURANG PENDAPATAN - KHUSUS BADAN USA</v>
      </c>
      <c r="D24" s="228">
        <f>IF(INDEX(typ_sn,MATCH(INDEX(akun_type,MATCH(B24,akun_kb,0)),typ_ket,0))="KR",SUMIFS(ju_sld,ju_tgl,"&gt;="&amp;awal,ju_tgl,"&lt;="&amp;akhir,ju_div2,"kr"&amp;$H$4,ju_kr,B24)-SUMIFS(ju_sld,ju_tgl,"&gt;="&amp;awal,ju_tgl,"&lt;="&amp;akhir,ju_div2,"DB"&amp;$H$4,ju_debet,B24))</f>
        <v>0</v>
      </c>
      <c r="G24" s="278">
        <f t="shared" ref="G24:G46" si="4">IF(OR(D24&gt;0,D24&lt;0,D24=""),1,0)</f>
        <v>0</v>
      </c>
    </row>
    <row r="25" spans="2:7" ht="23.1" customHeight="1">
      <c r="B25" s="206" t="str">
        <f>LR!B25</f>
        <v>420107 | POTONGAN / PENGURANG PENDAPATAN - TEKNOLOGI / ONLI</v>
      </c>
      <c r="D25" s="228">
        <f>IF(INDEX(typ_sn,MATCH(INDEX(akun_type,MATCH(B25,akun_kb,0)),typ_ket,0))="KR",SUMIFS(ju_sld,ju_tgl,"&gt;="&amp;awal,ju_tgl,"&lt;="&amp;akhir,ju_div2,"kr"&amp;$H$4,ju_kr,B25)-SUMIFS(ju_sld,ju_tgl,"&gt;="&amp;awal,ju_tgl,"&lt;="&amp;akhir,ju_div2,"DB"&amp;$H$4,ju_debet,B25))</f>
        <v>0</v>
      </c>
      <c r="G25" s="278">
        <f t="shared" si="4"/>
        <v>0</v>
      </c>
    </row>
    <row r="26" spans="2:7" ht="23.1" customHeight="1">
      <c r="B26" s="206" t="str">
        <f>LR!B26</f>
        <v>TOTAL POTONGAN/PENGURANG PENDAPATAN</v>
      </c>
      <c r="E26" s="218">
        <f>SUM(D19:D25)</f>
        <v>0</v>
      </c>
      <c r="G26" s="278">
        <f t="shared" si="4"/>
        <v>1</v>
      </c>
    </row>
    <row r="27" spans="2:7" ht="23.1" customHeight="1">
      <c r="B27" s="248" t="s">
        <v>860</v>
      </c>
      <c r="D27" s="230"/>
      <c r="E27" s="230">
        <f>D17-D26</f>
        <v>0</v>
      </c>
      <c r="G27" s="278">
        <f t="shared" si="4"/>
        <v>1</v>
      </c>
    </row>
    <row r="28" spans="2:7" ht="23.1" customHeight="1">
      <c r="B28" s="206" t="str">
        <f>LR!B28</f>
        <v>BIAYA OPERASI</v>
      </c>
      <c r="G28" s="278">
        <f t="shared" si="4"/>
        <v>1</v>
      </c>
    </row>
    <row r="29" spans="2:7" ht="23.1" customHeight="1">
      <c r="B29" s="206" t="str">
        <f>LR!B29</f>
        <v>BIAYA OPERASIONAL</v>
      </c>
      <c r="G29" s="278">
        <f t="shared" si="4"/>
        <v>1</v>
      </c>
    </row>
    <row r="30" spans="2:7" ht="23.1" customHeight="1">
      <c r="B30" s="206" t="str">
        <f>LR!B30</f>
        <v>510101 | BIAYA CETAKAN</v>
      </c>
      <c r="D30" s="228" t="b">
        <f>IF(INDEX(typ_sn,MATCH(INDEX(akun_type,MATCH(B30,akun_kb,0)),typ_ket,0))="KR",SUMIFS(ju_sld,ju_tgl,"&gt;="&amp;awal,ju_tgl,"&lt;="&amp;akhir,ju_div2,"kr"&amp;$H$4,ju_kr,B30)-SUMIFS(ju_sld,ju_tgl,"&gt;="&amp;awal,ju_tgl,"&lt;="&amp;akhir,ju_div2,"DB"&amp;$H$4,ju_debet,B30))</f>
        <v>0</v>
      </c>
      <c r="G30" s="278">
        <f t="shared" ref="G30:G32" si="5">IF(OR(D30&gt;0,D30&lt;0,D30=""),1,0)</f>
        <v>1</v>
      </c>
    </row>
    <row r="31" spans="2:7" ht="23.1" customHeight="1">
      <c r="B31" s="206" t="str">
        <f>LR!B31</f>
        <v>510102 | BIAYA SURVEY / UJI PETIK</v>
      </c>
      <c r="D31" s="228" t="b">
        <f>IF(INDEX(typ_sn,MATCH(INDEX(akun_type,MATCH(B31,akun_kb,0)),typ_ket,0))="KR",SUMIFS(ju_sld,ju_tgl,"&gt;="&amp;awal,ju_tgl,"&lt;="&amp;akhir,ju_div2,"kr"&amp;$H$4,ju_kr,B31)-SUMIFS(ju_sld,ju_tgl,"&gt;="&amp;awal,ju_tgl,"&lt;="&amp;akhir,ju_div2,"DB"&amp;$H$4,ju_debet,B31))</f>
        <v>0</v>
      </c>
      <c r="G31" s="278">
        <f t="shared" si="5"/>
        <v>1</v>
      </c>
    </row>
    <row r="32" spans="2:7" ht="23.1" customHeight="1">
      <c r="B32" s="206" t="str">
        <f>LR!B32</f>
        <v>510103 | BIAYA OPERASIONAL TIM PATROLI KHUSUS</v>
      </c>
      <c r="D32" s="228" t="b">
        <f>IF(INDEX(typ_sn,MATCH(INDEX(akun_type,MATCH(B32,akun_kb,0)),typ_ket,0))="KR",SUMIFS(ju_sld,ju_tgl,"&gt;="&amp;awal,ju_tgl,"&lt;="&amp;akhir,ju_div2,"kr"&amp;$H$4,ju_kr,B32)-SUMIFS(ju_sld,ju_tgl,"&gt;="&amp;awal,ju_tgl,"&lt;="&amp;akhir,ju_div2,"DB"&amp;$H$4,ju_debet,B32))</f>
        <v>0</v>
      </c>
      <c r="G32" s="278">
        <f t="shared" si="5"/>
        <v>1</v>
      </c>
    </row>
    <row r="33" spans="2:7" ht="23.1" customHeight="1">
      <c r="B33" s="206" t="str">
        <f>LR!B33</f>
        <v>510104 | BIAYA OPERASIONAL TIM PATUH PARKIR</v>
      </c>
      <c r="D33" s="228" t="b">
        <f>IF(INDEX(typ_sn,MATCH(INDEX(akun_type,MATCH(B33,akun_kb,0)),typ_ket,0))="KR",SUMIFS(ju_sld,ju_tgl,"&gt;="&amp;awal,ju_tgl,"&lt;="&amp;akhir,ju_div2,"kr"&amp;$H$4,ju_kr,B33)-SUMIFS(ju_sld,ju_tgl,"&gt;="&amp;awal,ju_tgl,"&lt;="&amp;akhir,ju_div2,"DB"&amp;$H$4,ju_debet,B33))</f>
        <v>0</v>
      </c>
      <c r="G33" s="278">
        <f t="shared" si="4"/>
        <v>1</v>
      </c>
    </row>
    <row r="34" spans="2:7" ht="23.1" customHeight="1">
      <c r="B34" s="206" t="str">
        <f>LR!B34</f>
        <v>510105 | BIAYA OPERASIONAL PEGAWAI</v>
      </c>
      <c r="D34" s="228" t="b">
        <f>IF(INDEX(typ_sn,MATCH(INDEX(akun_type,MATCH(B34,akun_kb,0)),typ_ket,0))="KR",SUMIFS(ju_sld,ju_tgl,"&gt;="&amp;awal,ju_tgl,"&lt;="&amp;akhir,ju_div2,"kr"&amp;$H$4,ju_kr,B34)-SUMIFS(ju_sld,ju_tgl,"&gt;="&amp;awal,ju_tgl,"&lt;="&amp;akhir,ju_div2,"DB"&amp;$H$4,ju_debet,B34))</f>
        <v>0</v>
      </c>
      <c r="G34" s="278">
        <f t="shared" si="4"/>
        <v>1</v>
      </c>
    </row>
    <row r="35" spans="2:7" ht="23.1" customHeight="1">
      <c r="B35" s="206" t="str">
        <f>LR!B35</f>
        <v>510106 | BIAYA PAKET THR</v>
      </c>
      <c r="D35" s="228" t="b">
        <f>IF(INDEX(typ_sn,MATCH(INDEX(akun_type,MATCH(B35,akun_kb,0)),typ_ket,0))="KR",SUMIFS(ju_sld,ju_tgl,"&gt;="&amp;awal,ju_tgl,"&lt;="&amp;akhir,ju_div2,"kr"&amp;$H$4,ju_kr,B35)-SUMIFS(ju_sld,ju_tgl,"&gt;="&amp;awal,ju_tgl,"&lt;="&amp;akhir,ju_div2,"DB"&amp;$H$4,ju_debet,B35))</f>
        <v>0</v>
      </c>
      <c r="G35" s="278">
        <f t="shared" si="4"/>
        <v>1</v>
      </c>
    </row>
    <row r="36" spans="2:7" ht="23.1" customHeight="1">
      <c r="B36" s="206" t="str">
        <f>LR!B36</f>
        <v>510107 | BIAYA SHARING PARKIR ELEKTRONIK</v>
      </c>
      <c r="D36" s="228" t="b">
        <f>IF(INDEX(typ_sn,MATCH(INDEX(akun_type,MATCH(B36,akun_kb,0)),typ_ket,0))="KR",SUMIFS(ju_sld,ju_tgl,"&gt;="&amp;awal,ju_tgl,"&lt;="&amp;akhir,ju_div2,"kr"&amp;$H$4,ju_kr,B36)-SUMIFS(ju_sld,ju_tgl,"&gt;="&amp;awal,ju_tgl,"&lt;="&amp;akhir,ju_div2,"DB"&amp;$H$4,ju_debet,B36))</f>
        <v>0</v>
      </c>
      <c r="G36" s="278">
        <f t="shared" si="4"/>
        <v>1</v>
      </c>
    </row>
    <row r="37" spans="2:7" ht="23.1" customHeight="1">
      <c r="B37" s="206" t="str">
        <f>LR!B37</f>
        <v>510108 | BIAYA ASURANSI JUKIR</v>
      </c>
      <c r="D37" s="228" t="b">
        <f>IF(INDEX(typ_sn,MATCH(INDEX(akun_type,MATCH(B37,akun_kb,0)),typ_ket,0))="KR",SUMIFS(ju_sld,ju_tgl,"&gt;="&amp;awal,ju_tgl,"&lt;="&amp;akhir,ju_div2,"kr"&amp;$H$4,ju_kr,B37)-SUMIFS(ju_sld,ju_tgl,"&gt;="&amp;awal,ju_tgl,"&lt;="&amp;akhir,ju_div2,"DB"&amp;$H$4,ju_debet,B37))</f>
        <v>0</v>
      </c>
      <c r="G37" s="278">
        <f t="shared" si="4"/>
        <v>1</v>
      </c>
    </row>
    <row r="38" spans="2:7" ht="23.1" customHeight="1">
      <c r="B38" s="206" t="str">
        <f>LR!B38</f>
        <v>510109 | BIAYA PAKAIAN JUKIR</v>
      </c>
      <c r="D38" s="228" t="b">
        <f>IF(INDEX(typ_sn,MATCH(INDEX(akun_type,MATCH(B38,akun_kb,0)),typ_ket,0))="KR",SUMIFS(ju_sld,ju_tgl,"&gt;="&amp;awal,ju_tgl,"&lt;="&amp;akhir,ju_div2,"kr"&amp;$H$4,ju_kr,B38)-SUMIFS(ju_sld,ju_tgl,"&gt;="&amp;awal,ju_tgl,"&lt;="&amp;akhir,ju_div2,"DB"&amp;$H$4,ju_debet,B38))</f>
        <v>0</v>
      </c>
      <c r="G38" s="278">
        <f t="shared" si="4"/>
        <v>1</v>
      </c>
    </row>
    <row r="39" spans="2:7" ht="23.1" customHeight="1">
      <c r="B39" s="206" t="str">
        <f>LR!B39</f>
        <v>510110 | BIAYA TIM PENEGAK PERDA</v>
      </c>
      <c r="D39" s="228" t="b">
        <f>IF(INDEX(typ_sn,MATCH(INDEX(akun_type,MATCH(B39,akun_kb,0)),typ_ket,0))="KR",SUMIFS(ju_sld,ju_tgl,"&gt;="&amp;awal,ju_tgl,"&lt;="&amp;akhir,ju_div2,"kr"&amp;$H$4,ju_kr,B39)-SUMIFS(ju_sld,ju_tgl,"&gt;="&amp;awal,ju_tgl,"&lt;="&amp;akhir,ju_div2,"DB"&amp;$H$4,ju_debet,B39))</f>
        <v>0</v>
      </c>
      <c r="G39" s="278">
        <f t="shared" si="4"/>
        <v>1</v>
      </c>
    </row>
    <row r="40" spans="2:7" ht="23.1" customHeight="1">
      <c r="B40" s="206" t="str">
        <f>LR!B40</f>
        <v>510111 | BIAYA UPAH PUNGUT KOLEKTOR</v>
      </c>
      <c r="D40" s="228" t="b">
        <f>IF(INDEX(typ_sn,MATCH(INDEX(akun_type,MATCH(B40,akun_kb,0)),typ_ket,0))="KR",SUMIFS(ju_sld,ju_tgl,"&gt;="&amp;awal,ju_tgl,"&lt;="&amp;akhir,ju_div2,"kr"&amp;$H$4,ju_kr,B40)-SUMIFS(ju_sld,ju_tgl,"&gt;="&amp;awal,ju_tgl,"&lt;="&amp;akhir,ju_div2,"DB"&amp;$H$4,ju_debet,B40))</f>
        <v>0</v>
      </c>
      <c r="G40" s="278">
        <f t="shared" si="4"/>
        <v>1</v>
      </c>
    </row>
    <row r="41" spans="2:7" ht="23.1" customHeight="1">
      <c r="B41" s="206" t="str">
        <f>LR!B41</f>
        <v>510112 | BIAYA PAJAK PARKIR PLB</v>
      </c>
      <c r="D41" s="228" t="b">
        <f>IF(INDEX(typ_sn,MATCH(INDEX(akun_type,MATCH(B41,akun_kb,0)),typ_ket,0))="KR",SUMIFS(ju_sld,ju_tgl,"&gt;="&amp;awal,ju_tgl,"&lt;="&amp;akhir,ju_div2,"kr"&amp;$H$4,ju_kr,B41)-SUMIFS(ju_sld,ju_tgl,"&gt;="&amp;awal,ju_tgl,"&lt;="&amp;akhir,ju_div2,"DB"&amp;$H$4,ju_debet,B41))</f>
        <v>0</v>
      </c>
      <c r="G41" s="278">
        <f t="shared" si="4"/>
        <v>1</v>
      </c>
    </row>
    <row r="42" spans="2:7" ht="23.1" customHeight="1">
      <c r="B42" s="206" t="str">
        <f>LR!B42</f>
        <v>510113 | BIAYA ID CARD</v>
      </c>
      <c r="D42" s="228" t="b">
        <f>IF(INDEX(typ_sn,MATCH(INDEX(akun_type,MATCH(B42,akun_kb,0)),typ_ket,0))="KR",SUMIFS(ju_sld,ju_tgl,"&gt;="&amp;awal,ju_tgl,"&lt;="&amp;akhir,ju_div2,"kr"&amp;$H$4,ju_kr,B42)-SUMIFS(ju_sld,ju_tgl,"&gt;="&amp;awal,ju_tgl,"&lt;="&amp;akhir,ju_div2,"DB"&amp;$H$4,ju_debet,B42))</f>
        <v>0</v>
      </c>
      <c r="G42" s="278">
        <f t="shared" si="4"/>
        <v>1</v>
      </c>
    </row>
    <row r="43" spans="2:7" ht="23.1" customHeight="1">
      <c r="B43" s="206" t="str">
        <f>LR!B43</f>
        <v>510114 | BIAYA BAHAN BAKAR KENDARAAN OPERASIONAL</v>
      </c>
      <c r="D43" s="228" t="b">
        <f>IF(INDEX(typ_sn,MATCH(INDEX(akun_type,MATCH(B43,akun_kb,0)),typ_ket,0))="KR",SUMIFS(ju_sld,ju_tgl,"&gt;="&amp;awal,ju_tgl,"&lt;="&amp;akhir,ju_div2,"kr"&amp;$H$4,ju_kr,B43)-SUMIFS(ju_sld,ju_tgl,"&gt;="&amp;awal,ju_tgl,"&lt;="&amp;akhir,ju_div2,"DB"&amp;$H$4,ju_debet,B43))</f>
        <v>0</v>
      </c>
      <c r="G43" s="278">
        <f t="shared" si="4"/>
        <v>1</v>
      </c>
    </row>
    <row r="44" spans="2:7" ht="23.1" customHeight="1">
      <c r="B44" s="206" t="str">
        <f>LR!B44</f>
        <v>510115 | BIAYA MAINTENANCE KENDARAAN OPERASIONAL</v>
      </c>
      <c r="D44" s="228" t="b">
        <f>IF(INDEX(typ_sn,MATCH(INDEX(akun_type,MATCH(B44,akun_kb,0)),typ_ket,0))="KR",SUMIFS(ju_sld,ju_tgl,"&gt;="&amp;awal,ju_tgl,"&lt;="&amp;akhir,ju_div2,"kr"&amp;$H$4,ju_kr,B44)-SUMIFS(ju_sld,ju_tgl,"&gt;="&amp;awal,ju_tgl,"&lt;="&amp;akhir,ju_div2,"DB"&amp;$H$4,ju_debet,B44))</f>
        <v>0</v>
      </c>
      <c r="G44" s="278">
        <f t="shared" si="4"/>
        <v>1</v>
      </c>
    </row>
    <row r="45" spans="2:7" ht="23.1" customHeight="1">
      <c r="B45" s="206" t="str">
        <f>LR!B45</f>
        <v>510116 | BIAYA SURAT KENDARAAN (STNK)</v>
      </c>
      <c r="D45" s="228" t="b">
        <f>IF(INDEX(typ_sn,MATCH(INDEX(akun_type,MATCH(B45,akun_kb,0)),typ_ket,0))="KR",SUMIFS(ju_sld,ju_tgl,"&gt;="&amp;awal,ju_tgl,"&lt;="&amp;akhir,ju_div2,"kr"&amp;$H$4,ju_kr,B45)-SUMIFS(ju_sld,ju_tgl,"&gt;="&amp;awal,ju_tgl,"&lt;="&amp;akhir,ju_div2,"DB"&amp;$H$4,ju_debet,B45))</f>
        <v>0</v>
      </c>
      <c r="G45" s="278">
        <f t="shared" si="4"/>
        <v>1</v>
      </c>
    </row>
    <row r="46" spans="2:7" ht="23.1" customHeight="1">
      <c r="B46" s="206" t="str">
        <f>LR!B46</f>
        <v>510117 | BIAYA SHARING PENETAPAN BARU PLB</v>
      </c>
      <c r="D46" s="228" t="b">
        <f>IF(INDEX(typ_sn,MATCH(INDEX(akun_type,MATCH(B46,akun_kb,0)),typ_ket,0))="KR",SUMIFS(ju_sld,ju_tgl,"&gt;="&amp;awal,ju_tgl,"&lt;="&amp;akhir,ju_div2,"kr"&amp;$H$4,ju_kr,B46)-SUMIFS(ju_sld,ju_tgl,"&gt;="&amp;awal,ju_tgl,"&lt;="&amp;akhir,ju_div2,"DB"&amp;$H$4,ju_debet,B46))</f>
        <v>0</v>
      </c>
      <c r="G46" s="278">
        <f t="shared" si="4"/>
        <v>1</v>
      </c>
    </row>
    <row r="47" spans="2:7" ht="23.1" customHeight="1">
      <c r="B47" s="206" t="str">
        <f>LR!B47</f>
        <v>510118 | BIAYA CSR</v>
      </c>
      <c r="D47" s="228" t="b">
        <f>IF(INDEX(typ_sn,MATCH(INDEX(akun_type,MATCH(B47,akun_kb,0)),typ_ket,0))="KR",SUMIFS(ju_sld,ju_tgl,"&gt;="&amp;awal,ju_tgl,"&lt;="&amp;akhir,ju_div2,"kr"&amp;$H$4,ju_kr,B47)-SUMIFS(ju_sld,ju_tgl,"&gt;="&amp;awal,ju_tgl,"&lt;="&amp;akhir,ju_div2,"DB"&amp;$H$4,ju_debet,B47))</f>
        <v>0</v>
      </c>
      <c r="G47" s="278">
        <f t="shared" ref="G47:G110" si="6">IF(OR(D47&gt;0,D47&lt;0,D47=""),1,0)</f>
        <v>1</v>
      </c>
    </row>
    <row r="48" spans="2:7" ht="23.1" customHeight="1">
      <c r="B48" s="206" t="str">
        <f>LR!B48</f>
        <v>510119 | BIAYA PEMBINAAN LORONG</v>
      </c>
      <c r="D48" s="228" t="b">
        <f>IF(INDEX(typ_sn,MATCH(INDEX(akun_type,MATCH(B48,akun_kb,0)),typ_ket,0))="KR",SUMIFS(ju_sld,ju_tgl,"&gt;="&amp;awal,ju_tgl,"&lt;="&amp;akhir,ju_div2,"kr"&amp;$H$4,ju_kr,B48)-SUMIFS(ju_sld,ju_tgl,"&gt;="&amp;awal,ju_tgl,"&lt;="&amp;akhir,ju_div2,"DB"&amp;$H$4,ju_debet,B48))</f>
        <v>0</v>
      </c>
      <c r="G48" s="278">
        <f t="shared" si="6"/>
        <v>1</v>
      </c>
    </row>
    <row r="49" spans="2:7" ht="23.1" customHeight="1">
      <c r="B49" s="206" t="str">
        <f>LR!B49</f>
        <v>510120 | BIAYA KARTU CASHLESS</v>
      </c>
      <c r="D49" s="228" t="b">
        <f>IF(INDEX(typ_sn,MATCH(INDEX(akun_type,MATCH(B49,akun_kb,0)),typ_ket,0))="KR",SUMIFS(ju_sld,ju_tgl,"&gt;="&amp;awal,ju_tgl,"&lt;="&amp;akhir,ju_div2,"kr"&amp;$H$4,ju_kr,B49)-SUMIFS(ju_sld,ju_tgl,"&gt;="&amp;awal,ju_tgl,"&lt;="&amp;akhir,ju_div2,"DB"&amp;$H$4,ju_debet,B49))</f>
        <v>0</v>
      </c>
      <c r="G49" s="278">
        <f t="shared" si="6"/>
        <v>1</v>
      </c>
    </row>
    <row r="50" spans="2:7" ht="23.1" customHeight="1">
      <c r="B50" s="206" t="str">
        <f>LR!B50</f>
        <v>510121 | BIAYA OPERASIONAL JUKIR</v>
      </c>
      <c r="D50" s="228" t="b">
        <f>IF(INDEX(typ_sn,MATCH(INDEX(akun_type,MATCH(B50,akun_kb,0)),typ_ket,0))="KR",SUMIFS(ju_sld,ju_tgl,"&gt;="&amp;awal,ju_tgl,"&lt;="&amp;akhir,ju_div2,"kr"&amp;$H$4,ju_kr,B50)-SUMIFS(ju_sld,ju_tgl,"&gt;="&amp;awal,ju_tgl,"&lt;="&amp;akhir,ju_div2,"DB"&amp;$H$4,ju_debet,B50))</f>
        <v>0</v>
      </c>
      <c r="G50" s="278">
        <f t="shared" si="6"/>
        <v>1</v>
      </c>
    </row>
    <row r="51" spans="2:7" ht="23.1" customHeight="1">
      <c r="B51" s="206" t="str">
        <f>LR!B51</f>
        <v>510122 | BIAYA PERBAIKAN LAHAN PARKIR</v>
      </c>
      <c r="D51" s="228" t="b">
        <f>IF(INDEX(typ_sn,MATCH(INDEX(akun_type,MATCH(B51,akun_kb,0)),typ_ket,0))="KR",SUMIFS(ju_sld,ju_tgl,"&gt;="&amp;awal,ju_tgl,"&lt;="&amp;akhir,ju_div2,"kr"&amp;$H$4,ju_kr,B51)-SUMIFS(ju_sld,ju_tgl,"&gt;="&amp;awal,ju_tgl,"&lt;="&amp;akhir,ju_div2,"DB"&amp;$H$4,ju_debet,B51))</f>
        <v>0</v>
      </c>
      <c r="G51" s="278">
        <f t="shared" si="6"/>
        <v>1</v>
      </c>
    </row>
    <row r="52" spans="2:7" ht="23.1" customHeight="1">
      <c r="B52" s="206" t="str">
        <f>LR!B52</f>
        <v>510123 | BIAYA SHARING KTI</v>
      </c>
      <c r="D52" s="228" t="b">
        <f>IF(INDEX(typ_sn,MATCH(INDEX(akun_type,MATCH(B52,akun_kb,0)),typ_ket,0))="KR",SUMIFS(ju_sld,ju_tgl,"&gt;="&amp;awal,ju_tgl,"&lt;="&amp;akhir,ju_div2,"kr"&amp;$H$4,ju_kr,B52)-SUMIFS(ju_sld,ju_tgl,"&gt;="&amp;awal,ju_tgl,"&lt;="&amp;akhir,ju_div2,"DB"&amp;$H$4,ju_debet,B52))</f>
        <v>0</v>
      </c>
      <c r="G52" s="278">
        <f t="shared" si="6"/>
        <v>1</v>
      </c>
    </row>
    <row r="53" spans="2:7" ht="23.1" customHeight="1">
      <c r="B53" s="206" t="str">
        <f>LR!B53</f>
        <v>510124 | BIAYA PENERAPAN MEMBER PARKING KENDARAAN</v>
      </c>
      <c r="D53" s="228" t="b">
        <f>IF(INDEX(typ_sn,MATCH(INDEX(akun_type,MATCH(B53,akun_kb,0)),typ_ket,0))="KR",SUMIFS(ju_sld,ju_tgl,"&gt;="&amp;awal,ju_tgl,"&lt;="&amp;akhir,ju_div2,"kr"&amp;$H$4,ju_kr,B53)-SUMIFS(ju_sld,ju_tgl,"&gt;="&amp;awal,ju_tgl,"&lt;="&amp;akhir,ju_div2,"DB"&amp;$H$4,ju_debet,B53))</f>
        <v>0</v>
      </c>
      <c r="G53" s="278">
        <f t="shared" si="6"/>
        <v>1</v>
      </c>
    </row>
    <row r="54" spans="2:7" ht="23.1" customHeight="1">
      <c r="B54" s="248" t="str">
        <f>LR!B54</f>
        <v>TOTAL BIAYA OPERASIONAL</v>
      </c>
      <c r="E54" s="218">
        <f>SUM(D30:D53)</f>
        <v>0</v>
      </c>
      <c r="G54" s="278">
        <f t="shared" si="6"/>
        <v>1</v>
      </c>
    </row>
    <row r="55" spans="2:7" ht="23.1" customHeight="1">
      <c r="B55" s="206" t="str">
        <f>LR!B55</f>
        <v>BIAYA UPAH PUNGUT KOLEKTOR</v>
      </c>
      <c r="G55" s="278">
        <f t="shared" si="6"/>
        <v>1</v>
      </c>
    </row>
    <row r="56" spans="2:7" ht="23.1" customHeight="1">
      <c r="B56" s="206" t="str">
        <f>LR!B56</f>
        <v>510201 | BIAYA TRANSPORT KOLEKTOR TJU</v>
      </c>
      <c r="D56" s="228" t="b">
        <f>IF(INDEX(typ_sn,MATCH(INDEX(akun_type,MATCH(B56,akun_kb,0)),typ_ket,0))="KR",SUMIFS(ju_sld,ju_tgl,"&gt;="&amp;awal,ju_tgl,"&lt;="&amp;akhir,ju_div2,"kr"&amp;$H$4,ju_kr,B56)-SUMIFS(ju_sld,ju_tgl,"&gt;="&amp;awal,ju_tgl,"&lt;="&amp;akhir,ju_div2,"DB"&amp;$H$4,ju_debet,B56))</f>
        <v>0</v>
      </c>
      <c r="G56" s="278">
        <f t="shared" si="6"/>
        <v>1</v>
      </c>
    </row>
    <row r="57" spans="2:7" ht="23.1" customHeight="1">
      <c r="B57" s="206" t="str">
        <f>LR!B57</f>
        <v>510202 | BIAYA TRANSPORT INSIDENTIL</v>
      </c>
      <c r="D57" s="228" t="b">
        <f>IF(INDEX(typ_sn,MATCH(INDEX(akun_type,MATCH(B57,akun_kb,0)),typ_ket,0))="KR",SUMIFS(ju_sld,ju_tgl,"&gt;="&amp;awal,ju_tgl,"&lt;="&amp;akhir,ju_div2,"kr"&amp;$H$4,ju_kr,B57)-SUMIFS(ju_sld,ju_tgl,"&gt;="&amp;awal,ju_tgl,"&lt;="&amp;akhir,ju_div2,"DB"&amp;$H$4,ju_debet,B57))</f>
        <v>0</v>
      </c>
      <c r="G57" s="278">
        <f t="shared" si="6"/>
        <v>1</v>
      </c>
    </row>
    <row r="58" spans="2:7" ht="23.1" customHeight="1">
      <c r="B58" s="206" t="str">
        <f>LR!B58</f>
        <v>510203 | BIAYA TRANSPORT KOMERSIAL</v>
      </c>
      <c r="D58" s="228" t="b">
        <f>IF(INDEX(typ_sn,MATCH(INDEX(akun_type,MATCH(B58,akun_kb,0)),typ_ket,0))="KR",SUMIFS(ju_sld,ju_tgl,"&gt;="&amp;awal,ju_tgl,"&lt;="&amp;akhir,ju_div2,"kr"&amp;$H$4,ju_kr,B58)-SUMIFS(ju_sld,ju_tgl,"&gt;="&amp;awal,ju_tgl,"&lt;="&amp;akhir,ju_div2,"DB"&amp;$H$4,ju_debet,B58))</f>
        <v>0</v>
      </c>
      <c r="G58" s="278">
        <f t="shared" si="6"/>
        <v>1</v>
      </c>
    </row>
    <row r="59" spans="2:7" ht="23.1" customHeight="1">
      <c r="B59" s="206" t="str">
        <f>LR!B59</f>
        <v>510204 | BIAYA TRANSPORT KOLEKTOR PLB</v>
      </c>
      <c r="D59" s="228" t="b">
        <f>IF(INDEX(typ_sn,MATCH(INDEX(akun_type,MATCH(B59,akun_kb,0)),typ_ket,0))="KR",SUMIFS(ju_sld,ju_tgl,"&gt;="&amp;awal,ju_tgl,"&lt;="&amp;akhir,ju_div2,"kr"&amp;$H$4,ju_kr,B59)-SUMIFS(ju_sld,ju_tgl,"&gt;="&amp;awal,ju_tgl,"&lt;="&amp;akhir,ju_div2,"DB"&amp;$H$4,ju_debet,B59))</f>
        <v>0</v>
      </c>
      <c r="G59" s="278">
        <f t="shared" si="6"/>
        <v>1</v>
      </c>
    </row>
    <row r="60" spans="2:7" ht="23.1" customHeight="1">
      <c r="B60" s="206" t="str">
        <f>LR!B60</f>
        <v>510205 | BIAYA TRANSPORT PARKIR IT</v>
      </c>
      <c r="D60" s="228" t="b">
        <f>IF(INDEX(typ_sn,MATCH(INDEX(akun_type,MATCH(B60,akun_kb,0)),typ_ket,0))="KR",SUMIFS(ju_sld,ju_tgl,"&gt;="&amp;awal,ju_tgl,"&lt;="&amp;akhir,ju_div2,"kr"&amp;$H$4,ju_kr,B60)-SUMIFS(ju_sld,ju_tgl,"&gt;="&amp;awal,ju_tgl,"&lt;="&amp;akhir,ju_div2,"DB"&amp;$H$4,ju_debet,B60))</f>
        <v>0</v>
      </c>
      <c r="G60" s="278">
        <f t="shared" si="6"/>
        <v>1</v>
      </c>
    </row>
    <row r="61" spans="2:7" ht="23.1" customHeight="1">
      <c r="B61" s="248" t="str">
        <f>LR!B61</f>
        <v>TOTAL BIAYA UPAH PUNGUT KOLEKTOR</v>
      </c>
      <c r="E61" s="218">
        <f>SUM(D56:D60)</f>
        <v>0</v>
      </c>
      <c r="G61" s="278">
        <f t="shared" si="6"/>
        <v>1</v>
      </c>
    </row>
    <row r="62" spans="2:7" ht="23.1" customHeight="1">
      <c r="B62" s="248" t="str">
        <f>LR!B62</f>
        <v>TOTAL BIAYA OPERASI</v>
      </c>
      <c r="E62" s="218">
        <f>E54+E61</f>
        <v>0</v>
      </c>
      <c r="G62" s="278">
        <f t="shared" si="6"/>
        <v>1</v>
      </c>
    </row>
    <row r="63" spans="2:7" ht="23.1" customHeight="1">
      <c r="B63" s="248" t="str">
        <f>LR!B63</f>
        <v>LABA KOTOR</v>
      </c>
      <c r="E63" s="218">
        <f>E27-E62</f>
        <v>0</v>
      </c>
      <c r="G63" s="278">
        <f t="shared" si="6"/>
        <v>1</v>
      </c>
    </row>
    <row r="64" spans="2:7" ht="23.1" customHeight="1">
      <c r="B64" s="248" t="str">
        <f>LR!B64</f>
        <v>BIAYA ADMINISTRASI UMUM</v>
      </c>
      <c r="G64" s="278">
        <f t="shared" si="6"/>
        <v>1</v>
      </c>
    </row>
    <row r="65" spans="2:7" ht="23.1" customHeight="1">
      <c r="B65" s="248" t="str">
        <f>LR!B65</f>
        <v>BIAYA GAJI</v>
      </c>
      <c r="G65" s="278">
        <f t="shared" si="6"/>
        <v>1</v>
      </c>
    </row>
    <row r="66" spans="2:7" ht="23.1" customHeight="1">
      <c r="B66" s="206" t="str">
        <f>LR!B66</f>
        <v>610101 | BIAYA HONOR BADAN PENGAWAS DAN STAF BP</v>
      </c>
      <c r="D66" s="228" t="b">
        <f>IF(INDEX(typ_sn,MATCH(INDEX(akun_type,MATCH(B66,akun_kb,0)),typ_ket,0))="KR",SUMIFS(ju_sld,ju_tgl,"&gt;="&amp;awal,ju_tgl,"&lt;="&amp;akhir,ju_div2,"kr"&amp;$H$4,ju_kr,B66)-SUMIFS(ju_sld,ju_tgl,"&gt;="&amp;awal,ju_tgl,"&lt;="&amp;akhir,ju_div2,"DB"&amp;$H$4,ju_debet,B66))</f>
        <v>0</v>
      </c>
      <c r="G66" s="278">
        <f t="shared" si="6"/>
        <v>1</v>
      </c>
    </row>
    <row r="67" spans="2:7" ht="23.1" customHeight="1">
      <c r="B67" s="206" t="str">
        <f>LR!B67</f>
        <v>610102 | BIAYA TUNJANGAN BBM BADAN PENGAWAS</v>
      </c>
      <c r="D67" s="228" t="b">
        <f>IF(INDEX(typ_sn,MATCH(INDEX(akun_type,MATCH(B67,akun_kb,0)),typ_ket,0))="KR",SUMIFS(ju_sld,ju_tgl,"&gt;="&amp;awal,ju_tgl,"&lt;="&amp;akhir,ju_div2,"kr"&amp;$H$4,ju_kr,B67)-SUMIFS(ju_sld,ju_tgl,"&gt;="&amp;awal,ju_tgl,"&lt;="&amp;akhir,ju_div2,"DB"&amp;$H$4,ju_debet,B67))</f>
        <v>0</v>
      </c>
      <c r="G67" s="278">
        <f t="shared" si="6"/>
        <v>1</v>
      </c>
    </row>
    <row r="68" spans="2:7" ht="23.1" customHeight="1">
      <c r="B68" s="206" t="str">
        <f>LR!B68</f>
        <v>610103 | BIAYA TUNJANGAN MONITORING, EVALUASI DAN PELAPORAN</v>
      </c>
      <c r="D68" s="228" t="b">
        <f>IF(INDEX(typ_sn,MATCH(INDEX(akun_type,MATCH(B68,akun_kb,0)),typ_ket,0))="KR",SUMIFS(ju_sld,ju_tgl,"&gt;="&amp;awal,ju_tgl,"&lt;="&amp;akhir,ju_div2,"kr"&amp;$H$4,ju_kr,B68)-SUMIFS(ju_sld,ju_tgl,"&gt;="&amp;awal,ju_tgl,"&lt;="&amp;akhir,ju_div2,"DB"&amp;$H$4,ju_debet,B68))</f>
        <v>0</v>
      </c>
      <c r="G68" s="278">
        <f t="shared" si="6"/>
        <v>1</v>
      </c>
    </row>
    <row r="69" spans="2:7" ht="23.1" customHeight="1">
      <c r="B69" s="206" t="str">
        <f>LR!B69</f>
        <v>610104 | BIAYA GAJI DIREKSI</v>
      </c>
      <c r="D69" s="228" t="b">
        <f>IF(INDEX(typ_sn,MATCH(INDEX(akun_type,MATCH(B69,akun_kb,0)),typ_ket,0))="KR",SUMIFS(ju_sld,ju_tgl,"&gt;="&amp;awal,ju_tgl,"&lt;="&amp;akhir,ju_div2,"kr"&amp;$H$4,ju_kr,B69)-SUMIFS(ju_sld,ju_tgl,"&gt;="&amp;awal,ju_tgl,"&lt;="&amp;akhir,ju_div2,"DB"&amp;$H$4,ju_debet,B69))</f>
        <v>0</v>
      </c>
      <c r="G69" s="278">
        <f t="shared" si="6"/>
        <v>1</v>
      </c>
    </row>
    <row r="70" spans="2:7" ht="23.1" customHeight="1">
      <c r="B70" s="206" t="str">
        <f>LR!B70</f>
        <v>610105 | BIAYA GAJI DAN TUNJANGAN PEGAWAI ORGANIK</v>
      </c>
      <c r="D70" s="228" t="b">
        <f>IF(INDEX(typ_sn,MATCH(INDEX(akun_type,MATCH(B70,akun_kb,0)),typ_ket,0))="KR",SUMIFS(ju_sld,ju_tgl,"&gt;="&amp;awal,ju_tgl,"&lt;="&amp;akhir,ju_div2,"kr"&amp;$H$4,ju_kr,B70)-SUMIFS(ju_sld,ju_tgl,"&gt;="&amp;awal,ju_tgl,"&lt;="&amp;akhir,ju_div2,"DB"&amp;$H$4,ju_debet,B70))</f>
        <v>0</v>
      </c>
      <c r="G70" s="278">
        <f t="shared" si="6"/>
        <v>1</v>
      </c>
    </row>
    <row r="71" spans="2:7" ht="23.1" customHeight="1">
      <c r="B71" s="206" t="str">
        <f>LR!B71</f>
        <v>610106 | BIAYA UPAH TENAGA KONTRAK</v>
      </c>
      <c r="D71" s="228" t="b">
        <f>IF(INDEX(typ_sn,MATCH(INDEX(akun_type,MATCH(B71,akun_kb,0)),typ_ket,0))="KR",SUMIFS(ju_sld,ju_tgl,"&gt;="&amp;awal,ju_tgl,"&lt;="&amp;akhir,ju_div2,"kr"&amp;$H$4,ju_kr,B71)-SUMIFS(ju_sld,ju_tgl,"&gt;="&amp;awal,ju_tgl,"&lt;="&amp;akhir,ju_div2,"DB"&amp;$H$4,ju_debet,B71))</f>
        <v>0</v>
      </c>
      <c r="G71" s="278">
        <f t="shared" si="6"/>
        <v>1</v>
      </c>
    </row>
    <row r="72" spans="2:7" ht="23.1" customHeight="1">
      <c r="B72" s="206" t="str">
        <f>LR!B72</f>
        <v>610107 | BIAYA UPAH TENAGA HONOR</v>
      </c>
      <c r="D72" s="228" t="b">
        <f>IF(INDEX(typ_sn,MATCH(INDEX(akun_type,MATCH(B72,akun_kb,0)),typ_ket,0))="KR",SUMIFS(ju_sld,ju_tgl,"&gt;="&amp;awal,ju_tgl,"&lt;="&amp;akhir,ju_div2,"kr"&amp;$H$4,ju_kr,B72)-SUMIFS(ju_sld,ju_tgl,"&gt;="&amp;awal,ju_tgl,"&lt;="&amp;akhir,ju_div2,"DB"&amp;$H$4,ju_debet,B72))</f>
        <v>0</v>
      </c>
      <c r="G72" s="278">
        <f t="shared" si="6"/>
        <v>1</v>
      </c>
    </row>
    <row r="73" spans="2:7" ht="23.1" customHeight="1">
      <c r="B73" s="206" t="str">
        <f>LR!B73</f>
        <v>610108 | BIAYA INSENTIF DIREKSI DAN KARYAWAN</v>
      </c>
      <c r="D73" s="228" t="b">
        <f>IF(INDEX(typ_sn,MATCH(INDEX(akun_type,MATCH(B73,akun_kb,0)),typ_ket,0))="KR",SUMIFS(ju_sld,ju_tgl,"&gt;="&amp;awal,ju_tgl,"&lt;="&amp;akhir,ju_div2,"kr"&amp;$H$4,ju_kr,B73)-SUMIFS(ju_sld,ju_tgl,"&gt;="&amp;awal,ju_tgl,"&lt;="&amp;akhir,ju_div2,"DB"&amp;$H$4,ju_debet,B73))</f>
        <v>0</v>
      </c>
      <c r="G73" s="278">
        <f t="shared" si="6"/>
        <v>1</v>
      </c>
    </row>
    <row r="74" spans="2:7" ht="23.1" customHeight="1">
      <c r="B74" s="206" t="str">
        <f>LR!B74</f>
        <v>610109 | BIAYA TUNJANGAN TELEKOMUNIKASI DIREKSI DAN KABAG</v>
      </c>
      <c r="D74" s="228" t="b">
        <f>IF(INDEX(typ_sn,MATCH(INDEX(akun_type,MATCH(B74,akun_kb,0)),typ_ket,0))="KR",SUMIFS(ju_sld,ju_tgl,"&gt;="&amp;awal,ju_tgl,"&lt;="&amp;akhir,ju_div2,"kr"&amp;$H$4,ju_kr,B74)-SUMIFS(ju_sld,ju_tgl,"&gt;="&amp;awal,ju_tgl,"&lt;="&amp;akhir,ju_div2,"DB"&amp;$H$4,ju_debet,B74))</f>
        <v>0</v>
      </c>
      <c r="G74" s="278">
        <f t="shared" si="6"/>
        <v>1</v>
      </c>
    </row>
    <row r="75" spans="2:7" ht="23.1" customHeight="1">
      <c r="B75" s="206" t="str">
        <f>LR!B75</f>
        <v>610110 | BIAYA TUNJANGAN KOORDINASI DIREKSI</v>
      </c>
      <c r="D75" s="228" t="b">
        <f>IF(INDEX(typ_sn,MATCH(INDEX(akun_type,MATCH(B75,akun_kb,0)),typ_ket,0))="KR",SUMIFS(ju_sld,ju_tgl,"&gt;="&amp;awal,ju_tgl,"&lt;="&amp;akhir,ju_div2,"kr"&amp;$H$4,ju_kr,B75)-SUMIFS(ju_sld,ju_tgl,"&gt;="&amp;awal,ju_tgl,"&lt;="&amp;akhir,ju_div2,"DB"&amp;$H$4,ju_debet,B75))</f>
        <v>0</v>
      </c>
      <c r="G75" s="278">
        <f t="shared" si="6"/>
        <v>1</v>
      </c>
    </row>
    <row r="76" spans="2:7" ht="23.1" customHeight="1">
      <c r="B76" s="206" t="str">
        <f>LR!B76</f>
        <v>610111 | BIAYA HONOR KONSULTAN HUKUM, KEUANGAN Dan IT</v>
      </c>
      <c r="D76" s="228" t="b">
        <f>IF(INDEX(typ_sn,MATCH(INDEX(akun_type,MATCH(B76,akun_kb,0)),typ_ket,0))="KR",SUMIFS(ju_sld,ju_tgl,"&gt;="&amp;awal,ju_tgl,"&lt;="&amp;akhir,ju_div2,"kr"&amp;$H$4,ju_kr,B76)-SUMIFS(ju_sld,ju_tgl,"&gt;="&amp;awal,ju_tgl,"&lt;="&amp;akhir,ju_div2,"DB"&amp;$H$4,ju_debet,B76))</f>
        <v>0</v>
      </c>
      <c r="G76" s="278">
        <f t="shared" si="6"/>
        <v>1</v>
      </c>
    </row>
    <row r="77" spans="2:7" ht="23.1" customHeight="1">
      <c r="B77" s="206" t="str">
        <f>LR!B77</f>
        <v>610112 | BIAYA CUTI DIREKSI</v>
      </c>
      <c r="D77" s="228" t="b">
        <f>IF(INDEX(typ_sn,MATCH(INDEX(akun_type,MATCH(B77,akun_kb,0)),typ_ket,0))="KR",SUMIFS(ju_sld,ju_tgl,"&gt;="&amp;awal,ju_tgl,"&lt;="&amp;akhir,ju_div2,"kr"&amp;$H$4,ju_kr,B77)-SUMIFS(ju_sld,ju_tgl,"&gt;="&amp;awal,ju_tgl,"&lt;="&amp;akhir,ju_div2,"DB"&amp;$H$4,ju_debet,B77))</f>
        <v>0</v>
      </c>
      <c r="G77" s="278">
        <f t="shared" si="6"/>
        <v>1</v>
      </c>
    </row>
    <row r="78" spans="2:7" ht="23.1" customHeight="1">
      <c r="B78" s="206" t="str">
        <f>LR!B78</f>
        <v>610113 | BIAYA LEMBUR DIREKSI DAN PEGAWAI</v>
      </c>
      <c r="D78" s="228" t="b">
        <f>IF(INDEX(typ_sn,MATCH(INDEX(akun_type,MATCH(B78,akun_kb,0)),typ_ket,0))="KR",SUMIFS(ju_sld,ju_tgl,"&gt;="&amp;awal,ju_tgl,"&lt;="&amp;akhir,ju_div2,"kr"&amp;$H$4,ju_kr,B78)-SUMIFS(ju_sld,ju_tgl,"&gt;="&amp;awal,ju_tgl,"&lt;="&amp;akhir,ju_div2,"DB"&amp;$H$4,ju_debet,B78))</f>
        <v>0</v>
      </c>
      <c r="G78" s="278">
        <f t="shared" si="6"/>
        <v>1</v>
      </c>
    </row>
    <row r="79" spans="2:7" ht="23.1" customHeight="1">
      <c r="B79" s="206" t="str">
        <f>LR!B79</f>
        <v>610114 | BIAYA TUNJANGAN HARI RAYA (GAJI 13)</v>
      </c>
      <c r="D79" s="228" t="b">
        <f>IF(INDEX(typ_sn,MATCH(INDEX(akun_type,MATCH(B79,akun_kb,0)),typ_ket,0))="KR",SUMIFS(ju_sld,ju_tgl,"&gt;="&amp;awal,ju_tgl,"&lt;="&amp;akhir,ju_div2,"kr"&amp;$H$4,ju_kr,B79)-SUMIFS(ju_sld,ju_tgl,"&gt;="&amp;awal,ju_tgl,"&lt;="&amp;akhir,ju_div2,"DB"&amp;$H$4,ju_debet,B79))</f>
        <v>0</v>
      </c>
      <c r="G79" s="278">
        <f t="shared" si="6"/>
        <v>1</v>
      </c>
    </row>
    <row r="80" spans="2:7" ht="23.1" customHeight="1">
      <c r="B80" s="206" t="str">
        <f>LR!B80</f>
        <v>610115 | BIAYA HONOR TIM PENYUSUN RANPERDA PERUMDA</v>
      </c>
      <c r="D80" s="228" t="b">
        <f>IF(INDEX(typ_sn,MATCH(INDEX(akun_type,MATCH(B80,akun_kb,0)),typ_ket,0))="KR",SUMIFS(ju_sld,ju_tgl,"&gt;="&amp;awal,ju_tgl,"&lt;="&amp;akhir,ju_div2,"kr"&amp;$H$4,ju_kr,B80)-SUMIFS(ju_sld,ju_tgl,"&gt;="&amp;awal,ju_tgl,"&lt;="&amp;akhir,ju_div2,"DB"&amp;$H$4,ju_debet,B80))</f>
        <v>0</v>
      </c>
      <c r="G80" s="278">
        <f t="shared" si="6"/>
        <v>1</v>
      </c>
    </row>
    <row r="81" spans="2:7" ht="23.1" customHeight="1">
      <c r="B81" s="206" t="str">
        <f>LR!B81</f>
        <v>610116 | BIAYA HONOR TENAGA SUKARELA</v>
      </c>
      <c r="D81" s="228" t="b">
        <f>IF(INDEX(typ_sn,MATCH(INDEX(akun_type,MATCH(B81,akun_kb,0)),typ_ket,0))="KR",SUMIFS(ju_sld,ju_tgl,"&gt;="&amp;awal,ju_tgl,"&lt;="&amp;akhir,ju_div2,"kr"&amp;$H$4,ju_kr,B81)-SUMIFS(ju_sld,ju_tgl,"&gt;="&amp;awal,ju_tgl,"&lt;="&amp;akhir,ju_div2,"DB"&amp;$H$4,ju_debet,B81))</f>
        <v>0</v>
      </c>
      <c r="G81" s="278">
        <f t="shared" si="6"/>
        <v>1</v>
      </c>
    </row>
    <row r="82" spans="2:7" ht="23.1" customHeight="1">
      <c r="B82" s="206" t="str">
        <f>LR!B82</f>
        <v>610117 | BIAYA TUNJANGAN JABATAN</v>
      </c>
      <c r="D82" s="228" t="b">
        <f>IF(INDEX(typ_sn,MATCH(INDEX(akun_type,MATCH(B82,akun_kb,0)),typ_ket,0))="KR",SUMIFS(ju_sld,ju_tgl,"&gt;="&amp;awal,ju_tgl,"&lt;="&amp;akhir,ju_div2,"kr"&amp;$H$4,ju_kr,B82)-SUMIFS(ju_sld,ju_tgl,"&gt;="&amp;awal,ju_tgl,"&lt;="&amp;akhir,ju_div2,"DB"&amp;$H$4,ju_debet,B82))</f>
        <v>0</v>
      </c>
      <c r="G82" s="278">
        <f t="shared" si="6"/>
        <v>1</v>
      </c>
    </row>
    <row r="83" spans="2:7" ht="23.1" customHeight="1">
      <c r="B83" s="206" t="str">
        <f>LR!B83</f>
        <v>610118 | TUNJANGAN JAMSOSTEK KESEHATAN</v>
      </c>
      <c r="D83" s="228" t="b">
        <f>IF(INDEX(typ_sn,MATCH(INDEX(akun_type,MATCH(B83,akun_kb,0)),typ_ket,0))="KR",SUMIFS(ju_sld,ju_tgl,"&gt;="&amp;awal,ju_tgl,"&lt;="&amp;akhir,ju_div2,"kr"&amp;$H$4,ju_kr,B83)-SUMIFS(ju_sld,ju_tgl,"&gt;="&amp;awal,ju_tgl,"&lt;="&amp;akhir,ju_div2,"DB"&amp;$H$4,ju_debet,B83))</f>
        <v>0</v>
      </c>
      <c r="G83" s="278">
        <f t="shared" si="6"/>
        <v>1</v>
      </c>
    </row>
    <row r="84" spans="2:7" ht="23.1" customHeight="1">
      <c r="B84" s="206" t="str">
        <f>LR!B84</f>
        <v>610119 | TUNJANGAN JAMSOSTEK KETENAGAKERJAAN</v>
      </c>
      <c r="D84" s="228" t="b">
        <f>IF(INDEX(typ_sn,MATCH(INDEX(akun_type,MATCH(B84,akun_kb,0)),typ_ket,0))="KR",SUMIFS(ju_sld,ju_tgl,"&gt;="&amp;awal,ju_tgl,"&lt;="&amp;akhir,ju_div2,"kr"&amp;$H$4,ju_kr,B84)-SUMIFS(ju_sld,ju_tgl,"&gt;="&amp;awal,ju_tgl,"&lt;="&amp;akhir,ju_div2,"DB"&amp;$H$4,ju_debet,B84))</f>
        <v>0</v>
      </c>
      <c r="G84" s="278">
        <f t="shared" si="6"/>
        <v>1</v>
      </c>
    </row>
    <row r="85" spans="2:7" ht="23.1" customHeight="1">
      <c r="B85" s="206" t="str">
        <f>LR!B85</f>
        <v>610120 | TUNJANGAN ISTRI DAN ANAK</v>
      </c>
      <c r="D85" s="228" t="b">
        <f>IF(INDEX(typ_sn,MATCH(INDEX(akun_type,MATCH(B85,akun_kb,0)),typ_ket,0))="KR",SUMIFS(ju_sld,ju_tgl,"&gt;="&amp;awal,ju_tgl,"&lt;="&amp;akhir,ju_div2,"kr"&amp;$H$4,ju_kr,B85)-SUMIFS(ju_sld,ju_tgl,"&gt;="&amp;awal,ju_tgl,"&lt;="&amp;akhir,ju_div2,"DB"&amp;$H$4,ju_debet,B85))</f>
        <v>0</v>
      </c>
      <c r="G85" s="278">
        <f t="shared" si="6"/>
        <v>1</v>
      </c>
    </row>
    <row r="86" spans="2:7" ht="23.1" customHeight="1">
      <c r="B86" s="206" t="str">
        <f>LR!B86</f>
        <v>610121 | TUNJANGAN TRANSPORT</v>
      </c>
      <c r="D86" s="228" t="b">
        <f>IF(INDEX(typ_sn,MATCH(INDEX(akun_type,MATCH(B86,akun_kb,0)),typ_ket,0))="KR",SUMIFS(ju_sld,ju_tgl,"&gt;="&amp;awal,ju_tgl,"&lt;="&amp;akhir,ju_div2,"kr"&amp;$H$4,ju_kr,B86)-SUMIFS(ju_sld,ju_tgl,"&gt;="&amp;awal,ju_tgl,"&lt;="&amp;akhir,ju_div2,"DB"&amp;$H$4,ju_debet,B86))</f>
        <v>0</v>
      </c>
      <c r="G86" s="278">
        <f t="shared" si="6"/>
        <v>1</v>
      </c>
    </row>
    <row r="87" spans="2:7" ht="23.1" customHeight="1">
      <c r="B87" s="206" t="str">
        <f>LR!B87</f>
        <v>610122 | REFRESENTASI DIREKSI</v>
      </c>
      <c r="D87" s="228" t="b">
        <f>IF(INDEX(typ_sn,MATCH(INDEX(akun_type,MATCH(B87,akun_kb,0)),typ_ket,0))="KR",SUMIFS(ju_sld,ju_tgl,"&gt;="&amp;awal,ju_tgl,"&lt;="&amp;akhir,ju_div2,"kr"&amp;$H$4,ju_kr,B87)-SUMIFS(ju_sld,ju_tgl,"&gt;="&amp;awal,ju_tgl,"&lt;="&amp;akhir,ju_div2,"DB"&amp;$H$4,ju_debet,B87))</f>
        <v>0</v>
      </c>
      <c r="G87" s="278">
        <f t="shared" si="6"/>
        <v>1</v>
      </c>
    </row>
    <row r="88" spans="2:7" ht="23.1" customHeight="1">
      <c r="B88" s="206" t="str">
        <f>LR!B88</f>
        <v>610123 | GAJI POKOK PEGAWAI</v>
      </c>
      <c r="D88" s="228" t="b">
        <f>IF(INDEX(typ_sn,MATCH(INDEX(akun_type,MATCH(B88,akun_kb,0)),typ_ket,0))="KR",SUMIFS(ju_sld,ju_tgl,"&gt;="&amp;awal,ju_tgl,"&lt;="&amp;akhir,ju_div2,"kr"&amp;$H$4,ju_kr,B88)-SUMIFS(ju_sld,ju_tgl,"&gt;="&amp;awal,ju_tgl,"&lt;="&amp;akhir,ju_div2,"DB"&amp;$H$4,ju_debet,B88))</f>
        <v>0</v>
      </c>
      <c r="G88" s="278">
        <f t="shared" si="6"/>
        <v>1</v>
      </c>
    </row>
    <row r="89" spans="2:7" ht="23.1" customHeight="1">
      <c r="B89" s="206" t="str">
        <f>LR!B89</f>
        <v>610125 | TUNJANGAN KESEHATAN DAN BPJS TK-PEGAWAI</v>
      </c>
      <c r="D89" s="228" t="b">
        <f>IF(INDEX(typ_sn,MATCH(INDEX(akun_type,MATCH(B89,akun_kb,0)),typ_ket,0))="KR",SUMIFS(ju_sld,ju_tgl,"&gt;="&amp;awal,ju_tgl,"&lt;="&amp;akhir,ju_div2,"kr"&amp;$H$4,ju_kr,B89)-SUMIFS(ju_sld,ju_tgl,"&gt;="&amp;awal,ju_tgl,"&lt;="&amp;akhir,ju_div2,"DB"&amp;$H$4,ju_debet,B89))</f>
        <v>0</v>
      </c>
      <c r="G89" s="278">
        <f t="shared" si="6"/>
        <v>1</v>
      </c>
    </row>
    <row r="90" spans="2:7" ht="23.1" customHeight="1">
      <c r="B90" s="206" t="str">
        <f>LR!B90</f>
        <v>610127 | TUNJANGAN MAKAN MINUM TRANSPORTASI &amp; T. KELUARGA</v>
      </c>
      <c r="D90" s="228" t="b">
        <f>IF(INDEX(typ_sn,MATCH(INDEX(akun_type,MATCH(B90,akun_kb,0)),typ_ket,0))="KR",SUMIFS(ju_sld,ju_tgl,"&gt;="&amp;awal,ju_tgl,"&lt;="&amp;akhir,ju_div2,"kr"&amp;$H$4,ju_kr,B90)-SUMIFS(ju_sld,ju_tgl,"&gt;="&amp;awal,ju_tgl,"&lt;="&amp;akhir,ju_div2,"DB"&amp;$H$4,ju_debet,B90))</f>
        <v>0</v>
      </c>
      <c r="G90" s="278">
        <f t="shared" si="6"/>
        <v>1</v>
      </c>
    </row>
    <row r="91" spans="2:7" ht="23.1" customHeight="1">
      <c r="B91" s="206" t="str">
        <f>LR!B91</f>
        <v>610129 | BIAYA TUNJANGAN HARI RAYA</v>
      </c>
      <c r="D91" s="228" t="b">
        <f>IF(INDEX(typ_sn,MATCH(INDEX(akun_type,MATCH(B91,akun_kb,0)),typ_ket,0))="KR",SUMIFS(ju_sld,ju_tgl,"&gt;="&amp;awal,ju_tgl,"&lt;="&amp;akhir,ju_div2,"kr"&amp;$H$4,ju_kr,B91)-SUMIFS(ju_sld,ju_tgl,"&gt;="&amp;awal,ju_tgl,"&lt;="&amp;akhir,ju_div2,"DB"&amp;$H$4,ju_debet,B91))</f>
        <v>0</v>
      </c>
      <c r="G91" s="278">
        <f t="shared" si="6"/>
        <v>1</v>
      </c>
    </row>
    <row r="92" spans="2:7" ht="23.1" customHeight="1">
      <c r="B92" s="206" t="str">
        <f>LR!B92</f>
        <v>610130 | BIAYA HONOR KOMITE AUDIT</v>
      </c>
      <c r="D92" s="228" t="b">
        <f>IF(INDEX(typ_sn,MATCH(INDEX(akun_type,MATCH(B92,akun_kb,0)),typ_ket,0))="KR",SUMIFS(ju_sld,ju_tgl,"&gt;="&amp;awal,ju_tgl,"&lt;="&amp;akhir,ju_div2,"kr"&amp;$H$4,ju_kr,B92)-SUMIFS(ju_sld,ju_tgl,"&gt;="&amp;awal,ju_tgl,"&lt;="&amp;akhir,ju_div2,"DB"&amp;$H$4,ju_debet,B92))</f>
        <v>0</v>
      </c>
      <c r="G92" s="278">
        <f t="shared" si="6"/>
        <v>1</v>
      </c>
    </row>
    <row r="93" spans="2:7" ht="23.1" customHeight="1">
      <c r="B93" s="206" t="str">
        <f>LR!B93</f>
        <v>TOTAL BIAYA GAJI</v>
      </c>
      <c r="E93" s="218">
        <f>SUM(D66:D92)</f>
        <v>0</v>
      </c>
      <c r="G93" s="278">
        <f t="shared" si="6"/>
        <v>1</v>
      </c>
    </row>
    <row r="94" spans="2:7" ht="23.1" customHeight="1">
      <c r="B94" s="206" t="str">
        <f>LR!B94</f>
        <v>BIAYA ADM UMUM</v>
      </c>
      <c r="G94" s="278">
        <f t="shared" si="6"/>
        <v>1</v>
      </c>
    </row>
    <row r="95" spans="2:7" ht="23.1" customHeight="1">
      <c r="B95" s="206" t="str">
        <f>LR!B95</f>
        <v>610201 | BIAYA DANA REFRESENTASI DIREKSI</v>
      </c>
      <c r="D95" s="228" t="b">
        <f>IF(INDEX(typ_sn,MATCH(INDEX(akun_type,MATCH(B95,akun_kb,0)),typ_ket,0))="KR",SUMIFS(ju_sld,ju_tgl,"&gt;="&amp;awal,ju_tgl,"&lt;="&amp;akhir,ju_div2,"kr"&amp;$H$4,ju_kr,B95)-SUMIFS(ju_sld,ju_tgl,"&gt;="&amp;awal,ju_tgl,"&lt;="&amp;akhir,ju_div2,"DB"&amp;$H$4,ju_debet,B95))</f>
        <v>0</v>
      </c>
      <c r="G95" s="278">
        <f t="shared" si="6"/>
        <v>1</v>
      </c>
    </row>
    <row r="96" spans="2:7" ht="23.1" customHeight="1">
      <c r="B96" s="206" t="str">
        <f>LR!B96</f>
        <v>610202 | BIAYA KOORDINASI PEMBINA PERUSDA</v>
      </c>
      <c r="D96" s="228" t="b">
        <f>IF(INDEX(typ_sn,MATCH(INDEX(akun_type,MATCH(B96,akun_kb,0)),typ_ket,0))="KR",SUMIFS(ju_sld,ju_tgl,"&gt;="&amp;awal,ju_tgl,"&lt;="&amp;akhir,ju_div2,"kr"&amp;$H$4,ju_kr,B96)-SUMIFS(ju_sld,ju_tgl,"&gt;="&amp;awal,ju_tgl,"&lt;="&amp;akhir,ju_div2,"DB"&amp;$H$4,ju_debet,B96))</f>
        <v>0</v>
      </c>
      <c r="G96" s="278">
        <f t="shared" si="6"/>
        <v>1</v>
      </c>
    </row>
    <row r="97" spans="2:7" ht="23.1" customHeight="1">
      <c r="B97" s="206" t="str">
        <f>LR!B97</f>
        <v>610203 | BIAYA PENINGKATAN SDM PEGAWAI</v>
      </c>
      <c r="D97" s="228" t="b">
        <f>IF(INDEX(typ_sn,MATCH(INDEX(akun_type,MATCH(B97,akun_kb,0)),typ_ket,0))="KR",SUMIFS(ju_sld,ju_tgl,"&gt;="&amp;awal,ju_tgl,"&lt;="&amp;akhir,ju_div2,"kr"&amp;$H$4,ju_kr,B97)-SUMIFS(ju_sld,ju_tgl,"&gt;="&amp;awal,ju_tgl,"&lt;="&amp;akhir,ju_div2,"DB"&amp;$H$4,ju_debet,B97))</f>
        <v>0</v>
      </c>
      <c r="G97" s="278">
        <f t="shared" si="6"/>
        <v>1</v>
      </c>
    </row>
    <row r="98" spans="2:7" ht="23.1" customHeight="1">
      <c r="B98" s="206" t="str">
        <f>LR!B98</f>
        <v>610204 | BIAYA SOSIALISASI</v>
      </c>
      <c r="D98" s="228" t="b">
        <f>IF(INDEX(typ_sn,MATCH(INDEX(akun_type,MATCH(B98,akun_kb,0)),typ_ket,0))="KR",SUMIFS(ju_sld,ju_tgl,"&gt;="&amp;awal,ju_tgl,"&lt;="&amp;akhir,ju_div2,"kr"&amp;$H$4,ju_kr,B98)-SUMIFS(ju_sld,ju_tgl,"&gt;="&amp;awal,ju_tgl,"&lt;="&amp;akhir,ju_div2,"DB"&amp;$H$4,ju_debet,B98))</f>
        <v>0</v>
      </c>
      <c r="G98" s="278">
        <f t="shared" si="6"/>
        <v>1</v>
      </c>
    </row>
    <row r="99" spans="2:7" ht="23.1" customHeight="1">
      <c r="B99" s="206" t="str">
        <f>LR!B99</f>
        <v>610205 | BIAYA MEDIA CETAK DAN ELEKTRONIK</v>
      </c>
      <c r="D99" s="228" t="b">
        <f>IF(INDEX(typ_sn,MATCH(INDEX(akun_type,MATCH(B99,akun_kb,0)),typ_ket,0))="KR",SUMIFS(ju_sld,ju_tgl,"&gt;="&amp;awal,ju_tgl,"&lt;="&amp;akhir,ju_div2,"kr"&amp;$H$4,ju_kr,B99)-SUMIFS(ju_sld,ju_tgl,"&gt;="&amp;awal,ju_tgl,"&lt;="&amp;akhir,ju_div2,"DB"&amp;$H$4,ju_debet,B99))</f>
        <v>0</v>
      </c>
      <c r="G99" s="278">
        <f t="shared" si="6"/>
        <v>1</v>
      </c>
    </row>
    <row r="100" spans="2:7" ht="23.1" customHeight="1">
      <c r="B100" s="206" t="str">
        <f>LR!B100</f>
        <v>610206 | BIAYA HONOR PANITIA DAN PEMERIKSA BARANG</v>
      </c>
      <c r="D100" s="228" t="b">
        <f>IF(INDEX(typ_sn,MATCH(INDEX(akun_type,MATCH(B100,akun_kb,0)),typ_ket,0))="KR",SUMIFS(ju_sld,ju_tgl,"&gt;="&amp;awal,ju_tgl,"&lt;="&amp;akhir,ju_div2,"kr"&amp;$H$4,ju_kr,B100)-SUMIFS(ju_sld,ju_tgl,"&gt;="&amp;awal,ju_tgl,"&lt;="&amp;akhir,ju_div2,"DB"&amp;$H$4,ju_debet,B100))</f>
        <v>0</v>
      </c>
      <c r="G100" s="278">
        <f t="shared" si="6"/>
        <v>1</v>
      </c>
    </row>
    <row r="101" spans="2:7" ht="23.1" customHeight="1">
      <c r="B101" s="206" t="str">
        <f>LR!B101</f>
        <v>610207 | BIAYA ALAT TULIS KANTOR (ATK)</v>
      </c>
      <c r="D101" s="228" t="b">
        <f>IF(INDEX(typ_sn,MATCH(INDEX(akun_type,MATCH(B101,akun_kb,0)),typ_ket,0))="KR",SUMIFS(ju_sld,ju_tgl,"&gt;="&amp;awal,ju_tgl,"&lt;="&amp;akhir,ju_div2,"kr"&amp;$H$4,ju_kr,B101)-SUMIFS(ju_sld,ju_tgl,"&gt;="&amp;awal,ju_tgl,"&lt;="&amp;akhir,ju_div2,"DB"&amp;$H$4,ju_debet,B101))</f>
        <v>0</v>
      </c>
      <c r="G101" s="278">
        <f t="shared" si="6"/>
        <v>1</v>
      </c>
    </row>
    <row r="102" spans="2:7" ht="23.1" customHeight="1">
      <c r="B102" s="206" t="str">
        <f>LR!B102</f>
        <v>610208 | BIAYA BENDA BENDA POS DAN MATERAI</v>
      </c>
      <c r="D102" s="228" t="b">
        <f>IF(INDEX(typ_sn,MATCH(INDEX(akun_type,MATCH(B102,akun_kb,0)),typ_ket,0))="KR",SUMIFS(ju_sld,ju_tgl,"&gt;="&amp;awal,ju_tgl,"&lt;="&amp;akhir,ju_div2,"kr"&amp;$H$4,ju_kr,B102)-SUMIFS(ju_sld,ju_tgl,"&gt;="&amp;awal,ju_tgl,"&lt;="&amp;akhir,ju_div2,"DB"&amp;$H$4,ju_debet,B102))</f>
        <v>0</v>
      </c>
      <c r="G102" s="278">
        <f t="shared" si="6"/>
        <v>1</v>
      </c>
    </row>
    <row r="103" spans="2:7" ht="23.1" customHeight="1">
      <c r="B103" s="206" t="str">
        <f>LR!B103</f>
        <v>610209 | BIAYA PEMELIHARAAN BANGUNAN KANTOR</v>
      </c>
      <c r="D103" s="228" t="b">
        <f>IF(INDEX(typ_sn,MATCH(INDEX(akun_type,MATCH(B103,akun_kb,0)),typ_ket,0))="KR",SUMIFS(ju_sld,ju_tgl,"&gt;="&amp;awal,ju_tgl,"&lt;="&amp;akhir,ju_div2,"kr"&amp;$H$4,ju_kr,B103)-SUMIFS(ju_sld,ju_tgl,"&gt;="&amp;awal,ju_tgl,"&lt;="&amp;akhir,ju_div2,"DB"&amp;$H$4,ju_debet,B103))</f>
        <v>0</v>
      </c>
      <c r="G103" s="278">
        <f t="shared" si="6"/>
        <v>1</v>
      </c>
    </row>
    <row r="104" spans="2:7" ht="23.1" customHeight="1">
      <c r="B104" s="206" t="str">
        <f>LR!B104</f>
        <v>610210 | BIAYA PEMELIHARAAN INVENTARIS KANTOR</v>
      </c>
      <c r="D104" s="228" t="b">
        <f>IF(INDEX(typ_sn,MATCH(INDEX(akun_type,MATCH(B104,akun_kb,0)),typ_ket,0))="KR",SUMIFS(ju_sld,ju_tgl,"&gt;="&amp;awal,ju_tgl,"&lt;="&amp;akhir,ju_div2,"kr"&amp;$H$4,ju_kr,B104)-SUMIFS(ju_sld,ju_tgl,"&gt;="&amp;awal,ju_tgl,"&lt;="&amp;akhir,ju_div2,"DB"&amp;$H$4,ju_debet,B104))</f>
        <v>0</v>
      </c>
      <c r="G104" s="278">
        <f t="shared" si="6"/>
        <v>1</v>
      </c>
    </row>
    <row r="105" spans="2:7" ht="23.1" customHeight="1">
      <c r="B105" s="206" t="str">
        <f>LR!B105</f>
        <v>610211 | BIAYA TELEPON KANTOR</v>
      </c>
      <c r="D105" s="228" t="b">
        <f>IF(INDEX(typ_sn,MATCH(INDEX(akun_type,MATCH(B105,akun_kb,0)),typ_ket,0))="KR",SUMIFS(ju_sld,ju_tgl,"&gt;="&amp;awal,ju_tgl,"&lt;="&amp;akhir,ju_div2,"kr"&amp;$H$4,ju_kr,B105)-SUMIFS(ju_sld,ju_tgl,"&gt;="&amp;awal,ju_tgl,"&lt;="&amp;akhir,ju_div2,"DB"&amp;$H$4,ju_debet,B105))</f>
        <v>0</v>
      </c>
      <c r="G105" s="278">
        <f t="shared" si="6"/>
        <v>1</v>
      </c>
    </row>
    <row r="106" spans="2:7" ht="23.1" customHeight="1">
      <c r="B106" s="206" t="str">
        <f>LR!B106</f>
        <v>610212 | BIAYA LISTRIK DAN ENERGI KANTOR</v>
      </c>
      <c r="D106" s="228" t="b">
        <f>IF(INDEX(typ_sn,MATCH(INDEX(akun_type,MATCH(B106,akun_kb,0)),typ_ket,0))="KR",SUMIFS(ju_sld,ju_tgl,"&gt;="&amp;awal,ju_tgl,"&lt;="&amp;akhir,ju_div2,"kr"&amp;$H$4,ju_kr,B106)-SUMIFS(ju_sld,ju_tgl,"&gt;="&amp;awal,ju_tgl,"&lt;="&amp;akhir,ju_div2,"DB"&amp;$H$4,ju_debet,B106))</f>
        <v>0</v>
      </c>
      <c r="G106" s="278">
        <f t="shared" si="6"/>
        <v>1</v>
      </c>
    </row>
    <row r="107" spans="2:7" ht="23.1" customHeight="1">
      <c r="B107" s="206" t="str">
        <f>LR!B107</f>
        <v>610213 | BIAYA SEWA FOTO COPY DAN PERJILIDAN</v>
      </c>
      <c r="D107" s="228" t="b">
        <f>IF(INDEX(typ_sn,MATCH(INDEX(akun_type,MATCH(B107,akun_kb,0)),typ_ket,0))="KR",SUMIFS(ju_sld,ju_tgl,"&gt;="&amp;awal,ju_tgl,"&lt;="&amp;akhir,ju_div2,"kr"&amp;$H$4,ju_kr,B107)-SUMIFS(ju_sld,ju_tgl,"&gt;="&amp;awal,ju_tgl,"&lt;="&amp;akhir,ju_div2,"DB"&amp;$H$4,ju_debet,B107))</f>
        <v>0</v>
      </c>
      <c r="G107" s="278">
        <f t="shared" si="6"/>
        <v>1</v>
      </c>
    </row>
    <row r="108" spans="2:7" ht="23.1" customHeight="1">
      <c r="B108" s="206" t="str">
        <f>LR!B108</f>
        <v>610214 | TUNJANGAN UANG MAKAN DIREKSI</v>
      </c>
      <c r="D108" s="228" t="b">
        <f>IF(INDEX(typ_sn,MATCH(INDEX(akun_type,MATCH(B108,akun_kb,0)),typ_ket,0))="KR",SUMIFS(ju_sld,ju_tgl,"&gt;="&amp;awal,ju_tgl,"&lt;="&amp;akhir,ju_div2,"kr"&amp;$H$4,ju_kr,B108)-SUMIFS(ju_sld,ju_tgl,"&gt;="&amp;awal,ju_tgl,"&lt;="&amp;akhir,ju_div2,"DB"&amp;$H$4,ju_debet,B108))</f>
        <v>0</v>
      </c>
      <c r="G108" s="278">
        <f t="shared" si="6"/>
        <v>1</v>
      </c>
    </row>
    <row r="109" spans="2:7" ht="23.1" customHeight="1">
      <c r="B109" s="206" t="str">
        <f>LR!B109</f>
        <v>610215 | BIAYA TAMU</v>
      </c>
      <c r="D109" s="228" t="b">
        <f>IF(INDEX(typ_sn,MATCH(INDEX(akun_type,MATCH(B109,akun_kb,0)),typ_ket,0))="KR",SUMIFS(ju_sld,ju_tgl,"&gt;="&amp;awal,ju_tgl,"&lt;="&amp;akhir,ju_div2,"kr"&amp;$H$4,ju_kr,B109)-SUMIFS(ju_sld,ju_tgl,"&gt;="&amp;awal,ju_tgl,"&lt;="&amp;akhir,ju_div2,"DB"&amp;$H$4,ju_debet,B109))</f>
        <v>0</v>
      </c>
      <c r="G109" s="278">
        <f t="shared" si="6"/>
        <v>1</v>
      </c>
    </row>
    <row r="110" spans="2:7" ht="23.1" customHeight="1">
      <c r="B110" s="206" t="str">
        <f>LR!B110</f>
        <v>610216 | BIAYA PERALATAN DAN PERLENGKAPAN KANTOR</v>
      </c>
      <c r="D110" s="228" t="b">
        <f>IF(INDEX(typ_sn,MATCH(INDEX(akun_type,MATCH(B110,akun_kb,0)),typ_ket,0))="KR",SUMIFS(ju_sld,ju_tgl,"&gt;="&amp;awal,ju_tgl,"&lt;="&amp;akhir,ju_div2,"kr"&amp;$H$4,ju_kr,B110)-SUMIFS(ju_sld,ju_tgl,"&gt;="&amp;awal,ju_tgl,"&lt;="&amp;akhir,ju_div2,"DB"&amp;$H$4,ju_debet,B110))</f>
        <v>0</v>
      </c>
      <c r="G110" s="278">
        <f t="shared" si="6"/>
        <v>1</v>
      </c>
    </row>
    <row r="111" spans="2:7" ht="23.1" customHeight="1">
      <c r="B111" s="206" t="str">
        <f>LR!B111</f>
        <v>610217 | BIAYA PERJALANAN DINAS</v>
      </c>
      <c r="D111" s="228" t="b">
        <f>IF(INDEX(typ_sn,MATCH(INDEX(akun_type,MATCH(B111,akun_kb,0)),typ_ket,0))="KR",SUMIFS(ju_sld,ju_tgl,"&gt;="&amp;awal,ju_tgl,"&lt;="&amp;akhir,ju_div2,"kr"&amp;$H$4,ju_kr,B111)-SUMIFS(ju_sld,ju_tgl,"&gt;="&amp;awal,ju_tgl,"&lt;="&amp;akhir,ju_div2,"DB"&amp;$H$4,ju_debet,B111))</f>
        <v>0</v>
      </c>
      <c r="G111" s="278">
        <f t="shared" ref="G111:G164" si="7">IF(OR(D111&gt;0,D111&lt;0,D111=""),1,0)</f>
        <v>1</v>
      </c>
    </row>
    <row r="112" spans="2:7" ht="23.1" customHeight="1">
      <c r="B112" s="206" t="str">
        <f>LR!B112</f>
        <v>610218 | BIAYA PAKAIAN DINAS DAN UPACARA RESMI</v>
      </c>
      <c r="D112" s="228" t="b">
        <f>IF(INDEX(typ_sn,MATCH(INDEX(akun_type,MATCH(B112,akun_kb,0)),typ_ket,0))="KR",SUMIFS(ju_sld,ju_tgl,"&gt;="&amp;awal,ju_tgl,"&lt;="&amp;akhir,ju_div2,"kr"&amp;$H$4,ju_kr,B112)-SUMIFS(ju_sld,ju_tgl,"&gt;="&amp;awal,ju_tgl,"&lt;="&amp;akhir,ju_div2,"DB"&amp;$H$4,ju_debet,B112))</f>
        <v>0</v>
      </c>
      <c r="G112" s="278">
        <f t="shared" si="7"/>
        <v>1</v>
      </c>
    </row>
    <row r="113" spans="2:7" ht="23.1" customHeight="1">
      <c r="B113" s="206" t="str">
        <f>LR!B113</f>
        <v>610219 | BIAYA PAKAIAN OLAHRAGA</v>
      </c>
      <c r="D113" s="228" t="b">
        <f>IF(INDEX(typ_sn,MATCH(INDEX(akun_type,MATCH(B113,akun_kb,0)),typ_ket,0))="KR",SUMIFS(ju_sld,ju_tgl,"&gt;="&amp;awal,ju_tgl,"&lt;="&amp;akhir,ju_div2,"kr"&amp;$H$4,ju_kr,B113)-SUMIFS(ju_sld,ju_tgl,"&gt;="&amp;awal,ju_tgl,"&lt;="&amp;akhir,ju_div2,"DB"&amp;$H$4,ju_debet,B113))</f>
        <v>0</v>
      </c>
      <c r="G113" s="278">
        <f t="shared" si="7"/>
        <v>1</v>
      </c>
    </row>
    <row r="114" spans="2:7" ht="23.1" customHeight="1">
      <c r="B114" s="206" t="str">
        <f>LR!B114</f>
        <v>610220 | BIAYA KEGIATAN DHARMA WANITA DAN KORPRI</v>
      </c>
      <c r="D114" s="228" t="b">
        <f>IF(INDEX(typ_sn,MATCH(INDEX(akun_type,MATCH(B114,akun_kb,0)),typ_ket,0))="KR",SUMIFS(ju_sld,ju_tgl,"&gt;="&amp;awal,ju_tgl,"&lt;="&amp;akhir,ju_div2,"kr"&amp;$H$4,ju_kr,B114)-SUMIFS(ju_sld,ju_tgl,"&gt;="&amp;awal,ju_tgl,"&lt;="&amp;akhir,ju_div2,"DB"&amp;$H$4,ju_debet,B114))</f>
        <v>0</v>
      </c>
      <c r="G114" s="278">
        <f t="shared" si="7"/>
        <v>1</v>
      </c>
    </row>
    <row r="115" spans="2:7" ht="23.1" customHeight="1">
      <c r="B115" s="206" t="str">
        <f>LR!B115</f>
        <v>610221 | BIAYA PEMBINAAN KEAGAMAAN DAN OLAHRAGA</v>
      </c>
      <c r="D115" s="228" t="b">
        <f>IF(INDEX(typ_sn,MATCH(INDEX(akun_type,MATCH(B115,akun_kb,0)),typ_ket,0))="KR",SUMIFS(ju_sld,ju_tgl,"&gt;="&amp;awal,ju_tgl,"&lt;="&amp;akhir,ju_div2,"kr"&amp;$H$4,ju_kr,B115)-SUMIFS(ju_sld,ju_tgl,"&gt;="&amp;awal,ju_tgl,"&lt;="&amp;akhir,ju_div2,"DB"&amp;$H$4,ju_debet,B115))</f>
        <v>0</v>
      </c>
      <c r="G115" s="278">
        <f t="shared" si="7"/>
        <v>1</v>
      </c>
    </row>
    <row r="116" spans="2:7" ht="23.1" customHeight="1">
      <c r="B116" s="206" t="str">
        <f>LR!B116</f>
        <v>610222 | BIAYA PERAYAAN DAERAH DAN NASIONAL</v>
      </c>
      <c r="D116" s="228" t="b">
        <f>IF(INDEX(typ_sn,MATCH(INDEX(akun_type,MATCH(B116,akun_kb,0)),typ_ket,0))="KR",SUMIFS(ju_sld,ju_tgl,"&gt;="&amp;awal,ju_tgl,"&lt;="&amp;akhir,ju_div2,"kr"&amp;$H$4,ju_kr,B116)-SUMIFS(ju_sld,ju_tgl,"&gt;="&amp;awal,ju_tgl,"&lt;="&amp;akhir,ju_div2,"DB"&amp;$H$4,ju_debet,B116))</f>
        <v>0</v>
      </c>
      <c r="G116" s="278">
        <f t="shared" si="7"/>
        <v>1</v>
      </c>
    </row>
    <row r="117" spans="2:7" ht="23.1" customHeight="1">
      <c r="B117" s="206" t="str">
        <f>LR!B117</f>
        <v>610223 | BIAYA JASA AUDIT</v>
      </c>
      <c r="D117" s="228" t="b">
        <f>IF(INDEX(typ_sn,MATCH(INDEX(akun_type,MATCH(B117,akun_kb,0)),typ_ket,0))="KR",SUMIFS(ju_sld,ju_tgl,"&gt;="&amp;awal,ju_tgl,"&lt;="&amp;akhir,ju_div2,"kr"&amp;$H$4,ju_kr,B117)-SUMIFS(ju_sld,ju_tgl,"&gt;="&amp;awal,ju_tgl,"&lt;="&amp;akhir,ju_div2,"DB"&amp;$H$4,ju_debet,B117))</f>
        <v>0</v>
      </c>
      <c r="G117" s="278">
        <f t="shared" si="7"/>
        <v>1</v>
      </c>
    </row>
    <row r="118" spans="2:7" ht="23.1" customHeight="1">
      <c r="B118" s="206" t="str">
        <f>LR!B118</f>
        <v>610225 | BIAYA FAMILY GATHERING</v>
      </c>
      <c r="D118" s="228" t="b">
        <f>IF(INDEX(typ_sn,MATCH(INDEX(akun_type,MATCH(B118,akun_kb,0)),typ_ket,0))="KR",SUMIFS(ju_sld,ju_tgl,"&gt;="&amp;awal,ju_tgl,"&lt;="&amp;akhir,ju_div2,"kr"&amp;$H$4,ju_kr,B118)-SUMIFS(ju_sld,ju_tgl,"&gt;="&amp;awal,ju_tgl,"&lt;="&amp;akhir,ju_div2,"DB"&amp;$H$4,ju_debet,B118))</f>
        <v>0</v>
      </c>
      <c r="G118" s="278">
        <f t="shared" si="7"/>
        <v>1</v>
      </c>
    </row>
    <row r="119" spans="2:7" ht="23.1" customHeight="1">
      <c r="B119" s="206" t="str">
        <f>LR!B119</f>
        <v>610226 | BIAYA PENDIDIKAN</v>
      </c>
      <c r="D119" s="228" t="b">
        <f>IF(INDEX(typ_sn,MATCH(INDEX(akun_type,MATCH(B119,akun_kb,0)),typ_ket,0))="KR",SUMIFS(ju_sld,ju_tgl,"&gt;="&amp;awal,ju_tgl,"&lt;="&amp;akhir,ju_div2,"kr"&amp;$H$4,ju_kr,B119)-SUMIFS(ju_sld,ju_tgl,"&gt;="&amp;awal,ju_tgl,"&lt;="&amp;akhir,ju_div2,"DB"&amp;$H$4,ju_debet,B119))</f>
        <v>0</v>
      </c>
      <c r="G119" s="278">
        <f t="shared" si="7"/>
        <v>1</v>
      </c>
    </row>
    <row r="120" spans="2:7" ht="23.1" customHeight="1">
      <c r="B120" s="206" t="str">
        <f>LR!B120</f>
        <v>610227 | BIAYA REWARD PEGAWAI</v>
      </c>
      <c r="D120" s="228" t="b">
        <f>IF(INDEX(typ_sn,MATCH(INDEX(akun_type,MATCH(B120,akun_kb,0)),typ_ket,0))="KR",SUMIFS(ju_sld,ju_tgl,"&gt;="&amp;awal,ju_tgl,"&lt;="&amp;akhir,ju_div2,"kr"&amp;$H$4,ju_kr,B120)-SUMIFS(ju_sld,ju_tgl,"&gt;="&amp;awal,ju_tgl,"&lt;="&amp;akhir,ju_div2,"DB"&amp;$H$4,ju_debet,B120))</f>
        <v>0</v>
      </c>
      <c r="G120" s="278">
        <f t="shared" si="7"/>
        <v>1</v>
      </c>
    </row>
    <row r="121" spans="2:7" ht="23.1" customHeight="1">
      <c r="B121" s="206" t="str">
        <f>LR!B121</f>
        <v>610228 | BIAYA ASURANSI DAN SANTUNAN JUKIR DAN PEGAWAI</v>
      </c>
      <c r="D121" s="228" t="b">
        <f>IF(INDEX(typ_sn,MATCH(INDEX(akun_type,MATCH(B121,akun_kb,0)),typ_ket,0))="KR",SUMIFS(ju_sld,ju_tgl,"&gt;="&amp;awal,ju_tgl,"&lt;="&amp;akhir,ju_div2,"kr"&amp;$H$4,ju_kr,B121)-SUMIFS(ju_sld,ju_tgl,"&gt;="&amp;awal,ju_tgl,"&lt;="&amp;akhir,ju_div2,"DB"&amp;$H$4,ju_debet,B121))</f>
        <v>0</v>
      </c>
      <c r="G121" s="278">
        <f t="shared" si="7"/>
        <v>1</v>
      </c>
    </row>
    <row r="122" spans="2:7" ht="23.1" customHeight="1">
      <c r="B122" s="206" t="str">
        <f>LR!B122</f>
        <v>610229 | BIAYA PAJAK PPH BADAN</v>
      </c>
      <c r="D122" s="228" t="b">
        <f>IF(INDEX(typ_sn,MATCH(INDEX(akun_type,MATCH(B122,akun_kb,0)),typ_ket,0))="KR",SUMIFS(ju_sld,ju_tgl,"&gt;="&amp;awal,ju_tgl,"&lt;="&amp;akhir,ju_div2,"kr"&amp;$H$4,ju_kr,B122)-SUMIFS(ju_sld,ju_tgl,"&gt;="&amp;awal,ju_tgl,"&lt;="&amp;akhir,ju_div2,"DB"&amp;$H$4,ju_debet,B122))</f>
        <v>0</v>
      </c>
      <c r="G122" s="278">
        <f t="shared" si="7"/>
        <v>1</v>
      </c>
    </row>
    <row r="123" spans="2:7" ht="23.1" customHeight="1">
      <c r="B123" s="206" t="str">
        <f>LR!B123</f>
        <v>610230 | BIAYA INSENTIF PEMBUATAN RKAP DAN PERDA</v>
      </c>
      <c r="D123" s="228" t="b">
        <f>IF(INDEX(typ_sn,MATCH(INDEX(akun_type,MATCH(B123,akun_kb,0)),typ_ket,0))="KR",SUMIFS(ju_sld,ju_tgl,"&gt;="&amp;awal,ju_tgl,"&lt;="&amp;akhir,ju_div2,"kr"&amp;$H$4,ju_kr,B123)-SUMIFS(ju_sld,ju_tgl,"&gt;="&amp;awal,ju_tgl,"&lt;="&amp;akhir,ju_div2,"DB"&amp;$H$4,ju_debet,B123))</f>
        <v>0</v>
      </c>
      <c r="G123" s="278">
        <f t="shared" si="7"/>
        <v>1</v>
      </c>
    </row>
    <row r="124" spans="2:7" ht="23.1" customHeight="1">
      <c r="B124" s="206" t="str">
        <f>LR!B124</f>
        <v>610231 | BIAYA HONOR TIM AHLI</v>
      </c>
      <c r="D124" s="228" t="b">
        <f>IF(INDEX(typ_sn,MATCH(INDEX(akun_type,MATCH(B124,akun_kb,0)),typ_ket,0))="KR",SUMIFS(ju_sld,ju_tgl,"&gt;="&amp;awal,ju_tgl,"&lt;="&amp;akhir,ju_div2,"kr"&amp;$H$4,ju_kr,B124)-SUMIFS(ju_sld,ju_tgl,"&gt;="&amp;awal,ju_tgl,"&lt;="&amp;akhir,ju_div2,"DB"&amp;$H$4,ju_debet,B124))</f>
        <v>0</v>
      </c>
      <c r="G124" s="278">
        <f t="shared" si="7"/>
        <v>1</v>
      </c>
    </row>
    <row r="125" spans="2:7" ht="23.1" customHeight="1">
      <c r="B125" s="206" t="str">
        <f>LR!B125</f>
        <v>610232 | BIAYA ASSESMENT PEGAWAI</v>
      </c>
      <c r="D125" s="228" t="b">
        <f>IF(INDEX(typ_sn,MATCH(INDEX(akun_type,MATCH(B125,akun_kb,0)),typ_ket,0))="KR",SUMIFS(ju_sld,ju_tgl,"&gt;="&amp;awal,ju_tgl,"&lt;="&amp;akhir,ju_div2,"kr"&amp;$H$4,ju_kr,B125)-SUMIFS(ju_sld,ju_tgl,"&gt;="&amp;awal,ju_tgl,"&lt;="&amp;akhir,ju_div2,"DB"&amp;$H$4,ju_debet,B125))</f>
        <v>0</v>
      </c>
      <c r="G125" s="278">
        <f t="shared" si="7"/>
        <v>1</v>
      </c>
    </row>
    <row r="126" spans="2:7" ht="23.1" customHeight="1">
      <c r="B126" s="206" t="str">
        <f>LR!B126</f>
        <v>610233 | BIAYA RAKORD DAN RAPAT KERJA PD. PARKIR</v>
      </c>
      <c r="D126" s="228" t="b">
        <f>IF(INDEX(typ_sn,MATCH(INDEX(akun_type,MATCH(B126,akun_kb,0)),typ_ket,0))="KR",SUMIFS(ju_sld,ju_tgl,"&gt;="&amp;awal,ju_tgl,"&lt;="&amp;akhir,ju_div2,"kr"&amp;$H$4,ju_kr,B126)-SUMIFS(ju_sld,ju_tgl,"&gt;="&amp;awal,ju_tgl,"&lt;="&amp;akhir,ju_div2,"DB"&amp;$H$4,ju_debet,B126))</f>
        <v>0</v>
      </c>
      <c r="G126" s="278">
        <f t="shared" si="7"/>
        <v>1</v>
      </c>
    </row>
    <row r="127" spans="2:7" ht="23.1" customHeight="1">
      <c r="B127" s="206" t="str">
        <f>LR!B127</f>
        <v>610234 | BEBAN PESANGON</v>
      </c>
      <c r="D127" s="228" t="b">
        <f>IF(INDEX(typ_sn,MATCH(INDEX(akun_type,MATCH(B127,akun_kb,0)),typ_ket,0))="KR",SUMIFS(ju_sld,ju_tgl,"&gt;="&amp;awal,ju_tgl,"&lt;="&amp;akhir,ju_div2,"kr"&amp;$H$4,ju_kr,B127)-SUMIFS(ju_sld,ju_tgl,"&gt;="&amp;awal,ju_tgl,"&lt;="&amp;akhir,ju_div2,"DB"&amp;$H$4,ju_debet,B127))</f>
        <v>0</v>
      </c>
      <c r="G127" s="278">
        <f t="shared" si="7"/>
        <v>1</v>
      </c>
    </row>
    <row r="128" spans="2:7" ht="23.1" customHeight="1">
      <c r="B128" s="206" t="str">
        <f>LR!B128</f>
        <v>610235 | BIAYA PENGHARGAAN</v>
      </c>
      <c r="D128" s="228" t="b">
        <f>IF(INDEX(typ_sn,MATCH(INDEX(akun_type,MATCH(B128,akun_kb,0)),typ_ket,0))="KR",SUMIFS(ju_sld,ju_tgl,"&gt;="&amp;awal,ju_tgl,"&lt;="&amp;akhir,ju_div2,"kr"&amp;$H$4,ju_kr,B128)-SUMIFS(ju_sld,ju_tgl,"&gt;="&amp;awal,ju_tgl,"&lt;="&amp;akhir,ju_div2,"DB"&amp;$H$4,ju_debet,B128))</f>
        <v>0</v>
      </c>
      <c r="G128" s="278">
        <f t="shared" si="7"/>
        <v>1</v>
      </c>
    </row>
    <row r="129" spans="2:7" ht="23.1" customHeight="1">
      <c r="B129" s="206" t="str">
        <f>LR!B129</f>
        <v>610236 | BEBAN PENGHAPUSAN PIUTANG TAK TERTAGIH</v>
      </c>
      <c r="D129" s="228" t="b">
        <f>IF(INDEX(typ_sn,MATCH(INDEX(akun_type,MATCH(B129,akun_kb,0)),typ_ket,0))="KR",SUMIFS(ju_sld,ju_tgl,"&gt;="&amp;awal,ju_tgl,"&lt;="&amp;akhir,ju_div2,"kr"&amp;$H$4,ju_kr,B129)-SUMIFS(ju_sld,ju_tgl,"&gt;="&amp;awal,ju_tgl,"&lt;="&amp;akhir,ju_div2,"DB"&amp;$H$4,ju_debet,B129))</f>
        <v>0</v>
      </c>
      <c r="G129" s="278">
        <f t="shared" si="7"/>
        <v>1</v>
      </c>
    </row>
    <row r="130" spans="2:7" ht="23.1" customHeight="1">
      <c r="B130" s="206" t="str">
        <f>LR!B130</f>
        <v>610237 | BEBAN DENDA PAJAK</v>
      </c>
      <c r="D130" s="228" t="b">
        <f>IF(INDEX(typ_sn,MATCH(INDEX(akun_type,MATCH(B130,akun_kb,0)),typ_ket,0))="KR",SUMIFS(ju_sld,ju_tgl,"&gt;="&amp;awal,ju_tgl,"&lt;="&amp;akhir,ju_div2,"kr"&amp;$H$4,ju_kr,B130)-SUMIFS(ju_sld,ju_tgl,"&gt;="&amp;awal,ju_tgl,"&lt;="&amp;akhir,ju_div2,"DB"&amp;$H$4,ju_debet,B130))</f>
        <v>0</v>
      </c>
      <c r="G130" s="278">
        <f t="shared" si="7"/>
        <v>1</v>
      </c>
    </row>
    <row r="131" spans="2:7" ht="23.1" customHeight="1">
      <c r="B131" s="206" t="str">
        <f>LR!B131</f>
        <v xml:space="preserve">610238 | BEBAN PAJAK TERUTANG </v>
      </c>
      <c r="D131" s="228" t="b">
        <f>IF(INDEX(typ_sn,MATCH(INDEX(akun_type,MATCH(B131,akun_kb,0)),typ_ket,0))="KR",SUMIFS(ju_sld,ju_tgl,"&gt;="&amp;awal,ju_tgl,"&lt;="&amp;akhir,ju_div2,"kr"&amp;$H$4,ju_kr,B131)-SUMIFS(ju_sld,ju_tgl,"&gt;="&amp;awal,ju_tgl,"&lt;="&amp;akhir,ju_div2,"DB"&amp;$H$4,ju_debet,B131))</f>
        <v>0</v>
      </c>
      <c r="G131" s="278">
        <f t="shared" si="7"/>
        <v>1</v>
      </c>
    </row>
    <row r="132" spans="2:7" ht="23.1" customHeight="1">
      <c r="B132" s="206" t="str">
        <f>LR!B132</f>
        <v>610239 | BEBAN DIVIDEN</v>
      </c>
      <c r="D132" s="228" t="b">
        <f>IF(INDEX(typ_sn,MATCH(INDEX(akun_type,MATCH(B132,akun_kb,0)),typ_ket,0))="KR",SUMIFS(ju_sld,ju_tgl,"&gt;="&amp;awal,ju_tgl,"&lt;="&amp;akhir,ju_div2,"kr"&amp;$H$4,ju_kr,B132)-SUMIFS(ju_sld,ju_tgl,"&gt;="&amp;awal,ju_tgl,"&lt;="&amp;akhir,ju_div2,"DB"&amp;$H$4,ju_debet,B132))</f>
        <v>0</v>
      </c>
      <c r="G132" s="278">
        <f t="shared" si="7"/>
        <v>1</v>
      </c>
    </row>
    <row r="133" spans="2:7" ht="23.1" customHeight="1">
      <c r="B133" s="206" t="str">
        <f>LR!B133</f>
        <v>610240 | BEBAN PEMBUATAN BISNIS PLAN</v>
      </c>
      <c r="D133" s="228" t="b">
        <f>IF(INDEX(typ_sn,MATCH(INDEX(akun_type,MATCH(B133,akun_kb,0)),typ_ket,0))="KR",SUMIFS(ju_sld,ju_tgl,"&gt;="&amp;awal,ju_tgl,"&lt;="&amp;akhir,ju_div2,"kr"&amp;$H$4,ju_kr,B133)-SUMIFS(ju_sld,ju_tgl,"&gt;="&amp;awal,ju_tgl,"&lt;="&amp;akhir,ju_div2,"DB"&amp;$H$4,ju_debet,B133))</f>
        <v>0</v>
      </c>
      <c r="G133" s="278">
        <f t="shared" si="7"/>
        <v>1</v>
      </c>
    </row>
    <row r="134" spans="2:7" ht="23.1" customHeight="1">
      <c r="B134" s="206" t="str">
        <f>LR!B134</f>
        <v>610241 | BEBAN PENGAKUAN DPLK DIREKSI (ASURANSI)</v>
      </c>
      <c r="D134" s="228" t="b">
        <f>IF(INDEX(typ_sn,MATCH(INDEX(akun_type,MATCH(B134,akun_kb,0)),typ_ket,0))="KR",SUMIFS(ju_sld,ju_tgl,"&gt;="&amp;awal,ju_tgl,"&lt;="&amp;akhir,ju_div2,"kr"&amp;$H$4,ju_kr,B134)-SUMIFS(ju_sld,ju_tgl,"&gt;="&amp;awal,ju_tgl,"&lt;="&amp;akhir,ju_div2,"DB"&amp;$H$4,ju_debet,B134))</f>
        <v>0</v>
      </c>
      <c r="G134" s="278">
        <f t="shared" si="7"/>
        <v>1</v>
      </c>
    </row>
    <row r="135" spans="2:7" ht="23.1" customHeight="1">
      <c r="B135" s="206" t="str">
        <f>LR!B135</f>
        <v>610242 | BEBAN PENGAKUAN DPLK KARYAWAN (ASURANSI)</v>
      </c>
      <c r="D135" s="228" t="b">
        <f>IF(INDEX(typ_sn,MATCH(INDEX(akun_type,MATCH(B135,akun_kb,0)),typ_ket,0))="KR",SUMIFS(ju_sld,ju_tgl,"&gt;="&amp;awal,ju_tgl,"&lt;="&amp;akhir,ju_div2,"kr"&amp;$H$4,ju_kr,B135)-SUMIFS(ju_sld,ju_tgl,"&gt;="&amp;awal,ju_tgl,"&lt;="&amp;akhir,ju_div2,"DB"&amp;$H$4,ju_debet,B135))</f>
        <v>0</v>
      </c>
      <c r="G135" s="278">
        <f t="shared" si="7"/>
        <v>1</v>
      </c>
    </row>
    <row r="136" spans="2:7" ht="23.1" customHeight="1">
      <c r="B136" s="206" t="str">
        <f>LR!B136</f>
        <v>610243 | BEBAN PEMBUATAN DOKUMENT 6</v>
      </c>
      <c r="D136" s="228" t="b">
        <f>IF(INDEX(typ_sn,MATCH(INDEX(akun_type,MATCH(B136,akun_kb,0)),typ_ket,0))="KR",SUMIFS(ju_sld,ju_tgl,"&gt;="&amp;awal,ju_tgl,"&lt;="&amp;akhir,ju_div2,"kr"&amp;$H$4,ju_kr,B136)-SUMIFS(ju_sld,ju_tgl,"&gt;="&amp;awal,ju_tgl,"&lt;="&amp;akhir,ju_div2,"DB"&amp;$H$4,ju_debet,B136))</f>
        <v>0</v>
      </c>
      <c r="G136" s="278">
        <f t="shared" si="7"/>
        <v>1</v>
      </c>
    </row>
    <row r="137" spans="2:7" ht="23.1" customHeight="1">
      <c r="B137" s="206" t="str">
        <f>LR!B137</f>
        <v>TOTAL BIAYA UMUM</v>
      </c>
      <c r="E137" s="218">
        <f>SUM(D95:D136)</f>
        <v>0</v>
      </c>
      <c r="G137" s="278">
        <f t="shared" si="7"/>
        <v>1</v>
      </c>
    </row>
    <row r="138" spans="2:7" ht="23.1" customHeight="1">
      <c r="B138" s="206" t="str">
        <f>LR!B138</f>
        <v>BIAYA KEUANGAN (FINANCING)</v>
      </c>
      <c r="G138" s="278">
        <f t="shared" si="7"/>
        <v>1</v>
      </c>
    </row>
    <row r="139" spans="2:7" ht="23.1" customHeight="1">
      <c r="B139" s="206" t="str">
        <f>LR!B139</f>
        <v>610301 | BUNGA PINJAMAN (KREDIT INVESTASI)</v>
      </c>
      <c r="D139" s="228" t="b">
        <f>IF(INDEX(typ_sn,MATCH(INDEX(akun_type,MATCH(B139,akun_kb,0)),typ_ket,0))="KR",SUMIFS(ju_sld,ju_tgl,"&gt;="&amp;awal,ju_tgl,"&lt;="&amp;akhir,ju_div2,"kr"&amp;$H$4,ju_kr,B139)-SUMIFS(ju_sld,ju_tgl,"&gt;="&amp;awal,ju_tgl,"&lt;="&amp;akhir,ju_div2,"DB"&amp;$H$4,ju_debet,B139))</f>
        <v>0</v>
      </c>
      <c r="G139" s="278">
        <f t="shared" si="7"/>
        <v>1</v>
      </c>
    </row>
    <row r="140" spans="2:7" ht="23.1" customHeight="1">
      <c r="B140" s="206" t="str">
        <f>LR!B140</f>
        <v>610302 | BUNGA PINJAMAN (MODAL KERJA)</v>
      </c>
      <c r="D140" s="228" t="b">
        <f>IF(INDEX(typ_sn,MATCH(INDEX(akun_type,MATCH(B140,akun_kb,0)),typ_ket,0))="KR",SUMIFS(ju_sld,ju_tgl,"&gt;="&amp;awal,ju_tgl,"&lt;="&amp;akhir,ju_div2,"kr"&amp;$H$4,ju_kr,B140)-SUMIFS(ju_sld,ju_tgl,"&gt;="&amp;awal,ju_tgl,"&lt;="&amp;akhir,ju_div2,"DB"&amp;$H$4,ju_debet,B140))</f>
        <v>0</v>
      </c>
      <c r="G140" s="278">
        <f t="shared" si="7"/>
        <v>1</v>
      </c>
    </row>
    <row r="141" spans="2:7" ht="23.1" customHeight="1">
      <c r="B141" s="206" t="str">
        <f>LR!B141</f>
        <v>610303 | BUNGA LEASING</v>
      </c>
      <c r="D141" s="228" t="b">
        <f>IF(INDEX(typ_sn,MATCH(INDEX(akun_type,MATCH(B141,akun_kb,0)),typ_ket,0))="KR",SUMIFS(ju_sld,ju_tgl,"&gt;="&amp;awal,ju_tgl,"&lt;="&amp;akhir,ju_div2,"kr"&amp;$H$4,ju_kr,B141)-SUMIFS(ju_sld,ju_tgl,"&gt;="&amp;awal,ju_tgl,"&lt;="&amp;akhir,ju_div2,"DB"&amp;$H$4,ju_debet,B141))</f>
        <v>0</v>
      </c>
      <c r="G141" s="278">
        <f t="shared" si="7"/>
        <v>1</v>
      </c>
    </row>
    <row r="142" spans="2:7" ht="23.1" customHeight="1">
      <c r="B142" s="206" t="str">
        <f>LR!B142</f>
        <v>TOTAL BIAYA KEUANGAN</v>
      </c>
      <c r="E142" s="218">
        <f>SUM(D139:D141)</f>
        <v>0</v>
      </c>
      <c r="G142" s="278">
        <f t="shared" si="7"/>
        <v>1</v>
      </c>
    </row>
    <row r="143" spans="2:7" ht="23.1" customHeight="1">
      <c r="B143" s="206" t="str">
        <f>LR!B143</f>
        <v>BIAYA PENYUSUTAN DAN AMORTISASI</v>
      </c>
      <c r="G143" s="278">
        <f t="shared" si="7"/>
        <v>1</v>
      </c>
    </row>
    <row r="144" spans="2:7" ht="23.1" customHeight="1">
      <c r="B144" s="206" t="str">
        <f>LR!B144</f>
        <v>610401 | BEBAN PENYUSUTAN BANGUNAN KANTOR</v>
      </c>
      <c r="D144" s="228" t="b">
        <f>IF(INDEX(typ_sn,MATCH(INDEX(akun_type,MATCH(B144,akun_kb,0)),typ_ket,0))="KR",SUMIFS(ju_sld,ju_tgl,"&gt;="&amp;awal,ju_tgl,"&lt;="&amp;akhir,ju_div2,"kr"&amp;$H$4,ju_kr,B144)-SUMIFS(ju_sld,ju_tgl,"&gt;="&amp;awal,ju_tgl,"&lt;="&amp;akhir,ju_div2,"DB"&amp;$H$4,ju_debet,B144))</f>
        <v>0</v>
      </c>
      <c r="G144" s="278">
        <f t="shared" si="7"/>
        <v>1</v>
      </c>
    </row>
    <row r="145" spans="2:7" ht="23.1" customHeight="1">
      <c r="B145" s="206" t="str">
        <f>LR!B145</f>
        <v>610402 | BEBAN PENYUSUTAN KENDARAAN</v>
      </c>
      <c r="D145" s="228" t="b">
        <f>IF(INDEX(typ_sn,MATCH(INDEX(akun_type,MATCH(B145,akun_kb,0)),typ_ket,0))="KR",SUMIFS(ju_sld,ju_tgl,"&gt;="&amp;awal,ju_tgl,"&lt;="&amp;akhir,ju_div2,"kr"&amp;$H$4,ju_kr,B145)-SUMIFS(ju_sld,ju_tgl,"&gt;="&amp;awal,ju_tgl,"&lt;="&amp;akhir,ju_div2,"DB"&amp;$H$4,ju_debet,B145))</f>
        <v>0</v>
      </c>
      <c r="G145" s="278">
        <f t="shared" si="7"/>
        <v>1</v>
      </c>
    </row>
    <row r="146" spans="2:7" ht="23.1" customHeight="1">
      <c r="B146" s="206" t="str">
        <f>LR!B146</f>
        <v>610403 | BEBAN PENYUSUTAN RAMBU RAMBU</v>
      </c>
      <c r="D146" s="228" t="b">
        <f>IF(INDEX(typ_sn,MATCH(INDEX(akun_type,MATCH(B146,akun_kb,0)),typ_ket,0))="KR",SUMIFS(ju_sld,ju_tgl,"&gt;="&amp;awal,ju_tgl,"&lt;="&amp;akhir,ju_div2,"kr"&amp;$H$4,ju_kr,B146)-SUMIFS(ju_sld,ju_tgl,"&gt;="&amp;awal,ju_tgl,"&lt;="&amp;akhir,ju_div2,"DB"&amp;$H$4,ju_debet,B146))</f>
        <v>0</v>
      </c>
      <c r="G146" s="278">
        <f t="shared" si="7"/>
        <v>1</v>
      </c>
    </row>
    <row r="147" spans="2:7" ht="23.1" customHeight="1">
      <c r="B147" s="206" t="str">
        <f>LR!B147</f>
        <v>610404 | BEBAN PENYUSUTAN INVENTARIS KANTOR</v>
      </c>
      <c r="D147" s="228" t="b">
        <f>IF(INDEX(typ_sn,MATCH(INDEX(akun_type,MATCH(B147,akun_kb,0)),typ_ket,0))="KR",SUMIFS(ju_sld,ju_tgl,"&gt;="&amp;awal,ju_tgl,"&lt;="&amp;akhir,ju_div2,"kr"&amp;$H$4,ju_kr,B147)-SUMIFS(ju_sld,ju_tgl,"&gt;="&amp;awal,ju_tgl,"&lt;="&amp;akhir,ju_div2,"DB"&amp;$H$4,ju_debet,B147))</f>
        <v>0</v>
      </c>
      <c r="G147" s="278">
        <f t="shared" si="7"/>
        <v>1</v>
      </c>
    </row>
    <row r="148" spans="2:7" ht="23.1" customHeight="1">
      <c r="B148" s="206" t="str">
        <f>LR!B148</f>
        <v>610405 | BEBAN AMORTISASI GOODWIL</v>
      </c>
      <c r="D148" s="228" t="b">
        <f>IF(INDEX(typ_sn,MATCH(INDEX(akun_type,MATCH(B148,akun_kb,0)),typ_ket,0))="KR",SUMIFS(ju_sld,ju_tgl,"&gt;="&amp;awal,ju_tgl,"&lt;="&amp;akhir,ju_div2,"kr"&amp;$H$4,ju_kr,B148)-SUMIFS(ju_sld,ju_tgl,"&gt;="&amp;awal,ju_tgl,"&lt;="&amp;akhir,ju_div2,"DB"&amp;$H$4,ju_debet,B148))</f>
        <v>0</v>
      </c>
      <c r="G148" s="278">
        <f t="shared" si="7"/>
        <v>1</v>
      </c>
    </row>
    <row r="149" spans="2:7" ht="23.1" customHeight="1">
      <c r="B149" s="206" t="str">
        <f>LR!B149</f>
        <v>610406 | AMORTISASI BEBAN DITANGGUHKAN</v>
      </c>
      <c r="D149" s="228" t="b">
        <f>IF(INDEX(typ_sn,MATCH(INDEX(akun_type,MATCH(B149,akun_kb,0)),typ_ket,0))="KR",SUMIFS(ju_sld,ju_tgl,"&gt;="&amp;awal,ju_tgl,"&lt;="&amp;akhir,ju_div2,"kr"&amp;$H$4,ju_kr,B149)-SUMIFS(ju_sld,ju_tgl,"&gt;="&amp;awal,ju_tgl,"&lt;="&amp;akhir,ju_div2,"DB"&amp;$H$4,ju_debet,B149))</f>
        <v>0</v>
      </c>
      <c r="G149" s="278">
        <f t="shared" si="7"/>
        <v>1</v>
      </c>
    </row>
    <row r="150" spans="2:7" ht="23.1" customHeight="1">
      <c r="B150" s="206" t="str">
        <f>LR!B150</f>
        <v>610407 | BEBAN AMORTISASI LAINNYA</v>
      </c>
      <c r="D150" s="228" t="b">
        <f>IF(INDEX(typ_sn,MATCH(INDEX(akun_type,MATCH(B150,akun_kb,0)),typ_ket,0))="KR",SUMIFS(ju_sld,ju_tgl,"&gt;="&amp;awal,ju_tgl,"&lt;="&amp;akhir,ju_div2,"kr"&amp;$H$4,ju_kr,B150)-SUMIFS(ju_sld,ju_tgl,"&gt;="&amp;awal,ju_tgl,"&lt;="&amp;akhir,ju_div2,"DB"&amp;$H$4,ju_debet,B150))</f>
        <v>0</v>
      </c>
      <c r="G150" s="278">
        <f t="shared" si="7"/>
        <v>1</v>
      </c>
    </row>
    <row r="151" spans="2:7" ht="23.1" customHeight="1">
      <c r="B151" s="206" t="str">
        <f>LR!B151</f>
        <v>610408 | BEBAN PENYUSUTAN CMS</v>
      </c>
      <c r="D151" s="228" t="b">
        <f>IF(INDEX(typ_sn,MATCH(INDEX(akun_type,MATCH(B151,akun_kb,0)),typ_ket,0))="KR",SUMIFS(ju_sld,ju_tgl,"&gt;="&amp;awal,ju_tgl,"&lt;="&amp;akhir,ju_div2,"kr"&amp;$H$4,ju_kr,B151)-SUMIFS(ju_sld,ju_tgl,"&gt;="&amp;awal,ju_tgl,"&lt;="&amp;akhir,ju_div2,"DB"&amp;$H$4,ju_debet,B151))</f>
        <v>0</v>
      </c>
      <c r="G151" s="278">
        <f t="shared" si="7"/>
        <v>1</v>
      </c>
    </row>
    <row r="152" spans="2:7" ht="23.1" customHeight="1">
      <c r="B152" s="206" t="str">
        <f>LR!B152</f>
        <v>TOTAL BIAYA PENYUSUTAN</v>
      </c>
      <c r="E152" s="218">
        <f>SUM(D144:D151)</f>
        <v>0</v>
      </c>
      <c r="G152" s="278">
        <f t="shared" si="7"/>
        <v>1</v>
      </c>
    </row>
    <row r="153" spans="2:7" ht="23.1" customHeight="1">
      <c r="B153" s="206" t="str">
        <f>LR!B153</f>
        <v>TOTAL BIAYA OPERASIONAL</v>
      </c>
      <c r="E153" s="218">
        <f>E93+E137+E142+E152</f>
        <v>0</v>
      </c>
      <c r="G153" s="278">
        <f t="shared" si="7"/>
        <v>1</v>
      </c>
    </row>
    <row r="154" spans="2:7" ht="23.1" customHeight="1">
      <c r="B154" s="206" t="str">
        <f>LR!B154</f>
        <v>LABA OPERASIONAL</v>
      </c>
      <c r="E154" s="218">
        <f>E63-E153</f>
        <v>0</v>
      </c>
      <c r="G154" s="278">
        <f t="shared" si="7"/>
        <v>1</v>
      </c>
    </row>
    <row r="155" spans="2:7" ht="23.1" customHeight="1">
      <c r="B155" s="206" t="str">
        <f>LR!B155</f>
        <v>PENDAPATAN (BEBAN) LAINNYA</v>
      </c>
      <c r="G155" s="278">
        <f t="shared" si="7"/>
        <v>1</v>
      </c>
    </row>
    <row r="156" spans="2:7" ht="23.1" customHeight="1">
      <c r="B156" s="206" t="str">
        <f>LR!B156</f>
        <v>PENDAPATAN LAINNYA</v>
      </c>
      <c r="E156" s="218">
        <f>SUM(D157:D159)</f>
        <v>0</v>
      </c>
      <c r="G156" s="278">
        <f t="shared" si="7"/>
        <v>1</v>
      </c>
    </row>
    <row r="157" spans="2:7" ht="23.1" customHeight="1">
      <c r="B157" s="206" t="str">
        <f>LR!B157</f>
        <v>710101 | PENDAPATAN JASA GIRO</v>
      </c>
      <c r="D157" s="228">
        <f>IF(INDEX(typ_sn,MATCH(INDEX(akun_type,MATCH(B157,akun_kb,0)),typ_ket,0))="KR",SUMIFS(ju_sld,ju_tgl,"&gt;="&amp;awal,ju_tgl,"&lt;="&amp;akhir,ju_div2,"kr"&amp;$H$4,ju_kr,B157)-SUMIFS(ju_sld,ju_tgl,"&gt;="&amp;awal,ju_tgl,"&lt;="&amp;akhir,ju_div2,"DB"&amp;$H$4,ju_debet,B157))</f>
        <v>0</v>
      </c>
      <c r="G157" s="278">
        <f t="shared" si="7"/>
        <v>0</v>
      </c>
    </row>
    <row r="158" spans="2:7" ht="23.1" customHeight="1">
      <c r="B158" s="206" t="str">
        <f>LR!B158</f>
        <v>710102 | PENDAPATAN PENJUALAN ASSET</v>
      </c>
      <c r="D158" s="228">
        <f>IF(INDEX(typ_sn,MATCH(INDEX(akun_type,MATCH(B158,akun_kb,0)),typ_ket,0))="KR",SUMIFS(ju_sld,ju_tgl,"&gt;="&amp;awal,ju_tgl,"&lt;="&amp;akhir,ju_div2,"kr"&amp;$H$4,ju_kr,B158)-SUMIFS(ju_sld,ju_tgl,"&gt;="&amp;awal,ju_tgl,"&lt;="&amp;akhir,ju_div2,"DB"&amp;$H$4,ju_debet,B158))</f>
        <v>0</v>
      </c>
      <c r="G158" s="278">
        <f t="shared" si="7"/>
        <v>0</v>
      </c>
    </row>
    <row r="159" spans="2:7" ht="23.1" customHeight="1">
      <c r="B159" s="206" t="str">
        <f>LR!B159</f>
        <v>710103 | PENDAPATAN LAIN LAIN</v>
      </c>
      <c r="D159" s="228">
        <f>IF(INDEX(typ_sn,MATCH(INDEX(akun_type,MATCH(B159,akun_kb,0)),typ_ket,0))="KR",SUMIFS(ju_sld,ju_tgl,"&gt;="&amp;awal,ju_tgl,"&lt;="&amp;akhir,ju_div2,"kr"&amp;$H$4,ju_kr,B159)-SUMIFS(ju_sld,ju_tgl,"&gt;="&amp;awal,ju_tgl,"&lt;="&amp;akhir,ju_div2,"DB"&amp;$H$4,ju_debet,B159))</f>
        <v>0</v>
      </c>
      <c r="G159" s="278">
        <f t="shared" si="7"/>
        <v>0</v>
      </c>
    </row>
    <row r="160" spans="2:7" ht="23.1" customHeight="1">
      <c r="B160" s="206" t="str">
        <f>LR!B160</f>
        <v>BEBAN LAINNYA</v>
      </c>
      <c r="E160" s="218">
        <f>SUM(D161:D162)</f>
        <v>0</v>
      </c>
      <c r="G160" s="278">
        <f t="shared" si="7"/>
        <v>1</v>
      </c>
    </row>
    <row r="161" spans="2:7" ht="23.1" customHeight="1">
      <c r="B161" s="206" t="str">
        <f>LR!B161</f>
        <v>720101 | BIAYA ADMINISTRASI BANK</v>
      </c>
      <c r="D161" s="228" t="b">
        <f>IF(INDEX(typ_sn,MATCH(INDEX(akun_type,MATCH(B161,akun_kb,0)),typ_ket,0))="KR",SUMIFS(ju_sld,ju_tgl,"&gt;="&amp;awal,ju_tgl,"&lt;="&amp;akhir,ju_div2,"kr"&amp;$H$4,ju_kr,B161)-SUMIFS(ju_sld,ju_tgl,"&gt;="&amp;awal,ju_tgl,"&lt;="&amp;akhir,ju_div2,"DB"&amp;$H$4,ju_debet,B161))</f>
        <v>0</v>
      </c>
      <c r="G161" s="278">
        <f t="shared" si="7"/>
        <v>1</v>
      </c>
    </row>
    <row r="162" spans="2:7" ht="23.1" customHeight="1">
      <c r="B162" s="206" t="str">
        <f>LR!B162</f>
        <v>720102 | BIAYA PAJAK JASA GIRO</v>
      </c>
      <c r="D162" s="228" t="b">
        <f>IF(INDEX(typ_sn,MATCH(INDEX(akun_type,MATCH(B162,akun_kb,0)),typ_ket,0))="KR",SUMIFS(ju_sld,ju_tgl,"&gt;="&amp;awal,ju_tgl,"&lt;="&amp;akhir,ju_div2,"kr"&amp;$H$4,ju_kr,B162)-SUMIFS(ju_sld,ju_tgl,"&gt;="&amp;awal,ju_tgl,"&lt;="&amp;akhir,ju_div2,"DB"&amp;$H$4,ju_debet,B162))</f>
        <v>0</v>
      </c>
      <c r="G162" s="278">
        <f t="shared" si="7"/>
        <v>1</v>
      </c>
    </row>
    <row r="163" spans="2:7" ht="23.1" customHeight="1">
      <c r="B163" s="206" t="str">
        <f>LR!B163</f>
        <v>TOTAL PENDAPATAN (BEBAN) LAINNYA</v>
      </c>
      <c r="E163" s="218">
        <f>E156-E160</f>
        <v>0</v>
      </c>
      <c r="G163" s="278">
        <f t="shared" si="7"/>
        <v>1</v>
      </c>
    </row>
    <row r="164" spans="2:7" ht="23.1" customHeight="1">
      <c r="B164" s="206" t="str">
        <f>LR!B164</f>
        <v>LABA (RUGI)</v>
      </c>
      <c r="E164" s="218">
        <f>E154-E163</f>
        <v>0</v>
      </c>
      <c r="G164" s="278">
        <f t="shared" si="7"/>
        <v>1</v>
      </c>
    </row>
  </sheetData>
  <autoFilter ref="G6:G133" xr:uid="{BEC2AE5C-FC76-2A43-92F0-B5602BFD7700}"/>
  <mergeCells count="3">
    <mergeCell ref="B4:E4"/>
    <mergeCell ref="B5:E5"/>
    <mergeCell ref="B6:E6"/>
  </mergeCells>
  <dataValidations count="1">
    <dataValidation type="list" allowBlank="1" showInputMessage="1" showErrorMessage="1" sqref="H4" xr:uid="{FFB7349A-EB01-BE4A-B0A1-EF5FDDBA458F}">
      <formula1>div_list</formula1>
    </dataValidation>
  </dataValidations>
  <hyperlinks>
    <hyperlink ref="B2" location="MENU!D8" display="MENU" xr:uid="{B4F96E64-81C6-3249-875E-1D0A2D585F3B}"/>
  </hyperlinks>
  <pageMargins left="0.7" right="0.7" top="0.75" bottom="0.75" header="0.3" footer="0.3"/>
  <pageSetup paperSize="9" scale="83" fitToHeight="5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FBD6-61F7-9F43-BD47-7ED1D5C61A30}">
  <sheetPr codeName="Sheet12" filterMode="1">
    <pageSetUpPr fitToPage="1"/>
  </sheetPr>
  <dimension ref="B2:L170"/>
  <sheetViews>
    <sheetView showGridLines="0" zoomScale="70" zoomScaleNormal="70" workbookViewId="0">
      <pane ySplit="7" topLeftCell="A8" activePane="bottomLeft" state="frozen"/>
      <selection pane="bottomLeft" activeCell="I121" sqref="I121"/>
    </sheetView>
  </sheetViews>
  <sheetFormatPr defaultColWidth="10.875" defaultRowHeight="23.1" customHeight="1" outlineLevelCol="1"/>
  <cols>
    <col min="1" max="1" width="3.375" style="1" customWidth="1"/>
    <col min="2" max="2" width="12.625" style="1" customWidth="1"/>
    <col min="3" max="3" width="51.375" style="1" customWidth="1"/>
    <col min="4" max="4" width="17.375" style="37" hidden="1" customWidth="1" outlineLevel="1"/>
    <col min="5" max="5" width="17.375" style="37" customWidth="1" collapsed="1"/>
    <col min="6" max="6" width="23.625" style="1" customWidth="1"/>
    <col min="7" max="7" width="4.125" style="1" customWidth="1"/>
    <col min="8" max="8" width="15" style="1" customWidth="1"/>
    <col min="9" max="9" width="10" style="1" customWidth="1"/>
    <col min="10" max="10" width="19.5" style="1" customWidth="1"/>
    <col min="11" max="16384" width="10.875" style="1"/>
  </cols>
  <sheetData>
    <row r="2" spans="2:8" ht="23.1" customHeight="1" thickBot="1">
      <c r="B2" s="90" t="s">
        <v>58</v>
      </c>
      <c r="C2" s="135" t="str">
        <f>ARUSKAS!C2</f>
        <v>Kahfizul13@gmail.com</v>
      </c>
      <c r="D2" s="85"/>
      <c r="E2" s="85"/>
      <c r="F2" s="86"/>
    </row>
    <row r="4" spans="2:8" ht="23.1" customHeight="1">
      <c r="B4" s="435" t="str">
        <f>UPPER(BB!B4)</f>
        <v>PERUMDA PARKIR MAKASSAR RAYA</v>
      </c>
      <c r="C4" s="436"/>
      <c r="D4" s="436"/>
      <c r="E4" s="436"/>
      <c r="F4" s="437"/>
    </row>
    <row r="5" spans="2:8" ht="23.1" customHeight="1">
      <c r="B5" s="412" t="s">
        <v>143</v>
      </c>
      <c r="C5" s="413"/>
      <c r="D5" s="413"/>
      <c r="E5" s="413"/>
      <c r="F5" s="414"/>
    </row>
    <row r="6" spans="2:8" ht="23.1" customHeight="1" thickBot="1">
      <c r="B6" s="438" t="str">
        <f>"Periode "&amp;TEXT(awal,"dd-mmm-yyy")&amp;" s/d "&amp;TEXT(akhir,"dd-mmm-yyy")</f>
        <v>Periode 01-Jan-2022 s/d 31-Dec-2022</v>
      </c>
      <c r="C6" s="439"/>
      <c r="D6" s="439"/>
      <c r="E6" s="439"/>
      <c r="F6" s="440"/>
      <c r="H6" s="57" t="s">
        <v>142</v>
      </c>
    </row>
    <row r="7" spans="2:8" ht="9.9499999999999993" customHeight="1">
      <c r="H7" s="35">
        <f>IF(OR(E7&gt;0,E7&lt;0,E7=""),1,0)</f>
        <v>1</v>
      </c>
    </row>
    <row r="8" spans="2:8" ht="23.1" customHeight="1">
      <c r="B8" s="2" t="s">
        <v>144</v>
      </c>
      <c r="D8" s="49"/>
      <c r="E8" s="49"/>
      <c r="H8" s="35">
        <f t="shared" ref="H8:H97" si="0">IF(OR(E8&gt;0,E8&lt;0,E8=""),1,0)</f>
        <v>1</v>
      </c>
    </row>
    <row r="9" spans="2:8" ht="23.1" customHeight="1">
      <c r="B9" s="4" t="s">
        <v>144</v>
      </c>
      <c r="D9" s="49"/>
      <c r="E9" s="49"/>
      <c r="H9" s="35"/>
    </row>
    <row r="10" spans="2:8" ht="23.1" customHeight="1">
      <c r="B10" s="3" t="str">
        <f>AKUN!H138</f>
        <v>410101 | PENDAPATAN PARKIR TEPI JALAN UMUM (TJU)</v>
      </c>
      <c r="D10" s="37">
        <f t="shared" ref="D10:D16" si="1">IF(INDEX(typ_sn,MATCH(INDEX(akun_type,MATCH(B10,akun_kb,0)),typ_ket,0))="KR",SUMIF(nrl_kode,INDEX(akun_kd,MATCH(B10,akun_kb,0)),nrl_sakr)-SUMIF(nrl_kode,INDEX(akun_kd,MATCH(B10,akun_kb,0)),nrl_sadb),SUMIF(nrl_kode,INDEX(akun_kd,MATCH(B10,akun_kb,0)),nrl_sakr)-SUMIF(nrl_kode,INDEX(akun_kd,MATCH(B10,akun_kb,0)),nrl_sadb))</f>
        <v>0</v>
      </c>
      <c r="E10" s="37">
        <f t="shared" ref="E10:E16" si="2">IF(INDEX(typ_sn,MATCH(INDEX(akun_type,MATCH(B10,akun_kb,0)),typ_ket,0))="KR",SUMIF(nrl_kode,INDEX(akun_kd,MATCH(B10,akun_kb,0)),nrl_grkkr)-SUMIF(nrl_kode,INDEX(akun_kd,MATCH(B10,akun_kb,0)),nrl_grkdb),SUMIF(nrl_kode,INDEX(akun_kd,MATCH(B10,akun_kb,0)),nrl_grkkr)-SUMIF(nrl_kode,INDEX(akun_kd,MATCH(B10,akun_kb,0)),nrl_grkdb))</f>
        <v>8275697000</v>
      </c>
      <c r="H10" s="35">
        <f t="shared" si="0"/>
        <v>1</v>
      </c>
    </row>
    <row r="11" spans="2:8" ht="23.1" customHeight="1">
      <c r="B11" s="3" t="str">
        <f>AKUN!H139</f>
        <v>410102 | PENDAPATAN PARKIR INSIDENTIL</v>
      </c>
      <c r="D11" s="37">
        <f t="shared" si="1"/>
        <v>0</v>
      </c>
      <c r="E11" s="37">
        <f t="shared" si="2"/>
        <v>92066000</v>
      </c>
      <c r="H11" s="35">
        <f t="shared" si="0"/>
        <v>1</v>
      </c>
    </row>
    <row r="12" spans="2:8" ht="23.1" customHeight="1">
      <c r="B12" s="3" t="str">
        <f>AKUN!H140</f>
        <v>410103 | PENDAPATAN PARKIR KOMERSIL</v>
      </c>
      <c r="D12" s="37">
        <f t="shared" si="1"/>
        <v>0</v>
      </c>
      <c r="E12" s="37">
        <f t="shared" si="2"/>
        <v>2618870000</v>
      </c>
      <c r="H12" s="35">
        <f t="shared" ref="H12:H16" si="3">IF(OR(E12&gt;0,E12&lt;0,E12=""),1,0)</f>
        <v>1</v>
      </c>
    </row>
    <row r="13" spans="2:8" ht="23.1" customHeight="1">
      <c r="B13" s="3" t="str">
        <f>AKUN!H141</f>
        <v>410104 | PENDAPATAN PARKIR LANGGANAN BULANAN</v>
      </c>
      <c r="D13" s="37">
        <f t="shared" si="1"/>
        <v>0</v>
      </c>
      <c r="E13" s="37">
        <f t="shared" si="2"/>
        <v>4996184000</v>
      </c>
      <c r="H13" s="35">
        <f t="shared" si="3"/>
        <v>1</v>
      </c>
    </row>
    <row r="14" spans="2:8" ht="23.1" hidden="1" customHeight="1">
      <c r="B14" s="3" t="str">
        <f>AKUN!H142</f>
        <v>410105 | PENDAPATAN SEWA LAHAN PARKIR</v>
      </c>
      <c r="D14" s="37">
        <f t="shared" si="1"/>
        <v>0</v>
      </c>
      <c r="E14" s="37">
        <f t="shared" si="2"/>
        <v>0</v>
      </c>
      <c r="H14" s="35">
        <f t="shared" si="3"/>
        <v>0</v>
      </c>
    </row>
    <row r="15" spans="2:8" ht="23.1" hidden="1" customHeight="1">
      <c r="B15" s="3" t="str">
        <f>AKUN!H143</f>
        <v xml:space="preserve">410106 | PENDAPATAN PARKIR </v>
      </c>
      <c r="D15" s="37">
        <f t="shared" si="1"/>
        <v>0</v>
      </c>
      <c r="E15" s="37">
        <f t="shared" si="2"/>
        <v>0</v>
      </c>
      <c r="H15" s="35">
        <f t="shared" si="3"/>
        <v>0</v>
      </c>
    </row>
    <row r="16" spans="2:8" ht="23.1" customHeight="1">
      <c r="B16" s="3" t="str">
        <f>AKUN!H144</f>
        <v>410107 | PENDAPATAN PARKIR TEKHNOLOGI / ONLINE</v>
      </c>
      <c r="D16" s="37">
        <f t="shared" si="1"/>
        <v>0</v>
      </c>
      <c r="E16" s="37">
        <f t="shared" si="2"/>
        <v>1089765000</v>
      </c>
      <c r="H16" s="35">
        <f t="shared" si="3"/>
        <v>1</v>
      </c>
    </row>
    <row r="17" spans="2:8" ht="23.1" customHeight="1">
      <c r="B17" s="325" t="s">
        <v>145</v>
      </c>
      <c r="C17" s="86"/>
      <c r="D17" s="85">
        <f>SUM(D10:D16)</f>
        <v>0</v>
      </c>
      <c r="E17" s="85"/>
      <c r="F17" s="326">
        <f>SUM(E10:E16)</f>
        <v>17072582000</v>
      </c>
      <c r="H17" s="35"/>
    </row>
    <row r="18" spans="2:8" ht="23.1" customHeight="1">
      <c r="B18" s="4" t="s">
        <v>365</v>
      </c>
      <c r="H18" s="35"/>
    </row>
    <row r="19" spans="2:8" ht="23.1" customHeight="1">
      <c r="B19" s="3" t="str">
        <f>AKUN!H146</f>
        <v>420101 | POTONGAN / PENGURANG PENDAPATAN - TJU</v>
      </c>
      <c r="D19" s="37">
        <f t="shared" ref="D19:D25" si="4">IF(INDEX(typ_sn,MATCH(INDEX(akun_type,MATCH(B19,akun_kb,0)),typ_ket,0))="KR",SUMIF(nrl_kode,INDEX(akun_kd,MATCH(B19,akun_kb,0)),nrl_sakr)-SUMIF(nrl_kode,INDEX(akun_kd,MATCH(B19,akun_kb,0)),nrl_sadb),SUMIF(nrl_kode,INDEX(akun_kd,MATCH(B19,akun_kb,0)),nrl_sakr)-SUMIF(nrl_kode,INDEX(akun_kd,MATCH(B19,akun_kb,0)),nrl_sadb))</f>
        <v>0</v>
      </c>
      <c r="E19" s="37">
        <f t="shared" ref="E19:E25" si="5">IF(INDEX(typ_sn,MATCH(INDEX(akun_type,MATCH(B19,akun_kb,0)),typ_ket,0))="KR",SUMIF(nrl_kode,INDEX(akun_kd,MATCH(B19,akun_kb,0)),nrl_grkkr)-SUMIF(nrl_kode,INDEX(akun_kd,MATCH(B19,akun_kb,0)),nrl_grkdb),SUMIF(nrl_kode,INDEX(akun_kd,MATCH(B19,akun_kb,0)),nrl_grkkr)-SUMIF(nrl_kode,INDEX(akun_kd,MATCH(B19,akun_kb,0)),nrl_grkdb))</f>
        <v>-2083455100</v>
      </c>
      <c r="H19" s="35">
        <f t="shared" ref="H19:H26" si="6">IF(OR(E19&gt;0,E19&lt;0,E19=""),1,0)</f>
        <v>1</v>
      </c>
    </row>
    <row r="20" spans="2:8" ht="23.1" hidden="1" customHeight="1">
      <c r="B20" s="3" t="str">
        <f>AKUN!H147</f>
        <v>420102 | POTONGAN / PENGURANG PENDAPATAN - INSIDENTIL</v>
      </c>
      <c r="D20" s="37">
        <f t="shared" si="4"/>
        <v>0</v>
      </c>
      <c r="E20" s="37">
        <f t="shared" si="5"/>
        <v>0</v>
      </c>
      <c r="H20" s="35">
        <f t="shared" si="6"/>
        <v>0</v>
      </c>
    </row>
    <row r="21" spans="2:8" ht="23.1" hidden="1" customHeight="1">
      <c r="B21" s="3" t="str">
        <f>AKUN!H148</f>
        <v>420103 | POTONGAN / PENGURANG PENDAPATAN - KOMERSIAL</v>
      </c>
      <c r="D21" s="37">
        <f t="shared" si="4"/>
        <v>0</v>
      </c>
      <c r="E21" s="37">
        <f t="shared" si="5"/>
        <v>0</v>
      </c>
      <c r="H21" s="35">
        <f t="shared" si="6"/>
        <v>0</v>
      </c>
    </row>
    <row r="22" spans="2:8" ht="23.1" customHeight="1">
      <c r="B22" s="3" t="str">
        <f>AKUN!H149</f>
        <v>420104 | POTONGAN / PENGURANG PENDAPATAN - PLB</v>
      </c>
      <c r="D22" s="37">
        <f t="shared" si="4"/>
        <v>0</v>
      </c>
      <c r="E22" s="37">
        <f t="shared" si="5"/>
        <v>-173807700</v>
      </c>
      <c r="H22" s="35">
        <f t="shared" si="6"/>
        <v>1</v>
      </c>
    </row>
    <row r="23" spans="2:8" ht="23.1" hidden="1" customHeight="1">
      <c r="B23" s="3" t="str">
        <f>AKUN!H150</f>
        <v>420105 | POTONGAN / PENGURANG PENDAPATAN - INSIDENTIL ONLIN</v>
      </c>
      <c r="D23" s="37">
        <f t="shared" si="4"/>
        <v>0</v>
      </c>
      <c r="E23" s="37">
        <f t="shared" si="5"/>
        <v>0</v>
      </c>
      <c r="H23" s="35">
        <f t="shared" si="6"/>
        <v>0</v>
      </c>
    </row>
    <row r="24" spans="2:8" ht="23.1" hidden="1" customHeight="1">
      <c r="B24" s="3" t="str">
        <f>AKUN!H151</f>
        <v>420106 | POTONGAN / PENGURANG PENDAPATAN - KHUSUS BADAN USA</v>
      </c>
      <c r="D24" s="37">
        <f t="shared" si="4"/>
        <v>0</v>
      </c>
      <c r="E24" s="37">
        <f t="shared" si="5"/>
        <v>0</v>
      </c>
      <c r="H24" s="35">
        <f t="shared" si="6"/>
        <v>0</v>
      </c>
    </row>
    <row r="25" spans="2:8" ht="23.1" hidden="1" customHeight="1">
      <c r="B25" s="3" t="str">
        <f>AKUN!H152</f>
        <v>420107 | POTONGAN / PENGURANG PENDAPATAN - TEKNOLOGI / ONLI</v>
      </c>
      <c r="D25" s="37">
        <f t="shared" si="4"/>
        <v>0</v>
      </c>
      <c r="E25" s="37">
        <f t="shared" si="5"/>
        <v>0</v>
      </c>
      <c r="H25" s="35">
        <f t="shared" si="6"/>
        <v>0</v>
      </c>
    </row>
    <row r="26" spans="2:8" ht="23.1" customHeight="1">
      <c r="B26" s="4" t="s">
        <v>495</v>
      </c>
      <c r="D26" s="37">
        <f>SUM(D19:D25)</f>
        <v>0</v>
      </c>
      <c r="F26" s="310">
        <f>SUM(E19:E25)</f>
        <v>-2257262800</v>
      </c>
      <c r="H26" s="35">
        <f t="shared" si="6"/>
        <v>1</v>
      </c>
    </row>
    <row r="27" spans="2:8" ht="23.1" customHeight="1">
      <c r="B27" s="65" t="s">
        <v>145</v>
      </c>
      <c r="C27" s="19"/>
      <c r="D27" s="59">
        <f>D17+D26</f>
        <v>0</v>
      </c>
      <c r="E27" s="46"/>
      <c r="F27" s="59">
        <f>F17+F26</f>
        <v>14815319200</v>
      </c>
      <c r="H27" s="35">
        <f t="shared" si="0"/>
        <v>1</v>
      </c>
    </row>
    <row r="28" spans="2:8" ht="23.1" customHeight="1">
      <c r="B28" s="54" t="s">
        <v>496</v>
      </c>
      <c r="H28" s="35">
        <f t="shared" si="0"/>
        <v>1</v>
      </c>
    </row>
    <row r="29" spans="2:8" ht="23.1" customHeight="1">
      <c r="B29" s="4" t="s">
        <v>147</v>
      </c>
      <c r="H29" s="35"/>
    </row>
    <row r="30" spans="2:8" ht="23.1" customHeight="1">
      <c r="B30" s="3" t="str">
        <f>AKUN!H154</f>
        <v>510101 | BIAYA CETAKAN</v>
      </c>
      <c r="D30" s="37">
        <f t="shared" ref="D30:D32" si="7">IF(INDEX(typ_sn,MATCH(INDEX(akun_type,MATCH(B30,akun_kb,0)),typ_ket,0))="KR",SUMIF(nrl_kode,INDEX(akun_kd,MATCH(B30,akun_kb,0)),nrl_sakr)-SUMIF(nrl_kode,INDEX(akun_kd,MATCH(B30,akun_kb,0)),nrl_sadb),SUMIF(nrl_kode,INDEX(akun_kd,MATCH(B30,akun_kb,0)),nrl_sakr)-SUMIF(nrl_kode,INDEX(akun_kd,MATCH(B30,akun_kb,0)),nrl_sadb))</f>
        <v>0</v>
      </c>
      <c r="E30" s="37">
        <f t="shared" ref="E30:E32" si="8">IF(INDEX(typ_sn,MATCH(INDEX(akun_type,MATCH(B30,akun_kb,0)),typ_ket,0))="KR",SUMIF(nrl_kode,INDEX(akun_kd,MATCH(B30,akun_kb,0)),nrl_grkkr)-SUMIF(nrl_kode,INDEX(akun_kd,MATCH(B30,akun_kb,0)),nrl_grkdb),SUMIF(nrl_kode,INDEX(akun_kd,MATCH(B30,akun_kb,0)),nrl_grkkr)-SUMIF(nrl_kode,INDEX(akun_kd,MATCH(B30,akun_kb,0)),nrl_grkdb))</f>
        <v>-166777600</v>
      </c>
      <c r="H30" s="35">
        <f t="shared" si="0"/>
        <v>1</v>
      </c>
    </row>
    <row r="31" spans="2:8" ht="23.1" customHeight="1">
      <c r="B31" s="3" t="str">
        <f>AKUN!H155</f>
        <v>510102 | BIAYA SURVEY / UJI PETIK</v>
      </c>
      <c r="D31" s="37">
        <f t="shared" si="7"/>
        <v>0</v>
      </c>
      <c r="E31" s="37">
        <f t="shared" si="8"/>
        <v>-12335000</v>
      </c>
      <c r="H31" s="35">
        <f t="shared" si="0"/>
        <v>1</v>
      </c>
    </row>
    <row r="32" spans="2:8" ht="23.1" hidden="1" customHeight="1">
      <c r="B32" s="3" t="str">
        <f>AKUN!H156</f>
        <v>510103 | BIAYA OPERASIONAL TIM PATROLI KHUSUS</v>
      </c>
      <c r="D32" s="37">
        <f t="shared" si="7"/>
        <v>0</v>
      </c>
      <c r="E32" s="37">
        <f t="shared" si="8"/>
        <v>0</v>
      </c>
      <c r="H32" s="35">
        <f t="shared" si="0"/>
        <v>0</v>
      </c>
    </row>
    <row r="33" spans="2:8" ht="23.1" hidden="1" customHeight="1">
      <c r="B33" s="3" t="str">
        <f>AKUN!H157</f>
        <v>510104 | BIAYA OPERASIONAL TIM PATUH PARKIR</v>
      </c>
      <c r="D33" s="37">
        <f t="shared" ref="D33:D53" si="9">IF(INDEX(typ_sn,MATCH(INDEX(akun_type,MATCH(B33,akun_kb,0)),typ_ket,0))="KR",SUMIF(nrl_kode,INDEX(akun_kd,MATCH(B33,akun_kb,0)),nrl_sakr)-SUMIF(nrl_kode,INDEX(akun_kd,MATCH(B33,akun_kb,0)),nrl_sadb),SUMIF(nrl_kode,INDEX(akun_kd,MATCH(B33,akun_kb,0)),nrl_sakr)-SUMIF(nrl_kode,INDEX(akun_kd,MATCH(B33,akun_kb,0)),nrl_sadb))</f>
        <v>0</v>
      </c>
      <c r="E33" s="37">
        <f t="shared" ref="E33:E53" si="10">IF(INDEX(typ_sn,MATCH(INDEX(akun_type,MATCH(B33,akun_kb,0)),typ_ket,0))="KR",SUMIF(nrl_kode,INDEX(akun_kd,MATCH(B33,akun_kb,0)),nrl_grkkr)-SUMIF(nrl_kode,INDEX(akun_kd,MATCH(B33,akun_kb,0)),nrl_grkdb),SUMIF(nrl_kode,INDEX(akun_kd,MATCH(B33,akun_kb,0)),nrl_grkkr)-SUMIF(nrl_kode,INDEX(akun_kd,MATCH(B33,akun_kb,0)),nrl_grkdb))</f>
        <v>0</v>
      </c>
      <c r="H33" s="35">
        <f t="shared" ref="H33:H53" si="11">IF(OR(E33&gt;0,E33&lt;0,E33=""),1,0)</f>
        <v>0</v>
      </c>
    </row>
    <row r="34" spans="2:8" ht="23.1" customHeight="1">
      <c r="B34" s="3" t="str">
        <f>AKUN!H158</f>
        <v>510105 | BIAYA OPERASIONAL PEGAWAI</v>
      </c>
      <c r="D34" s="37">
        <f t="shared" si="9"/>
        <v>0</v>
      </c>
      <c r="E34" s="464">
        <f t="shared" si="10"/>
        <v>-193930000</v>
      </c>
      <c r="H34" s="35">
        <f t="shared" si="11"/>
        <v>1</v>
      </c>
    </row>
    <row r="35" spans="2:8" ht="23.1" customHeight="1">
      <c r="B35" s="3" t="str">
        <f>AKUN!H159</f>
        <v>510106 | BIAYA PAKET THR</v>
      </c>
      <c r="D35" s="37">
        <f t="shared" si="9"/>
        <v>0</v>
      </c>
      <c r="E35" s="464">
        <f t="shared" si="10"/>
        <v>-248976000</v>
      </c>
      <c r="H35" s="35">
        <f t="shared" si="11"/>
        <v>1</v>
      </c>
    </row>
    <row r="36" spans="2:8" ht="23.1" customHeight="1">
      <c r="B36" s="3" t="str">
        <f>AKUN!H160</f>
        <v>510107 | BIAYA SHARING PARKIR ELEKTRONIK</v>
      </c>
      <c r="D36" s="37">
        <f t="shared" si="9"/>
        <v>0</v>
      </c>
      <c r="E36" s="464">
        <f t="shared" si="10"/>
        <v>-56719600</v>
      </c>
      <c r="H36" s="35">
        <f t="shared" si="11"/>
        <v>1</v>
      </c>
    </row>
    <row r="37" spans="2:8" ht="23.1" hidden="1" customHeight="1">
      <c r="B37" s="3" t="str">
        <f>AKUN!H161</f>
        <v>510108 | BIAYA ASURANSI JUKIR</v>
      </c>
      <c r="D37" s="37">
        <f t="shared" si="9"/>
        <v>0</v>
      </c>
      <c r="E37" s="37">
        <f t="shared" si="10"/>
        <v>0</v>
      </c>
      <c r="H37" s="35">
        <f t="shared" si="11"/>
        <v>0</v>
      </c>
    </row>
    <row r="38" spans="2:8" ht="23.1" hidden="1" customHeight="1">
      <c r="B38" s="3" t="str">
        <f>AKUN!H162</f>
        <v>510109 | BIAYA PAKAIAN JUKIR</v>
      </c>
      <c r="D38" s="37">
        <f t="shared" si="9"/>
        <v>0</v>
      </c>
      <c r="E38" s="37">
        <f t="shared" si="10"/>
        <v>0</v>
      </c>
      <c r="H38" s="35">
        <f t="shared" si="11"/>
        <v>0</v>
      </c>
    </row>
    <row r="39" spans="2:8" ht="23.1" customHeight="1">
      <c r="B39" s="3" t="str">
        <f>AKUN!H163</f>
        <v>510110 | BIAYA TIM PENEGAK PERDA</v>
      </c>
      <c r="D39" s="37">
        <f t="shared" si="9"/>
        <v>0</v>
      </c>
      <c r="E39" s="464">
        <f t="shared" si="10"/>
        <v>-91115000</v>
      </c>
      <c r="H39" s="35">
        <f t="shared" si="11"/>
        <v>1</v>
      </c>
    </row>
    <row r="40" spans="2:8" ht="23.1" hidden="1" customHeight="1">
      <c r="B40" s="3" t="str">
        <f>AKUN!H164</f>
        <v>510111 | BIAYA UPAH PUNGUT KOLEKTOR</v>
      </c>
      <c r="D40" s="37">
        <f t="shared" si="9"/>
        <v>0</v>
      </c>
      <c r="E40" s="37">
        <f t="shared" si="10"/>
        <v>0</v>
      </c>
      <c r="H40" s="35">
        <f t="shared" si="11"/>
        <v>0</v>
      </c>
    </row>
    <row r="41" spans="2:8" ht="23.1" customHeight="1">
      <c r="B41" s="3" t="str">
        <f>AKUN!H165</f>
        <v>510112 | BIAYA PAJAK PARKIR PLB</v>
      </c>
      <c r="D41" s="37">
        <f t="shared" si="9"/>
        <v>0</v>
      </c>
      <c r="E41" s="464">
        <f t="shared" si="10"/>
        <v>-7620000</v>
      </c>
      <c r="H41" s="35">
        <f t="shared" si="11"/>
        <v>1</v>
      </c>
    </row>
    <row r="42" spans="2:8" ht="23.1" customHeight="1">
      <c r="B42" s="3" t="str">
        <f>AKUN!H166</f>
        <v>510113 | BIAYA ID CARD</v>
      </c>
      <c r="D42" s="37">
        <f t="shared" si="9"/>
        <v>0</v>
      </c>
      <c r="E42" s="464">
        <f t="shared" si="10"/>
        <v>-6501500</v>
      </c>
      <c r="H42" s="35">
        <f t="shared" si="11"/>
        <v>1</v>
      </c>
    </row>
    <row r="43" spans="2:8" ht="23.1" customHeight="1">
      <c r="B43" s="3" t="str">
        <f>AKUN!H167</f>
        <v>510114 | BIAYA BAHAN BAKAR KENDARAAN OPERASIONAL</v>
      </c>
      <c r="D43" s="37">
        <f t="shared" si="9"/>
        <v>0</v>
      </c>
      <c r="E43" s="464">
        <f t="shared" si="10"/>
        <v>-44500000</v>
      </c>
      <c r="H43" s="35">
        <f t="shared" si="11"/>
        <v>1</v>
      </c>
    </row>
    <row r="44" spans="2:8" ht="23.1" customHeight="1">
      <c r="B44" s="3" t="str">
        <f>AKUN!H168</f>
        <v>510115 | BIAYA MAINTENANCE KENDARAAN OPERASIONAL</v>
      </c>
      <c r="D44" s="37">
        <f t="shared" si="9"/>
        <v>0</v>
      </c>
      <c r="E44" s="464">
        <f t="shared" si="10"/>
        <v>-25160659</v>
      </c>
      <c r="H44" s="35">
        <f t="shared" si="11"/>
        <v>1</v>
      </c>
    </row>
    <row r="45" spans="2:8" ht="23.1" customHeight="1">
      <c r="B45" s="3" t="str">
        <f>AKUN!H169</f>
        <v>510116 | BIAYA SURAT KENDARAAN (STNK)</v>
      </c>
      <c r="D45" s="37">
        <f t="shared" si="9"/>
        <v>0</v>
      </c>
      <c r="E45" s="464">
        <f t="shared" si="10"/>
        <v>-24081950</v>
      </c>
      <c r="H45" s="35">
        <f t="shared" si="11"/>
        <v>1</v>
      </c>
    </row>
    <row r="46" spans="2:8" ht="23.1" customHeight="1">
      <c r="B46" s="3" t="str">
        <f>AKUN!H170</f>
        <v>510117 | BIAYA SHARING PENETAPAN BARU PLB</v>
      </c>
      <c r="D46" s="37">
        <f t="shared" si="9"/>
        <v>0</v>
      </c>
      <c r="E46" s="37">
        <f t="shared" si="10"/>
        <v>-9105000</v>
      </c>
      <c r="H46" s="35">
        <f t="shared" si="11"/>
        <v>1</v>
      </c>
    </row>
    <row r="47" spans="2:8" ht="23.1" hidden="1" customHeight="1">
      <c r="B47" s="3" t="str">
        <f>AKUN!H171</f>
        <v>510118 | BIAYA CSR</v>
      </c>
      <c r="D47" s="37">
        <f t="shared" si="9"/>
        <v>0</v>
      </c>
      <c r="E47" s="37">
        <f t="shared" si="10"/>
        <v>0</v>
      </c>
      <c r="H47" s="35">
        <f t="shared" si="11"/>
        <v>0</v>
      </c>
    </row>
    <row r="48" spans="2:8" ht="23.1" hidden="1" customHeight="1">
      <c r="B48" s="3" t="str">
        <f>AKUN!H172</f>
        <v>510119 | BIAYA PEMBINAAN LORONG</v>
      </c>
      <c r="D48" s="37">
        <f t="shared" si="9"/>
        <v>0</v>
      </c>
      <c r="E48" s="37">
        <f t="shared" si="10"/>
        <v>0</v>
      </c>
      <c r="H48" s="35">
        <f t="shared" si="11"/>
        <v>0</v>
      </c>
    </row>
    <row r="49" spans="2:8" ht="23.1" hidden="1" customHeight="1">
      <c r="B49" s="3" t="str">
        <f>AKUN!H173</f>
        <v>510120 | BIAYA KARTU CASHLESS</v>
      </c>
      <c r="D49" s="37">
        <f t="shared" si="9"/>
        <v>0</v>
      </c>
      <c r="E49" s="37">
        <f t="shared" si="10"/>
        <v>0</v>
      </c>
      <c r="H49" s="35">
        <f t="shared" si="11"/>
        <v>0</v>
      </c>
    </row>
    <row r="50" spans="2:8" ht="23.1" hidden="1" customHeight="1">
      <c r="B50" s="3" t="str">
        <f>AKUN!H174</f>
        <v>510121 | BIAYA OPERASIONAL JUKIR</v>
      </c>
      <c r="D50" s="37">
        <f t="shared" si="9"/>
        <v>0</v>
      </c>
      <c r="E50" s="37">
        <f t="shared" si="10"/>
        <v>0</v>
      </c>
      <c r="H50" s="35">
        <f t="shared" si="11"/>
        <v>0</v>
      </c>
    </row>
    <row r="51" spans="2:8" ht="23.1" customHeight="1">
      <c r="B51" s="3" t="str">
        <f>AKUN!H175</f>
        <v>510122 | BIAYA PERBAIKAN LAHAN PARKIR</v>
      </c>
      <c r="D51" s="37">
        <f t="shared" si="9"/>
        <v>0</v>
      </c>
      <c r="E51" s="37">
        <f t="shared" si="10"/>
        <v>-135000</v>
      </c>
      <c r="H51" s="35">
        <f t="shared" si="11"/>
        <v>1</v>
      </c>
    </row>
    <row r="52" spans="2:8" ht="23.1" hidden="1" customHeight="1">
      <c r="B52" s="3" t="str">
        <f>AKUN!H176</f>
        <v>510123 | BIAYA SHARING KTI</v>
      </c>
      <c r="D52" s="37">
        <f t="shared" si="9"/>
        <v>0</v>
      </c>
      <c r="E52" s="37">
        <f t="shared" si="10"/>
        <v>0</v>
      </c>
      <c r="H52" s="35">
        <f t="shared" si="11"/>
        <v>0</v>
      </c>
    </row>
    <row r="53" spans="2:8" ht="23.1" hidden="1" customHeight="1">
      <c r="B53" s="3" t="str">
        <f>AKUN!H177</f>
        <v>510124 | BIAYA PENERAPAN MEMBER PARKING KENDARAAN</v>
      </c>
      <c r="D53" s="37">
        <f t="shared" si="9"/>
        <v>0</v>
      </c>
      <c r="E53" s="37">
        <f t="shared" si="10"/>
        <v>0</v>
      </c>
      <c r="H53" s="35">
        <f t="shared" si="11"/>
        <v>0</v>
      </c>
    </row>
    <row r="54" spans="2:8" ht="23.1" customHeight="1">
      <c r="B54" s="325" t="s">
        <v>148</v>
      </c>
      <c r="C54" s="86"/>
      <c r="D54" s="85">
        <f>SUM(D30:D53)</f>
        <v>0</v>
      </c>
      <c r="E54" s="85"/>
      <c r="F54" s="81">
        <f>SUM(E30:E53)</f>
        <v>-886957309</v>
      </c>
      <c r="H54" s="35">
        <f t="shared" ref="H54:H61" si="12">IF(OR(E54&gt;0,E54&lt;0,E54=""),1,0)</f>
        <v>1</v>
      </c>
    </row>
    <row r="55" spans="2:8" ht="23.1" customHeight="1">
      <c r="B55" s="4" t="s">
        <v>383</v>
      </c>
      <c r="H55" s="35"/>
    </row>
    <row r="56" spans="2:8" ht="23.1" customHeight="1">
      <c r="B56" s="3" t="str">
        <f>AKUN!H179</f>
        <v>510201 | BIAYA TRANSPORT KOLEKTOR TJU</v>
      </c>
      <c r="D56" s="37">
        <f t="shared" ref="D56:D60" si="13">IF(INDEX(typ_sn,MATCH(INDEX(akun_type,MATCH(B56,akun_kb,0)),typ_ket,0))="KR",SUMIF(nrl_kode,INDEX(akun_kd,MATCH(B56,akun_kb,0)),nrl_sakr)-SUMIF(nrl_kode,INDEX(akun_kd,MATCH(B56,akun_kb,0)),nrl_sadb),SUMIF(nrl_kode,INDEX(akun_kd,MATCH(B56,akun_kb,0)),nrl_sakr)-SUMIF(nrl_kode,INDEX(akun_kd,MATCH(B56,akun_kb,0)),nrl_sadb))</f>
        <v>0</v>
      </c>
      <c r="E56" s="37">
        <f t="shared" ref="E56:E60" si="14">IF(INDEX(typ_sn,MATCH(INDEX(akun_type,MATCH(B56,akun_kb,0)),typ_ket,0))="KR",SUMIF(nrl_kode,INDEX(akun_kd,MATCH(B56,akun_kb,0)),nrl_grkkr)-SUMIF(nrl_kode,INDEX(akun_kd,MATCH(B56,akun_kb,0)),nrl_grkdb),SUMIF(nrl_kode,INDEX(akun_kd,MATCH(B56,akun_kb,0)),nrl_grkkr)-SUMIF(nrl_kode,INDEX(akun_kd,MATCH(B56,akun_kb,0)),nrl_grkdb))</f>
        <v>-47200450</v>
      </c>
      <c r="H56" s="35">
        <f t="shared" si="12"/>
        <v>1</v>
      </c>
    </row>
    <row r="57" spans="2:8" ht="23.1" hidden="1" customHeight="1">
      <c r="B57" s="3" t="str">
        <f>AKUN!H180</f>
        <v>510202 | BIAYA TRANSPORT INSIDENTIL</v>
      </c>
      <c r="D57" s="37">
        <f t="shared" si="13"/>
        <v>0</v>
      </c>
      <c r="E57" s="37">
        <f t="shared" si="14"/>
        <v>0</v>
      </c>
      <c r="H57" s="35">
        <f t="shared" si="12"/>
        <v>0</v>
      </c>
    </row>
    <row r="58" spans="2:8" ht="23.1" customHeight="1">
      <c r="B58" s="3" t="str">
        <f>AKUN!H181</f>
        <v>510203 | BIAYA TRANSPORT KOMERSIAL</v>
      </c>
      <c r="D58" s="37">
        <f t="shared" si="13"/>
        <v>0</v>
      </c>
      <c r="E58" s="37">
        <f t="shared" si="14"/>
        <v>-55898450</v>
      </c>
      <c r="H58" s="35">
        <f t="shared" si="12"/>
        <v>1</v>
      </c>
    </row>
    <row r="59" spans="2:8" ht="23.1" customHeight="1">
      <c r="B59" s="3" t="str">
        <f>AKUN!H182</f>
        <v>510204 | BIAYA TRANSPORT KOLEKTOR PLB</v>
      </c>
      <c r="D59" s="37">
        <f t="shared" si="13"/>
        <v>0</v>
      </c>
      <c r="E59" s="37">
        <f t="shared" si="14"/>
        <v>-44304813</v>
      </c>
      <c r="H59" s="35">
        <f t="shared" si="12"/>
        <v>1</v>
      </c>
    </row>
    <row r="60" spans="2:8" ht="23.1" hidden="1" customHeight="1">
      <c r="B60" s="3" t="str">
        <f>AKUN!H183</f>
        <v>510205 | BIAYA TRANSPORT PARKIR IT</v>
      </c>
      <c r="D60" s="37">
        <f t="shared" si="13"/>
        <v>0</v>
      </c>
      <c r="E60" s="37">
        <f t="shared" si="14"/>
        <v>0</v>
      </c>
      <c r="H60" s="35">
        <f t="shared" si="12"/>
        <v>0</v>
      </c>
    </row>
    <row r="61" spans="2:8" ht="23.1" customHeight="1">
      <c r="B61" s="4" t="s">
        <v>497</v>
      </c>
      <c r="D61" s="37">
        <f>SUM(D56:D60)</f>
        <v>0</v>
      </c>
      <c r="F61" s="465">
        <f>SUM(E56:E60)</f>
        <v>-147403713</v>
      </c>
      <c r="H61" s="35">
        <f t="shared" si="12"/>
        <v>1</v>
      </c>
    </row>
    <row r="62" spans="2:8" ht="23.1" customHeight="1">
      <c r="B62" s="65" t="s">
        <v>498</v>
      </c>
      <c r="C62" s="19"/>
      <c r="D62" s="59">
        <f>D54+D61</f>
        <v>0</v>
      </c>
      <c r="E62" s="46"/>
      <c r="F62" s="59">
        <f>F54+F61</f>
        <v>-1034361022</v>
      </c>
      <c r="H62" s="35">
        <f t="shared" si="0"/>
        <v>1</v>
      </c>
    </row>
    <row r="63" spans="2:8" ht="23.1" customHeight="1">
      <c r="B63" s="65" t="s">
        <v>146</v>
      </c>
      <c r="C63" s="19"/>
      <c r="D63" s="59">
        <f>D62+D27</f>
        <v>0</v>
      </c>
      <c r="E63" s="46"/>
      <c r="F63" s="59">
        <f>F62+F27</f>
        <v>13780958178</v>
      </c>
      <c r="H63" s="35">
        <f t="shared" si="0"/>
        <v>1</v>
      </c>
    </row>
    <row r="64" spans="2:8" ht="23.1" customHeight="1">
      <c r="B64" s="54" t="s">
        <v>499</v>
      </c>
      <c r="H64" s="35">
        <f t="shared" si="0"/>
        <v>1</v>
      </c>
    </row>
    <row r="65" spans="2:8" ht="23.1" customHeight="1">
      <c r="B65" s="4" t="s">
        <v>678</v>
      </c>
      <c r="H65" s="35">
        <f t="shared" si="0"/>
        <v>1</v>
      </c>
    </row>
    <row r="66" spans="2:8" ht="23.1" customHeight="1">
      <c r="B66" s="3" t="str">
        <f>AKUN!H186</f>
        <v>610101 | BIAYA HONOR BADAN PENGAWAS DAN STAF BP</v>
      </c>
      <c r="D66" s="37">
        <f t="shared" ref="D66:D92" si="15">IF(INDEX(typ_sn,MATCH(INDEX(akun_type,MATCH(B66,akun_kb,0)),typ_ket,0))="KR",SUMIF(nrl_kode,INDEX(akun_kd,MATCH(B66,akun_kb,0)),nrl_sakr)-SUMIF(nrl_kode,INDEX(akun_kd,MATCH(B66,akun_kb,0)),nrl_sadb),SUMIF(nrl_kode,INDEX(akun_kd,MATCH(B66,akun_kb,0)),nrl_sakr)-SUMIF(nrl_kode,INDEX(akun_kd,MATCH(B66,akun_kb,0)),nrl_sadb))</f>
        <v>0</v>
      </c>
      <c r="E66" s="37">
        <f t="shared" ref="E66:E92" si="16">IF(INDEX(typ_sn,MATCH(INDEX(akun_type,MATCH(B66,akun_kb,0)),typ_ket,0))="KR",SUMIF(nrl_kode,INDEX(akun_kd,MATCH(B66,akun_kb,0)),nrl_grkkr)-SUMIF(nrl_kode,INDEX(akun_kd,MATCH(B66,akun_kb,0)),nrl_grkdb),SUMIF(nrl_kode,INDEX(akun_kd,MATCH(B66,akun_kb,0)),nrl_grkkr)-SUMIF(nrl_kode,INDEX(akun_kd,MATCH(B66,akun_kb,0)),nrl_grkdb))</f>
        <v>-293414074</v>
      </c>
      <c r="H66" s="35">
        <f t="shared" si="0"/>
        <v>1</v>
      </c>
    </row>
    <row r="67" spans="2:8" ht="23.1" customHeight="1">
      <c r="B67" s="3" t="str">
        <f>AKUN!H187</f>
        <v>610102 | BIAYA TUNJANGAN BBM BADAN PENGAWAS</v>
      </c>
      <c r="D67" s="37">
        <f t="shared" si="15"/>
        <v>0</v>
      </c>
      <c r="E67" s="37">
        <f t="shared" si="16"/>
        <v>-16891200</v>
      </c>
      <c r="H67" s="35">
        <f t="shared" si="0"/>
        <v>1</v>
      </c>
    </row>
    <row r="68" spans="2:8" ht="23.1" customHeight="1">
      <c r="B68" s="3" t="str">
        <f>AKUN!H188</f>
        <v>610103 | BIAYA TUNJANGAN MONITORING, EVALUASI DAN PELAPORAN</v>
      </c>
      <c r="D68" s="37">
        <f t="shared" si="15"/>
        <v>0</v>
      </c>
      <c r="E68" s="37">
        <f t="shared" si="16"/>
        <v>-8400000</v>
      </c>
      <c r="H68" s="35">
        <f t="shared" si="0"/>
        <v>1</v>
      </c>
    </row>
    <row r="69" spans="2:8" ht="23.1" customHeight="1">
      <c r="B69" s="3" t="str">
        <f>AKUN!H189</f>
        <v>610104 | BIAYA GAJI DIREKSI</v>
      </c>
      <c r="D69" s="37">
        <f t="shared" si="15"/>
        <v>0</v>
      </c>
      <c r="E69" s="37">
        <f t="shared" si="16"/>
        <v>-717678692</v>
      </c>
      <c r="H69" s="35">
        <f t="shared" si="0"/>
        <v>1</v>
      </c>
    </row>
    <row r="70" spans="2:8" ht="23.1" customHeight="1">
      <c r="B70" s="3" t="str">
        <f>AKUN!H190</f>
        <v>610105 | BIAYA GAJI DAN TUNJANGAN PEGAWAI ORGANIK</v>
      </c>
      <c r="D70" s="37">
        <f t="shared" si="15"/>
        <v>0</v>
      </c>
      <c r="E70" s="37">
        <f t="shared" si="16"/>
        <v>-2481354840</v>
      </c>
      <c r="H70" s="35">
        <f t="shared" si="0"/>
        <v>1</v>
      </c>
    </row>
    <row r="71" spans="2:8" ht="23.1" customHeight="1">
      <c r="B71" s="3" t="str">
        <f>AKUN!H191</f>
        <v>610106 | BIAYA UPAH TENAGA KONTRAK</v>
      </c>
      <c r="D71" s="37">
        <f t="shared" si="15"/>
        <v>0</v>
      </c>
      <c r="E71" s="37">
        <f t="shared" si="16"/>
        <v>-2551186082</v>
      </c>
      <c r="H71" s="35">
        <f t="shared" si="0"/>
        <v>1</v>
      </c>
    </row>
    <row r="72" spans="2:8" ht="23.1" customHeight="1">
      <c r="B72" s="3" t="str">
        <f>AKUN!H192</f>
        <v>610107 | BIAYA UPAH TENAGA HONOR</v>
      </c>
      <c r="D72" s="37">
        <f t="shared" si="15"/>
        <v>0</v>
      </c>
      <c r="E72" s="37">
        <f t="shared" si="16"/>
        <v>-279234290</v>
      </c>
      <c r="H72" s="35">
        <f t="shared" si="0"/>
        <v>1</v>
      </c>
    </row>
    <row r="73" spans="2:8" ht="23.1" hidden="1" customHeight="1">
      <c r="B73" s="3" t="str">
        <f>AKUN!H193</f>
        <v>610108 | BIAYA INSENTIF DIREKSI DAN KARYAWAN</v>
      </c>
      <c r="D73" s="37">
        <f t="shared" si="15"/>
        <v>0</v>
      </c>
      <c r="E73" s="37">
        <f t="shared" si="16"/>
        <v>0</v>
      </c>
      <c r="H73" s="35">
        <f t="shared" si="0"/>
        <v>0</v>
      </c>
    </row>
    <row r="74" spans="2:8" ht="23.1" hidden="1" customHeight="1">
      <c r="B74" s="3" t="str">
        <f>AKUN!H194</f>
        <v>610109 | BIAYA TUNJANGAN TELEKOMUNIKASI DIREKSI DAN KABAG</v>
      </c>
      <c r="D74" s="37">
        <f t="shared" si="15"/>
        <v>0</v>
      </c>
      <c r="E74" s="37">
        <f t="shared" si="16"/>
        <v>0</v>
      </c>
      <c r="H74" s="35">
        <f t="shared" si="0"/>
        <v>0</v>
      </c>
    </row>
    <row r="75" spans="2:8" ht="23.1" hidden="1" customHeight="1">
      <c r="B75" s="3" t="str">
        <f>AKUN!H195</f>
        <v>610110 | BIAYA TUNJANGAN KOORDINASI DIREKSI</v>
      </c>
      <c r="D75" s="37">
        <f t="shared" si="15"/>
        <v>0</v>
      </c>
      <c r="E75" s="37">
        <f t="shared" si="16"/>
        <v>0</v>
      </c>
      <c r="H75" s="35">
        <f t="shared" si="0"/>
        <v>0</v>
      </c>
    </row>
    <row r="76" spans="2:8" ht="23.1" customHeight="1">
      <c r="B76" s="3" t="str">
        <f>AKUN!H196</f>
        <v>610111 | BIAYA HONOR KONSULTAN HUKUM, KEUANGAN Dan IT</v>
      </c>
      <c r="D76" s="37">
        <f t="shared" si="15"/>
        <v>0</v>
      </c>
      <c r="E76" s="37">
        <f t="shared" si="16"/>
        <v>-16000000</v>
      </c>
      <c r="H76" s="35">
        <f t="shared" si="0"/>
        <v>1</v>
      </c>
    </row>
    <row r="77" spans="2:8" ht="23.1" hidden="1" customHeight="1">
      <c r="B77" s="3" t="str">
        <f>AKUN!H197</f>
        <v>610112 | BIAYA CUTI DIREKSI</v>
      </c>
      <c r="D77" s="37">
        <f t="shared" si="15"/>
        <v>0</v>
      </c>
      <c r="E77" s="37">
        <f t="shared" si="16"/>
        <v>0</v>
      </c>
      <c r="H77" s="35">
        <f t="shared" si="0"/>
        <v>0</v>
      </c>
    </row>
    <row r="78" spans="2:8" ht="23.1" hidden="1" customHeight="1">
      <c r="B78" s="3" t="str">
        <f>AKUN!H198</f>
        <v>610113 | BIAYA LEMBUR DIREKSI DAN PEGAWAI</v>
      </c>
      <c r="D78" s="37">
        <f t="shared" si="15"/>
        <v>0</v>
      </c>
      <c r="E78" s="37">
        <f t="shared" si="16"/>
        <v>0</v>
      </c>
      <c r="H78" s="35">
        <f t="shared" si="0"/>
        <v>0</v>
      </c>
    </row>
    <row r="79" spans="2:8" ht="23.1" customHeight="1">
      <c r="B79" s="3" t="str">
        <f>AKUN!H199</f>
        <v>610114 | BIAYA TUNJANGAN HARI RAYA (GAJI 13)</v>
      </c>
      <c r="D79" s="37">
        <f t="shared" si="15"/>
        <v>0</v>
      </c>
      <c r="E79" s="37">
        <f t="shared" si="16"/>
        <v>-492066281</v>
      </c>
      <c r="H79" s="35">
        <f t="shared" si="0"/>
        <v>1</v>
      </c>
    </row>
    <row r="80" spans="2:8" ht="23.1" hidden="1" customHeight="1">
      <c r="B80" s="3" t="str">
        <f>AKUN!H200</f>
        <v>610115 | BIAYA HONOR TIM PENYUSUN RANPERDA PERUMDA</v>
      </c>
      <c r="D80" s="37">
        <f t="shared" si="15"/>
        <v>0</v>
      </c>
      <c r="E80" s="37">
        <f t="shared" si="16"/>
        <v>0</v>
      </c>
      <c r="H80" s="35">
        <f t="shared" si="0"/>
        <v>0</v>
      </c>
    </row>
    <row r="81" spans="2:8" ht="23.1" hidden="1" customHeight="1">
      <c r="B81" s="3" t="str">
        <f>AKUN!H201</f>
        <v>610116 | BIAYA HONOR TENAGA SUKARELA</v>
      </c>
      <c r="D81" s="37">
        <f t="shared" si="15"/>
        <v>0</v>
      </c>
      <c r="E81" s="37">
        <f t="shared" si="16"/>
        <v>0</v>
      </c>
      <c r="H81" s="35">
        <f t="shared" si="0"/>
        <v>0</v>
      </c>
    </row>
    <row r="82" spans="2:8" ht="23.1" hidden="1" customHeight="1">
      <c r="B82" s="3" t="str">
        <f>AKUN!H202</f>
        <v>610117 | BIAYA TUNJANGAN JABATAN</v>
      </c>
      <c r="D82" s="37">
        <f t="shared" si="15"/>
        <v>0</v>
      </c>
      <c r="E82" s="37">
        <f t="shared" si="16"/>
        <v>0</v>
      </c>
      <c r="H82" s="35">
        <f t="shared" si="0"/>
        <v>0</v>
      </c>
    </row>
    <row r="83" spans="2:8" ht="23.1" hidden="1" customHeight="1">
      <c r="B83" s="3" t="str">
        <f>AKUN!H203</f>
        <v>610118 | TUNJANGAN JAMSOSTEK KESEHATAN</v>
      </c>
      <c r="D83" s="37">
        <f t="shared" si="15"/>
        <v>0</v>
      </c>
      <c r="E83" s="37">
        <f t="shared" si="16"/>
        <v>0</v>
      </c>
      <c r="H83" s="35">
        <f t="shared" si="0"/>
        <v>0</v>
      </c>
    </row>
    <row r="84" spans="2:8" ht="23.1" hidden="1" customHeight="1">
      <c r="B84" s="3" t="str">
        <f>AKUN!H204</f>
        <v>610119 | TUNJANGAN JAMSOSTEK KETENAGAKERJAAN</v>
      </c>
      <c r="D84" s="37">
        <f t="shared" si="15"/>
        <v>0</v>
      </c>
      <c r="E84" s="37">
        <f t="shared" si="16"/>
        <v>0</v>
      </c>
      <c r="H84" s="35">
        <f t="shared" si="0"/>
        <v>0</v>
      </c>
    </row>
    <row r="85" spans="2:8" ht="23.1" hidden="1" customHeight="1">
      <c r="B85" s="3" t="str">
        <f>AKUN!H205</f>
        <v>610120 | TUNJANGAN ISTRI DAN ANAK</v>
      </c>
      <c r="D85" s="37">
        <f t="shared" si="15"/>
        <v>0</v>
      </c>
      <c r="E85" s="37">
        <f t="shared" si="16"/>
        <v>0</v>
      </c>
      <c r="H85" s="35">
        <f t="shared" si="0"/>
        <v>0</v>
      </c>
    </row>
    <row r="86" spans="2:8" ht="23.1" hidden="1" customHeight="1">
      <c r="B86" s="3" t="str">
        <f>AKUN!H206</f>
        <v>610121 | TUNJANGAN TRANSPORT</v>
      </c>
      <c r="D86" s="37">
        <f t="shared" si="15"/>
        <v>0</v>
      </c>
      <c r="E86" s="37">
        <f t="shared" si="16"/>
        <v>0</v>
      </c>
      <c r="H86" s="35">
        <f t="shared" si="0"/>
        <v>0</v>
      </c>
    </row>
    <row r="87" spans="2:8" ht="23.1" hidden="1" customHeight="1">
      <c r="B87" s="3" t="str">
        <f>AKUN!H207</f>
        <v>610122 | REFRESENTASI DIREKSI</v>
      </c>
      <c r="D87" s="37">
        <f t="shared" si="15"/>
        <v>0</v>
      </c>
      <c r="E87" s="37">
        <f t="shared" si="16"/>
        <v>0</v>
      </c>
      <c r="H87" s="35">
        <f t="shared" si="0"/>
        <v>0</v>
      </c>
    </row>
    <row r="88" spans="2:8" ht="23.1" hidden="1" customHeight="1">
      <c r="B88" s="3" t="str">
        <f>AKUN!H208</f>
        <v>610123 | GAJI POKOK PEGAWAI</v>
      </c>
      <c r="D88" s="37">
        <f t="shared" si="15"/>
        <v>0</v>
      </c>
      <c r="E88" s="37">
        <f t="shared" si="16"/>
        <v>0</v>
      </c>
      <c r="H88" s="35">
        <f t="shared" si="0"/>
        <v>0</v>
      </c>
    </row>
    <row r="89" spans="2:8" ht="23.1" hidden="1" customHeight="1">
      <c r="B89" s="3" t="str">
        <f>AKUN!H209</f>
        <v>610125 | TUNJANGAN KESEHATAN DAN BPJS TK-PEGAWAI</v>
      </c>
      <c r="D89" s="37">
        <f t="shared" si="15"/>
        <v>0</v>
      </c>
      <c r="E89" s="37">
        <f t="shared" si="16"/>
        <v>0</v>
      </c>
      <c r="H89" s="35">
        <f t="shared" si="0"/>
        <v>0</v>
      </c>
    </row>
    <row r="90" spans="2:8" ht="23.1" hidden="1" customHeight="1">
      <c r="B90" s="3" t="str">
        <f>AKUN!H210</f>
        <v>610127 | TUNJANGAN MAKAN MINUM TRANSPORTASI &amp; T. KELUARGA</v>
      </c>
      <c r="D90" s="37">
        <f t="shared" si="15"/>
        <v>0</v>
      </c>
      <c r="E90" s="37">
        <f t="shared" si="16"/>
        <v>0</v>
      </c>
      <c r="H90" s="35">
        <f t="shared" si="0"/>
        <v>0</v>
      </c>
    </row>
    <row r="91" spans="2:8" ht="23.1" hidden="1" customHeight="1">
      <c r="B91" s="3" t="str">
        <f>AKUN!H211</f>
        <v>610129 | BIAYA TUNJANGAN HARI RAYA</v>
      </c>
      <c r="D91" s="37">
        <f t="shared" si="15"/>
        <v>0</v>
      </c>
      <c r="E91" s="37">
        <f t="shared" si="16"/>
        <v>0</v>
      </c>
      <c r="H91" s="35">
        <f t="shared" si="0"/>
        <v>0</v>
      </c>
    </row>
    <row r="92" spans="2:8" ht="23.1" customHeight="1">
      <c r="B92" s="3" t="str">
        <f>AKUN!H212</f>
        <v>610130 | BIAYA HONOR KOMITE AUDIT</v>
      </c>
      <c r="D92" s="37">
        <f t="shared" si="15"/>
        <v>0</v>
      </c>
      <c r="E92" s="37">
        <f t="shared" si="16"/>
        <v>-38272500</v>
      </c>
      <c r="H92" s="35">
        <f t="shared" si="0"/>
        <v>1</v>
      </c>
    </row>
    <row r="93" spans="2:8" ht="23.1" customHeight="1">
      <c r="B93" s="325" t="s">
        <v>679</v>
      </c>
      <c r="C93" s="86"/>
      <c r="D93" s="85">
        <f>SUM(D66:D92)</f>
        <v>0</v>
      </c>
      <c r="E93" s="85"/>
      <c r="F93" s="326">
        <f>SUM(E66:E92)</f>
        <v>-6894497959</v>
      </c>
      <c r="H93" s="35"/>
    </row>
    <row r="94" spans="2:8" ht="23.1" customHeight="1">
      <c r="B94" s="4" t="s">
        <v>398</v>
      </c>
      <c r="H94" s="35">
        <f t="shared" si="0"/>
        <v>1</v>
      </c>
    </row>
    <row r="95" spans="2:8" ht="23.1" customHeight="1">
      <c r="B95" s="3" t="str">
        <f>AKUN!H214</f>
        <v>610201 | BIAYA DANA REFRESENTASI DIREKSI</v>
      </c>
      <c r="D95" s="37">
        <f t="shared" ref="D95:D97" si="17">IF(INDEX(typ_sn,MATCH(INDEX(akun_type,MATCH(B95,akun_kb,0)),typ_ket,0))="KR",SUMIF(nrl_kode,INDEX(akun_kd,MATCH(B95,akun_kb,0)),nrl_sakr)-SUMIF(nrl_kode,INDEX(akun_kd,MATCH(B95,akun_kb,0)),nrl_sadb),SUMIF(nrl_kode,INDEX(akun_kd,MATCH(B95,akun_kb,0)),nrl_sakr)-SUMIF(nrl_kode,INDEX(akun_kd,MATCH(B95,akun_kb,0)),nrl_sadb))</f>
        <v>0</v>
      </c>
      <c r="E95" s="37">
        <f t="shared" ref="E95:E97" si="18">IF(INDEX(typ_sn,MATCH(INDEX(akun_type,MATCH(B95,akun_kb,0)),typ_ket,0))="KR",SUMIF(nrl_kode,INDEX(akun_kd,MATCH(B95,akun_kb,0)),nrl_grkkr)-SUMIF(nrl_kode,INDEX(akun_kd,MATCH(B95,akun_kb,0)),nrl_grkdb),SUMIF(nrl_kode,INDEX(akun_kd,MATCH(B95,akun_kb,0)),nrl_grkkr)-SUMIF(nrl_kode,INDEX(akun_kd,MATCH(B95,akun_kb,0)),nrl_grkdb))</f>
        <v>-345016700</v>
      </c>
      <c r="H95" s="35">
        <f t="shared" si="0"/>
        <v>1</v>
      </c>
    </row>
    <row r="96" spans="2:8" ht="23.1" customHeight="1">
      <c r="B96" s="3" t="str">
        <f>AKUN!H215</f>
        <v>610202 | BIAYA KOORDINASI PEMBINA PERUSDA</v>
      </c>
      <c r="D96" s="37">
        <f t="shared" si="17"/>
        <v>0</v>
      </c>
      <c r="E96" s="37">
        <f t="shared" si="18"/>
        <v>-262800000</v>
      </c>
      <c r="H96" s="35">
        <f t="shared" si="0"/>
        <v>1</v>
      </c>
    </row>
    <row r="97" spans="2:8" ht="23.1" hidden="1" customHeight="1">
      <c r="B97" s="3" t="str">
        <f>AKUN!H216</f>
        <v>610203 | BIAYA PENINGKATAN SDM PEGAWAI</v>
      </c>
      <c r="D97" s="37">
        <f t="shared" si="17"/>
        <v>0</v>
      </c>
      <c r="E97" s="37">
        <f t="shared" si="18"/>
        <v>0</v>
      </c>
      <c r="H97" s="35">
        <f t="shared" si="0"/>
        <v>0</v>
      </c>
    </row>
    <row r="98" spans="2:8" ht="23.1" customHeight="1">
      <c r="B98" s="3" t="str">
        <f>AKUN!H217</f>
        <v>610204 | BIAYA SOSIALISASI</v>
      </c>
      <c r="D98" s="37">
        <f t="shared" ref="D98:D150" si="19">IF(INDEX(typ_sn,MATCH(INDEX(akun_type,MATCH(B98,akun_kb,0)),typ_ket,0))="KR",SUMIF(nrl_kode,INDEX(akun_kd,MATCH(B98,akun_kb,0)),nrl_sakr)-SUMIF(nrl_kode,INDEX(akun_kd,MATCH(B98,akun_kb,0)),nrl_sadb),SUMIF(nrl_kode,INDEX(akun_kd,MATCH(B98,akun_kb,0)),nrl_sakr)-SUMIF(nrl_kode,INDEX(akun_kd,MATCH(B98,akun_kb,0)),nrl_sadb))</f>
        <v>0</v>
      </c>
      <c r="E98" s="37">
        <f t="shared" ref="E98:E150" si="20">IF(INDEX(typ_sn,MATCH(INDEX(akun_type,MATCH(B98,akun_kb,0)),typ_ket,0))="KR",SUMIF(nrl_kode,INDEX(akun_kd,MATCH(B98,akun_kb,0)),nrl_grkkr)-SUMIF(nrl_kode,INDEX(akun_kd,MATCH(B98,akun_kb,0)),nrl_grkdb),SUMIF(nrl_kode,INDEX(akun_kd,MATCH(B98,akun_kb,0)),nrl_grkkr)-SUMIF(nrl_kode,INDEX(akun_kd,MATCH(B98,akun_kb,0)),nrl_grkdb))</f>
        <v>-32112087</v>
      </c>
      <c r="H98" s="35">
        <f t="shared" ref="H98:H150" si="21">IF(OR(E98&gt;0,E98&lt;0,E98=""),1,0)</f>
        <v>1</v>
      </c>
    </row>
    <row r="99" spans="2:8" ht="23.1" customHeight="1">
      <c r="B99" s="3" t="str">
        <f>AKUN!H218</f>
        <v>610205 | BIAYA MEDIA CETAK DAN ELEKTRONIK</v>
      </c>
      <c r="D99" s="37">
        <f t="shared" si="19"/>
        <v>0</v>
      </c>
      <c r="E99" s="37">
        <f t="shared" si="20"/>
        <v>-168244200</v>
      </c>
      <c r="H99" s="35">
        <f t="shared" si="21"/>
        <v>1</v>
      </c>
    </row>
    <row r="100" spans="2:8" ht="23.1" hidden="1" customHeight="1">
      <c r="B100" s="3" t="str">
        <f>AKUN!H219</f>
        <v>610206 | BIAYA HONOR PANITIA DAN PEMERIKSA BARANG</v>
      </c>
      <c r="D100" s="37">
        <f t="shared" si="19"/>
        <v>0</v>
      </c>
      <c r="E100" s="37">
        <f t="shared" si="20"/>
        <v>0</v>
      </c>
      <c r="H100" s="35">
        <f t="shared" si="21"/>
        <v>0</v>
      </c>
    </row>
    <row r="101" spans="2:8" ht="23.1" customHeight="1">
      <c r="B101" s="3" t="str">
        <f>AKUN!H220</f>
        <v>610207 | BIAYA ALAT TULIS KANTOR (ATK)</v>
      </c>
      <c r="D101" s="37">
        <f t="shared" si="19"/>
        <v>0</v>
      </c>
      <c r="E101" s="37">
        <f t="shared" si="20"/>
        <v>-43594870</v>
      </c>
      <c r="H101" s="35">
        <f t="shared" si="21"/>
        <v>1</v>
      </c>
    </row>
    <row r="102" spans="2:8" ht="23.1" customHeight="1">
      <c r="B102" s="3" t="str">
        <f>AKUN!H221</f>
        <v>610208 | BIAYA BENDA BENDA POS DAN MATERAI</v>
      </c>
      <c r="D102" s="37">
        <f t="shared" si="19"/>
        <v>0</v>
      </c>
      <c r="E102" s="37">
        <f t="shared" si="20"/>
        <v>-5268000</v>
      </c>
      <c r="H102" s="35">
        <f t="shared" si="21"/>
        <v>1</v>
      </c>
    </row>
    <row r="103" spans="2:8" ht="23.1" customHeight="1">
      <c r="B103" s="3" t="str">
        <f>AKUN!H222</f>
        <v>610209 | BIAYA PEMELIHARAAN BANGUNAN KANTOR</v>
      </c>
      <c r="D103" s="37">
        <f t="shared" si="19"/>
        <v>0</v>
      </c>
      <c r="E103" s="37">
        <f t="shared" si="20"/>
        <v>-24355214</v>
      </c>
      <c r="H103" s="35">
        <f t="shared" si="21"/>
        <v>1</v>
      </c>
    </row>
    <row r="104" spans="2:8" ht="23.1" customHeight="1">
      <c r="B104" s="3" t="str">
        <f>AKUN!H223</f>
        <v>610210 | BIAYA PEMELIHARAAN INVENTARIS KANTOR</v>
      </c>
      <c r="D104" s="37">
        <f t="shared" si="19"/>
        <v>0</v>
      </c>
      <c r="E104" s="37">
        <f t="shared" si="20"/>
        <v>-40225000</v>
      </c>
      <c r="H104" s="35">
        <f t="shared" si="21"/>
        <v>1</v>
      </c>
    </row>
    <row r="105" spans="2:8" ht="23.1" customHeight="1">
      <c r="B105" s="3" t="str">
        <f>AKUN!H224</f>
        <v>610211 | BIAYA TELEPON KANTOR</v>
      </c>
      <c r="D105" s="37">
        <f t="shared" si="19"/>
        <v>0</v>
      </c>
      <c r="E105" s="37">
        <f t="shared" si="20"/>
        <v>-24213043</v>
      </c>
      <c r="H105" s="35">
        <f t="shared" si="21"/>
        <v>1</v>
      </c>
    </row>
    <row r="106" spans="2:8" ht="23.1" customHeight="1">
      <c r="B106" s="3" t="str">
        <f>AKUN!H225</f>
        <v>610212 | BIAYA LISTRIK DAN ENERGI KANTOR</v>
      </c>
      <c r="D106" s="37">
        <f t="shared" si="19"/>
        <v>0</v>
      </c>
      <c r="E106" s="37">
        <f t="shared" si="20"/>
        <v>-67460456</v>
      </c>
      <c r="H106" s="35">
        <f t="shared" si="21"/>
        <v>1</v>
      </c>
    </row>
    <row r="107" spans="2:8" ht="23.1" customHeight="1">
      <c r="B107" s="3" t="str">
        <f>AKUN!H226</f>
        <v>610213 | BIAYA SEWA FOTO COPY DAN PERJILIDAN</v>
      </c>
      <c r="D107" s="37">
        <f t="shared" si="19"/>
        <v>0</v>
      </c>
      <c r="E107" s="37">
        <f t="shared" si="20"/>
        <v>-10579500</v>
      </c>
      <c r="H107" s="35">
        <f t="shared" si="21"/>
        <v>1</v>
      </c>
    </row>
    <row r="108" spans="2:8" ht="23.1" hidden="1" customHeight="1">
      <c r="B108" s="3" t="str">
        <f>AKUN!H227</f>
        <v>610214 | TUNJANGAN UANG MAKAN DIREKSI</v>
      </c>
      <c r="D108" s="37">
        <f t="shared" si="19"/>
        <v>0</v>
      </c>
      <c r="E108" s="37">
        <f t="shared" si="20"/>
        <v>0</v>
      </c>
      <c r="H108" s="35">
        <f t="shared" si="21"/>
        <v>0</v>
      </c>
    </row>
    <row r="109" spans="2:8" ht="23.1" customHeight="1">
      <c r="B109" s="3" t="str">
        <f>AKUN!H228</f>
        <v>610215 | BIAYA TAMU</v>
      </c>
      <c r="D109" s="37">
        <f t="shared" si="19"/>
        <v>0</v>
      </c>
      <c r="E109" s="37">
        <f t="shared" si="20"/>
        <v>-106248406</v>
      </c>
      <c r="H109" s="35">
        <f t="shared" si="21"/>
        <v>1</v>
      </c>
    </row>
    <row r="110" spans="2:8" ht="23.1" customHeight="1">
      <c r="B110" s="3" t="str">
        <f>AKUN!H229</f>
        <v>610216 | BIAYA PERALATAN DAN PERLENGKAPAN KANTOR</v>
      </c>
      <c r="D110" s="37">
        <f t="shared" si="19"/>
        <v>0</v>
      </c>
      <c r="E110" s="37">
        <f t="shared" si="20"/>
        <v>-46589751</v>
      </c>
      <c r="H110" s="35">
        <f t="shared" si="21"/>
        <v>1</v>
      </c>
    </row>
    <row r="111" spans="2:8" ht="23.1" customHeight="1">
      <c r="B111" s="3" t="str">
        <f>AKUN!H230</f>
        <v>610217 | BIAYA PERJALANAN DINAS</v>
      </c>
      <c r="D111" s="37">
        <f t="shared" si="19"/>
        <v>0</v>
      </c>
      <c r="E111" s="37">
        <f t="shared" si="20"/>
        <v>-106321700</v>
      </c>
      <c r="H111" s="35">
        <f t="shared" si="21"/>
        <v>1</v>
      </c>
    </row>
    <row r="112" spans="2:8" ht="23.1" customHeight="1">
      <c r="B112" s="3" t="str">
        <f>AKUN!H231</f>
        <v>610218 | BIAYA PAKAIAN DINAS DAN UPACARA RESMI</v>
      </c>
      <c r="D112" s="37">
        <f t="shared" si="19"/>
        <v>0</v>
      </c>
      <c r="E112" s="37">
        <f t="shared" si="20"/>
        <v>-126859459</v>
      </c>
      <c r="H112" s="35">
        <f t="shared" si="21"/>
        <v>1</v>
      </c>
    </row>
    <row r="113" spans="2:8" ht="23.1" hidden="1" customHeight="1">
      <c r="B113" s="3" t="str">
        <f>AKUN!H232</f>
        <v>610219 | BIAYA PAKAIAN OLAHRAGA</v>
      </c>
      <c r="D113" s="37">
        <f t="shared" si="19"/>
        <v>0</v>
      </c>
      <c r="E113" s="37">
        <f t="shared" si="20"/>
        <v>0</v>
      </c>
      <c r="H113" s="35">
        <f t="shared" si="21"/>
        <v>0</v>
      </c>
    </row>
    <row r="114" spans="2:8" ht="23.1" hidden="1" customHeight="1">
      <c r="B114" s="3" t="str">
        <f>AKUN!H233</f>
        <v>610220 | BIAYA KEGIATAN DHARMA WANITA DAN KORPRI</v>
      </c>
      <c r="D114" s="37">
        <f t="shared" si="19"/>
        <v>0</v>
      </c>
      <c r="E114" s="37">
        <f t="shared" si="20"/>
        <v>0</v>
      </c>
      <c r="H114" s="35">
        <f t="shared" si="21"/>
        <v>0</v>
      </c>
    </row>
    <row r="115" spans="2:8" ht="23.1" customHeight="1">
      <c r="B115" s="3" t="str">
        <f>AKUN!H234</f>
        <v>610221 | BIAYA PEMBINAAN KEAGAMAAN DAN OLAHRAGA</v>
      </c>
      <c r="D115" s="37">
        <f t="shared" si="19"/>
        <v>0</v>
      </c>
      <c r="E115" s="37">
        <f t="shared" si="20"/>
        <v>-7423000</v>
      </c>
      <c r="H115" s="35">
        <f t="shared" si="21"/>
        <v>1</v>
      </c>
    </row>
    <row r="116" spans="2:8" ht="23.1" customHeight="1">
      <c r="B116" s="3" t="str">
        <f>AKUN!H235</f>
        <v>610222 | BIAYA PERAYAAN DAERAH DAN NASIONAL</v>
      </c>
      <c r="D116" s="37">
        <f t="shared" si="19"/>
        <v>0</v>
      </c>
      <c r="E116" s="37">
        <f t="shared" si="20"/>
        <v>-44785500</v>
      </c>
      <c r="H116" s="35">
        <f t="shared" si="21"/>
        <v>1</v>
      </c>
    </row>
    <row r="117" spans="2:8" ht="23.1" customHeight="1">
      <c r="B117" s="3" t="str">
        <f>AKUN!H236</f>
        <v>610223 | BIAYA JASA AUDIT</v>
      </c>
      <c r="D117" s="37">
        <f t="shared" si="19"/>
        <v>0</v>
      </c>
      <c r="E117" s="37">
        <f t="shared" si="20"/>
        <v>-60500000</v>
      </c>
      <c r="H117" s="35">
        <f t="shared" si="21"/>
        <v>1</v>
      </c>
    </row>
    <row r="118" spans="2:8" ht="23.1" customHeight="1">
      <c r="B118" s="3" t="str">
        <f>AKUN!H237</f>
        <v>610225 | BIAYA FAMILY GATHERING</v>
      </c>
      <c r="D118" s="37">
        <f t="shared" si="19"/>
        <v>0</v>
      </c>
      <c r="E118" s="464">
        <f t="shared" si="20"/>
        <v>-31364000</v>
      </c>
      <c r="H118" s="35">
        <f t="shared" si="21"/>
        <v>1</v>
      </c>
    </row>
    <row r="119" spans="2:8" ht="23.1" hidden="1" customHeight="1">
      <c r="B119" s="3" t="str">
        <f>AKUN!H238</f>
        <v>610226 | BIAYA PENDIDIKAN</v>
      </c>
      <c r="D119" s="37">
        <f t="shared" si="19"/>
        <v>0</v>
      </c>
      <c r="E119" s="37">
        <f t="shared" si="20"/>
        <v>0</v>
      </c>
      <c r="H119" s="35">
        <f t="shared" si="21"/>
        <v>0</v>
      </c>
    </row>
    <row r="120" spans="2:8" ht="23.1" customHeight="1">
      <c r="B120" s="3" t="str">
        <f>AKUN!H239</f>
        <v>610227 | BIAYA REWARD PEGAWAI</v>
      </c>
      <c r="D120" s="37">
        <f t="shared" si="19"/>
        <v>0</v>
      </c>
      <c r="E120" s="464">
        <f t="shared" si="20"/>
        <v>-6550288</v>
      </c>
      <c r="H120" s="35">
        <f t="shared" si="21"/>
        <v>1</v>
      </c>
    </row>
    <row r="121" spans="2:8" ht="23.1" customHeight="1">
      <c r="B121" s="3" t="str">
        <f>AKUN!H240</f>
        <v>610228 | BIAYA ASURANSI DAN SANTUNAN JUKIR DAN PEGAWAI</v>
      </c>
      <c r="D121" s="37">
        <f t="shared" si="19"/>
        <v>0</v>
      </c>
      <c r="E121" s="464">
        <f t="shared" si="20"/>
        <v>-256230008</v>
      </c>
      <c r="H121" s="35">
        <f t="shared" si="21"/>
        <v>1</v>
      </c>
    </row>
    <row r="122" spans="2:8" ht="23.1" hidden="1" customHeight="1">
      <c r="B122" s="3" t="str">
        <f>AKUN!H241</f>
        <v>610229 | BIAYA PAJAK PPH BADAN</v>
      </c>
      <c r="D122" s="37">
        <f t="shared" si="19"/>
        <v>0</v>
      </c>
      <c r="E122" s="37">
        <f t="shared" si="20"/>
        <v>0</v>
      </c>
      <c r="H122" s="35">
        <f t="shared" si="21"/>
        <v>0</v>
      </c>
    </row>
    <row r="123" spans="2:8" ht="23.1" customHeight="1">
      <c r="B123" s="3" t="str">
        <f>AKUN!H242</f>
        <v>610230 | BIAYA INSENTIF PEMBUATAN RKAP DAN PERDA</v>
      </c>
      <c r="D123" s="37">
        <f t="shared" si="19"/>
        <v>0</v>
      </c>
      <c r="E123" s="464">
        <f t="shared" si="20"/>
        <v>-5100000</v>
      </c>
      <c r="H123" s="35">
        <f t="shared" si="21"/>
        <v>1</v>
      </c>
    </row>
    <row r="124" spans="2:8" ht="23.1" hidden="1" customHeight="1">
      <c r="B124" s="3" t="str">
        <f>AKUN!H243</f>
        <v>610231 | BIAYA HONOR TIM AHLI</v>
      </c>
      <c r="D124" s="37">
        <f t="shared" si="19"/>
        <v>0</v>
      </c>
      <c r="E124" s="37">
        <f t="shared" si="20"/>
        <v>0</v>
      </c>
      <c r="H124" s="35">
        <f t="shared" si="21"/>
        <v>0</v>
      </c>
    </row>
    <row r="125" spans="2:8" ht="23.1" customHeight="1">
      <c r="B125" s="3" t="str">
        <f>AKUN!H244</f>
        <v>610232 | BIAYA ASSESMENT PEGAWAI</v>
      </c>
      <c r="D125" s="37">
        <f t="shared" si="19"/>
        <v>0</v>
      </c>
      <c r="E125" s="464">
        <f t="shared" si="20"/>
        <v>-132000000</v>
      </c>
      <c r="H125" s="35">
        <f t="shared" si="21"/>
        <v>1</v>
      </c>
    </row>
    <row r="126" spans="2:8" ht="23.1" customHeight="1">
      <c r="B126" s="3" t="str">
        <f>AKUN!H245</f>
        <v>610233 | BIAYA RAKORD DAN RAPAT KERJA PD. PARKIR</v>
      </c>
      <c r="D126" s="37">
        <f t="shared" si="19"/>
        <v>0</v>
      </c>
      <c r="E126" s="464">
        <f t="shared" si="20"/>
        <v>-24856320</v>
      </c>
      <c r="H126" s="35">
        <f t="shared" si="21"/>
        <v>1</v>
      </c>
    </row>
    <row r="127" spans="2:8" ht="23.1" customHeight="1">
      <c r="B127" s="3" t="str">
        <f>AKUN!H246</f>
        <v>610234 | BEBAN PESANGON</v>
      </c>
      <c r="D127" s="37">
        <f t="shared" si="19"/>
        <v>0</v>
      </c>
      <c r="E127" s="464">
        <f t="shared" si="20"/>
        <v>-203530675</v>
      </c>
      <c r="H127" s="35">
        <f t="shared" si="21"/>
        <v>1</v>
      </c>
    </row>
    <row r="128" spans="2:8" ht="23.1" hidden="1" customHeight="1">
      <c r="B128" s="3" t="str">
        <f>AKUN!H247</f>
        <v>610235 | BIAYA PENGHARGAAN</v>
      </c>
      <c r="D128" s="37">
        <f t="shared" si="19"/>
        <v>0</v>
      </c>
      <c r="E128" s="37">
        <f t="shared" si="20"/>
        <v>0</v>
      </c>
      <c r="H128" s="35">
        <f t="shared" si="21"/>
        <v>0</v>
      </c>
    </row>
    <row r="129" spans="2:8" ht="23.1" hidden="1" customHeight="1">
      <c r="B129" s="3" t="str">
        <f>AKUN!H248</f>
        <v>610236 | BEBAN PENGHAPUSAN PIUTANG TAK TERTAGIH</v>
      </c>
      <c r="D129" s="37">
        <f t="shared" si="19"/>
        <v>0</v>
      </c>
      <c r="E129" s="37">
        <f t="shared" si="20"/>
        <v>0</v>
      </c>
      <c r="H129" s="35">
        <f t="shared" si="21"/>
        <v>0</v>
      </c>
    </row>
    <row r="130" spans="2:8" ht="23.1" customHeight="1">
      <c r="B130" s="3" t="str">
        <f>AKUN!H249</f>
        <v>610237 | BEBAN DENDA PAJAK</v>
      </c>
      <c r="D130" s="37">
        <f t="shared" si="19"/>
        <v>0</v>
      </c>
      <c r="E130" s="464">
        <f t="shared" si="20"/>
        <v>-5691380</v>
      </c>
      <c r="H130" s="35">
        <f t="shared" si="21"/>
        <v>1</v>
      </c>
    </row>
    <row r="131" spans="2:8" ht="23.1" customHeight="1">
      <c r="B131" s="3" t="str">
        <f>AKUN!H250</f>
        <v xml:space="preserve">610238 | BEBAN PAJAK TERUTANG </v>
      </c>
      <c r="D131" s="37">
        <f t="shared" si="19"/>
        <v>0</v>
      </c>
      <c r="E131" s="464">
        <f t="shared" si="20"/>
        <v>-17326610</v>
      </c>
      <c r="H131" s="35">
        <f t="shared" si="21"/>
        <v>1</v>
      </c>
    </row>
    <row r="132" spans="2:8" ht="23.1" hidden="1" customHeight="1">
      <c r="B132" s="3" t="str">
        <f>AKUN!H251</f>
        <v>610239 | BEBAN DIVIDEN</v>
      </c>
      <c r="D132" s="37">
        <f t="shared" si="19"/>
        <v>0</v>
      </c>
      <c r="E132" s="37">
        <f t="shared" si="20"/>
        <v>0</v>
      </c>
      <c r="H132" s="35">
        <f t="shared" si="21"/>
        <v>0</v>
      </c>
    </row>
    <row r="133" spans="2:8" ht="23.1" customHeight="1">
      <c r="B133" s="3" t="str">
        <f>AKUN!H252</f>
        <v>610240 | BEBAN PEMBUATAN BISNIS PLAN</v>
      </c>
      <c r="D133" s="37">
        <f t="shared" si="19"/>
        <v>0</v>
      </c>
      <c r="E133" s="464">
        <f t="shared" si="20"/>
        <v>-39960000</v>
      </c>
      <c r="H133" s="35">
        <f t="shared" si="21"/>
        <v>1</v>
      </c>
    </row>
    <row r="134" spans="2:8" ht="23.1" customHeight="1">
      <c r="B134" s="3" t="str">
        <f>AKUN!H253</f>
        <v>610241 | BEBAN PENGAKUAN DPLK DIREKSI (ASURANSI)</v>
      </c>
      <c r="D134" s="37">
        <f t="shared" si="19"/>
        <v>0</v>
      </c>
      <c r="E134" s="464">
        <f t="shared" si="20"/>
        <v>-510000000</v>
      </c>
      <c r="H134" s="35">
        <f t="shared" si="21"/>
        <v>1</v>
      </c>
    </row>
    <row r="135" spans="2:8" ht="23.1" hidden="1" customHeight="1">
      <c r="B135" s="3" t="str">
        <f>AKUN!H254</f>
        <v>610242 | BEBAN PENGAKUAN DPLK KARYAWAN (ASURANSI)</v>
      </c>
      <c r="D135" s="37">
        <f t="shared" si="19"/>
        <v>0</v>
      </c>
      <c r="E135" s="37">
        <f t="shared" si="20"/>
        <v>0</v>
      </c>
      <c r="H135" s="35">
        <f t="shared" si="21"/>
        <v>0</v>
      </c>
    </row>
    <row r="136" spans="2:8" ht="23.1" hidden="1" customHeight="1">
      <c r="B136" s="3" t="str">
        <f>AKUN!H255</f>
        <v>610243 | BEBAN PEMBUATAN DOKUMENT 6</v>
      </c>
      <c r="D136" s="37">
        <f t="shared" si="19"/>
        <v>0</v>
      </c>
      <c r="E136" s="37">
        <f t="shared" si="20"/>
        <v>0</v>
      </c>
      <c r="H136" s="35">
        <f t="shared" si="21"/>
        <v>0</v>
      </c>
    </row>
    <row r="137" spans="2:8" ht="23.1" customHeight="1">
      <c r="B137" s="327" t="s">
        <v>680</v>
      </c>
      <c r="C137" s="86"/>
      <c r="D137" s="85">
        <f>SUM(D95:D136)</f>
        <v>0</v>
      </c>
      <c r="E137" s="85"/>
      <c r="F137" s="326">
        <f>SUM(E95:E136)</f>
        <v>-2755206167</v>
      </c>
      <c r="H137" s="35"/>
    </row>
    <row r="138" spans="2:8" ht="23.1" customHeight="1">
      <c r="B138" s="4" t="s">
        <v>462</v>
      </c>
      <c r="H138" s="35">
        <f t="shared" si="21"/>
        <v>1</v>
      </c>
    </row>
    <row r="139" spans="2:8" ht="23.1" hidden="1" customHeight="1">
      <c r="B139" s="3" t="str">
        <f>AKUN!H257</f>
        <v>610301 | BUNGA PINJAMAN (KREDIT INVESTASI)</v>
      </c>
      <c r="D139" s="37">
        <f t="shared" si="19"/>
        <v>0</v>
      </c>
      <c r="E139" s="37">
        <f t="shared" si="20"/>
        <v>0</v>
      </c>
      <c r="H139" s="35">
        <f t="shared" si="21"/>
        <v>0</v>
      </c>
    </row>
    <row r="140" spans="2:8" ht="23.1" hidden="1" customHeight="1">
      <c r="B140" s="3" t="str">
        <f>AKUN!H258</f>
        <v>610302 | BUNGA PINJAMAN (MODAL KERJA)</v>
      </c>
      <c r="D140" s="37">
        <f t="shared" si="19"/>
        <v>0</v>
      </c>
      <c r="E140" s="37">
        <f t="shared" si="20"/>
        <v>0</v>
      </c>
      <c r="H140" s="35">
        <f t="shared" si="21"/>
        <v>0</v>
      </c>
    </row>
    <row r="141" spans="2:8" ht="23.1" hidden="1" customHeight="1">
      <c r="B141" s="3" t="str">
        <f>AKUN!H259</f>
        <v>610303 | BUNGA LEASING</v>
      </c>
      <c r="D141" s="37">
        <f t="shared" si="19"/>
        <v>0</v>
      </c>
      <c r="E141" s="37">
        <f t="shared" si="20"/>
        <v>0</v>
      </c>
      <c r="H141" s="35">
        <f t="shared" si="21"/>
        <v>0</v>
      </c>
    </row>
    <row r="142" spans="2:8" ht="23.1" customHeight="1">
      <c r="B142" s="327" t="s">
        <v>681</v>
      </c>
      <c r="C142" s="86"/>
      <c r="D142" s="85">
        <f>SUM(D139:D141)</f>
        <v>0</v>
      </c>
      <c r="E142" s="85"/>
      <c r="F142" s="326">
        <f>SUM(E139:E141)</f>
        <v>0</v>
      </c>
      <c r="H142" s="35"/>
    </row>
    <row r="143" spans="2:8" ht="23.1" customHeight="1">
      <c r="B143" s="4" t="s">
        <v>466</v>
      </c>
      <c r="H143" s="35">
        <f t="shared" si="21"/>
        <v>1</v>
      </c>
    </row>
    <row r="144" spans="2:8" ht="23.1" customHeight="1">
      <c r="B144" s="3" t="str">
        <f>AKUN!H261</f>
        <v>610401 | BEBAN PENYUSUTAN BANGUNAN KANTOR</v>
      </c>
      <c r="D144" s="37">
        <f t="shared" si="19"/>
        <v>0</v>
      </c>
      <c r="E144" s="37">
        <f t="shared" si="20"/>
        <v>-33677508</v>
      </c>
      <c r="H144" s="35">
        <f t="shared" si="21"/>
        <v>1</v>
      </c>
    </row>
    <row r="145" spans="2:12" ht="23.1" customHeight="1">
      <c r="B145" s="3" t="str">
        <f>AKUN!H262</f>
        <v>610402 | BEBAN PENYUSUTAN KENDARAAN</v>
      </c>
      <c r="D145" s="37">
        <f t="shared" si="19"/>
        <v>0</v>
      </c>
      <c r="E145" s="37">
        <f t="shared" si="20"/>
        <v>-348383400</v>
      </c>
      <c r="H145" s="35">
        <f t="shared" si="21"/>
        <v>1</v>
      </c>
    </row>
    <row r="146" spans="2:12" ht="23.1" customHeight="1">
      <c r="B146" s="3" t="str">
        <f>AKUN!H263</f>
        <v>610403 | BEBAN PENYUSUTAN RAMBU RAMBU</v>
      </c>
      <c r="D146" s="37">
        <f t="shared" si="19"/>
        <v>0</v>
      </c>
      <c r="E146" s="37">
        <f t="shared" si="20"/>
        <v>-499992</v>
      </c>
      <c r="H146" s="35">
        <f t="shared" si="21"/>
        <v>1</v>
      </c>
    </row>
    <row r="147" spans="2:12" ht="23.1" customHeight="1">
      <c r="B147" s="3" t="str">
        <f>AKUN!H264</f>
        <v>610404 | BEBAN PENYUSUTAN INVENTARIS KANTOR</v>
      </c>
      <c r="D147" s="37">
        <f t="shared" si="19"/>
        <v>0</v>
      </c>
      <c r="E147" s="37">
        <f t="shared" si="20"/>
        <v>-72418494.316666663</v>
      </c>
      <c r="H147" s="35">
        <f t="shared" si="21"/>
        <v>1</v>
      </c>
    </row>
    <row r="148" spans="2:12" ht="23.1" customHeight="1">
      <c r="B148" s="3" t="str">
        <f>AKUN!H265</f>
        <v>610405 | BEBAN AMORTISASI GOODWIL</v>
      </c>
      <c r="D148" s="37">
        <f t="shared" si="19"/>
        <v>0</v>
      </c>
      <c r="E148" s="37">
        <f t="shared" si="20"/>
        <v>-207902750</v>
      </c>
      <c r="H148" s="35">
        <f t="shared" si="21"/>
        <v>1</v>
      </c>
    </row>
    <row r="149" spans="2:12" ht="23.1" customHeight="1">
      <c r="B149" s="3" t="str">
        <f>AKUN!H266</f>
        <v>610406 | AMORTISASI BEBAN DITANGGUHKAN</v>
      </c>
      <c r="D149" s="37">
        <f t="shared" si="19"/>
        <v>0</v>
      </c>
      <c r="E149" s="37">
        <f t="shared" si="20"/>
        <v>-64673333.333333321</v>
      </c>
      <c r="H149" s="35">
        <f t="shared" si="21"/>
        <v>1</v>
      </c>
    </row>
    <row r="150" spans="2:12" ht="23.1" hidden="1" customHeight="1">
      <c r="B150" s="3" t="str">
        <f>AKUN!H267</f>
        <v>610407 | BEBAN AMORTISASI LAINNYA</v>
      </c>
      <c r="D150" s="37">
        <f t="shared" si="19"/>
        <v>0</v>
      </c>
      <c r="E150" s="37">
        <f t="shared" si="20"/>
        <v>0</v>
      </c>
      <c r="H150" s="35">
        <f t="shared" si="21"/>
        <v>0</v>
      </c>
    </row>
    <row r="151" spans="2:12" ht="23.1" hidden="1" customHeight="1">
      <c r="B151" s="3" t="str">
        <f>AKUN!H268</f>
        <v>610408 | BEBAN PENYUSUTAN CMS</v>
      </c>
      <c r="D151" s="37">
        <f t="shared" ref="D151" si="22">IF(INDEX(typ_sn,MATCH(INDEX(akun_type,MATCH(B151,akun_kb,0)),typ_ket,0))="KR",SUMIF(nrl_kode,INDEX(akun_kd,MATCH(B151,akun_kb,0)),nrl_sakr)-SUMIF(nrl_kode,INDEX(akun_kd,MATCH(B151,akun_kb,0)),nrl_sadb),SUMIF(nrl_kode,INDEX(akun_kd,MATCH(B151,akun_kb,0)),nrl_sakr)-SUMIF(nrl_kode,INDEX(akun_kd,MATCH(B151,akun_kb,0)),nrl_sadb))</f>
        <v>0</v>
      </c>
      <c r="E151" s="37">
        <f t="shared" ref="E151" si="23">IF(INDEX(typ_sn,MATCH(INDEX(akun_type,MATCH(B151,akun_kb,0)),typ_ket,0))="KR",SUMIF(nrl_kode,INDEX(akun_kd,MATCH(B151,akun_kb,0)),nrl_grkkr)-SUMIF(nrl_kode,INDEX(akun_kd,MATCH(B151,akun_kb,0)),nrl_grkdb),SUMIF(nrl_kode,INDEX(akun_kd,MATCH(B151,akun_kb,0)),nrl_grkkr)-SUMIF(nrl_kode,INDEX(akun_kd,MATCH(B151,akun_kb,0)),nrl_grkdb))</f>
        <v>0</v>
      </c>
      <c r="H151" s="35">
        <f t="shared" ref="H151" si="24">IF(OR(E151&gt;0,E151&lt;0,E151=""),1,0)</f>
        <v>0</v>
      </c>
    </row>
    <row r="152" spans="2:12" ht="23.1" customHeight="1">
      <c r="B152" s="4" t="s">
        <v>682</v>
      </c>
      <c r="D152" s="37">
        <f>SUM(D144:D150)</f>
        <v>0</v>
      </c>
      <c r="F152" s="310">
        <f>SUM(E144:E151)</f>
        <v>-727555477.64999998</v>
      </c>
      <c r="H152" s="35"/>
    </row>
    <row r="153" spans="2:12" ht="23.1" customHeight="1">
      <c r="B153" s="65" t="s">
        <v>148</v>
      </c>
      <c r="C153" s="19"/>
      <c r="D153" s="59">
        <f>SUM(D66:D152)</f>
        <v>0</v>
      </c>
      <c r="E153" s="46"/>
      <c r="F153" s="55">
        <f>SUM(E66:E150)</f>
        <v>-10377259603.650002</v>
      </c>
      <c r="H153" s="35">
        <f t="shared" ref="H153:H170" si="25">IF(OR(E153&gt;0,E153&lt;0,E153=""),1,0)</f>
        <v>1</v>
      </c>
      <c r="J153" s="310">
        <f>F153-F152-E134+F62+E161+E162</f>
        <v>-10190416389.310003</v>
      </c>
      <c r="K153" s="1">
        <v>-902268608.89999998</v>
      </c>
      <c r="L153" s="310">
        <f>J153-K153</f>
        <v>-9288147780.4100037</v>
      </c>
    </row>
    <row r="154" spans="2:12" ht="23.1" customHeight="1">
      <c r="B154" s="65" t="s">
        <v>149</v>
      </c>
      <c r="C154" s="19"/>
      <c r="D154" s="59">
        <f>D153+D63</f>
        <v>0</v>
      </c>
      <c r="E154" s="46"/>
      <c r="F154" s="55">
        <f>F63+F153</f>
        <v>3403698574.3499985</v>
      </c>
      <c r="H154" s="35">
        <f t="shared" si="25"/>
        <v>1</v>
      </c>
    </row>
    <row r="155" spans="2:12" ht="23.1" customHeight="1">
      <c r="B155" s="54" t="s">
        <v>150</v>
      </c>
      <c r="H155" s="35">
        <f t="shared" si="25"/>
        <v>1</v>
      </c>
    </row>
    <row r="156" spans="2:12" ht="23.1" customHeight="1">
      <c r="B156" s="54" t="s">
        <v>151</v>
      </c>
      <c r="H156" s="35">
        <f t="shared" si="25"/>
        <v>1</v>
      </c>
    </row>
    <row r="157" spans="2:12" ht="23.1" customHeight="1">
      <c r="B157" s="3" t="str">
        <f>AKUN!H270</f>
        <v>710101 | PENDAPATAN JASA GIRO</v>
      </c>
      <c r="D157" s="37">
        <f>IF(INDEX(typ_sn,MATCH(INDEX(akun_type,MATCH(B157,akun_kb,0)),typ_ket,0))="KR",SUMIF(nrl_kode,INDEX(akun_kd,MATCH(B157,akun_kb,0)),nrl_sakr)-SUMIF(nrl_kode,INDEX(akun_kd,MATCH(B157,akun_kb,0)),nrl_sadb),SUMIF(nrl_kode,INDEX(akun_kd,MATCH(B157,akun_kb,0)),nrl_sakr)-SUMIF(nrl_kode,INDEX(akun_kd,MATCH(B157,akun_kb,0)),nrl_sadb))</f>
        <v>0</v>
      </c>
      <c r="E157" s="37">
        <f>IF(INDEX(typ_sn,MATCH(INDEX(akun_type,MATCH(B157,akun_kb,0)),typ_ket,0))="KR",SUMIF(nrl_kode,INDEX(akun_kd,MATCH(B157,akun_kb,0)),nrl_grkkr)-SUMIF(nrl_kode,INDEX(akun_kd,MATCH(B157,akun_kb,0)),nrl_grkdb),SUMIF(nrl_kode,INDEX(akun_kd,MATCH(B157,akun_kb,0)),nrl_grkkr)-SUMIF(nrl_kode,INDEX(akun_kd,MATCH(B157,akun_kb,0)),nrl_grkdb))</f>
        <v>56037279.399999999</v>
      </c>
      <c r="H157" s="35">
        <f t="shared" si="25"/>
        <v>1</v>
      </c>
    </row>
    <row r="158" spans="2:12" ht="23.1" hidden="1" customHeight="1">
      <c r="B158" s="3" t="str">
        <f>AKUN!H271</f>
        <v>710102 | PENDAPATAN PENJUALAN ASSET</v>
      </c>
      <c r="D158" s="37">
        <f>IF(INDEX(typ_sn,MATCH(INDEX(akun_type,MATCH(B158,akun_kb,0)),typ_ket,0))="KR",SUMIF(nrl_kode,INDEX(akun_kd,MATCH(B158,akun_kb,0)),nrl_sakr)-SUMIF(nrl_kode,INDEX(akun_kd,MATCH(B158,akun_kb,0)),nrl_sadb),SUMIF(nrl_kode,INDEX(akun_kd,MATCH(B158,akun_kb,0)),nrl_sakr)-SUMIF(nrl_kode,INDEX(akun_kd,MATCH(B158,akun_kb,0)),nrl_sadb))</f>
        <v>0</v>
      </c>
      <c r="E158" s="37">
        <f>IF(INDEX(typ_sn,MATCH(INDEX(akun_type,MATCH(B158,akun_kb,0)),typ_ket,0))="KR",SUMIF(nrl_kode,INDEX(akun_kd,MATCH(B158,akun_kb,0)),nrl_grkkr)-SUMIF(nrl_kode,INDEX(akun_kd,MATCH(B158,akun_kb,0)),nrl_grkdb),SUMIF(nrl_kode,INDEX(akun_kd,MATCH(B158,akun_kb,0)),nrl_grkkr)-SUMIF(nrl_kode,INDEX(akun_kd,MATCH(B158,akun_kb,0)),nrl_grkdb))</f>
        <v>0</v>
      </c>
      <c r="H158" s="35">
        <f t="shared" si="25"/>
        <v>0</v>
      </c>
    </row>
    <row r="159" spans="2:12" ht="23.1" customHeight="1">
      <c r="B159" s="3" t="str">
        <f>AKUN!H272</f>
        <v>710103 | PENDAPATAN LAIN LAIN</v>
      </c>
      <c r="D159" s="37">
        <f>IF(INDEX(typ_sn,MATCH(INDEX(akun_type,MATCH(B159,akun_kb,0)),typ_ket,0))="KR",SUMIF(nrl_kode,INDEX(akun_kd,MATCH(B159,akun_kb,0)),nrl_sakr)-SUMIF(nrl_kode,INDEX(akun_kd,MATCH(B159,akun_kb,0)),nrl_sadb),SUMIF(nrl_kode,INDEX(akun_kd,MATCH(B159,akun_kb,0)),nrl_sakr)-SUMIF(nrl_kode,INDEX(akun_kd,MATCH(B159,akun_kb,0)),nrl_sadb))</f>
        <v>0</v>
      </c>
      <c r="E159" s="37">
        <f>IF(INDEX(typ_sn,MATCH(INDEX(akun_type,MATCH(B159,akun_kb,0)),typ_ket,0))="KR",SUMIF(nrl_kode,INDEX(akun_kd,MATCH(B159,akun_kb,0)),nrl_grkkr)-SUMIF(nrl_kode,INDEX(akun_kd,MATCH(B159,akun_kb,0)),nrl_grkdb),SUMIF(nrl_kode,INDEX(akun_kd,MATCH(B159,akun_kb,0)),nrl_grkkr)-SUMIF(nrl_kode,INDEX(akun_kd,MATCH(B159,akun_kb,0)),nrl_grkdb))</f>
        <v>48349180</v>
      </c>
      <c r="H159" s="35">
        <f t="shared" si="25"/>
        <v>1</v>
      </c>
    </row>
    <row r="160" spans="2:12" ht="23.1" customHeight="1">
      <c r="B160" s="54" t="s">
        <v>152</v>
      </c>
      <c r="H160" s="35">
        <f t="shared" si="25"/>
        <v>1</v>
      </c>
    </row>
    <row r="161" spans="2:8" ht="23.1" customHeight="1">
      <c r="B161" s="3" t="str">
        <f>AKUN!H274</f>
        <v>720101 | BIAYA ADMINISTRASI BANK</v>
      </c>
      <c r="D161" s="37">
        <f t="shared" ref="D161:D162" si="26">IF(INDEX(typ_sn,MATCH(INDEX(akun_type,MATCH(B161,akun_kb,0)),typ_ket,0))="KR",SUMIF(nrl_kode,INDEX(akun_kd,MATCH(B161,akun_kb,0)),nrl_sakr)-SUMIF(nrl_kode,INDEX(akun_kd,MATCH(B161,akun_kb,0)),nrl_sadb),SUMIF(nrl_kode,INDEX(akun_kd,MATCH(B161,akun_kb,0)),nrl_sakr)-SUMIF(nrl_kode,INDEX(akun_kd,MATCH(B161,akun_kb,0)),nrl_sadb))</f>
        <v>0</v>
      </c>
      <c r="E161" s="37">
        <f t="shared" ref="E161:E162" si="27">IF(INDEX(typ_sn,MATCH(INDEX(akun_type,MATCH(B161,akun_kb,0)),typ_ket,0))="KR",SUMIF(nrl_kode,INDEX(akun_kd,MATCH(B161,akun_kb,0)),nrl_grkkr)-SUMIF(nrl_kode,INDEX(akun_kd,MATCH(B161,akun_kb,0)),nrl_grkdb),SUMIF(nrl_kode,INDEX(akun_kd,MATCH(B161,akun_kb,0)),nrl_grkkr)-SUMIF(nrl_kode,INDEX(akun_kd,MATCH(B161,akun_kb,0)),nrl_grkdb))</f>
        <v>-5909483.4399999995</v>
      </c>
      <c r="H161" s="35">
        <f t="shared" si="25"/>
        <v>1</v>
      </c>
    </row>
    <row r="162" spans="2:8" ht="23.1" customHeight="1">
      <c r="B162" s="3" t="str">
        <f>AKUN!H275</f>
        <v>720102 | BIAYA PAJAK JASA GIRO</v>
      </c>
      <c r="D162" s="37">
        <f t="shared" si="26"/>
        <v>0</v>
      </c>
      <c r="E162" s="37">
        <f t="shared" si="27"/>
        <v>-10441757.870000001</v>
      </c>
      <c r="H162" s="35">
        <f t="shared" si="25"/>
        <v>1</v>
      </c>
    </row>
    <row r="163" spans="2:8" ht="23.1" customHeight="1">
      <c r="B163" s="65" t="s">
        <v>153</v>
      </c>
      <c r="C163" s="19"/>
      <c r="D163" s="59">
        <f>SUM(D157:D162)</f>
        <v>0</v>
      </c>
      <c r="E163" s="46"/>
      <c r="F163" s="55">
        <f>SUM(E157:E162)</f>
        <v>88035218.090000004</v>
      </c>
      <c r="H163" s="35">
        <f t="shared" si="25"/>
        <v>1</v>
      </c>
    </row>
    <row r="164" spans="2:8" ht="23.1" customHeight="1" thickBot="1">
      <c r="B164" s="61" t="s">
        <v>154</v>
      </c>
      <c r="C164" s="21"/>
      <c r="D164" s="58">
        <f>D154+D163</f>
        <v>0</v>
      </c>
      <c r="E164" s="50"/>
      <c r="F164" s="58">
        <f>F154+F163</f>
        <v>3491733792.4399986</v>
      </c>
      <c r="H164" s="35">
        <f t="shared" si="25"/>
        <v>1</v>
      </c>
    </row>
    <row r="165" spans="2:8" ht="8.1" customHeight="1">
      <c r="B165" s="4"/>
      <c r="H165" s="35">
        <f t="shared" si="25"/>
        <v>1</v>
      </c>
    </row>
    <row r="166" spans="2:8" ht="23.1" customHeight="1">
      <c r="B166" s="11" t="s">
        <v>66</v>
      </c>
      <c r="C166" s="64" t="s">
        <v>67</v>
      </c>
      <c r="D166" s="66"/>
      <c r="E166" s="63"/>
      <c r="F166" s="11" t="s">
        <v>141</v>
      </c>
      <c r="H166" s="35">
        <f t="shared" si="25"/>
        <v>1</v>
      </c>
    </row>
    <row r="167" spans="2:8" ht="23.1" customHeight="1">
      <c r="B167" s="3"/>
      <c r="F167" s="3"/>
      <c r="H167" s="35">
        <f t="shared" si="25"/>
        <v>1</v>
      </c>
    </row>
    <row r="168" spans="2:8" ht="23.1" customHeight="1">
      <c r="B168" s="3"/>
      <c r="F168" s="3"/>
      <c r="H168" s="35">
        <f t="shared" si="25"/>
        <v>1</v>
      </c>
    </row>
    <row r="169" spans="2:8" ht="23.1" customHeight="1">
      <c r="B169" s="3"/>
      <c r="F169" s="3"/>
      <c r="H169" s="35">
        <f t="shared" si="25"/>
        <v>1</v>
      </c>
    </row>
    <row r="170" spans="2:8" ht="23.1" customHeight="1">
      <c r="B170" s="4" t="str">
        <f>prof_buat</f>
        <v>Suci Ramadhani</v>
      </c>
      <c r="C170" s="62" t="str">
        <f>prof_ketahui</f>
        <v>Sitti Rahmah, S.Sos</v>
      </c>
      <c r="D170" s="67"/>
      <c r="E170" s="43"/>
      <c r="F170" s="4" t="str">
        <f>prof_menyetujui</f>
        <v>Mu'Ammar Nor Amin, SE</v>
      </c>
      <c r="H170" s="35">
        <f t="shared" si="25"/>
        <v>1</v>
      </c>
    </row>
  </sheetData>
  <autoFilter ref="H6:H170" xr:uid="{BEC2AE5C-FC76-2A43-92F0-B5602BFD7700}">
    <filterColumn colId="0">
      <filters blank="1">
        <filter val="1"/>
      </filters>
    </filterColumn>
  </autoFilter>
  <mergeCells count="3">
    <mergeCell ref="B4:F4"/>
    <mergeCell ref="B5:F5"/>
    <mergeCell ref="B6:F6"/>
  </mergeCells>
  <hyperlinks>
    <hyperlink ref="B2" location="MENU!D8" display="MENU" xr:uid="{ADEE0110-DD7F-864E-AB3B-A5210CEDA33A}"/>
  </hyperlinks>
  <pageMargins left="0.7" right="0.7" top="0.75" bottom="0.75" header="0.3" footer="0.3"/>
  <pageSetup paperSize="9" scale="78" fitToHeight="5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59-DA6C-CC4B-A74C-3EA025294F34}">
  <sheetPr codeName="Sheet13">
    <pageSetUpPr fitToPage="1"/>
  </sheetPr>
  <dimension ref="B2:I35"/>
  <sheetViews>
    <sheetView showGridLines="0" zoomScale="90" zoomScaleNormal="90" workbookViewId="0">
      <pane ySplit="7" topLeftCell="A26" activePane="bottomLeft" state="frozen"/>
      <selection pane="bottomLeft" activeCell="E27" sqref="E27"/>
    </sheetView>
  </sheetViews>
  <sheetFormatPr defaultColWidth="10.875" defaultRowHeight="23.1" customHeight="1"/>
  <cols>
    <col min="1" max="1" width="3.375" style="1" customWidth="1"/>
    <col min="2" max="2" width="14" style="1" customWidth="1"/>
    <col min="3" max="3" width="61.875" style="1" customWidth="1"/>
    <col min="4" max="4" width="17.375" style="37" customWidth="1"/>
    <col min="5" max="5" width="17.375" style="1" customWidth="1"/>
    <col min="6" max="6" width="4.125" style="1" customWidth="1"/>
    <col min="7" max="7" width="15" style="1" customWidth="1"/>
    <col min="8" max="16384" width="10.875" style="1"/>
  </cols>
  <sheetData>
    <row r="2" spans="2:9" ht="23.1" customHeight="1" thickBot="1">
      <c r="B2" s="90" t="s">
        <v>58</v>
      </c>
      <c r="C2" s="135" t="str">
        <f>EKUITAS!C2</f>
        <v>Kahfizul13@gmail.com</v>
      </c>
      <c r="D2" s="85"/>
      <c r="E2" s="86"/>
    </row>
    <row r="4" spans="2:9" ht="23.1" customHeight="1">
      <c r="B4" s="435" t="str">
        <f>UPPER(BB!B4)</f>
        <v>PERUMDA PARKIR MAKASSAR RAYA</v>
      </c>
      <c r="C4" s="436"/>
      <c r="D4" s="436"/>
      <c r="E4" s="437"/>
    </row>
    <row r="5" spans="2:9" ht="23.1" customHeight="1">
      <c r="B5" s="412" t="s">
        <v>155</v>
      </c>
      <c r="C5" s="413"/>
      <c r="D5" s="413"/>
      <c r="E5" s="414"/>
    </row>
    <row r="6" spans="2:9" ht="23.1" customHeight="1" thickBot="1">
      <c r="B6" s="438" t="str">
        <f>"Periode "&amp;TEXT(awal,"dd-mmm-yyy")&amp;" s/d "&amp;TEXT(akhir,"dd-mmm-yyy")</f>
        <v>Periode 01-Jan-2022 s/d 31-Dec-2022</v>
      </c>
      <c r="C6" s="439"/>
      <c r="D6" s="439"/>
      <c r="E6" s="440"/>
    </row>
    <row r="7" spans="2:9" ht="9.9499999999999993" customHeight="1">
      <c r="G7" s="35">
        <f>IF(OR(D7&gt;0,D7&lt;0,D7=""),1,0)</f>
        <v>1</v>
      </c>
    </row>
    <row r="8" spans="2:9" ht="23.1" customHeight="1">
      <c r="B8" s="2" t="s">
        <v>156</v>
      </c>
      <c r="D8" s="49"/>
      <c r="G8" s="35">
        <f>IF(OR(D8&gt;0,D8&lt;0,D8=""),1,0)</f>
        <v>1</v>
      </c>
    </row>
    <row r="9" spans="2:9" ht="23.1" customHeight="1">
      <c r="B9" s="3" t="s">
        <v>686</v>
      </c>
      <c r="D9" s="49">
        <f>ak_pendapatan+ak_piut</f>
        <v>14652600200</v>
      </c>
      <c r="G9" s="35"/>
      <c r="I9" s="2"/>
    </row>
    <row r="10" spans="2:9" ht="23.1" customHeight="1">
      <c r="B10" s="3" t="s">
        <v>160</v>
      </c>
      <c r="D10" s="37">
        <f>ak_aktlcrlainnya</f>
        <v>-224449203</v>
      </c>
      <c r="G10" s="35">
        <f>IF(OR(D10&gt;0,D10&lt;0,D10=""),1,0)</f>
        <v>1</v>
      </c>
    </row>
    <row r="11" spans="2:9" ht="23.1" customHeight="1">
      <c r="B11" s="3" t="s">
        <v>836</v>
      </c>
      <c r="D11" s="37">
        <f>ak_persediaan+ak_hutang</f>
        <v>-664290318</v>
      </c>
      <c r="G11" s="35">
        <f>IF(OR(D11&gt;0,D11&lt;0,D11=""),1,0)</f>
        <v>1</v>
      </c>
    </row>
    <row r="12" spans="2:9" ht="23.1" customHeight="1">
      <c r="B12" s="3" t="s">
        <v>161</v>
      </c>
      <c r="D12" s="398">
        <f>ak_kwjbnlcrlainnya</f>
        <v>-386659496</v>
      </c>
      <c r="G12" s="35"/>
    </row>
    <row r="13" spans="2:9" ht="23.1" customHeight="1">
      <c r="B13" s="3" t="s">
        <v>162</v>
      </c>
      <c r="D13" s="37">
        <f>ak_dapatlainnya</f>
        <v>104386459.39999999</v>
      </c>
      <c r="G13" s="35"/>
    </row>
    <row r="14" spans="2:9" ht="23.1" customHeight="1">
      <c r="B14" s="3" t="s">
        <v>163</v>
      </c>
      <c r="D14" s="37">
        <f>ak_hpp+ak_beban+ak_bebanlain</f>
        <v>-10186183389.309999</v>
      </c>
      <c r="G14" s="35"/>
    </row>
    <row r="15" spans="2:9" ht="23.1" customHeight="1" thickBot="1">
      <c r="B15" s="76" t="s">
        <v>168</v>
      </c>
      <c r="C15" s="20"/>
      <c r="D15" s="56"/>
      <c r="E15" s="78">
        <f>SUM(D9:D14)</f>
        <v>3295404253.0900002</v>
      </c>
      <c r="G15" s="35"/>
    </row>
    <row r="16" spans="2:9" ht="23.1" customHeight="1">
      <c r="B16" s="3"/>
      <c r="G16" s="35"/>
    </row>
    <row r="17" spans="2:9" ht="23.1" customHeight="1">
      <c r="B17" s="2" t="s">
        <v>159</v>
      </c>
      <c r="G17" s="35"/>
    </row>
    <row r="18" spans="2:9" ht="23.1" customHeight="1">
      <c r="B18" s="3" t="s">
        <v>164</v>
      </c>
      <c r="D18" s="37">
        <f>ak_akttetap</f>
        <v>-439801050</v>
      </c>
      <c r="G18" s="35"/>
    </row>
    <row r="19" spans="2:9" ht="23.1" customHeight="1">
      <c r="B19" s="3" t="s">
        <v>165</v>
      </c>
      <c r="D19" s="37">
        <f>ak_aktlainnya</f>
        <v>-21700000</v>
      </c>
      <c r="G19" s="35"/>
      <c r="I19" s="2"/>
    </row>
    <row r="20" spans="2:9" ht="23.1" customHeight="1" thickBot="1">
      <c r="B20" s="77" t="str">
        <f>UPPER("Kas bersih yang diperoleh dari Aktivitas Investasi")</f>
        <v>KAS BERSIH YANG DIPEROLEH DARI AKTIVITAS INVESTASI</v>
      </c>
      <c r="C20" s="20"/>
      <c r="D20" s="56"/>
      <c r="E20" s="78">
        <f>SUM(D18:D19)</f>
        <v>-461501050</v>
      </c>
      <c r="G20" s="35"/>
    </row>
    <row r="21" spans="2:9" ht="23.1" customHeight="1">
      <c r="B21" s="3"/>
      <c r="G21" s="35"/>
    </row>
    <row r="22" spans="2:9" ht="23.1" customHeight="1">
      <c r="B22" s="2" t="s">
        <v>169</v>
      </c>
      <c r="G22" s="35"/>
      <c r="I22" s="2"/>
    </row>
    <row r="23" spans="2:9" ht="23.1" customHeight="1">
      <c r="B23" s="3" t="s">
        <v>166</v>
      </c>
      <c r="D23" s="37">
        <f>ak_kwjbnjkp</f>
        <v>0</v>
      </c>
      <c r="G23" s="35"/>
    </row>
    <row r="24" spans="2:9" ht="23.1" customHeight="1">
      <c r="B24" s="3" t="s">
        <v>167</v>
      </c>
      <c r="D24" s="37">
        <f>ak_ekuitas</f>
        <v>0</v>
      </c>
      <c r="G24" s="35"/>
    </row>
    <row r="25" spans="2:9" ht="23.1" customHeight="1" thickBot="1">
      <c r="B25" s="76" t="str">
        <f>UPPER("Kas bersih yang diperoleh dari Aktivitas Pendanaan")</f>
        <v>KAS BERSIH YANG DIPEROLEH DARI AKTIVITAS PENDANAAN</v>
      </c>
      <c r="C25" s="20"/>
      <c r="D25" s="56"/>
      <c r="E25" s="78">
        <f>SUM(D23:D24)</f>
        <v>0</v>
      </c>
      <c r="G25" s="35"/>
    </row>
    <row r="26" spans="2:9" ht="23.1" customHeight="1">
      <c r="B26" s="3"/>
      <c r="G26" s="35"/>
    </row>
    <row r="27" spans="2:9" ht="23.1" customHeight="1">
      <c r="B27" s="69" t="s">
        <v>170</v>
      </c>
      <c r="C27" s="70"/>
      <c r="D27" s="71"/>
      <c r="E27" s="80">
        <f>E15+E20+E25</f>
        <v>2833903203.0900002</v>
      </c>
    </row>
    <row r="28" spans="2:9" ht="23.1" customHeight="1">
      <c r="B28" s="72" t="s">
        <v>173</v>
      </c>
      <c r="C28" s="73"/>
      <c r="D28" s="74"/>
      <c r="E28" s="81">
        <f>NERACA!D34</f>
        <v>2631093476</v>
      </c>
      <c r="G28" s="310"/>
    </row>
    <row r="29" spans="2:9" ht="23.1" customHeight="1" thickBot="1">
      <c r="B29" s="61" t="s">
        <v>172</v>
      </c>
      <c r="C29" s="75"/>
      <c r="D29" s="50"/>
      <c r="E29" s="79">
        <f>E27+E28</f>
        <v>5464996679.0900002</v>
      </c>
      <c r="G29" s="310"/>
    </row>
    <row r="30" spans="2:9" ht="8.1" customHeight="1">
      <c r="B30" s="4"/>
      <c r="G30" s="35">
        <f t="shared" ref="G30:G35" si="0">IF(OR(D30&gt;0,D30&lt;0,D30=""),1,0)</f>
        <v>1</v>
      </c>
    </row>
    <row r="31" spans="2:9" ht="23.1" customHeight="1">
      <c r="B31" s="11" t="s">
        <v>66</v>
      </c>
      <c r="C31" s="64" t="s">
        <v>67</v>
      </c>
      <c r="D31" s="63"/>
      <c r="E31" s="136" t="s">
        <v>141</v>
      </c>
      <c r="G31" s="35">
        <f t="shared" si="0"/>
        <v>1</v>
      </c>
    </row>
    <row r="32" spans="2:9" ht="23.1" customHeight="1">
      <c r="B32" s="3"/>
      <c r="E32" s="137"/>
      <c r="G32" s="35">
        <f t="shared" si="0"/>
        <v>1</v>
      </c>
    </row>
    <row r="33" spans="2:7" ht="23.1" customHeight="1">
      <c r="B33" s="3"/>
      <c r="E33" s="137"/>
      <c r="G33" s="35">
        <f t="shared" si="0"/>
        <v>1</v>
      </c>
    </row>
    <row r="34" spans="2:7" ht="23.1" customHeight="1">
      <c r="B34" s="3"/>
      <c r="E34" s="137"/>
      <c r="G34" s="35">
        <f t="shared" si="0"/>
        <v>1</v>
      </c>
    </row>
    <row r="35" spans="2:7" ht="23.1" customHeight="1">
      <c r="B35" s="4" t="str">
        <f>prof_buat</f>
        <v>Suci Ramadhani</v>
      </c>
      <c r="C35" s="62" t="str">
        <f>prof_ketahui</f>
        <v>Sitti Rahmah, S.Sos</v>
      </c>
      <c r="D35" s="43"/>
      <c r="E35" s="138" t="str">
        <f>prof_menyetujui</f>
        <v>Mu'Ammar Nor Amin, SE</v>
      </c>
      <c r="G35" s="35">
        <f t="shared" si="0"/>
        <v>1</v>
      </c>
    </row>
  </sheetData>
  <mergeCells count="3">
    <mergeCell ref="B4:E4"/>
    <mergeCell ref="B5:E5"/>
    <mergeCell ref="B6:E6"/>
  </mergeCells>
  <hyperlinks>
    <hyperlink ref="B2" location="MENU!D8" display="MENU" xr:uid="{BCA1DC06-5392-E944-A9EC-742BFCC634DF}"/>
  </hyperlinks>
  <pageMargins left="0.7" right="0.7" top="0.75" bottom="0.75" header="0.3" footer="0.3"/>
  <pageSetup paperSize="9" scale="74" fitToHeight="5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E024-0C4D-484F-BEBD-8F2AE1BC64F8}">
  <sheetPr codeName="Sheet14">
    <pageSetUpPr fitToPage="1"/>
  </sheetPr>
  <dimension ref="B2:F28"/>
  <sheetViews>
    <sheetView showGridLines="0" topLeftCell="A5" workbookViewId="0">
      <selection activeCell="G20" sqref="G20"/>
    </sheetView>
  </sheetViews>
  <sheetFormatPr defaultColWidth="10.875" defaultRowHeight="23.1" customHeight="1"/>
  <cols>
    <col min="1" max="1" width="3.375" style="1" customWidth="1"/>
    <col min="2" max="2" width="9.875" style="1" customWidth="1"/>
    <col min="3" max="3" width="40" style="1" customWidth="1"/>
    <col min="4" max="6" width="17.875" style="82" customWidth="1"/>
    <col min="7" max="16384" width="10.875" style="1"/>
  </cols>
  <sheetData>
    <row r="2" spans="2:6" ht="23.1" customHeight="1" thickBot="1">
      <c r="B2" s="90" t="s">
        <v>58</v>
      </c>
      <c r="C2" s="83" t="str">
        <f>DIVISI!C2</f>
        <v>Kahfizul13@gmail.com</v>
      </c>
      <c r="D2" s="84"/>
      <c r="E2" s="84"/>
      <c r="F2" s="84"/>
    </row>
    <row r="4" spans="2:6" ht="23.1" customHeight="1">
      <c r="B4" s="435" t="str">
        <f>UPPER(BB!B4)</f>
        <v>PERUMDA PARKIR MAKASSAR RAYA</v>
      </c>
      <c r="C4" s="436"/>
      <c r="D4" s="436"/>
      <c r="E4" s="436"/>
      <c r="F4" s="437"/>
    </row>
    <row r="5" spans="2:6" ht="23.1" customHeight="1">
      <c r="B5" s="412" t="s">
        <v>174</v>
      </c>
      <c r="C5" s="413"/>
      <c r="D5" s="413"/>
      <c r="E5" s="413"/>
      <c r="F5" s="414"/>
    </row>
    <row r="6" spans="2:6" ht="23.1" customHeight="1" thickBot="1">
      <c r="B6" s="449" t="str">
        <f>"Periode "&amp;TEXT(awal,"dd-mmm-yyy")&amp;" s/d "&amp;TEXT(akhir,"dd-mmm-yyy")</f>
        <v>Periode 01-Jan-2022 s/d 31-Dec-2022</v>
      </c>
      <c r="C6" s="450"/>
      <c r="D6" s="450"/>
      <c r="E6" s="450"/>
      <c r="F6" s="451"/>
    </row>
    <row r="7" spans="2:6" ht="11.1" customHeight="1"/>
    <row r="8" spans="2:6" ht="23.1" customHeight="1" thickBot="1">
      <c r="B8" s="262" t="s">
        <v>175</v>
      </c>
      <c r="C8" s="263" t="s">
        <v>176</v>
      </c>
      <c r="D8" s="264" t="s">
        <v>171</v>
      </c>
      <c r="E8" s="264" t="s">
        <v>177</v>
      </c>
      <c r="F8" s="264" t="s">
        <v>178</v>
      </c>
    </row>
    <row r="9" spans="2:6" ht="6" customHeight="1">
      <c r="B9" s="206"/>
      <c r="C9" s="205"/>
      <c r="D9" s="265"/>
      <c r="E9" s="265"/>
      <c r="F9" s="265"/>
    </row>
    <row r="10" spans="2:6" ht="23.1" customHeight="1">
      <c r="B10" s="222" t="str">
        <f>NERACA!B146</f>
        <v>310101 | MODAL SAHAM</v>
      </c>
      <c r="C10" s="266"/>
      <c r="D10" s="267">
        <f t="shared" ref="D10:D18" si="0">SUMIF(nrl_kode,INDEX(akun_kd,MATCH(B10,akun_kb,0)),nrl_sakr)-SUMIF(nrl_kode,INDEX(akun_kd,MATCH(B10,akun_kb,0)),nrl_sadb)</f>
        <v>2079027500</v>
      </c>
      <c r="E10" s="267">
        <f t="shared" ref="E10:E17" si="1">SUMIF(nrl_kode,INDEX(akun_kd,MATCH(B10,akun_kb,0)),nrl_grkkr)-SUMIF(nrl_kode,INDEX(akun_kd,MATCH(B10,akun_kb,0)),nrl_grkdb)</f>
        <v>0</v>
      </c>
      <c r="F10" s="267">
        <f t="shared" ref="F10:F18" si="2">D10+E10</f>
        <v>2079027500</v>
      </c>
    </row>
    <row r="11" spans="2:6" ht="23.1" customHeight="1">
      <c r="B11" s="222" t="str">
        <f>NERACA!B147</f>
        <v>310102 | ASET PEMKOT DIPISAHKAN</v>
      </c>
      <c r="C11" s="266"/>
      <c r="D11" s="267">
        <f t="shared" si="0"/>
        <v>1258945600</v>
      </c>
      <c r="E11" s="267">
        <f t="shared" si="1"/>
        <v>0</v>
      </c>
      <c r="F11" s="267">
        <f t="shared" si="2"/>
        <v>1258945600</v>
      </c>
    </row>
    <row r="12" spans="2:6" ht="23.1" customHeight="1">
      <c r="B12" s="222" t="str">
        <f>NERACA!B148</f>
        <v>310201 | DIVIDEN</v>
      </c>
      <c r="C12" s="266"/>
      <c r="D12" s="267">
        <f t="shared" ref="D12:D13" si="3">SUMIF(nrl_kode,INDEX(akun_kd,MATCH(B12,akun_kb,0)),nrl_sakr)-SUMIF(nrl_kode,INDEX(akun_kd,MATCH(B12,akun_kb,0)),nrl_sadb)</f>
        <v>470964078</v>
      </c>
      <c r="E12" s="267">
        <f t="shared" si="1"/>
        <v>-470964078</v>
      </c>
      <c r="F12" s="267">
        <f t="shared" ref="F12:F13" si="4">D12+E12</f>
        <v>0</v>
      </c>
    </row>
    <row r="13" spans="2:6" ht="23.1" customHeight="1">
      <c r="B13" s="222" t="str">
        <f>NERACA!B149</f>
        <v>310202 | LABA DITAHAN - DANA CSR</v>
      </c>
      <c r="C13" s="266"/>
      <c r="D13" s="267">
        <f t="shared" si="3"/>
        <v>184187754</v>
      </c>
      <c r="E13" s="267">
        <f t="shared" si="1"/>
        <v>0</v>
      </c>
      <c r="F13" s="267">
        <f t="shared" si="4"/>
        <v>184187754</v>
      </c>
    </row>
    <row r="14" spans="2:6" ht="23.1" customHeight="1">
      <c r="B14" s="222" t="str">
        <f>NERACA!B150</f>
        <v>310203 | LABA DITAHAN - DANA SOSIAL</v>
      </c>
      <c r="C14" s="266"/>
      <c r="D14" s="267">
        <f t="shared" ref="D14:D16" si="5">SUMIF(nrl_kode,INDEX(akun_kd,MATCH(B14,akun_kb,0)),nrl_sakr)-SUMIF(nrl_kode,INDEX(akun_kd,MATCH(B14,akun_kb,0)),nrl_sadb)</f>
        <v>471384847</v>
      </c>
      <c r="E14" s="267">
        <f t="shared" si="1"/>
        <v>0</v>
      </c>
      <c r="F14" s="267">
        <f t="shared" ref="F14:F16" si="6">D14+E14</f>
        <v>471384847</v>
      </c>
    </row>
    <row r="15" spans="2:6" ht="23.1" customHeight="1">
      <c r="B15" s="222" t="str">
        <f>NERACA!B151</f>
        <v>310204 | LABA DITAHAN - DANA PENSIUN DAN SOKONGAN</v>
      </c>
      <c r="C15" s="266"/>
      <c r="D15" s="267">
        <f t="shared" si="5"/>
        <v>487257279</v>
      </c>
      <c r="E15" s="267">
        <f t="shared" si="1"/>
        <v>0</v>
      </c>
      <c r="F15" s="267">
        <f t="shared" si="6"/>
        <v>487257279</v>
      </c>
    </row>
    <row r="16" spans="2:6" ht="23.1" customHeight="1">
      <c r="B16" s="222" t="str">
        <f>NERACA!B152</f>
        <v>310205 | LABA DITAHAN - CADANGAN</v>
      </c>
      <c r="C16" s="266"/>
      <c r="D16" s="267">
        <f t="shared" si="5"/>
        <v>1766218871</v>
      </c>
      <c r="E16" s="267">
        <f t="shared" si="1"/>
        <v>451759373</v>
      </c>
      <c r="F16" s="267">
        <f t="shared" si="6"/>
        <v>2217978244</v>
      </c>
    </row>
    <row r="17" spans="2:6" ht="23.1" customHeight="1">
      <c r="B17" s="222" t="str">
        <f>NERACA!B153</f>
        <v>310206 | LABA TAHUN SEBELUMNYA</v>
      </c>
      <c r="C17" s="266"/>
      <c r="D17" s="267">
        <f t="shared" ref="D17" si="7">SUMIF(nrl_kode,INDEX(akun_kd,MATCH(B17,akun_kb,0)),nrl_sakr)-SUMIF(nrl_kode,INDEX(akun_kd,MATCH(B17,akun_kb,0)),nrl_sadb)</f>
        <v>492031167</v>
      </c>
      <c r="E17" s="267">
        <f t="shared" si="1"/>
        <v>-492031167</v>
      </c>
      <c r="F17" s="267">
        <f t="shared" ref="F17" si="8">D17+E17</f>
        <v>0</v>
      </c>
    </row>
    <row r="18" spans="2:6" ht="23.1" customHeight="1">
      <c r="B18" s="222" t="str">
        <f>NERACA!B154</f>
        <v>310207 | LABA TAHUN BERJALAN</v>
      </c>
      <c r="C18" s="266"/>
      <c r="D18" s="267">
        <f t="shared" si="0"/>
        <v>0</v>
      </c>
      <c r="E18" s="267">
        <f>LR!F164</f>
        <v>3491733792.4399986</v>
      </c>
      <c r="F18" s="267">
        <f t="shared" si="2"/>
        <v>3491733792.4399986</v>
      </c>
    </row>
    <row r="19" spans="2:6" ht="6.95" customHeight="1" thickBot="1">
      <c r="B19" s="268"/>
      <c r="C19" s="269"/>
      <c r="D19" s="270"/>
      <c r="E19" s="270"/>
      <c r="F19" s="270"/>
    </row>
    <row r="20" spans="2:6" ht="23.1" customHeight="1" thickBot="1">
      <c r="B20" s="271" t="s">
        <v>72</v>
      </c>
      <c r="C20" s="272"/>
      <c r="D20" s="273">
        <f>SUM(D10:D18)</f>
        <v>7210017096</v>
      </c>
      <c r="E20" s="273">
        <f>SUM(E10:E18)</f>
        <v>2980497920.4399986</v>
      </c>
      <c r="F20" s="273">
        <f>SUM(F10:F18)</f>
        <v>10190515016.439999</v>
      </c>
    </row>
    <row r="21" spans="2:6" ht="23.1" customHeight="1">
      <c r="B21" s="205"/>
      <c r="C21" s="205"/>
      <c r="D21" s="265"/>
      <c r="E21" s="265"/>
      <c r="F21" s="265"/>
    </row>
    <row r="22" spans="2:6" ht="23.1" customHeight="1">
      <c r="B22" s="274" t="str">
        <f>NERACA!B159</f>
        <v>Dibuat Oleh,</v>
      </c>
      <c r="C22" s="274"/>
      <c r="D22" s="274">
        <f>NERACA!C159</f>
        <v>0</v>
      </c>
      <c r="E22" s="275"/>
      <c r="F22" s="275" t="str">
        <f>NERACA!F159</f>
        <v>Disetujui Oleh,</v>
      </c>
    </row>
    <row r="23" spans="2:6" ht="23.1" customHeight="1">
      <c r="B23" s="274"/>
      <c r="C23" s="274"/>
      <c r="D23" s="275"/>
      <c r="E23" s="275"/>
      <c r="F23" s="275"/>
    </row>
    <row r="24" spans="2:6" ht="23.1" customHeight="1">
      <c r="B24" s="274"/>
      <c r="C24" s="274"/>
      <c r="D24" s="275"/>
      <c r="E24" s="275"/>
      <c r="F24" s="275"/>
    </row>
    <row r="25" spans="2:6" ht="23.1" customHeight="1">
      <c r="B25" s="274"/>
      <c r="C25" s="274"/>
      <c r="D25" s="275"/>
      <c r="E25" s="275"/>
      <c r="F25" s="275"/>
    </row>
    <row r="26" spans="2:6" ht="23.1" customHeight="1">
      <c r="B26" s="274" t="str">
        <f>NERACA!B163</f>
        <v>Suci Ramadhani</v>
      </c>
      <c r="C26" s="274"/>
      <c r="D26" s="274" t="str">
        <f>NERACA!C163</f>
        <v>Sitti Rahmah, S.Sos</v>
      </c>
      <c r="E26" s="275"/>
      <c r="F26" s="275" t="str">
        <f>NERACA!F163</f>
        <v>Mu'Ammar Nor Amin, SE</v>
      </c>
    </row>
    <row r="27" spans="2:6" ht="23.1" customHeight="1">
      <c r="B27" s="205"/>
      <c r="C27" s="205"/>
      <c r="D27" s="265"/>
      <c r="E27" s="265"/>
      <c r="F27" s="265"/>
    </row>
    <row r="28" spans="2:6" ht="23.1" customHeight="1">
      <c r="B28" s="205"/>
      <c r="C28" s="205"/>
      <c r="D28" s="265"/>
      <c r="E28" s="265"/>
      <c r="F28" s="265"/>
    </row>
  </sheetData>
  <mergeCells count="3">
    <mergeCell ref="B4:F4"/>
    <mergeCell ref="B5:F5"/>
    <mergeCell ref="B6:F6"/>
  </mergeCells>
  <hyperlinks>
    <hyperlink ref="B2" location="MENU!D8" display="MENU" xr:uid="{F495679F-581F-C242-9803-5C5ED52E303C}"/>
  </hyperlinks>
  <pageMargins left="0.7" right="0.7" top="0.75" bottom="0.75" header="0.3" footer="0.3"/>
  <pageSetup paperSize="9" scale="79" orientation="portrait" horizontalDpi="360" verticalDpi="360" r:id="rId1"/>
  <ignoredErrors>
    <ignoredError sqref="E18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FE30-AFB0-0F47-8E5C-CB8CF65FCE44}">
  <sheetPr codeName="Sheet15">
    <pageSetUpPr fitToPage="1"/>
  </sheetPr>
  <dimension ref="B2:G27"/>
  <sheetViews>
    <sheetView showGridLines="0" showRowColHeaders="0" topLeftCell="A7" workbookViewId="0">
      <selection activeCell="F14" sqref="F14"/>
    </sheetView>
  </sheetViews>
  <sheetFormatPr defaultColWidth="10.875" defaultRowHeight="23.1" customHeight="1"/>
  <cols>
    <col min="1" max="1" width="10.875" style="1"/>
    <col min="2" max="2" width="16.375" style="3" customWidth="1"/>
    <col min="3" max="3" width="28.375" style="1" customWidth="1"/>
    <col min="4" max="4" width="30.375" style="1" customWidth="1"/>
    <col min="5" max="5" width="14.5" style="37" customWidth="1"/>
    <col min="6" max="6" width="27.125" style="1" customWidth="1"/>
    <col min="7" max="7" width="15.375" style="37" customWidth="1"/>
    <col min="8" max="16384" width="10.875" style="1"/>
  </cols>
  <sheetData>
    <row r="2" spans="2:7" ht="23.1" customHeight="1" thickBot="1">
      <c r="B2" s="90" t="s">
        <v>58</v>
      </c>
      <c r="C2" s="135" t="str">
        <f>DIVISI!C2</f>
        <v>Kahfizul13@gmail.com</v>
      </c>
      <c r="D2" s="86"/>
      <c r="E2" s="85"/>
      <c r="F2" s="86"/>
      <c r="G2" s="85"/>
    </row>
    <row r="4" spans="2:7" ht="23.1" customHeight="1">
      <c r="B4" s="454" t="str">
        <f>prof_nama</f>
        <v>PERUMDA PARKIR MAKASSAR RAYA</v>
      </c>
      <c r="C4" s="455"/>
      <c r="D4" s="455"/>
      <c r="E4" s="455"/>
      <c r="F4" s="455"/>
      <c r="G4" s="456"/>
    </row>
    <row r="5" spans="2:7" ht="23.1" customHeight="1">
      <c r="B5" s="441" t="str">
        <f>prof_alamat</f>
        <v>Jln. Hati Mulya No. 7 Makassar</v>
      </c>
      <c r="C5" s="442"/>
      <c r="D5" s="442"/>
      <c r="E5" s="442"/>
      <c r="F5" s="442"/>
      <c r="G5" s="443"/>
    </row>
    <row r="6" spans="2:7" ht="23.1" customHeight="1" thickBot="1">
      <c r="B6" s="457" t="str">
        <f>"Email : "&amp;prof_email&amp;" | Kontak "&amp;prof_hp</f>
        <v>Email : Kahfizul13@gmail.com | Kontak 81315555636</v>
      </c>
      <c r="C6" s="458"/>
      <c r="D6" s="458"/>
      <c r="E6" s="458"/>
      <c r="F6" s="458"/>
      <c r="G6" s="459"/>
    </row>
    <row r="7" spans="2:7" ht="9.9499999999999993" customHeight="1"/>
    <row r="8" spans="2:7" ht="23.1" customHeight="1">
      <c r="B8" s="452" t="s">
        <v>192</v>
      </c>
      <c r="C8" s="453"/>
      <c r="D8" s="453"/>
      <c r="E8" s="453"/>
      <c r="F8" s="453"/>
      <c r="G8" s="453"/>
    </row>
    <row r="9" spans="2:7" ht="9" customHeight="1"/>
    <row r="10" spans="2:7" ht="23.1" customHeight="1">
      <c r="B10" s="101" t="s">
        <v>193</v>
      </c>
      <c r="C10" s="104" t="s">
        <v>279</v>
      </c>
      <c r="D10" s="105"/>
      <c r="E10" s="109"/>
      <c r="F10" s="106" t="s">
        <v>1</v>
      </c>
      <c r="G10" s="115" t="str">
        <f>IFERROR(INDEX(ju_tgl,MATCH(ROW(I3)&amp;$C$10,ju_voucher,0)),"")</f>
        <v/>
      </c>
    </row>
    <row r="11" spans="2:7" ht="12.95" customHeight="1"/>
    <row r="12" spans="2:7" ht="23.1" customHeight="1">
      <c r="B12" s="93" t="s">
        <v>9</v>
      </c>
      <c r="C12" s="107"/>
      <c r="D12" s="107" t="s">
        <v>83</v>
      </c>
      <c r="E12" s="94" t="s">
        <v>85</v>
      </c>
      <c r="F12" s="108" t="s">
        <v>84</v>
      </c>
      <c r="G12" s="94" t="s">
        <v>85</v>
      </c>
    </row>
    <row r="13" spans="2:7" ht="23.1" customHeight="1">
      <c r="B13" s="102" t="str">
        <f t="shared" ref="B13:B25" si="0">IFERROR(INDEX(ju_ket,MATCH(ROW(I1)&amp;$C$10,ju_voucher,0)),"")</f>
        <v/>
      </c>
      <c r="C13" s="100"/>
      <c r="D13" s="7" t="str">
        <f t="shared" ref="D13:D25" si="1">IFERROR(INDEX(ju_debet,MATCH(ROW(I1)&amp;$C$10,ju_voucher,0)),"")</f>
        <v/>
      </c>
      <c r="E13" s="114" t="str">
        <f t="shared" ref="E13:E25" si="2">IFERROR(INDEX(ju_sld,MATCH(ROW(I1)&amp;$C$10,ju_voucher,0)),"")</f>
        <v/>
      </c>
      <c r="F13" s="7" t="str">
        <f t="shared" ref="F13:F25" si="3">IFERROR(INDEX(ju_kr,MATCH(ROW(I1)&amp;$C$10,ju_voucher,0)),"")</f>
        <v/>
      </c>
      <c r="G13" s="39" t="str">
        <f t="shared" ref="G13:G25" si="4">IFERROR(INDEX(ju_sld,MATCH(ROW(I1)&amp;$C$10,ju_voucher,0)),"")</f>
        <v/>
      </c>
    </row>
    <row r="14" spans="2:7" ht="23.1" customHeight="1">
      <c r="B14" s="102" t="str">
        <f t="shared" si="0"/>
        <v/>
      </c>
      <c r="C14" s="100"/>
      <c r="D14" s="7" t="str">
        <f t="shared" si="1"/>
        <v/>
      </c>
      <c r="E14" s="114" t="str">
        <f t="shared" si="2"/>
        <v/>
      </c>
      <c r="F14" s="7" t="str">
        <f t="shared" si="3"/>
        <v/>
      </c>
      <c r="G14" s="39" t="str">
        <f t="shared" si="4"/>
        <v/>
      </c>
    </row>
    <row r="15" spans="2:7" ht="23.1" customHeight="1">
      <c r="B15" s="102" t="str">
        <f t="shared" si="0"/>
        <v/>
      </c>
      <c r="C15" s="100"/>
      <c r="D15" s="7" t="str">
        <f t="shared" si="1"/>
        <v/>
      </c>
      <c r="E15" s="114" t="str">
        <f t="shared" si="2"/>
        <v/>
      </c>
      <c r="F15" s="7" t="str">
        <f t="shared" si="3"/>
        <v/>
      </c>
      <c r="G15" s="39" t="str">
        <f t="shared" si="4"/>
        <v/>
      </c>
    </row>
    <row r="16" spans="2:7" ht="23.1" customHeight="1">
      <c r="B16" s="102" t="str">
        <f t="shared" si="0"/>
        <v/>
      </c>
      <c r="C16" s="100"/>
      <c r="D16" s="7" t="str">
        <f t="shared" si="1"/>
        <v/>
      </c>
      <c r="E16" s="114" t="str">
        <f t="shared" si="2"/>
        <v/>
      </c>
      <c r="F16" s="7" t="str">
        <f t="shared" si="3"/>
        <v/>
      </c>
      <c r="G16" s="39" t="str">
        <f t="shared" si="4"/>
        <v/>
      </c>
    </row>
    <row r="17" spans="2:7" ht="23.1" customHeight="1">
      <c r="B17" s="102" t="str">
        <f t="shared" si="0"/>
        <v/>
      </c>
      <c r="C17" s="100"/>
      <c r="D17" s="7" t="str">
        <f t="shared" si="1"/>
        <v/>
      </c>
      <c r="E17" s="114" t="str">
        <f t="shared" si="2"/>
        <v/>
      </c>
      <c r="F17" s="7" t="str">
        <f t="shared" si="3"/>
        <v/>
      </c>
      <c r="G17" s="39" t="str">
        <f t="shared" si="4"/>
        <v/>
      </c>
    </row>
    <row r="18" spans="2:7" ht="23.1" customHeight="1">
      <c r="B18" s="102" t="str">
        <f t="shared" si="0"/>
        <v/>
      </c>
      <c r="C18" s="100"/>
      <c r="D18" s="7" t="str">
        <f t="shared" si="1"/>
        <v/>
      </c>
      <c r="E18" s="114" t="str">
        <f t="shared" si="2"/>
        <v/>
      </c>
      <c r="F18" s="7" t="str">
        <f t="shared" si="3"/>
        <v/>
      </c>
      <c r="G18" s="39" t="str">
        <f t="shared" si="4"/>
        <v/>
      </c>
    </row>
    <row r="19" spans="2:7" ht="23.1" customHeight="1">
      <c r="B19" s="102" t="str">
        <f t="shared" si="0"/>
        <v/>
      </c>
      <c r="C19" s="100"/>
      <c r="D19" s="7" t="str">
        <f t="shared" si="1"/>
        <v/>
      </c>
      <c r="E19" s="114" t="str">
        <f t="shared" si="2"/>
        <v/>
      </c>
      <c r="F19" s="7" t="str">
        <f t="shared" si="3"/>
        <v/>
      </c>
      <c r="G19" s="39" t="str">
        <f t="shared" si="4"/>
        <v/>
      </c>
    </row>
    <row r="20" spans="2:7" ht="23.1" customHeight="1">
      <c r="B20" s="102" t="str">
        <f t="shared" si="0"/>
        <v/>
      </c>
      <c r="C20" s="100"/>
      <c r="D20" s="7" t="str">
        <f t="shared" si="1"/>
        <v/>
      </c>
      <c r="E20" s="114" t="str">
        <f t="shared" si="2"/>
        <v/>
      </c>
      <c r="F20" s="7" t="str">
        <f t="shared" si="3"/>
        <v/>
      </c>
      <c r="G20" s="39" t="str">
        <f t="shared" si="4"/>
        <v/>
      </c>
    </row>
    <row r="21" spans="2:7" ht="23.1" customHeight="1">
      <c r="B21" s="102" t="str">
        <f t="shared" si="0"/>
        <v/>
      </c>
      <c r="C21" s="100"/>
      <c r="D21" s="7" t="str">
        <f t="shared" si="1"/>
        <v/>
      </c>
      <c r="E21" s="114" t="str">
        <f t="shared" si="2"/>
        <v/>
      </c>
      <c r="F21" s="7" t="str">
        <f t="shared" si="3"/>
        <v/>
      </c>
      <c r="G21" s="39" t="str">
        <f t="shared" si="4"/>
        <v/>
      </c>
    </row>
    <row r="22" spans="2:7" ht="23.1" customHeight="1">
      <c r="B22" s="102" t="str">
        <f t="shared" si="0"/>
        <v/>
      </c>
      <c r="C22" s="100"/>
      <c r="D22" s="7" t="str">
        <f t="shared" si="1"/>
        <v/>
      </c>
      <c r="E22" s="114" t="str">
        <f t="shared" si="2"/>
        <v/>
      </c>
      <c r="F22" s="7" t="str">
        <f t="shared" si="3"/>
        <v/>
      </c>
      <c r="G22" s="39" t="str">
        <f t="shared" si="4"/>
        <v/>
      </c>
    </row>
    <row r="23" spans="2:7" ht="23.1" customHeight="1">
      <c r="B23" s="102" t="str">
        <f t="shared" si="0"/>
        <v/>
      </c>
      <c r="C23" s="100"/>
      <c r="D23" s="7" t="str">
        <f t="shared" si="1"/>
        <v/>
      </c>
      <c r="E23" s="114" t="str">
        <f t="shared" si="2"/>
        <v/>
      </c>
      <c r="F23" s="7" t="str">
        <f t="shared" si="3"/>
        <v/>
      </c>
      <c r="G23" s="39" t="str">
        <f t="shared" si="4"/>
        <v/>
      </c>
    </row>
    <row r="24" spans="2:7" ht="23.1" customHeight="1">
      <c r="B24" s="102" t="str">
        <f t="shared" si="0"/>
        <v/>
      </c>
      <c r="C24" s="100"/>
      <c r="D24" s="7" t="str">
        <f t="shared" si="1"/>
        <v/>
      </c>
      <c r="E24" s="114" t="str">
        <f t="shared" si="2"/>
        <v/>
      </c>
      <c r="F24" s="7" t="str">
        <f t="shared" si="3"/>
        <v/>
      </c>
      <c r="G24" s="39" t="str">
        <f t="shared" si="4"/>
        <v/>
      </c>
    </row>
    <row r="25" spans="2:7" ht="23.1" customHeight="1">
      <c r="B25" s="102" t="str">
        <f t="shared" si="0"/>
        <v/>
      </c>
      <c r="C25" s="100"/>
      <c r="D25" s="7" t="str">
        <f t="shared" si="1"/>
        <v/>
      </c>
      <c r="E25" s="114" t="str">
        <f t="shared" si="2"/>
        <v/>
      </c>
      <c r="F25" s="7" t="str">
        <f t="shared" si="3"/>
        <v/>
      </c>
      <c r="G25" s="39" t="str">
        <f t="shared" si="4"/>
        <v/>
      </c>
    </row>
    <row r="26" spans="2:7" ht="8.1" customHeight="1"/>
    <row r="27" spans="2:7" ht="23.1" customHeight="1">
      <c r="B27" s="110" t="str">
        <f>IF(E27=G27,"Balance","Not Balance")</f>
        <v>Balance</v>
      </c>
      <c r="C27" s="111"/>
      <c r="D27" s="111"/>
      <c r="E27" s="59">
        <f>SUM(E13:E25)</f>
        <v>0</v>
      </c>
      <c r="F27" s="111"/>
      <c r="G27" s="112">
        <f>SUM(G13:G25)</f>
        <v>0</v>
      </c>
    </row>
  </sheetData>
  <autoFilter ref="B12:B25" xr:uid="{935EFE30-AFB0-0F47-8E5C-CB8CF65FCE44}"/>
  <mergeCells count="4">
    <mergeCell ref="B8:G8"/>
    <mergeCell ref="B4:G4"/>
    <mergeCell ref="B5:G5"/>
    <mergeCell ref="B6:G6"/>
  </mergeCells>
  <hyperlinks>
    <hyperlink ref="B2" location="MENU!D8" display="MENU" xr:uid="{8B4C4DA1-9C0D-EF46-91EA-E64F1EFBD710}"/>
  </hyperlinks>
  <pageMargins left="0.7" right="0.7" top="0.75" bottom="0.75" header="0.3" footer="0.3"/>
  <pageSetup paperSize="9" scale="62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CF17-B9BE-864D-8D2D-15C366B7CAB2}">
  <sheetPr codeName="Sheet3"/>
  <dimension ref="B1:XDM46"/>
  <sheetViews>
    <sheetView showGridLines="0" topLeftCell="XCJ2" workbookViewId="0">
      <selection activeCell="XDK16" sqref="XDK16"/>
    </sheetView>
  </sheetViews>
  <sheetFormatPr defaultColWidth="11" defaultRowHeight="23.1" customHeight="1"/>
  <cols>
    <col min="1" max="1" width="5.125" style="120" customWidth="1"/>
    <col min="2" max="2" width="32.5" style="118" customWidth="1"/>
    <col min="3" max="4" width="8.125" style="119" customWidth="1"/>
    <col min="5" max="5" width="8.5" style="120" bestFit="1" customWidth="1"/>
    <col min="6" max="6" width="15.625" style="120" customWidth="1"/>
    <col min="7" max="19" width="12.625" style="120" bestFit="1" customWidth="1"/>
    <col min="20" max="28" width="10.875" style="120"/>
    <col min="29" max="29" width="11.125" style="120" bestFit="1" customWidth="1"/>
    <col min="30" max="16303" width="10.875" style="120"/>
    <col min="16304" max="16305" width="10.875" style="121"/>
    <col min="16306" max="16308" width="6.125" style="121" customWidth="1"/>
    <col min="16309" max="16337" width="6.125" style="204" customWidth="1"/>
    <col min="16338" max="16340" width="10.875" style="204"/>
    <col min="16341" max="16341" width="10.875" style="121"/>
    <col min="16342" max="16384" width="10.875" style="120"/>
  </cols>
  <sheetData>
    <row r="1" spans="2:29 16304:16340" ht="23.1" customHeight="1">
      <c r="XCB1" s="121" t="s">
        <v>7</v>
      </c>
      <c r="XCD1" s="116" t="s">
        <v>196</v>
      </c>
      <c r="XCE1" s="117">
        <v>1</v>
      </c>
      <c r="XCF1" s="117"/>
      <c r="XCG1" s="202">
        <v>3</v>
      </c>
      <c r="XCH1" s="202" t="s">
        <v>197</v>
      </c>
      <c r="XCI1" s="202" t="s">
        <v>198</v>
      </c>
      <c r="XCJ1" s="202" t="s">
        <v>199</v>
      </c>
      <c r="XCK1" s="202" t="s">
        <v>200</v>
      </c>
      <c r="XCL1" s="202" t="s">
        <v>201</v>
      </c>
      <c r="XCM1" s="202" t="s">
        <v>202</v>
      </c>
      <c r="XCN1" s="202" t="s">
        <v>203</v>
      </c>
      <c r="XCO1" s="202" t="s">
        <v>204</v>
      </c>
      <c r="XCP1" s="202" t="s">
        <v>200</v>
      </c>
      <c r="XCQ1" s="202" t="s">
        <v>205</v>
      </c>
      <c r="XCR1" s="202" t="s">
        <v>206</v>
      </c>
      <c r="XCS1" s="202" t="s">
        <v>207</v>
      </c>
      <c r="XCT1" s="202" t="s">
        <v>208</v>
      </c>
      <c r="XCU1" s="203"/>
      <c r="XCV1" s="202">
        <v>12</v>
      </c>
      <c r="XCW1" s="202" t="str">
        <f t="shared" ref="XCW1:XCW26" si="0">INDEX(XCD:XCD,MATCH(XCV1,XCE:XCE,0))</f>
        <v>L</v>
      </c>
      <c r="XCX1" s="203"/>
      <c r="XCY1" s="202"/>
      <c r="XCZ1" s="202"/>
      <c r="XDA1" s="202"/>
      <c r="XDB1" s="202"/>
      <c r="XDC1" s="202"/>
      <c r="XDD1" s="202"/>
      <c r="XDE1" s="202"/>
      <c r="XDF1" s="202"/>
      <c r="XDG1" s="202"/>
      <c r="XDH1" s="202"/>
      <c r="XDI1" s="202"/>
      <c r="XDJ1" s="203"/>
      <c r="XDK1" s="203"/>
      <c r="XDL1" s="203"/>
    </row>
    <row r="2" spans="2:29 16304:16340" ht="23.1" customHeight="1" thickBot="1">
      <c r="B2" s="460" t="s">
        <v>8</v>
      </c>
      <c r="C2" s="461"/>
      <c r="D2" s="462"/>
      <c r="H2" s="141">
        <v>1</v>
      </c>
      <c r="I2" s="141">
        <v>33</v>
      </c>
      <c r="J2" s="141">
        <v>63</v>
      </c>
      <c r="K2" s="141">
        <v>95</v>
      </c>
      <c r="L2" s="141">
        <v>126</v>
      </c>
      <c r="M2" s="141">
        <v>158</v>
      </c>
      <c r="N2" s="141">
        <v>189</v>
      </c>
      <c r="O2" s="141">
        <v>221</v>
      </c>
      <c r="P2" s="141">
        <v>253</v>
      </c>
      <c r="Q2" s="141">
        <v>284</v>
      </c>
      <c r="R2" s="141">
        <v>316</v>
      </c>
      <c r="S2" s="141">
        <v>347</v>
      </c>
      <c r="XCB2" s="121" t="s">
        <v>11</v>
      </c>
      <c r="XCD2" s="116" t="s">
        <v>199</v>
      </c>
      <c r="XCE2" s="117">
        <f>XCE1+1</f>
        <v>2</v>
      </c>
      <c r="XCF2" s="117"/>
      <c r="XCG2" s="202">
        <v>4</v>
      </c>
      <c r="XCH2" s="202" t="s">
        <v>209</v>
      </c>
      <c r="XCI2" s="202" t="s">
        <v>204</v>
      </c>
      <c r="XCJ2" s="202" t="s">
        <v>197</v>
      </c>
      <c r="XCK2" s="202" t="s">
        <v>210</v>
      </c>
      <c r="XCL2" s="202" t="s">
        <v>211</v>
      </c>
      <c r="XCM2" s="202" t="s">
        <v>211</v>
      </c>
      <c r="XCN2" s="202" t="s">
        <v>207</v>
      </c>
      <c r="XCO2" s="202" t="s">
        <v>199</v>
      </c>
      <c r="XCP2" s="202" t="s">
        <v>204</v>
      </c>
      <c r="XCQ2" s="202" t="s">
        <v>197</v>
      </c>
      <c r="XCR2" s="202" t="s">
        <v>197</v>
      </c>
      <c r="XCS2" s="202" t="s">
        <v>212</v>
      </c>
      <c r="XCT2" s="202" t="s">
        <v>213</v>
      </c>
      <c r="XCU2" s="203"/>
      <c r="XCV2" s="202">
        <v>25</v>
      </c>
      <c r="XCW2" s="202" t="str">
        <f t="shared" si="0"/>
        <v>Y</v>
      </c>
      <c r="XCX2" s="203"/>
      <c r="XCY2" s="202" t="str">
        <f>LEFT(sarjayadi_awe,1)</f>
        <v>Z</v>
      </c>
      <c r="XCZ2" s="202" t="str">
        <f>MID(sarjayadi_awe,2,1)</f>
        <v>u</v>
      </c>
      <c r="XDA2" s="202" t="str">
        <f>MID(sarjayadi_awe,3,1)</f>
        <v>l</v>
      </c>
      <c r="XDB2" s="202"/>
      <c r="XDC2" s="202" t="str">
        <f>MID(sarjayadi_awe,4,1)</f>
        <v>k</v>
      </c>
      <c r="XDD2" s="202" t="str">
        <f>MID(sarjayadi_awe,5,1)</f>
        <v>a</v>
      </c>
      <c r="XDE2" s="202" t="str">
        <f>MID(sarjayadi_awe,6,1)</f>
        <v>h</v>
      </c>
      <c r="XDF2" s="202"/>
      <c r="XDG2" s="202" t="str">
        <f>MID(sarjayadi_awe,7,1)</f>
        <v>f</v>
      </c>
      <c r="XDH2" s="202" t="str">
        <f>MID(sarjayadi_awe,8,1)</f>
        <v>i</v>
      </c>
      <c r="XDI2" s="202" t="str">
        <f>MID(sarjayadi_awe,9,1)</f>
        <v/>
      </c>
      <c r="XDJ2" s="203"/>
      <c r="XDK2" s="203"/>
      <c r="XDL2" s="203"/>
    </row>
    <row r="3" spans="2:29 16304:16340" ht="8.1" customHeight="1">
      <c r="XCB3" s="121" t="s">
        <v>13</v>
      </c>
      <c r="XCD3" s="116" t="s">
        <v>197</v>
      </c>
      <c r="XCE3" s="117">
        <f t="shared" ref="XCE3:XCE26" si="1">XCE2+1</f>
        <v>3</v>
      </c>
      <c r="XCF3" s="117"/>
      <c r="XCG3" s="202">
        <v>7</v>
      </c>
      <c r="XCH3" s="202" t="s">
        <v>204</v>
      </c>
      <c r="XCI3" s="202" t="s">
        <v>196</v>
      </c>
      <c r="XCJ3" s="202" t="s">
        <v>203</v>
      </c>
      <c r="XCK3" s="202" t="s">
        <v>211</v>
      </c>
      <c r="XCL3" s="202" t="s">
        <v>205</v>
      </c>
      <c r="XCM3" s="202" t="s">
        <v>214</v>
      </c>
      <c r="XCN3" s="202" t="s">
        <v>197</v>
      </c>
      <c r="XCO3" s="202" t="s">
        <v>213</v>
      </c>
      <c r="XCP3" s="202" t="s">
        <v>205</v>
      </c>
      <c r="XCQ3" s="202" t="s">
        <v>200</v>
      </c>
      <c r="XCR3" s="202" t="s">
        <v>215</v>
      </c>
      <c r="XCS3" s="202" t="s">
        <v>197</v>
      </c>
      <c r="XCT3" s="202" t="s">
        <v>211</v>
      </c>
      <c r="XCU3" s="203"/>
      <c r="XCV3" s="202">
        <v>23</v>
      </c>
      <c r="XCW3" s="202" t="str">
        <f t="shared" si="0"/>
        <v>W</v>
      </c>
      <c r="XCX3" s="203"/>
      <c r="XCY3" s="202"/>
      <c r="XCZ3" s="202"/>
      <c r="XDA3" s="202"/>
      <c r="XDB3" s="202"/>
      <c r="XDC3" s="202"/>
      <c r="XDD3" s="202"/>
      <c r="XDE3" s="202"/>
      <c r="XDF3" s="202"/>
      <c r="XDG3" s="202"/>
      <c r="XDH3" s="202"/>
      <c r="XDI3" s="202"/>
      <c r="XDJ3" s="203"/>
      <c r="XDK3" s="203"/>
      <c r="XDL3" s="203"/>
    </row>
    <row r="4" spans="2:29 16304:16340" ht="23.1" customHeight="1" thickBot="1">
      <c r="B4" s="122" t="s">
        <v>9</v>
      </c>
      <c r="C4" s="123" t="s">
        <v>10</v>
      </c>
      <c r="D4" s="123" t="s">
        <v>33</v>
      </c>
      <c r="F4" s="123" t="s">
        <v>157</v>
      </c>
      <c r="G4" s="123" t="s">
        <v>36</v>
      </c>
      <c r="H4" s="123" t="str">
        <f>TEXT(H2,"MMMM")</f>
        <v>January</v>
      </c>
      <c r="I4" s="123" t="str">
        <f t="shared" ref="I4:S4" si="2">TEXT(I2,"MMMM")</f>
        <v>February</v>
      </c>
      <c r="J4" s="123" t="str">
        <f t="shared" si="2"/>
        <v>March</v>
      </c>
      <c r="K4" s="123" t="str">
        <f t="shared" si="2"/>
        <v>April</v>
      </c>
      <c r="L4" s="123" t="str">
        <f t="shared" si="2"/>
        <v>May</v>
      </c>
      <c r="M4" s="123" t="str">
        <f t="shared" si="2"/>
        <v>June</v>
      </c>
      <c r="N4" s="123" t="str">
        <f t="shared" si="2"/>
        <v>July</v>
      </c>
      <c r="O4" s="123" t="str">
        <f t="shared" si="2"/>
        <v>August</v>
      </c>
      <c r="P4" s="123" t="str">
        <f t="shared" si="2"/>
        <v>September</v>
      </c>
      <c r="Q4" s="123" t="str">
        <f t="shared" si="2"/>
        <v>October</v>
      </c>
      <c r="R4" s="123" t="str">
        <f t="shared" si="2"/>
        <v>November</v>
      </c>
      <c r="S4" s="123" t="str">
        <f t="shared" si="2"/>
        <v>December</v>
      </c>
      <c r="T4" s="123" t="s">
        <v>226</v>
      </c>
      <c r="U4" s="123" t="s">
        <v>227</v>
      </c>
      <c r="V4" s="123" t="s">
        <v>228</v>
      </c>
      <c r="W4" s="123" t="s">
        <v>229</v>
      </c>
      <c r="X4" s="123" t="s">
        <v>230</v>
      </c>
      <c r="Y4" s="123" t="s">
        <v>231</v>
      </c>
      <c r="Z4" s="123" t="s">
        <v>232</v>
      </c>
      <c r="AA4" s="123" t="s">
        <v>233</v>
      </c>
      <c r="AB4" s="123" t="s">
        <v>234</v>
      </c>
      <c r="AC4" s="123" t="s">
        <v>224</v>
      </c>
      <c r="XCB4" s="121" t="s">
        <v>14</v>
      </c>
      <c r="XCD4" s="116" t="s">
        <v>209</v>
      </c>
      <c r="XCE4" s="117">
        <f t="shared" si="1"/>
        <v>4</v>
      </c>
      <c r="XCF4" s="117"/>
      <c r="XCG4" s="202">
        <v>4</v>
      </c>
      <c r="XCH4" s="202" t="s">
        <v>209</v>
      </c>
      <c r="XCI4" s="202" t="s">
        <v>198</v>
      </c>
      <c r="XCJ4" s="202" t="s">
        <v>204</v>
      </c>
      <c r="XCK4" s="202" t="s">
        <v>214</v>
      </c>
      <c r="XCL4" s="202" t="s">
        <v>208</v>
      </c>
      <c r="XCM4" s="202" t="s">
        <v>215</v>
      </c>
      <c r="XCN4" s="202" t="s">
        <v>216</v>
      </c>
      <c r="XCO4" s="202" t="s">
        <v>205</v>
      </c>
      <c r="XCP4" s="202" t="s">
        <v>196</v>
      </c>
      <c r="XCQ4" s="202" t="s">
        <v>201</v>
      </c>
      <c r="XCR4" s="202" t="s">
        <v>214</v>
      </c>
      <c r="XCS4" s="202" t="s">
        <v>217</v>
      </c>
      <c r="XCT4" s="202" t="s">
        <v>218</v>
      </c>
      <c r="XCU4" s="203"/>
      <c r="XCV4" s="202">
        <v>11</v>
      </c>
      <c r="XCW4" s="202" t="str">
        <f t="shared" si="0"/>
        <v>K</v>
      </c>
      <c r="XCX4" s="203"/>
      <c r="XCY4" s="202"/>
      <c r="XCZ4" s="202"/>
      <c r="XDA4" s="202"/>
      <c r="XDB4" s="202"/>
      <c r="XDC4" s="202" t="str">
        <f>MID(sarjayadi_awe,10,1)</f>
        <v/>
      </c>
      <c r="XDD4" s="202" t="str">
        <f>MID(sarjayadi_awe,11,1)</f>
        <v/>
      </c>
      <c r="XDE4" s="202" t="str">
        <f>MID(sarjayadi_awe,12,1)</f>
        <v/>
      </c>
      <c r="XDF4" s="202"/>
      <c r="XDG4" s="202"/>
      <c r="XDH4" s="202"/>
      <c r="XDI4" s="202"/>
      <c r="XDJ4" s="203"/>
      <c r="XDK4" s="203"/>
      <c r="XDL4" s="203"/>
    </row>
    <row r="5" spans="2:29 16304:16340" ht="23.1" customHeight="1">
      <c r="B5" s="124" t="str">
        <f t="shared" ref="B5:B21" si="3">IF(exact_awe=TRUE,XCB1,"Silahkan Aktivasi !")</f>
        <v>Kas</v>
      </c>
      <c r="C5" s="125" t="s">
        <v>29</v>
      </c>
      <c r="D5" s="125" t="s">
        <v>31</v>
      </c>
      <c r="F5" s="126">
        <f t="shared" ref="F5:F21" si="4">IF(D5="kr",-IF(D5="Db",SUMIFS(ju_sld,ju_tgl,"&gt;="&amp;awal,ju_tgl,"&lt;="&amp;akhir,ju_ak,"in"&amp;B5)-SUMIFS(ju_sld,ju_tgl,"&gt;="&amp;awal,ju_tgl,"&lt;="&amp;akhir,ju_ak,"out"&amp;B5),SUMIFS(ju_sld,ju_tgl,"&gt;="&amp;awal,ju_tgl,"&lt;="&amp;akhir,ju_ak,"out"&amp;B5)-SUMIFS(ju_sld,ju_tgl,"&gt;="&amp;awal,ju_tgl,"&lt;="&amp;akhir,ju_ak,"in"&amp;B5)),IF(D5="Db",SUMIFS(ju_sld,ju_tgl,"&gt;="&amp;awal,ju_tgl,"&lt;="&amp;akhir,ju_ak,"in"&amp;B5)-SUMIFS(ju_sld,ju_tgl,"&gt;="&amp;awal,ju_tgl,"&lt;="&amp;akhir,ju_ak,"out"&amp;B5),SUMIFS(ju_sld,ju_tgl,"&gt;="&amp;awal,ju_tgl,"&lt;="&amp;akhir,ju_ak,"out"&amp;B5)-SUMIFS(ju_sld,ju_tgl,"&gt;="&amp;awal,ju_tgl,"&lt;="&amp;akhir,ju_ak,"in"&amp;B5)))</f>
        <v>10469623505</v>
      </c>
      <c r="G5" s="126">
        <f t="shared" ref="G5:G16" si="5">SUMIFS(nrc12_sa,nrc12_type,$B5)</f>
        <v>35008781</v>
      </c>
      <c r="H5" s="126">
        <f t="shared" ref="H5:H16" si="6">SUMIFS(nrc12_1,nrc12_type,$B5)</f>
        <v>103614828</v>
      </c>
      <c r="I5" s="126">
        <f t="shared" ref="I5:I16" si="7">SUMIFS(nrc12_2,nrc12_type,$B5)</f>
        <v>68069528</v>
      </c>
      <c r="J5" s="126">
        <f t="shared" ref="J5:J16" si="8">SUMIFS(nrc12_3,nrc12_type,$B5)</f>
        <v>91539420</v>
      </c>
      <c r="K5" s="126">
        <f t="shared" ref="K5:K16" si="9">SUMIFS(nrc12_4,nrc12_type,$B5)</f>
        <v>81723654</v>
      </c>
      <c r="L5" s="126">
        <f t="shared" ref="L5:L16" si="10">SUMIFS(nrc12_5,nrc12_type,$B5)</f>
        <v>73790542</v>
      </c>
      <c r="M5" s="126">
        <f t="shared" ref="M5:M16" si="11">SUMIFS(nrc12_6,nrc12_type,$B5)</f>
        <v>53584495</v>
      </c>
      <c r="N5" s="126">
        <f t="shared" ref="N5:N16" si="12">SUMIFS(nrc12_7,nrc12_type,$B5)</f>
        <v>118468415</v>
      </c>
      <c r="O5" s="126">
        <f t="shared" ref="O5:O16" si="13">SUMIFS(nrc12_8,nrc12_type,$B5)</f>
        <v>45000446</v>
      </c>
      <c r="P5" s="126">
        <f t="shared" ref="P5:P16" si="14">SUMIFS(nrc12_9,nrc12_type,$B5)</f>
        <v>141081930</v>
      </c>
      <c r="Q5" s="126">
        <f t="shared" ref="Q5:Q16" si="15">SUMIFS(nrc12_10,nrc12_type,$B5)</f>
        <v>183820997</v>
      </c>
      <c r="R5" s="126">
        <f t="shared" ref="R5:R16" si="16">SUMIFS(nrc12_11,nrc12_type,$B5)</f>
        <v>70509833</v>
      </c>
      <c r="S5" s="126">
        <f t="shared" ref="S5:S16" si="17">SUMIFS(nrc12_12,nrc12_type,$B5)</f>
        <v>18860800</v>
      </c>
      <c r="T5" s="126">
        <f>J5</f>
        <v>91539420</v>
      </c>
      <c r="U5" s="126">
        <f>M5</f>
        <v>53584495</v>
      </c>
      <c r="V5" s="126">
        <f>P5</f>
        <v>141081930</v>
      </c>
      <c r="W5" s="126">
        <f>S5</f>
        <v>18860800</v>
      </c>
      <c r="X5" s="126">
        <f>K5</f>
        <v>81723654</v>
      </c>
      <c r="Y5" s="126">
        <f>O5</f>
        <v>45000446</v>
      </c>
      <c r="Z5" s="126">
        <f>S5</f>
        <v>18860800</v>
      </c>
      <c r="AA5" s="126">
        <f>M5</f>
        <v>53584495</v>
      </c>
      <c r="AB5" s="126">
        <f>S5</f>
        <v>18860800</v>
      </c>
      <c r="AC5" s="126">
        <f>S5</f>
        <v>18860800</v>
      </c>
      <c r="XCB5" s="121" t="s">
        <v>15</v>
      </c>
      <c r="XCD5" s="116" t="s">
        <v>208</v>
      </c>
      <c r="XCE5" s="117">
        <f t="shared" si="1"/>
        <v>5</v>
      </c>
      <c r="XCF5" s="117"/>
      <c r="XCG5" s="202">
        <v>2</v>
      </c>
      <c r="XCH5" s="202" t="s">
        <v>199</v>
      </c>
      <c r="XCI5" s="202" t="s">
        <v>199</v>
      </c>
      <c r="XCJ5" s="202" t="s">
        <v>200</v>
      </c>
      <c r="XCK5" s="202" t="s">
        <v>203</v>
      </c>
      <c r="XCL5" s="202" t="s">
        <v>202</v>
      </c>
      <c r="XCM5" s="202" t="s">
        <v>209</v>
      </c>
      <c r="XCN5" s="202" t="s">
        <v>212</v>
      </c>
      <c r="XCO5" s="202" t="s">
        <v>209</v>
      </c>
      <c r="XCP5" s="202" t="s">
        <v>203</v>
      </c>
      <c r="XCQ5" s="202" t="s">
        <v>204</v>
      </c>
      <c r="XCR5" s="202" t="s">
        <v>209</v>
      </c>
      <c r="XCS5" s="202" t="s">
        <v>199</v>
      </c>
      <c r="XCT5" s="202" t="s">
        <v>213</v>
      </c>
      <c r="XCU5" s="203"/>
      <c r="XCV5" s="202">
        <v>23</v>
      </c>
      <c r="XCW5" s="202" t="str">
        <f t="shared" si="0"/>
        <v>W</v>
      </c>
      <c r="XCX5" s="203"/>
      <c r="XCY5" s="202"/>
      <c r="XCZ5" s="202"/>
      <c r="XDA5" s="202"/>
      <c r="XDB5" s="202"/>
      <c r="XDC5" s="202"/>
      <c r="XDD5" s="202"/>
      <c r="XDE5" s="202"/>
      <c r="XDF5" s="202"/>
      <c r="XDG5" s="202"/>
      <c r="XDH5" s="202"/>
      <c r="XDI5" s="202"/>
      <c r="XDJ5" s="203"/>
      <c r="XDK5" s="203"/>
      <c r="XDL5" s="203"/>
    </row>
    <row r="6" spans="2:29 16304:16340" ht="23.1" customHeight="1">
      <c r="B6" s="124" t="str">
        <f t="shared" si="3"/>
        <v>Bank</v>
      </c>
      <c r="C6" s="127" t="s">
        <v>29</v>
      </c>
      <c r="D6" s="127" t="s">
        <v>31</v>
      </c>
      <c r="F6" s="126">
        <f t="shared" si="4"/>
        <v>14015727810.870001</v>
      </c>
      <c r="G6" s="126">
        <f t="shared" si="5"/>
        <v>2596084695</v>
      </c>
      <c r="H6" s="126">
        <f t="shared" si="6"/>
        <v>2828378530.0700002</v>
      </c>
      <c r="I6" s="126">
        <f t="shared" si="7"/>
        <v>3159353558.5599999</v>
      </c>
      <c r="J6" s="126">
        <f t="shared" si="8"/>
        <v>3672013874.6199999</v>
      </c>
      <c r="K6" s="126">
        <f t="shared" si="9"/>
        <v>3449591244.3699999</v>
      </c>
      <c r="L6" s="126">
        <f t="shared" si="10"/>
        <v>3797011820.96</v>
      </c>
      <c r="M6" s="126">
        <f t="shared" si="11"/>
        <v>4317930882.4699993</v>
      </c>
      <c r="N6" s="126">
        <f t="shared" si="12"/>
        <v>4713335951.9599991</v>
      </c>
      <c r="O6" s="126">
        <f t="shared" si="13"/>
        <v>5121626683.6899996</v>
      </c>
      <c r="P6" s="126">
        <f t="shared" si="14"/>
        <v>5104257476.0599995</v>
      </c>
      <c r="Q6" s="126">
        <f t="shared" si="15"/>
        <v>5331164841.5400009</v>
      </c>
      <c r="R6" s="126">
        <f t="shared" si="16"/>
        <v>5557980634.5100012</v>
      </c>
      <c r="S6" s="126">
        <f t="shared" si="17"/>
        <v>5446135879.0900011</v>
      </c>
      <c r="T6" s="126">
        <f t="shared" ref="T6:T16" si="18">J6</f>
        <v>3672013874.6199999</v>
      </c>
      <c r="U6" s="126">
        <f t="shared" ref="U6:U16" si="19">M6</f>
        <v>4317930882.4699993</v>
      </c>
      <c r="V6" s="126">
        <f t="shared" ref="V6:V16" si="20">P6</f>
        <v>5104257476.0599995</v>
      </c>
      <c r="W6" s="126">
        <f t="shared" ref="W6:W16" si="21">S6</f>
        <v>5446135879.0900011</v>
      </c>
      <c r="X6" s="126">
        <f t="shared" ref="X6:X16" si="22">K6</f>
        <v>3449591244.3699999</v>
      </c>
      <c r="Y6" s="126">
        <f t="shared" ref="Y6:Y16" si="23">O6</f>
        <v>5121626683.6899996</v>
      </c>
      <c r="Z6" s="126">
        <f t="shared" ref="Z6:Z16" si="24">S6</f>
        <v>5446135879.0900011</v>
      </c>
      <c r="AA6" s="126">
        <f t="shared" ref="AA6:AA16" si="25">M6</f>
        <v>4317930882.4699993</v>
      </c>
      <c r="AB6" s="126">
        <f t="shared" ref="AB6:AB16" si="26">S6</f>
        <v>5446135879.0900011</v>
      </c>
      <c r="AC6" s="126">
        <f t="shared" ref="AC6:AC16" si="27">S6</f>
        <v>5446135879.0900011</v>
      </c>
      <c r="XCB6" s="121" t="s">
        <v>16</v>
      </c>
      <c r="XCD6" s="116" t="s">
        <v>211</v>
      </c>
      <c r="XCE6" s="117">
        <f t="shared" si="1"/>
        <v>6</v>
      </c>
      <c r="XCF6" s="117"/>
      <c r="XCG6" s="202">
        <v>5</v>
      </c>
      <c r="XCH6" s="202" t="s">
        <v>208</v>
      </c>
      <c r="XCI6" s="202" t="s">
        <v>209</v>
      </c>
      <c r="XCJ6" s="202" t="s">
        <v>218</v>
      </c>
      <c r="XCK6" s="202" t="s">
        <v>207</v>
      </c>
      <c r="XCL6" s="202" t="s">
        <v>210</v>
      </c>
      <c r="XCM6" s="202" t="s">
        <v>200</v>
      </c>
      <c r="XCN6" s="202" t="s">
        <v>204</v>
      </c>
      <c r="XCO6" s="202" t="s">
        <v>212</v>
      </c>
      <c r="XCP6" s="202" t="s">
        <v>205</v>
      </c>
      <c r="XCQ6" s="202" t="s">
        <v>197</v>
      </c>
      <c r="XCR6" s="202" t="s">
        <v>214</v>
      </c>
      <c r="XCS6" s="202" t="s">
        <v>214</v>
      </c>
      <c r="XCT6" s="202" t="s">
        <v>209</v>
      </c>
      <c r="XCU6" s="203"/>
      <c r="XCV6" s="202">
        <v>25</v>
      </c>
      <c r="XCW6" s="202" t="str">
        <f t="shared" si="0"/>
        <v>Y</v>
      </c>
      <c r="XCX6" s="203"/>
      <c r="XCY6" s="202" t="str">
        <f>IFERROR(INDEX(XCW:XCW,MATCH(XCY2,XCD:XCD,0)),"S")</f>
        <v>C</v>
      </c>
      <c r="XCZ6" s="202" t="str">
        <f>IFERROR(INDEX(XCW:XCW,MATCH(XCZ2,XCD:XCD,0)),"A")</f>
        <v>C</v>
      </c>
      <c r="XDA6" s="202" t="str">
        <f>IFERROR(INDEX(XCW:XCW,MATCH(XDA2,XCD:XCD,0)),"R")</f>
        <v>T</v>
      </c>
      <c r="XDB6" s="202"/>
      <c r="XDC6" s="202" t="str">
        <f>IFERROR(INDEX(XCW:XCW,MATCH(XDC2,XCD:XCD,0)),"J")</f>
        <v>A</v>
      </c>
      <c r="XDD6" s="202" t="str">
        <f>IFERROR(INDEX(XCW:XCW,MATCH(XDD2,XCD:XCD,0)),"A")</f>
        <v>L</v>
      </c>
      <c r="XDE6" s="202" t="str">
        <f>IFERROR(INDEX(XCW:XCW,MATCH(XDE2,XCD:XCD,0)),"Y")</f>
        <v>F</v>
      </c>
      <c r="XDF6" s="202"/>
      <c r="XDG6" s="202" t="str">
        <f>IFERROR(INDEX(XCW:XCW,MATCH(XDG2,XCD:XCD,0)),"A")</f>
        <v>Y</v>
      </c>
      <c r="XDH6" s="202" t="str">
        <f>IFERROR(INDEX(XCW:XCW,MATCH(XDH2,XCD:XCD,0)),"D")</f>
        <v>L</v>
      </c>
      <c r="XDI6" s="202" t="str">
        <f>IFERROR(INDEX(XCW:XCW,MATCH(XDI2,XCD:XCD,0)),"I")</f>
        <v>I</v>
      </c>
      <c r="XDJ6" s="203"/>
      <c r="XDK6" s="203" t="str">
        <f>XCY6&amp;XCZ6&amp;XDA6&amp;"-"&amp;XDC6&amp;XDD6&amp;XDE6&amp;"-"&amp;XDG6&amp;XDH6&amp;XDI6&amp;"-"&amp;XDC8&amp;XDD8&amp;XDE8</f>
        <v>CCT-ALF-YLI-AWE</v>
      </c>
      <c r="XDL6" s="203"/>
    </row>
    <row r="7" spans="2:29 16304:16340" ht="23.1" customHeight="1">
      <c r="B7" s="124" t="str">
        <f t="shared" si="3"/>
        <v>Akun Piutang</v>
      </c>
      <c r="C7" s="127" t="s">
        <v>29</v>
      </c>
      <c r="D7" s="127" t="s">
        <v>31</v>
      </c>
      <c r="F7" s="126">
        <f t="shared" si="4"/>
        <v>14277736200</v>
      </c>
      <c r="G7" s="126">
        <f t="shared" si="5"/>
        <v>2952873142</v>
      </c>
      <c r="H7" s="126">
        <f t="shared" si="6"/>
        <v>3053222142</v>
      </c>
      <c r="I7" s="126">
        <f t="shared" si="7"/>
        <v>3147284142</v>
      </c>
      <c r="J7" s="126">
        <f t="shared" si="8"/>
        <v>3074080142</v>
      </c>
      <c r="K7" s="126">
        <f t="shared" si="9"/>
        <v>3042293142</v>
      </c>
      <c r="L7" s="126">
        <f t="shared" si="10"/>
        <v>3087414142</v>
      </c>
      <c r="M7" s="126">
        <f t="shared" si="11"/>
        <v>3092891142</v>
      </c>
      <c r="N7" s="126">
        <f t="shared" si="12"/>
        <v>3138108142</v>
      </c>
      <c r="O7" s="126">
        <f t="shared" si="13"/>
        <v>3050809142</v>
      </c>
      <c r="P7" s="126">
        <f t="shared" si="14"/>
        <v>3052189142</v>
      </c>
      <c r="Q7" s="126">
        <f t="shared" si="15"/>
        <v>3031417142</v>
      </c>
      <c r="R7" s="126">
        <f t="shared" si="16"/>
        <v>3090072142</v>
      </c>
      <c r="S7" s="126">
        <f t="shared" si="17"/>
        <v>3115592142</v>
      </c>
      <c r="T7" s="126">
        <f t="shared" si="18"/>
        <v>3074080142</v>
      </c>
      <c r="U7" s="126">
        <f t="shared" si="19"/>
        <v>3092891142</v>
      </c>
      <c r="V7" s="126">
        <f t="shared" si="20"/>
        <v>3052189142</v>
      </c>
      <c r="W7" s="126">
        <f t="shared" si="21"/>
        <v>3115592142</v>
      </c>
      <c r="X7" s="126">
        <f t="shared" si="22"/>
        <v>3042293142</v>
      </c>
      <c r="Y7" s="126">
        <f t="shared" si="23"/>
        <v>3050809142</v>
      </c>
      <c r="Z7" s="126">
        <f t="shared" si="24"/>
        <v>3115592142</v>
      </c>
      <c r="AA7" s="126">
        <f t="shared" si="25"/>
        <v>3092891142</v>
      </c>
      <c r="AB7" s="126">
        <f t="shared" si="26"/>
        <v>3115592142</v>
      </c>
      <c r="AC7" s="126">
        <f t="shared" si="27"/>
        <v>3115592142</v>
      </c>
      <c r="XCB7" s="121" t="s">
        <v>17</v>
      </c>
      <c r="XCD7" s="116" t="s">
        <v>204</v>
      </c>
      <c r="XCE7" s="117">
        <f t="shared" si="1"/>
        <v>7</v>
      </c>
      <c r="XCF7" s="117"/>
      <c r="XCG7" s="202">
        <v>8</v>
      </c>
      <c r="XCH7" s="202" t="s">
        <v>201</v>
      </c>
      <c r="XCI7" s="202" t="s">
        <v>215</v>
      </c>
      <c r="XCJ7" s="202" t="s">
        <v>214</v>
      </c>
      <c r="XCK7" s="202" t="s">
        <v>209</v>
      </c>
      <c r="XCL7" s="202" t="s">
        <v>201</v>
      </c>
      <c r="XCM7" s="202" t="s">
        <v>212</v>
      </c>
      <c r="XCN7" s="202" t="s">
        <v>206</v>
      </c>
      <c r="XCO7" s="202" t="s">
        <v>202</v>
      </c>
      <c r="XCP7" s="202" t="s">
        <v>203</v>
      </c>
      <c r="XCQ7" s="202" t="s">
        <v>200</v>
      </c>
      <c r="XCR7" s="202" t="s">
        <v>202</v>
      </c>
      <c r="XCS7" s="202" t="s">
        <v>199</v>
      </c>
      <c r="XCT7" s="202" t="s">
        <v>219</v>
      </c>
      <c r="XCU7" s="203"/>
      <c r="XCV7" s="202">
        <v>24</v>
      </c>
      <c r="XCW7" s="202" t="str">
        <f t="shared" si="0"/>
        <v>X</v>
      </c>
      <c r="XCX7" s="203"/>
      <c r="XCY7" s="202"/>
      <c r="XCZ7" s="202"/>
      <c r="XDA7" s="202"/>
      <c r="XDB7" s="202"/>
      <c r="XDC7" s="202"/>
      <c r="XDD7" s="202"/>
      <c r="XDE7" s="202"/>
      <c r="XDF7" s="202"/>
      <c r="XDG7" s="202"/>
      <c r="XDH7" s="202"/>
      <c r="XDI7" s="202"/>
      <c r="XDJ7" s="203"/>
      <c r="XDK7" s="203"/>
      <c r="XDL7" s="203"/>
    </row>
    <row r="8" spans="2:29 16304:16340" ht="23.1" customHeight="1">
      <c r="B8" s="124" t="str">
        <f t="shared" si="3"/>
        <v>Persediaan</v>
      </c>
      <c r="C8" s="127" t="s">
        <v>29</v>
      </c>
      <c r="D8" s="127" t="s">
        <v>31</v>
      </c>
      <c r="F8" s="126">
        <f t="shared" si="4"/>
        <v>0</v>
      </c>
      <c r="G8" s="126">
        <f t="shared" si="5"/>
        <v>7455000</v>
      </c>
      <c r="H8" s="126">
        <f t="shared" si="6"/>
        <v>7455000</v>
      </c>
      <c r="I8" s="126">
        <f t="shared" si="7"/>
        <v>7455000</v>
      </c>
      <c r="J8" s="126">
        <f t="shared" si="8"/>
        <v>24380000</v>
      </c>
      <c r="K8" s="126">
        <f t="shared" si="9"/>
        <v>24380000</v>
      </c>
      <c r="L8" s="126">
        <f t="shared" si="10"/>
        <v>24380000</v>
      </c>
      <c r="M8" s="126">
        <f t="shared" si="11"/>
        <v>25545000</v>
      </c>
      <c r="N8" s="126">
        <f t="shared" si="12"/>
        <v>25545000</v>
      </c>
      <c r="O8" s="126">
        <f t="shared" si="13"/>
        <v>25545000</v>
      </c>
      <c r="P8" s="126">
        <f t="shared" si="14"/>
        <v>25545000</v>
      </c>
      <c r="Q8" s="126">
        <f t="shared" si="15"/>
        <v>25545000</v>
      </c>
      <c r="R8" s="126">
        <f t="shared" si="16"/>
        <v>25545000</v>
      </c>
      <c r="S8" s="126">
        <f t="shared" si="17"/>
        <v>3222000</v>
      </c>
      <c r="T8" s="126">
        <f t="shared" si="18"/>
        <v>24380000</v>
      </c>
      <c r="U8" s="126">
        <f t="shared" si="19"/>
        <v>25545000</v>
      </c>
      <c r="V8" s="126">
        <f t="shared" si="20"/>
        <v>25545000</v>
      </c>
      <c r="W8" s="126">
        <f t="shared" si="21"/>
        <v>3222000</v>
      </c>
      <c r="X8" s="126">
        <f t="shared" si="22"/>
        <v>24380000</v>
      </c>
      <c r="Y8" s="126">
        <f t="shared" si="23"/>
        <v>25545000</v>
      </c>
      <c r="Z8" s="126">
        <f t="shared" si="24"/>
        <v>3222000</v>
      </c>
      <c r="AA8" s="126">
        <f t="shared" si="25"/>
        <v>25545000</v>
      </c>
      <c r="AB8" s="126">
        <f t="shared" si="26"/>
        <v>3222000</v>
      </c>
      <c r="AC8" s="126">
        <f t="shared" si="27"/>
        <v>3222000</v>
      </c>
      <c r="XCB8" s="121" t="s">
        <v>18</v>
      </c>
      <c r="XCD8" s="116" t="s">
        <v>201</v>
      </c>
      <c r="XCE8" s="117">
        <f t="shared" si="1"/>
        <v>8</v>
      </c>
      <c r="XCF8" s="117"/>
      <c r="XCG8" s="202">
        <v>9</v>
      </c>
      <c r="XCH8" s="202" t="s">
        <v>210</v>
      </c>
      <c r="XCI8" s="202" t="s">
        <v>211</v>
      </c>
      <c r="XCJ8" s="202" t="s">
        <v>198</v>
      </c>
      <c r="XCK8" s="202" t="s">
        <v>199</v>
      </c>
      <c r="XCL8" s="202" t="s">
        <v>220</v>
      </c>
      <c r="XCM8" s="202" t="s">
        <v>205</v>
      </c>
      <c r="XCN8" s="202" t="s">
        <v>209</v>
      </c>
      <c r="XCO8" s="202" t="s">
        <v>216</v>
      </c>
      <c r="XCP8" s="202" t="s">
        <v>215</v>
      </c>
      <c r="XCQ8" s="202" t="s">
        <v>197</v>
      </c>
      <c r="XCR8" s="202" t="s">
        <v>199</v>
      </c>
      <c r="XCS8" s="202" t="s">
        <v>203</v>
      </c>
      <c r="XCT8" s="202" t="s">
        <v>202</v>
      </c>
      <c r="XCU8" s="203"/>
      <c r="XCV8" s="202">
        <v>6</v>
      </c>
      <c r="XCW8" s="202" t="str">
        <f t="shared" si="0"/>
        <v>F</v>
      </c>
      <c r="XCX8" s="203"/>
      <c r="XCY8" s="202"/>
      <c r="XCZ8" s="202"/>
      <c r="XDA8" s="202"/>
      <c r="XDB8" s="202"/>
      <c r="XDC8" s="202" t="str">
        <f>IFERROR(INDEX(XCW:XCW,MATCH(XDC4,XCD:XCD,0)),"A")</f>
        <v>A</v>
      </c>
      <c r="XDD8" s="202" t="str">
        <f>IFERROR(INDEX(XCW:XCW,MATCH(XDD4,XCD:XCD,0)),"W")</f>
        <v>W</v>
      </c>
      <c r="XDE8" s="202" t="str">
        <f>IFERROR(INDEX(XCW:XCW,MATCH(XDE4,XCD:XCD,0)),"E")</f>
        <v>E</v>
      </c>
      <c r="XDF8" s="202"/>
      <c r="XDG8" s="202"/>
      <c r="XDH8" s="202"/>
      <c r="XDI8" s="202"/>
      <c r="XDJ8" s="203"/>
      <c r="XDK8" s="203"/>
      <c r="XDL8" s="203"/>
    </row>
    <row r="9" spans="2:29 16304:16340" ht="23.1" customHeight="1">
      <c r="B9" s="124" t="str">
        <f t="shared" si="3"/>
        <v>Aktiva Lancar Lainnya</v>
      </c>
      <c r="C9" s="127" t="s">
        <v>29</v>
      </c>
      <c r="D9" s="127" t="s">
        <v>31</v>
      </c>
      <c r="F9" s="126">
        <f t="shared" si="4"/>
        <v>-224449203</v>
      </c>
      <c r="G9" s="126">
        <f t="shared" si="5"/>
        <v>1000000</v>
      </c>
      <c r="H9" s="126">
        <f t="shared" si="6"/>
        <v>26601126</v>
      </c>
      <c r="I9" s="126">
        <f t="shared" si="7"/>
        <v>39401689</v>
      </c>
      <c r="J9" s="126">
        <f t="shared" si="8"/>
        <v>52202252</v>
      </c>
      <c r="K9" s="126">
        <f t="shared" si="9"/>
        <v>65002815</v>
      </c>
      <c r="L9" s="126">
        <f t="shared" si="10"/>
        <v>77803378</v>
      </c>
      <c r="M9" s="126">
        <f t="shared" si="11"/>
        <v>90603941</v>
      </c>
      <c r="N9" s="126">
        <f t="shared" si="12"/>
        <v>103404504</v>
      </c>
      <c r="O9" s="126">
        <f t="shared" si="13"/>
        <v>116205067</v>
      </c>
      <c r="P9" s="126">
        <f t="shared" si="14"/>
        <v>143516101</v>
      </c>
      <c r="Q9" s="126">
        <f t="shared" si="15"/>
        <v>170827135</v>
      </c>
      <c r="R9" s="126">
        <f t="shared" si="16"/>
        <v>198138169</v>
      </c>
      <c r="S9" s="126">
        <f t="shared" si="17"/>
        <v>225449203</v>
      </c>
      <c r="T9" s="126">
        <f t="shared" si="18"/>
        <v>52202252</v>
      </c>
      <c r="U9" s="126">
        <f t="shared" si="19"/>
        <v>90603941</v>
      </c>
      <c r="V9" s="126">
        <f t="shared" si="20"/>
        <v>143516101</v>
      </c>
      <c r="W9" s="126">
        <f t="shared" si="21"/>
        <v>225449203</v>
      </c>
      <c r="X9" s="126">
        <f t="shared" si="22"/>
        <v>65002815</v>
      </c>
      <c r="Y9" s="126">
        <f t="shared" si="23"/>
        <v>116205067</v>
      </c>
      <c r="Z9" s="126">
        <f t="shared" si="24"/>
        <v>225449203</v>
      </c>
      <c r="AA9" s="126">
        <f t="shared" si="25"/>
        <v>90603941</v>
      </c>
      <c r="AB9" s="126">
        <f t="shared" si="26"/>
        <v>225449203</v>
      </c>
      <c r="AC9" s="126">
        <f t="shared" si="27"/>
        <v>225449203</v>
      </c>
      <c r="XCB9" s="121" t="s">
        <v>19</v>
      </c>
      <c r="XCD9" s="116" t="s">
        <v>210</v>
      </c>
      <c r="XCE9" s="117">
        <f t="shared" si="1"/>
        <v>9</v>
      </c>
      <c r="XCF9" s="117"/>
      <c r="XCG9" s="202">
        <v>1</v>
      </c>
      <c r="XCH9" s="202" t="s">
        <v>196</v>
      </c>
      <c r="XCI9" s="202" t="s">
        <v>219</v>
      </c>
      <c r="XCJ9" s="202" t="s">
        <v>203</v>
      </c>
      <c r="XCK9" s="202" t="s">
        <v>204</v>
      </c>
      <c r="XCL9" s="202" t="s">
        <v>213</v>
      </c>
      <c r="XCM9" s="202" t="s">
        <v>214</v>
      </c>
      <c r="XCN9" s="202" t="s">
        <v>218</v>
      </c>
      <c r="XCO9" s="202" t="s">
        <v>207</v>
      </c>
      <c r="XCP9" s="202" t="s">
        <v>207</v>
      </c>
      <c r="XCQ9" s="202" t="s">
        <v>210</v>
      </c>
      <c r="XCR9" s="202" t="s">
        <v>208</v>
      </c>
      <c r="XCS9" s="202" t="s">
        <v>216</v>
      </c>
      <c r="XCT9" s="202" t="s">
        <v>209</v>
      </c>
      <c r="XCU9" s="203"/>
      <c r="XCV9" s="202">
        <v>12</v>
      </c>
      <c r="XCW9" s="202" t="str">
        <f t="shared" si="0"/>
        <v>L</v>
      </c>
      <c r="XCX9" s="203"/>
      <c r="XCY9" s="202"/>
      <c r="XCZ9" s="202"/>
      <c r="XDA9" s="202"/>
      <c r="XDB9" s="202"/>
      <c r="XDC9" s="202"/>
      <c r="XDD9" s="202"/>
      <c r="XDE9" s="202"/>
      <c r="XDF9" s="202"/>
      <c r="XDG9" s="202"/>
      <c r="XDH9" s="202"/>
      <c r="XDI9" s="202"/>
      <c r="XDJ9" s="203"/>
      <c r="XDK9" s="203"/>
      <c r="XDL9" s="203"/>
    </row>
    <row r="10" spans="2:29 16304:16340" ht="23.1" customHeight="1">
      <c r="B10" s="124" t="str">
        <f t="shared" si="3"/>
        <v>Aktiva Tetap</v>
      </c>
      <c r="C10" s="127" t="s">
        <v>29</v>
      </c>
      <c r="D10" s="127" t="s">
        <v>31</v>
      </c>
      <c r="F10" s="126">
        <f t="shared" si="4"/>
        <v>-439801050</v>
      </c>
      <c r="G10" s="126">
        <f t="shared" si="5"/>
        <v>7663403975</v>
      </c>
      <c r="H10" s="126">
        <f t="shared" si="6"/>
        <v>7663403975</v>
      </c>
      <c r="I10" s="126">
        <f t="shared" si="7"/>
        <v>7663403975</v>
      </c>
      <c r="J10" s="126">
        <f t="shared" si="8"/>
        <v>7664353975</v>
      </c>
      <c r="K10" s="126">
        <f t="shared" si="9"/>
        <v>7666803975</v>
      </c>
      <c r="L10" s="126">
        <f t="shared" si="10"/>
        <v>7678003975</v>
      </c>
      <c r="M10" s="126">
        <f t="shared" si="11"/>
        <v>7678003975</v>
      </c>
      <c r="N10" s="126">
        <f t="shared" si="12"/>
        <v>7678003975</v>
      </c>
      <c r="O10" s="126">
        <f t="shared" si="13"/>
        <v>7678603875</v>
      </c>
      <c r="P10" s="126">
        <f t="shared" si="14"/>
        <v>7697601875</v>
      </c>
      <c r="Q10" s="126">
        <f t="shared" si="15"/>
        <v>7752743025</v>
      </c>
      <c r="R10" s="126">
        <f t="shared" si="16"/>
        <v>7752743025</v>
      </c>
      <c r="S10" s="126">
        <f t="shared" si="17"/>
        <v>7638216825</v>
      </c>
      <c r="T10" s="126">
        <f t="shared" si="18"/>
        <v>7664353975</v>
      </c>
      <c r="U10" s="126">
        <f t="shared" si="19"/>
        <v>7678003975</v>
      </c>
      <c r="V10" s="126">
        <f t="shared" si="20"/>
        <v>7697601875</v>
      </c>
      <c r="W10" s="126">
        <f t="shared" si="21"/>
        <v>7638216825</v>
      </c>
      <c r="X10" s="126">
        <f t="shared" si="22"/>
        <v>7666803975</v>
      </c>
      <c r="Y10" s="126">
        <f t="shared" si="23"/>
        <v>7678603875</v>
      </c>
      <c r="Z10" s="126">
        <f t="shared" si="24"/>
        <v>7638216825</v>
      </c>
      <c r="AA10" s="126">
        <f t="shared" si="25"/>
        <v>7678003975</v>
      </c>
      <c r="AB10" s="126">
        <f t="shared" si="26"/>
        <v>7638216825</v>
      </c>
      <c r="AC10" s="126">
        <f t="shared" si="27"/>
        <v>7638216825</v>
      </c>
      <c r="XCB10" s="121" t="s">
        <v>20</v>
      </c>
      <c r="XCD10" s="116" t="s">
        <v>206</v>
      </c>
      <c r="XCE10" s="117">
        <f t="shared" si="1"/>
        <v>10</v>
      </c>
      <c r="XCF10" s="117"/>
      <c r="XCG10" s="202">
        <v>1</v>
      </c>
      <c r="XCH10" s="202" t="s">
        <v>196</v>
      </c>
      <c r="XCI10" s="202" t="s">
        <v>201</v>
      </c>
      <c r="XCJ10" s="202" t="s">
        <v>216</v>
      </c>
      <c r="XCK10" s="202" t="s">
        <v>216</v>
      </c>
      <c r="XCL10" s="202" t="s">
        <v>218</v>
      </c>
      <c r="XCM10" s="202" t="s">
        <v>204</v>
      </c>
      <c r="XCN10" s="202" t="s">
        <v>207</v>
      </c>
      <c r="XCO10" s="202" t="s">
        <v>215</v>
      </c>
      <c r="XCP10" s="202" t="s">
        <v>220</v>
      </c>
      <c r="XCQ10" s="202" t="s">
        <v>219</v>
      </c>
      <c r="XCR10" s="202" t="s">
        <v>200</v>
      </c>
      <c r="XCS10" s="202" t="s">
        <v>205</v>
      </c>
      <c r="XCT10" s="202" t="s">
        <v>208</v>
      </c>
      <c r="XCU10" s="203"/>
      <c r="XCV10" s="202">
        <v>11</v>
      </c>
      <c r="XCW10" s="202" t="str">
        <f t="shared" si="0"/>
        <v>K</v>
      </c>
      <c r="XCX10" s="203"/>
      <c r="XCY10" s="202"/>
      <c r="XCZ10" s="202"/>
      <c r="XDA10" s="202"/>
      <c r="XDB10" s="202"/>
      <c r="XDC10" s="202"/>
      <c r="XDD10" s="202"/>
      <c r="XDE10" s="202"/>
      <c r="XDF10" s="202"/>
      <c r="XDG10" s="202"/>
      <c r="XDH10" s="202"/>
      <c r="XDI10" s="202"/>
      <c r="XDJ10" s="203"/>
      <c r="XDK10" s="203" t="b">
        <f>IF(AND(serialnumber&lt;&gt;"",serialnumber=HASNI),TRUE,FALSE)</f>
        <v>1</v>
      </c>
      <c r="XDL10" s="203"/>
    </row>
    <row r="11" spans="2:29 16304:16340" ht="23.1" customHeight="1">
      <c r="B11" s="124" t="str">
        <f t="shared" si="3"/>
        <v>Depresiasi &amp; Amortisasi</v>
      </c>
      <c r="C11" s="127" t="s">
        <v>29</v>
      </c>
      <c r="D11" s="127" t="s">
        <v>31</v>
      </c>
      <c r="F11" s="126">
        <f t="shared" si="4"/>
        <v>0</v>
      </c>
      <c r="G11" s="126">
        <f t="shared" si="5"/>
        <v>-6058421822</v>
      </c>
      <c r="H11" s="126">
        <f t="shared" si="6"/>
        <v>-6118546619</v>
      </c>
      <c r="I11" s="126">
        <f t="shared" si="7"/>
        <v>-6178671416</v>
      </c>
      <c r="J11" s="126">
        <f t="shared" si="8"/>
        <v>-6238796213</v>
      </c>
      <c r="K11" s="126">
        <f t="shared" si="9"/>
        <v>-6298977676.6633339</v>
      </c>
      <c r="L11" s="126">
        <f t="shared" si="10"/>
        <v>-6359345806.9933338</v>
      </c>
      <c r="M11" s="126">
        <f t="shared" si="11"/>
        <v>-6419713937.3233337</v>
      </c>
      <c r="N11" s="126">
        <f t="shared" si="12"/>
        <v>-6480082067.6533337</v>
      </c>
      <c r="O11" s="126">
        <f t="shared" si="13"/>
        <v>-6540450197.9833336</v>
      </c>
      <c r="P11" s="126">
        <f t="shared" si="14"/>
        <v>-6601144958.6500006</v>
      </c>
      <c r="Q11" s="126">
        <f t="shared" si="15"/>
        <v>-6662755738.3166676</v>
      </c>
      <c r="R11" s="126">
        <f t="shared" si="16"/>
        <v>-6724366517.9833336</v>
      </c>
      <c r="S11" s="126">
        <f t="shared" si="17"/>
        <v>-6453588099.6500006</v>
      </c>
      <c r="T11" s="126">
        <f t="shared" si="18"/>
        <v>-6238796213</v>
      </c>
      <c r="U11" s="126">
        <f t="shared" si="19"/>
        <v>-6419713937.3233337</v>
      </c>
      <c r="V11" s="126">
        <f t="shared" si="20"/>
        <v>-6601144958.6500006</v>
      </c>
      <c r="W11" s="126">
        <f t="shared" si="21"/>
        <v>-6453588099.6500006</v>
      </c>
      <c r="X11" s="126">
        <f t="shared" si="22"/>
        <v>-6298977676.6633339</v>
      </c>
      <c r="Y11" s="126">
        <f t="shared" si="23"/>
        <v>-6540450197.9833336</v>
      </c>
      <c r="Z11" s="126">
        <f t="shared" si="24"/>
        <v>-6453588099.6500006</v>
      </c>
      <c r="AA11" s="126">
        <f t="shared" si="25"/>
        <v>-6419713937.3233337</v>
      </c>
      <c r="AB11" s="126">
        <f t="shared" si="26"/>
        <v>-6453588099.6500006</v>
      </c>
      <c r="AC11" s="126">
        <f t="shared" si="27"/>
        <v>-6453588099.6500006</v>
      </c>
      <c r="XCB11" s="121" t="s">
        <v>21</v>
      </c>
      <c r="XCD11" s="116" t="s">
        <v>214</v>
      </c>
      <c r="XCE11" s="117">
        <f t="shared" si="1"/>
        <v>11</v>
      </c>
      <c r="XCF11" s="117"/>
      <c r="XCG11" s="202">
        <v>9</v>
      </c>
      <c r="XCH11" s="202" t="s">
        <v>210</v>
      </c>
      <c r="XCI11" s="202" t="s">
        <v>201</v>
      </c>
      <c r="XCJ11" s="202" t="s">
        <v>204</v>
      </c>
      <c r="XCK11" s="202" t="s">
        <v>213</v>
      </c>
      <c r="XCL11" s="202" t="s">
        <v>209</v>
      </c>
      <c r="XCM11" s="202" t="s">
        <v>204</v>
      </c>
      <c r="XCN11" s="202" t="s">
        <v>201</v>
      </c>
      <c r="XCO11" s="202" t="s">
        <v>201</v>
      </c>
      <c r="XCP11" s="202" t="s">
        <v>206</v>
      </c>
      <c r="XCQ11" s="202" t="s">
        <v>207</v>
      </c>
      <c r="XCR11" s="202" t="s">
        <v>196</v>
      </c>
      <c r="XCS11" s="202" t="s">
        <v>198</v>
      </c>
      <c r="XCT11" s="202" t="s">
        <v>213</v>
      </c>
      <c r="XCU11" s="203"/>
      <c r="XCV11" s="202">
        <v>1</v>
      </c>
      <c r="XCW11" s="202" t="str">
        <f t="shared" si="0"/>
        <v>A</v>
      </c>
      <c r="XCX11" s="203"/>
      <c r="XCY11" s="202"/>
      <c r="XCZ11" s="202"/>
      <c r="XDA11" s="202"/>
      <c r="XDB11" s="202"/>
      <c r="XDC11" s="202"/>
      <c r="XDD11" s="202"/>
      <c r="XDE11" s="202"/>
      <c r="XDF11" s="202"/>
      <c r="XDG11" s="202"/>
      <c r="XDH11" s="202"/>
      <c r="XDI11" s="202"/>
      <c r="XDJ11" s="203"/>
      <c r="XDK11" s="203"/>
      <c r="XDL11" s="203"/>
    </row>
    <row r="12" spans="2:29 16304:16340" ht="23.1" customHeight="1">
      <c r="B12" s="124" t="str">
        <f t="shared" si="3"/>
        <v>Aktiva Lainnya</v>
      </c>
      <c r="C12" s="127" t="s">
        <v>29</v>
      </c>
      <c r="D12" s="127" t="s">
        <v>31</v>
      </c>
      <c r="F12" s="126">
        <f t="shared" si="4"/>
        <v>-21700000</v>
      </c>
      <c r="G12" s="126">
        <f t="shared" si="5"/>
        <v>931400000</v>
      </c>
      <c r="H12" s="126">
        <f t="shared" si="6"/>
        <v>938700000</v>
      </c>
      <c r="I12" s="126">
        <f t="shared" si="7"/>
        <v>945900000</v>
      </c>
      <c r="J12" s="126">
        <f t="shared" si="8"/>
        <v>953100000</v>
      </c>
      <c r="K12" s="126">
        <f t="shared" si="9"/>
        <v>953100000</v>
      </c>
      <c r="L12" s="126">
        <f t="shared" si="10"/>
        <v>953100000</v>
      </c>
      <c r="M12" s="126">
        <f t="shared" si="11"/>
        <v>953100000</v>
      </c>
      <c r="N12" s="126">
        <f t="shared" si="12"/>
        <v>953100000</v>
      </c>
      <c r="O12" s="126">
        <f t="shared" si="13"/>
        <v>953100000</v>
      </c>
      <c r="P12" s="126">
        <f t="shared" si="14"/>
        <v>953100000</v>
      </c>
      <c r="Q12" s="126">
        <f t="shared" si="15"/>
        <v>953100000</v>
      </c>
      <c r="R12" s="126">
        <f t="shared" si="16"/>
        <v>953100000</v>
      </c>
      <c r="S12" s="126">
        <f t="shared" si="17"/>
        <v>443100000</v>
      </c>
      <c r="T12" s="126">
        <f t="shared" si="18"/>
        <v>953100000</v>
      </c>
      <c r="U12" s="126">
        <f t="shared" si="19"/>
        <v>953100000</v>
      </c>
      <c r="V12" s="126">
        <f t="shared" si="20"/>
        <v>953100000</v>
      </c>
      <c r="W12" s="126">
        <f t="shared" si="21"/>
        <v>443100000</v>
      </c>
      <c r="X12" s="126">
        <f t="shared" si="22"/>
        <v>953100000</v>
      </c>
      <c r="Y12" s="126">
        <f t="shared" si="23"/>
        <v>953100000</v>
      </c>
      <c r="Z12" s="126">
        <f t="shared" si="24"/>
        <v>443100000</v>
      </c>
      <c r="AA12" s="126">
        <f t="shared" si="25"/>
        <v>953100000</v>
      </c>
      <c r="AB12" s="126">
        <f t="shared" si="26"/>
        <v>443100000</v>
      </c>
      <c r="AC12" s="126">
        <f t="shared" si="27"/>
        <v>443100000</v>
      </c>
      <c r="XCB12" s="121" t="s">
        <v>22</v>
      </c>
      <c r="XCD12" s="116" t="s">
        <v>220</v>
      </c>
      <c r="XCE12" s="117">
        <f t="shared" si="1"/>
        <v>12</v>
      </c>
      <c r="XCF12" s="117"/>
      <c r="XCG12" s="202">
        <v>4</v>
      </c>
      <c r="XCH12" s="202" t="s">
        <v>209</v>
      </c>
      <c r="XCI12" s="202" t="s">
        <v>206</v>
      </c>
      <c r="XCJ12" s="202" t="s">
        <v>212</v>
      </c>
      <c r="XCK12" s="202" t="s">
        <v>214</v>
      </c>
      <c r="XCL12" s="202" t="s">
        <v>199</v>
      </c>
      <c r="XCM12" s="202" t="s">
        <v>196</v>
      </c>
      <c r="XCN12" s="202" t="s">
        <v>199</v>
      </c>
      <c r="XCO12" s="202" t="s">
        <v>213</v>
      </c>
      <c r="XCP12" s="202" t="s">
        <v>204</v>
      </c>
      <c r="XCQ12" s="202" t="s">
        <v>216</v>
      </c>
      <c r="XCR12" s="202" t="s">
        <v>212</v>
      </c>
      <c r="XCS12" s="202" t="s">
        <v>203</v>
      </c>
      <c r="XCT12" s="202" t="s">
        <v>199</v>
      </c>
      <c r="XCU12" s="203"/>
      <c r="XCV12" s="202">
        <v>20</v>
      </c>
      <c r="XCW12" s="202" t="str">
        <f t="shared" si="0"/>
        <v>T</v>
      </c>
      <c r="XCX12" s="203"/>
      <c r="XCY12" s="202"/>
      <c r="XCZ12" s="202"/>
      <c r="XDA12" s="202"/>
      <c r="XDB12" s="202"/>
      <c r="XDC12" s="202"/>
      <c r="XDD12" s="202"/>
      <c r="XDE12" s="202"/>
      <c r="XDF12" s="202"/>
      <c r="XDG12" s="202"/>
      <c r="XDH12" s="202"/>
      <c r="XDI12" s="202"/>
      <c r="XDJ12" s="203"/>
      <c r="XDK12" s="203"/>
      <c r="XDL12" s="203"/>
    </row>
    <row r="13" spans="2:29 16304:16340" ht="23.1" customHeight="1">
      <c r="B13" s="124" t="str">
        <f t="shared" si="3"/>
        <v>Akun Hutang</v>
      </c>
      <c r="C13" s="127" t="s">
        <v>29</v>
      </c>
      <c r="D13" s="127" t="s">
        <v>32</v>
      </c>
      <c r="F13" s="126">
        <f t="shared" si="4"/>
        <v>-664290318</v>
      </c>
      <c r="G13" s="126">
        <f t="shared" si="5"/>
        <v>127064293</v>
      </c>
      <c r="H13" s="126">
        <f t="shared" si="6"/>
        <v>122014293</v>
      </c>
      <c r="I13" s="126">
        <f t="shared" si="7"/>
        <v>116964293</v>
      </c>
      <c r="J13" s="126">
        <f t="shared" si="8"/>
        <v>715604611</v>
      </c>
      <c r="K13" s="126">
        <f t="shared" si="9"/>
        <v>710554611</v>
      </c>
      <c r="L13" s="126">
        <f t="shared" si="10"/>
        <v>705504611</v>
      </c>
      <c r="M13" s="126">
        <f t="shared" si="11"/>
        <v>700454611</v>
      </c>
      <c r="N13" s="126">
        <f t="shared" si="12"/>
        <v>695404611</v>
      </c>
      <c r="O13" s="126">
        <f t="shared" si="13"/>
        <v>690354611</v>
      </c>
      <c r="P13" s="126">
        <f t="shared" si="14"/>
        <v>585304611</v>
      </c>
      <c r="Q13" s="126">
        <f t="shared" si="15"/>
        <v>447528371</v>
      </c>
      <c r="R13" s="126">
        <f t="shared" si="16"/>
        <v>256996332</v>
      </c>
      <c r="S13" s="126">
        <f t="shared" si="17"/>
        <v>66464293</v>
      </c>
      <c r="T13" s="126">
        <f t="shared" si="18"/>
        <v>715604611</v>
      </c>
      <c r="U13" s="126">
        <f t="shared" si="19"/>
        <v>700454611</v>
      </c>
      <c r="V13" s="126">
        <f t="shared" si="20"/>
        <v>585304611</v>
      </c>
      <c r="W13" s="126">
        <f t="shared" si="21"/>
        <v>66464293</v>
      </c>
      <c r="X13" s="126">
        <f t="shared" si="22"/>
        <v>710554611</v>
      </c>
      <c r="Y13" s="126">
        <f t="shared" si="23"/>
        <v>690354611</v>
      </c>
      <c r="Z13" s="126">
        <f t="shared" si="24"/>
        <v>66464293</v>
      </c>
      <c r="AA13" s="126">
        <f t="shared" si="25"/>
        <v>700454611</v>
      </c>
      <c r="AB13" s="126">
        <f t="shared" si="26"/>
        <v>66464293</v>
      </c>
      <c r="AC13" s="126">
        <f t="shared" si="27"/>
        <v>66464293</v>
      </c>
      <c r="XCB13" s="121" t="s">
        <v>23</v>
      </c>
      <c r="XCD13" s="116" t="s">
        <v>202</v>
      </c>
      <c r="XCE13" s="117">
        <f t="shared" si="1"/>
        <v>13</v>
      </c>
      <c r="XCF13" s="117"/>
      <c r="XCG13" s="202">
        <v>8</v>
      </c>
      <c r="XCH13" s="202" t="s">
        <v>201</v>
      </c>
      <c r="XCI13" s="202" t="s">
        <v>212</v>
      </c>
      <c r="XCJ13" s="202" t="s">
        <v>203</v>
      </c>
      <c r="XCK13" s="202" t="s">
        <v>207</v>
      </c>
      <c r="XCL13" s="202" t="s">
        <v>216</v>
      </c>
      <c r="XCM13" s="202" t="s">
        <v>200</v>
      </c>
      <c r="XCN13" s="202" t="s">
        <v>219</v>
      </c>
      <c r="XCO13" s="202" t="s">
        <v>208</v>
      </c>
      <c r="XCP13" s="202" t="s">
        <v>211</v>
      </c>
      <c r="XCQ13" s="202" t="s">
        <v>206</v>
      </c>
      <c r="XCR13" s="202" t="s">
        <v>212</v>
      </c>
      <c r="XCS13" s="202" t="s">
        <v>203</v>
      </c>
      <c r="XCT13" s="202" t="s">
        <v>200</v>
      </c>
      <c r="XCU13" s="203"/>
      <c r="XCV13" s="202">
        <v>18</v>
      </c>
      <c r="XCW13" s="202" t="str">
        <f t="shared" si="0"/>
        <v>R</v>
      </c>
      <c r="XCX13" s="203"/>
      <c r="XCY13" s="202"/>
      <c r="XCZ13" s="202"/>
      <c r="XDA13" s="202"/>
      <c r="XDB13" s="202"/>
      <c r="XDC13" s="202"/>
      <c r="XDD13" s="202"/>
      <c r="XDE13" s="202"/>
      <c r="XDF13" s="202"/>
      <c r="XDG13" s="202"/>
      <c r="XDH13" s="202"/>
      <c r="XDI13" s="202"/>
      <c r="XDJ13" s="203"/>
      <c r="XDK13" s="203"/>
      <c r="XDL13" s="203"/>
    </row>
    <row r="14" spans="2:29 16304:16340" ht="23.1" customHeight="1">
      <c r="B14" s="124" t="str">
        <f t="shared" si="3"/>
        <v>Kewajiban Lancar Lainnya</v>
      </c>
      <c r="C14" s="127" t="s">
        <v>29</v>
      </c>
      <c r="D14" s="127" t="s">
        <v>32</v>
      </c>
      <c r="F14" s="126">
        <f t="shared" si="4"/>
        <v>-386659496</v>
      </c>
      <c r="G14" s="126">
        <f t="shared" si="5"/>
        <v>791722382</v>
      </c>
      <c r="H14" s="126">
        <f t="shared" si="6"/>
        <v>770789582</v>
      </c>
      <c r="I14" s="126">
        <f t="shared" si="7"/>
        <v>750522932</v>
      </c>
      <c r="J14" s="126">
        <f t="shared" si="8"/>
        <v>750522932</v>
      </c>
      <c r="K14" s="126">
        <f t="shared" si="9"/>
        <v>721422932</v>
      </c>
      <c r="L14" s="126">
        <f t="shared" si="10"/>
        <v>695532632</v>
      </c>
      <c r="M14" s="126">
        <f t="shared" si="11"/>
        <v>685362632</v>
      </c>
      <c r="N14" s="126">
        <f t="shared" si="12"/>
        <v>610522142</v>
      </c>
      <c r="O14" s="126">
        <f t="shared" si="13"/>
        <v>406724886</v>
      </c>
      <c r="P14" s="126">
        <f t="shared" si="14"/>
        <v>406724886</v>
      </c>
      <c r="Q14" s="126">
        <f t="shared" si="15"/>
        <v>406724886</v>
      </c>
      <c r="R14" s="126">
        <f t="shared" si="16"/>
        <v>406724886</v>
      </c>
      <c r="S14" s="126">
        <f t="shared" si="17"/>
        <v>326009440</v>
      </c>
      <c r="T14" s="126">
        <f t="shared" si="18"/>
        <v>750522932</v>
      </c>
      <c r="U14" s="126">
        <f t="shared" si="19"/>
        <v>685362632</v>
      </c>
      <c r="V14" s="126">
        <f t="shared" si="20"/>
        <v>406724886</v>
      </c>
      <c r="W14" s="126">
        <f t="shared" si="21"/>
        <v>326009440</v>
      </c>
      <c r="X14" s="126">
        <f t="shared" si="22"/>
        <v>721422932</v>
      </c>
      <c r="Y14" s="126">
        <f t="shared" si="23"/>
        <v>406724886</v>
      </c>
      <c r="Z14" s="126">
        <f t="shared" si="24"/>
        <v>326009440</v>
      </c>
      <c r="AA14" s="126">
        <f t="shared" si="25"/>
        <v>685362632</v>
      </c>
      <c r="AB14" s="126">
        <f t="shared" si="26"/>
        <v>326009440</v>
      </c>
      <c r="AC14" s="126">
        <f t="shared" si="27"/>
        <v>326009440</v>
      </c>
      <c r="XCB14" s="121" t="s">
        <v>24</v>
      </c>
      <c r="XCD14" s="116" t="s">
        <v>203</v>
      </c>
      <c r="XCE14" s="117">
        <f t="shared" si="1"/>
        <v>14</v>
      </c>
      <c r="XCF14" s="117"/>
      <c r="XCG14" s="202">
        <v>4</v>
      </c>
      <c r="XCH14" s="202" t="s">
        <v>209</v>
      </c>
      <c r="XCI14" s="202" t="s">
        <v>218</v>
      </c>
      <c r="XCJ14" s="202" t="s">
        <v>220</v>
      </c>
      <c r="XCK14" s="202" t="s">
        <v>207</v>
      </c>
      <c r="XCL14" s="202" t="s">
        <v>214</v>
      </c>
      <c r="XCM14" s="202" t="s">
        <v>202</v>
      </c>
      <c r="XCN14" s="202" t="s">
        <v>215</v>
      </c>
      <c r="XCO14" s="202" t="s">
        <v>203</v>
      </c>
      <c r="XCP14" s="202" t="s">
        <v>210</v>
      </c>
      <c r="XCQ14" s="202" t="s">
        <v>216</v>
      </c>
      <c r="XCR14" s="202" t="s">
        <v>212</v>
      </c>
      <c r="XCS14" s="202" t="s">
        <v>213</v>
      </c>
      <c r="XCT14" s="202" t="s">
        <v>205</v>
      </c>
      <c r="XCU14" s="203"/>
      <c r="XCV14" s="202">
        <v>16</v>
      </c>
      <c r="XCW14" s="202" t="str">
        <f t="shared" si="0"/>
        <v>P</v>
      </c>
      <c r="XCX14" s="203"/>
      <c r="XCY14" s="202" t="str">
        <f>XCY6</f>
        <v>C</v>
      </c>
      <c r="XCZ14" s="202" t="str">
        <f>XCZ6</f>
        <v>C</v>
      </c>
      <c r="XDA14" s="202" t="str">
        <f>XDA6</f>
        <v>T</v>
      </c>
      <c r="XDB14" s="202"/>
      <c r="XDC14" s="202" t="str">
        <f>XDC6</f>
        <v>A</v>
      </c>
      <c r="XDD14" s="202" t="str">
        <f>XDD6</f>
        <v>L</v>
      </c>
      <c r="XDE14" s="202" t="str">
        <f>XDE6</f>
        <v>F</v>
      </c>
      <c r="XDF14" s="202"/>
      <c r="XDG14" s="202" t="str">
        <f>XDG6</f>
        <v>Y</v>
      </c>
      <c r="XDH14" s="202" t="str">
        <f>XDH6</f>
        <v>L</v>
      </c>
      <c r="XDI14" s="202" t="str">
        <f>XDI6</f>
        <v>I</v>
      </c>
      <c r="XDJ14" s="203"/>
      <c r="XDK14" s="203"/>
      <c r="XDL14" s="203"/>
    </row>
    <row r="15" spans="2:29 16304:16340" ht="23.1" customHeight="1">
      <c r="B15" s="124" t="str">
        <f t="shared" si="3"/>
        <v>Kewajiban Jangka Panjang</v>
      </c>
      <c r="C15" s="127" t="s">
        <v>29</v>
      </c>
      <c r="D15" s="127" t="s">
        <v>32</v>
      </c>
      <c r="F15" s="126">
        <f t="shared" si="4"/>
        <v>0</v>
      </c>
      <c r="G15" s="126">
        <f t="shared" si="5"/>
        <v>0</v>
      </c>
      <c r="H15" s="126">
        <f t="shared" si="6"/>
        <v>0</v>
      </c>
      <c r="I15" s="126">
        <f t="shared" si="7"/>
        <v>0</v>
      </c>
      <c r="J15" s="126">
        <f t="shared" si="8"/>
        <v>0</v>
      </c>
      <c r="K15" s="126">
        <f t="shared" si="9"/>
        <v>0</v>
      </c>
      <c r="L15" s="126">
        <f t="shared" si="10"/>
        <v>0</v>
      </c>
      <c r="M15" s="126">
        <f t="shared" si="11"/>
        <v>0</v>
      </c>
      <c r="N15" s="126">
        <f t="shared" si="12"/>
        <v>0</v>
      </c>
      <c r="O15" s="126">
        <f t="shared" si="13"/>
        <v>0</v>
      </c>
      <c r="P15" s="126">
        <f t="shared" si="14"/>
        <v>0</v>
      </c>
      <c r="Q15" s="126">
        <f t="shared" si="15"/>
        <v>0</v>
      </c>
      <c r="R15" s="126">
        <f t="shared" si="16"/>
        <v>0</v>
      </c>
      <c r="S15" s="126">
        <f t="shared" si="17"/>
        <v>0</v>
      </c>
      <c r="T15" s="126">
        <f t="shared" si="18"/>
        <v>0</v>
      </c>
      <c r="U15" s="126">
        <f t="shared" si="19"/>
        <v>0</v>
      </c>
      <c r="V15" s="126">
        <f t="shared" si="20"/>
        <v>0</v>
      </c>
      <c r="W15" s="126">
        <f t="shared" si="21"/>
        <v>0</v>
      </c>
      <c r="X15" s="126">
        <f t="shared" si="22"/>
        <v>0</v>
      </c>
      <c r="Y15" s="126">
        <f t="shared" si="23"/>
        <v>0</v>
      </c>
      <c r="Z15" s="126">
        <f t="shared" si="24"/>
        <v>0</v>
      </c>
      <c r="AA15" s="126">
        <f t="shared" si="25"/>
        <v>0</v>
      </c>
      <c r="AB15" s="126">
        <f t="shared" si="26"/>
        <v>0</v>
      </c>
      <c r="AC15" s="126">
        <f t="shared" si="27"/>
        <v>0</v>
      </c>
      <c r="XCB15" s="121" t="s">
        <v>25</v>
      </c>
      <c r="XCD15" s="116" t="s">
        <v>205</v>
      </c>
      <c r="XCE15" s="117">
        <f t="shared" si="1"/>
        <v>15</v>
      </c>
      <c r="XCF15" s="117"/>
      <c r="XCG15" s="202">
        <v>8</v>
      </c>
      <c r="XCH15" s="202" t="s">
        <v>201</v>
      </c>
      <c r="XCI15" s="202" t="s">
        <v>206</v>
      </c>
      <c r="XCJ15" s="202" t="s">
        <v>212</v>
      </c>
      <c r="XCK15" s="202" t="s">
        <v>199</v>
      </c>
      <c r="XCL15" s="202" t="s">
        <v>199</v>
      </c>
      <c r="XCM15" s="202" t="s">
        <v>207</v>
      </c>
      <c r="XCN15" s="202" t="s">
        <v>210</v>
      </c>
      <c r="XCO15" s="202" t="s">
        <v>213</v>
      </c>
      <c r="XCP15" s="202" t="s">
        <v>204</v>
      </c>
      <c r="XCQ15" s="202" t="s">
        <v>216</v>
      </c>
      <c r="XCR15" s="202" t="s">
        <v>219</v>
      </c>
      <c r="XCS15" s="202" t="s">
        <v>199</v>
      </c>
      <c r="XCT15" s="202" t="s">
        <v>202</v>
      </c>
      <c r="XCU15" s="203"/>
      <c r="XCV15" s="202">
        <v>14</v>
      </c>
      <c r="XCW15" s="202" t="str">
        <f t="shared" si="0"/>
        <v>N</v>
      </c>
      <c r="XCX15" s="203"/>
      <c r="XCY15" s="202"/>
      <c r="XCZ15" s="202"/>
      <c r="XDA15" s="202"/>
      <c r="XDB15" s="202"/>
      <c r="XDC15" s="202"/>
      <c r="XDD15" s="202"/>
      <c r="XDE15" s="202"/>
      <c r="XDF15" s="202"/>
      <c r="XDG15" s="202"/>
      <c r="XDH15" s="202"/>
      <c r="XDI15" s="202"/>
      <c r="XDJ15" s="203"/>
      <c r="XDK15" s="203"/>
      <c r="XDL15" s="203"/>
    </row>
    <row r="16" spans="2:29 16304:16340" ht="23.1" customHeight="1">
      <c r="B16" s="124" t="str">
        <f t="shared" si="3"/>
        <v>Ekuitas</v>
      </c>
      <c r="C16" s="127" t="s">
        <v>29</v>
      </c>
      <c r="D16" s="127" t="s">
        <v>32</v>
      </c>
      <c r="F16" s="126">
        <f t="shared" si="4"/>
        <v>0</v>
      </c>
      <c r="G16" s="126">
        <f t="shared" si="5"/>
        <v>7210017096</v>
      </c>
      <c r="H16" s="126">
        <f t="shared" si="6"/>
        <v>7610025107.0699997</v>
      </c>
      <c r="I16" s="126">
        <f t="shared" si="7"/>
        <v>7984709251.5599995</v>
      </c>
      <c r="J16" s="126">
        <f t="shared" si="8"/>
        <v>7052053752.0600004</v>
      </c>
      <c r="K16" s="126">
        <f t="shared" si="9"/>
        <v>6331520481.0866661</v>
      </c>
      <c r="L16" s="126">
        <f t="shared" si="10"/>
        <v>6985507975.2600002</v>
      </c>
      <c r="M16" s="126">
        <f t="shared" si="11"/>
        <v>7081334225.1800003</v>
      </c>
      <c r="N16" s="126">
        <f t="shared" si="12"/>
        <v>7144155690.1599998</v>
      </c>
      <c r="O16" s="126">
        <f t="shared" si="13"/>
        <v>7015730129.3999996</v>
      </c>
      <c r="P16" s="126">
        <f t="shared" si="14"/>
        <v>6777083327.7033329</v>
      </c>
      <c r="Q16" s="126">
        <f t="shared" si="15"/>
        <v>7013818854.8133335</v>
      </c>
      <c r="R16" s="126">
        <f t="shared" si="16"/>
        <v>6934718700.3033333</v>
      </c>
      <c r="S16" s="126">
        <f t="shared" si="17"/>
        <v>6536840726.9133329</v>
      </c>
      <c r="T16" s="126">
        <f t="shared" si="18"/>
        <v>7052053752.0600004</v>
      </c>
      <c r="U16" s="126">
        <f t="shared" si="19"/>
        <v>7081334225.1800003</v>
      </c>
      <c r="V16" s="126">
        <f t="shared" si="20"/>
        <v>6777083327.7033329</v>
      </c>
      <c r="W16" s="126">
        <f t="shared" si="21"/>
        <v>6536840726.9133329</v>
      </c>
      <c r="X16" s="126">
        <f t="shared" si="22"/>
        <v>6331520481.0866661</v>
      </c>
      <c r="Y16" s="126">
        <f t="shared" si="23"/>
        <v>7015730129.3999996</v>
      </c>
      <c r="Z16" s="126">
        <f t="shared" si="24"/>
        <v>6536840726.9133329</v>
      </c>
      <c r="AA16" s="126">
        <f t="shared" si="25"/>
        <v>7081334225.1800003</v>
      </c>
      <c r="AB16" s="126">
        <f t="shared" si="26"/>
        <v>6536840726.9133329</v>
      </c>
      <c r="AC16" s="126">
        <f t="shared" si="27"/>
        <v>6536840726.9133329</v>
      </c>
      <c r="XCB16" s="121" t="s">
        <v>26</v>
      </c>
      <c r="XCD16" s="116" t="s">
        <v>215</v>
      </c>
      <c r="XCE16" s="117">
        <f t="shared" si="1"/>
        <v>16</v>
      </c>
      <c r="XCF16" s="117"/>
      <c r="XCG16" s="202">
        <v>8</v>
      </c>
      <c r="XCH16" s="202" t="s">
        <v>201</v>
      </c>
      <c r="XCI16" s="202" t="s">
        <v>220</v>
      </c>
      <c r="XCJ16" s="202" t="s">
        <v>212</v>
      </c>
      <c r="XCK16" s="202" t="s">
        <v>196</v>
      </c>
      <c r="XCL16" s="202" t="s">
        <v>213</v>
      </c>
      <c r="XCM16" s="202" t="s">
        <v>219</v>
      </c>
      <c r="XCN16" s="202" t="s">
        <v>220</v>
      </c>
      <c r="XCO16" s="202" t="s">
        <v>204</v>
      </c>
      <c r="XCP16" s="202" t="s">
        <v>220</v>
      </c>
      <c r="XCQ16" s="202" t="s">
        <v>209</v>
      </c>
      <c r="XCR16" s="202" t="s">
        <v>201</v>
      </c>
      <c r="XCS16" s="202" t="s">
        <v>213</v>
      </c>
      <c r="XCT16" s="202" t="s">
        <v>205</v>
      </c>
      <c r="XCU16" s="203"/>
      <c r="XCV16" s="202">
        <v>22</v>
      </c>
      <c r="XCW16" s="202" t="str">
        <f t="shared" si="0"/>
        <v>V</v>
      </c>
      <c r="XCX16" s="203"/>
      <c r="XCY16" s="202"/>
      <c r="XCZ16" s="202"/>
      <c r="XDA16" s="202"/>
      <c r="XDB16" s="202"/>
      <c r="XDC16" s="202" t="str">
        <f>XDC8</f>
        <v>A</v>
      </c>
      <c r="XDD16" s="202" t="str">
        <f>XDD8</f>
        <v>W</v>
      </c>
      <c r="XDE16" s="202" t="str">
        <f>XDE8</f>
        <v>E</v>
      </c>
      <c r="XDF16" s="202"/>
      <c r="XDG16" s="202"/>
      <c r="XDH16" s="202"/>
      <c r="XDI16" s="202"/>
      <c r="XDJ16" s="203"/>
      <c r="XDK16" s="203" t="b">
        <f>IF(AND(XDK10=TRUE,XDK20=TRUE),TRUE,FALSE)</f>
        <v>1</v>
      </c>
      <c r="XDL16" s="203"/>
    </row>
    <row r="17" spans="2:29 16304:16340" ht="23.1" customHeight="1">
      <c r="B17" s="124" t="str">
        <f t="shared" si="3"/>
        <v>Pendapatan</v>
      </c>
      <c r="C17" s="127" t="s">
        <v>30</v>
      </c>
      <c r="D17" s="127" t="s">
        <v>32</v>
      </c>
      <c r="F17" s="126">
        <f t="shared" si="4"/>
        <v>374864000</v>
      </c>
      <c r="G17" s="126"/>
      <c r="H17" s="126">
        <f>SUMIFS(lr12_1,lr12_kd,$B17)</f>
        <v>1196364000</v>
      </c>
      <c r="I17" s="126">
        <f>SUMIFS(lr12_2,lr12_kd,$B17)</f>
        <v>1095081200</v>
      </c>
      <c r="J17" s="126">
        <f>SUMIFS(lr12_3,lr12_kd,$B17)</f>
        <v>1240103100</v>
      </c>
      <c r="K17" s="126">
        <f>SUMIFS(lr12_4,lr12_kd,$B17)</f>
        <v>1124920800</v>
      </c>
      <c r="L17" s="126">
        <f>SUMIFS(lr12_5,lr12_kd,$B17)</f>
        <v>1034758600</v>
      </c>
      <c r="M17" s="126">
        <f>SUMIFS(lr12_6,lr12_kd,$B17)</f>
        <v>1217250600</v>
      </c>
      <c r="N17" s="126">
        <f>SUMIFS(lr12_7,lr12_kd,$B17)</f>
        <v>1200419500</v>
      </c>
      <c r="O17" s="126">
        <f>SUMIFS(lr12_8,lr12_kd,$B17)</f>
        <v>1334495600</v>
      </c>
      <c r="P17" s="126">
        <f>SUMIFS(lr12_9,lr12_kd,$B17)</f>
        <v>1363331100</v>
      </c>
      <c r="Q17" s="126">
        <f>SUMIFS(lr12_10,lr12_kd,$B17)</f>
        <v>1335326800</v>
      </c>
      <c r="R17" s="126">
        <f>SUMIFS(lr12_11,lr12_kd,$B17)</f>
        <v>1343121000</v>
      </c>
      <c r="S17" s="126">
        <f>SUMIFS(lr12_12,lr12_kd,$B17)</f>
        <v>1330146900</v>
      </c>
      <c r="T17" s="126">
        <f>SUM(H17:J17)</f>
        <v>3531548300</v>
      </c>
      <c r="U17" s="126">
        <f>SUM(K17:M17)</f>
        <v>3376930000</v>
      </c>
      <c r="V17" s="126">
        <f>SUM(N17:P17)</f>
        <v>3898246200</v>
      </c>
      <c r="W17" s="126">
        <f>SUM(Q17:S17)</f>
        <v>4008594700</v>
      </c>
      <c r="X17" s="126">
        <f>SUM(H17:K17)</f>
        <v>4656469100</v>
      </c>
      <c r="Y17" s="126">
        <f>SUM(L17:O17)</f>
        <v>4786924300</v>
      </c>
      <c r="Z17" s="126">
        <f>SUM(P17:S17)</f>
        <v>5371925800</v>
      </c>
      <c r="AA17" s="126">
        <f>SUM(H17:M17)</f>
        <v>6908478300</v>
      </c>
      <c r="AB17" s="126">
        <f>SUM(N17:S17)</f>
        <v>7906840900</v>
      </c>
      <c r="AC17" s="126">
        <f>SUM(AA17:AB17)</f>
        <v>14815319200</v>
      </c>
      <c r="XCB17" s="121" t="s">
        <v>27</v>
      </c>
      <c r="XCD17" s="116" t="s">
        <v>212</v>
      </c>
      <c r="XCE17" s="117">
        <f t="shared" si="1"/>
        <v>17</v>
      </c>
      <c r="XCF17" s="117"/>
      <c r="XCG17" s="202">
        <v>8</v>
      </c>
      <c r="XCH17" s="202" t="s">
        <v>201</v>
      </c>
      <c r="XCI17" s="202" t="s">
        <v>205</v>
      </c>
      <c r="XCJ17" s="202" t="s">
        <v>218</v>
      </c>
      <c r="XCK17" s="202" t="s">
        <v>204</v>
      </c>
      <c r="XCL17" s="202" t="s">
        <v>200</v>
      </c>
      <c r="XCM17" s="202" t="s">
        <v>202</v>
      </c>
      <c r="XCN17" s="202" t="s">
        <v>197</v>
      </c>
      <c r="XCO17" s="202" t="s">
        <v>212</v>
      </c>
      <c r="XCP17" s="202" t="s">
        <v>206</v>
      </c>
      <c r="XCQ17" s="202" t="s">
        <v>213</v>
      </c>
      <c r="XCR17" s="202" t="s">
        <v>202</v>
      </c>
      <c r="XCS17" s="202" t="s">
        <v>201</v>
      </c>
      <c r="XCT17" s="202" t="s">
        <v>211</v>
      </c>
      <c r="XCU17" s="203"/>
      <c r="XCV17" s="202">
        <v>6</v>
      </c>
      <c r="XCW17" s="202" t="str">
        <f t="shared" si="0"/>
        <v>F</v>
      </c>
      <c r="XCX17" s="203"/>
      <c r="XCY17" s="202"/>
      <c r="XCZ17" s="202"/>
      <c r="XDA17" s="202"/>
      <c r="XDB17" s="202"/>
      <c r="XDC17" s="202"/>
      <c r="XDD17" s="202"/>
      <c r="XDE17" s="202"/>
      <c r="XDF17" s="202"/>
      <c r="XDG17" s="202"/>
      <c r="XDH17" s="202"/>
      <c r="XDI17" s="202"/>
      <c r="XDJ17" s="203"/>
      <c r="XDK17" s="203"/>
      <c r="XDL17" s="203"/>
    </row>
    <row r="18" spans="2:29 16304:16340" ht="23.1" customHeight="1">
      <c r="B18" s="124" t="str">
        <f t="shared" si="3"/>
        <v>Harga Pokok Penjualan</v>
      </c>
      <c r="C18" s="127" t="s">
        <v>30</v>
      </c>
      <c r="D18" s="127" t="s">
        <v>31</v>
      </c>
      <c r="F18" s="126">
        <f t="shared" si="4"/>
        <v>-1030128022</v>
      </c>
      <c r="G18" s="126"/>
      <c r="H18" s="126">
        <f>SUMIFS(lr12_1,lr12_kd,$B18)</f>
        <v>-46978870</v>
      </c>
      <c r="I18" s="126">
        <f>SUMIFS(lr12_2,lr12_kd,$B18)</f>
        <v>-82021800</v>
      </c>
      <c r="J18" s="126">
        <f>SUMIFS(lr12_3,lr12_kd,$B18)</f>
        <v>-54915330</v>
      </c>
      <c r="K18" s="126">
        <f>SUMIFS(lr12_4,lr12_kd,$B18)</f>
        <v>-293463600</v>
      </c>
      <c r="L18" s="126">
        <f>SUMIFS(lr12_5,lr12_kd,$B18)</f>
        <v>-38430100</v>
      </c>
      <c r="M18" s="126">
        <f>SUMIFS(lr12_6,lr12_kd,$B18)</f>
        <v>-82877059</v>
      </c>
      <c r="N18" s="126">
        <f>SUMIFS(lr12_7,lr12_kd,$B18)</f>
        <v>-45939950</v>
      </c>
      <c r="O18" s="126">
        <f>SUMIFS(lr12_8,lr12_kd,$B18)</f>
        <v>-61098750</v>
      </c>
      <c r="P18" s="126">
        <f>SUMIFS(lr12_9,lr12_kd,$B18)</f>
        <v>-63113303</v>
      </c>
      <c r="Q18" s="126">
        <f>SUMIFS(lr12_10,lr12_kd,$B18)</f>
        <v>-60979063</v>
      </c>
      <c r="R18" s="126">
        <f>SUMIFS(lr12_11,lr12_kd,$B18)</f>
        <v>-109822997</v>
      </c>
      <c r="S18" s="126">
        <f>SUMIFS(lr12_12,lr12_kd,$B18)</f>
        <v>-94720200</v>
      </c>
      <c r="T18" s="126">
        <f>SUM(H18:J18)</f>
        <v>-183916000</v>
      </c>
      <c r="U18" s="126">
        <f>SUM(K18:M18)</f>
        <v>-414770759</v>
      </c>
      <c r="V18" s="126">
        <f>SUM(N18:P18)</f>
        <v>-170152003</v>
      </c>
      <c r="W18" s="126">
        <f>SUM(Q18:S18)</f>
        <v>-265522260</v>
      </c>
      <c r="X18" s="126">
        <f>SUM(H18:K18)</f>
        <v>-477379600</v>
      </c>
      <c r="Y18" s="126">
        <f>SUM(L18:O18)</f>
        <v>-228345859</v>
      </c>
      <c r="Z18" s="126">
        <f>SUM(P18:S18)</f>
        <v>-328635563</v>
      </c>
      <c r="AA18" s="126">
        <f>SUM(H18:M18)</f>
        <v>-598686759</v>
      </c>
      <c r="AB18" s="126">
        <f>SUM(N18:S18)</f>
        <v>-435674263</v>
      </c>
      <c r="AC18" s="126">
        <f>SUM(AA18:AB18)</f>
        <v>-1034361022</v>
      </c>
      <c r="XCD18" s="116" t="s">
        <v>213</v>
      </c>
      <c r="XCE18" s="117">
        <f t="shared" si="1"/>
        <v>18</v>
      </c>
      <c r="XCF18" s="117"/>
      <c r="XCG18" s="202">
        <v>7</v>
      </c>
      <c r="XCH18" s="202" t="s">
        <v>204</v>
      </c>
      <c r="XCI18" s="202" t="s">
        <v>197</v>
      </c>
      <c r="XCJ18" s="202" t="s">
        <v>209</v>
      </c>
      <c r="XCK18" s="202" t="s">
        <v>209</v>
      </c>
      <c r="XCL18" s="202" t="s">
        <v>207</v>
      </c>
      <c r="XCM18" s="202" t="s">
        <v>196</v>
      </c>
      <c r="XCN18" s="202" t="s">
        <v>207</v>
      </c>
      <c r="XCO18" s="202" t="s">
        <v>218</v>
      </c>
      <c r="XCP18" s="202" t="s">
        <v>200</v>
      </c>
      <c r="XCQ18" s="202" t="s">
        <v>206</v>
      </c>
      <c r="XCR18" s="202" t="s">
        <v>201</v>
      </c>
      <c r="XCS18" s="202" t="s">
        <v>198</v>
      </c>
      <c r="XCT18" s="202" t="s">
        <v>213</v>
      </c>
      <c r="XCU18" s="203"/>
      <c r="XCV18" s="202">
        <v>2</v>
      </c>
      <c r="XCW18" s="202" t="str">
        <f t="shared" si="0"/>
        <v>B</v>
      </c>
      <c r="XCX18" s="203"/>
      <c r="XCY18" s="202">
        <f>INDEX(XCE:XCE,MATCH(XCY14,XCD:XCD,0))</f>
        <v>3</v>
      </c>
      <c r="XCZ18" s="202">
        <f>INDEX(XCE:XCE,MATCH(XCZ14,XCD:XCD,0))</f>
        <v>3</v>
      </c>
      <c r="XDA18" s="202">
        <f>INDEX(XCE:XCE,MATCH(XDA14,XCD:XCD,0))</f>
        <v>20</v>
      </c>
      <c r="XDB18" s="202"/>
      <c r="XDC18" s="202">
        <f>INDEX(XCE:XCE,MATCH(XDC14,XCD:XCD,0))</f>
        <v>1</v>
      </c>
      <c r="XDD18" s="202">
        <f>INDEX(XCE:XCE,MATCH(XDD14,XCD:XCD,0))</f>
        <v>12</v>
      </c>
      <c r="XDE18" s="202">
        <f>INDEX(XCE:XCE,MATCH(XDE14,XCD:XCD,0))</f>
        <v>6</v>
      </c>
      <c r="XDF18" s="202"/>
      <c r="XDG18" s="202">
        <f>INDEX(XCE:XCE,MATCH(XDG14,XCD:XCD,0))</f>
        <v>25</v>
      </c>
      <c r="XDH18" s="202">
        <f>INDEX(XCE:XCE,MATCH(XDH14,XCD:XCD,0))</f>
        <v>12</v>
      </c>
      <c r="XDI18" s="202">
        <f>INDEX(XCE:XCE,MATCH(XDI14,XCD:XCD,0))</f>
        <v>9</v>
      </c>
      <c r="XDJ18" s="203"/>
      <c r="XDK18" s="203"/>
      <c r="XDL18" s="203"/>
    </row>
    <row r="19" spans="2:29 16304:16340" ht="23.1" customHeight="1">
      <c r="B19" s="124" t="str">
        <f t="shared" si="3"/>
        <v>Beban</v>
      </c>
      <c r="C19" s="127" t="s">
        <v>30</v>
      </c>
      <c r="D19" s="127" t="s">
        <v>31</v>
      </c>
      <c r="F19" s="126">
        <f t="shared" si="4"/>
        <v>-9139704126</v>
      </c>
      <c r="G19" s="126"/>
      <c r="H19" s="126">
        <f>SUMIFS(lr12_1,lr12_kd,$B19)</f>
        <v>-751526976</v>
      </c>
      <c r="I19" s="126">
        <f>SUMIFS(lr12_2,lr12_kd,$B19)</f>
        <v>-641038030</v>
      </c>
      <c r="J19" s="126">
        <f>SUMIFS(lr12_3,lr12_kd,$B19)</f>
        <v>-741284788</v>
      </c>
      <c r="K19" s="126">
        <f>SUMIFS(lr12_4,lr12_kd,$B19)</f>
        <v>-1109808441.6633334</v>
      </c>
      <c r="L19" s="126">
        <f>SUMIFS(lr12_5,lr12_kd,$B19)</f>
        <v>-620510623.32999992</v>
      </c>
      <c r="M19" s="126">
        <f>SUMIFS(lr12_6,lr12_kd,$B19)</f>
        <v>-662665747.32999992</v>
      </c>
      <c r="N19" s="126">
        <f>SUMIFS(lr12_7,lr12_kd,$B19)</f>
        <v>-621911889.32999992</v>
      </c>
      <c r="O19" s="126">
        <f>SUMIFS(lr12_8,lr12_kd,$B19)</f>
        <v>-867048293.32999992</v>
      </c>
      <c r="P19" s="126">
        <f>SUMIFS(lr12_9,lr12_kd,$B19)</f>
        <v>-1183213048.6666667</v>
      </c>
      <c r="Q19" s="126">
        <f>SUMIFS(lr12_10,lr12_kd,$B19)</f>
        <v>-869748129.66666663</v>
      </c>
      <c r="R19" s="126">
        <f>SUMIFS(lr12_11,lr12_kd,$B19)</f>
        <v>-908252385.66666663</v>
      </c>
      <c r="S19" s="126">
        <f>SUMIFS(lr12_12,lr12_kd,$B19)</f>
        <v>-1400251250.6666667</v>
      </c>
      <c r="T19" s="126">
        <f>SUM(H19:J19)</f>
        <v>-2133849794</v>
      </c>
      <c r="U19" s="126">
        <f>SUM(K19:M19)</f>
        <v>-2392984812.3233333</v>
      </c>
      <c r="V19" s="126">
        <f>SUM(N19:P19)</f>
        <v>-2672173231.3266668</v>
      </c>
      <c r="W19" s="126">
        <f>SUM(Q19:S19)</f>
        <v>-3178251766</v>
      </c>
      <c r="X19" s="126">
        <f>SUM(H19:K19)</f>
        <v>-3243658235.6633334</v>
      </c>
      <c r="Y19" s="126">
        <f>SUM(L19:O19)</f>
        <v>-2772136553.3199997</v>
      </c>
      <c r="Z19" s="126">
        <f>SUM(P19:S19)</f>
        <v>-4361464814.666667</v>
      </c>
      <c r="AA19" s="126">
        <f>SUM(H19:M19)</f>
        <v>-4526834606.3233337</v>
      </c>
      <c r="AB19" s="126">
        <f>SUM(N19:S19)</f>
        <v>-5850424997.3266668</v>
      </c>
      <c r="AC19" s="126">
        <f>SUM(AA19:AB19)</f>
        <v>-10377259603.650002</v>
      </c>
      <c r="XCD19" s="116" t="s">
        <v>198</v>
      </c>
      <c r="XCE19" s="117">
        <f t="shared" si="1"/>
        <v>19</v>
      </c>
      <c r="XCF19" s="117"/>
      <c r="XCG19" s="202">
        <v>8</v>
      </c>
      <c r="XCH19" s="202" t="s">
        <v>201</v>
      </c>
      <c r="XCI19" s="202" t="s">
        <v>196</v>
      </c>
      <c r="XCJ19" s="202" t="s">
        <v>210</v>
      </c>
      <c r="XCK19" s="202" t="s">
        <v>212</v>
      </c>
      <c r="XCL19" s="202" t="s">
        <v>219</v>
      </c>
      <c r="XCM19" s="202" t="s">
        <v>220</v>
      </c>
      <c r="XCN19" s="202" t="s">
        <v>217</v>
      </c>
      <c r="XCO19" s="202" t="s">
        <v>197</v>
      </c>
      <c r="XCP19" s="202" t="s">
        <v>214</v>
      </c>
      <c r="XCQ19" s="202" t="s">
        <v>202</v>
      </c>
      <c r="XCR19" s="202" t="s">
        <v>197</v>
      </c>
      <c r="XCS19" s="202" t="s">
        <v>204</v>
      </c>
      <c r="XCT19" s="202" t="s">
        <v>208</v>
      </c>
      <c r="XCU19" s="203"/>
      <c r="XCV19" s="202">
        <v>14</v>
      </c>
      <c r="XCW19" s="202" t="str">
        <f t="shared" si="0"/>
        <v>N</v>
      </c>
      <c r="XCX19" s="203"/>
      <c r="XCY19" s="202"/>
      <c r="XCZ19" s="202"/>
      <c r="XDA19" s="202"/>
      <c r="XDB19" s="202"/>
      <c r="XDC19" s="202"/>
      <c r="XDD19" s="202"/>
      <c r="XDE19" s="202"/>
      <c r="XDF19" s="202"/>
      <c r="XDG19" s="202"/>
      <c r="XDH19" s="202"/>
      <c r="XDI19" s="202"/>
      <c r="XDJ19" s="203"/>
      <c r="XDK19" s="203"/>
      <c r="XDL19" s="203"/>
    </row>
    <row r="20" spans="2:29 16304:16340" ht="23.1" customHeight="1">
      <c r="B20" s="124" t="str">
        <f t="shared" si="3"/>
        <v>Pendapatan Lainnya</v>
      </c>
      <c r="C20" s="127" t="s">
        <v>30</v>
      </c>
      <c r="D20" s="127" t="s">
        <v>32</v>
      </c>
      <c r="F20" s="126">
        <f t="shared" si="4"/>
        <v>104386459.39999999</v>
      </c>
      <c r="G20" s="126"/>
      <c r="H20" s="126">
        <f>SUMIFS(lr12_1,lr12_kd,$B20)</f>
        <v>3951392.2</v>
      </c>
      <c r="I20" s="126">
        <f>SUMIFS(lr12_2,lr12_kd,$B20)</f>
        <v>3978523.5</v>
      </c>
      <c r="J20" s="126">
        <f>SUMIFS(lr12_3,lr12_kd,$B20)</f>
        <v>2538602.77</v>
      </c>
      <c r="K20" s="126">
        <f>SUMIFS(lr12_4,lr12_kd,$B20)</f>
        <v>4634958.17</v>
      </c>
      <c r="L20" s="126">
        <f>SUMIFS(lr12_5,lr12_kd,$B20)</f>
        <v>4661921.8600000003</v>
      </c>
      <c r="M20" s="126">
        <f>SUMIFS(lr12_6,lr12_kd,$B20)</f>
        <v>4523021.01</v>
      </c>
      <c r="N20" s="126">
        <f>SUMIFS(lr12_7,lr12_kd,$B20)</f>
        <v>6763232.8300000001</v>
      </c>
      <c r="O20" s="126">
        <f>SUMIFS(lr12_8,lr12_kd,$B20)</f>
        <v>4149759.75</v>
      </c>
      <c r="P20" s="126">
        <f>SUMIFS(lr12_9,lr12_kd,$B20)</f>
        <v>55635562.049999997</v>
      </c>
      <c r="Q20" s="126">
        <f>SUMIFS(lr12_10,lr12_kd,$B20)</f>
        <v>5027659.0599999996</v>
      </c>
      <c r="R20" s="126">
        <f>SUMIFS(lr12_11,lr12_kd,$B20)</f>
        <v>4348832.72</v>
      </c>
      <c r="S20" s="126">
        <f>SUMIFS(lr12_12,lr12_kd,$B20)</f>
        <v>4172993.48</v>
      </c>
      <c r="T20" s="126">
        <f>SUM(H20:J20)</f>
        <v>10468518.470000001</v>
      </c>
      <c r="U20" s="126">
        <f>SUM(K20:M20)</f>
        <v>13819901.040000001</v>
      </c>
      <c r="V20" s="126">
        <f>SUM(N20:P20)</f>
        <v>66548554.629999995</v>
      </c>
      <c r="W20" s="126">
        <f>SUM(Q20:S20)</f>
        <v>13549485.26</v>
      </c>
      <c r="X20" s="126">
        <f>SUM(H20:K20)</f>
        <v>15103476.640000001</v>
      </c>
      <c r="Y20" s="126">
        <f>SUM(L20:O20)</f>
        <v>20097935.450000003</v>
      </c>
      <c r="Z20" s="126">
        <f>SUM(P20:S20)</f>
        <v>69185047.310000002</v>
      </c>
      <c r="AA20" s="126">
        <f>SUM(H20:M20)</f>
        <v>24288419.509999998</v>
      </c>
      <c r="AB20" s="126">
        <f>SUM(N20:S20)</f>
        <v>80098039.890000001</v>
      </c>
      <c r="AC20" s="126">
        <f>SUM(AA20:AB20)</f>
        <v>104386459.40000001</v>
      </c>
      <c r="XCD20" s="116" t="s">
        <v>218</v>
      </c>
      <c r="XCE20" s="117">
        <f t="shared" si="1"/>
        <v>20</v>
      </c>
      <c r="XCF20" s="117"/>
      <c r="XCG20" s="202">
        <v>6</v>
      </c>
      <c r="XCH20" s="202" t="s">
        <v>211</v>
      </c>
      <c r="XCI20" s="202" t="s">
        <v>204</v>
      </c>
      <c r="XCJ20" s="202" t="s">
        <v>207</v>
      </c>
      <c r="XCK20" s="202" t="s">
        <v>201</v>
      </c>
      <c r="XCL20" s="202" t="s">
        <v>197</v>
      </c>
      <c r="XCM20" s="202" t="s">
        <v>218</v>
      </c>
      <c r="XCN20" s="202" t="s">
        <v>198</v>
      </c>
      <c r="XCO20" s="202" t="s">
        <v>212</v>
      </c>
      <c r="XCP20" s="202" t="s">
        <v>199</v>
      </c>
      <c r="XCQ20" s="202" t="s">
        <v>204</v>
      </c>
      <c r="XCR20" s="202" t="s">
        <v>211</v>
      </c>
      <c r="XCS20" s="202" t="s">
        <v>209</v>
      </c>
      <c r="XCT20" s="202" t="s">
        <v>207</v>
      </c>
      <c r="XCU20" s="203"/>
      <c r="XCV20" s="202">
        <v>10</v>
      </c>
      <c r="XCW20" s="202" t="str">
        <f t="shared" si="0"/>
        <v>J</v>
      </c>
      <c r="XCX20" s="203"/>
      <c r="XCY20" s="202"/>
      <c r="XCZ20" s="202"/>
      <c r="XDA20" s="202"/>
      <c r="XDB20" s="202"/>
      <c r="XDC20" s="202">
        <f>INDEX(XCE:XCE,MATCH(XDC16,XCD:XCD,0))</f>
        <v>1</v>
      </c>
      <c r="XDD20" s="202">
        <f>INDEX(XCE:XCE,MATCH(XDD16,XCD:XCD,0))</f>
        <v>23</v>
      </c>
      <c r="XDE20" s="202">
        <f>INDEX(XCE:XCE,MATCH(XDE16,XCD:XCD,0))</f>
        <v>5</v>
      </c>
      <c r="XDF20" s="202"/>
      <c r="XDG20" s="202"/>
      <c r="XDH20" s="202"/>
      <c r="XDI20" s="202"/>
      <c r="XDJ20" s="203"/>
      <c r="XDK20" s="203" t="b">
        <f>IF(AND(aktivasi&lt;&gt;"",aktivasi=AGUNG),TRUE,FALSE)</f>
        <v>1</v>
      </c>
      <c r="XDL20" s="203"/>
    </row>
    <row r="21" spans="2:29 16304:16340" ht="23.1" customHeight="1" thickBot="1">
      <c r="B21" s="124" t="str">
        <f t="shared" si="3"/>
        <v>Beban Lainnya</v>
      </c>
      <c r="C21" s="128" t="s">
        <v>30</v>
      </c>
      <c r="D21" s="128" t="s">
        <v>31</v>
      </c>
      <c r="F21" s="126">
        <f t="shared" si="4"/>
        <v>-16351241.310000001</v>
      </c>
      <c r="G21" s="126"/>
      <c r="H21" s="126">
        <f>SUMIFS(lr12_1,lr12_kd,$B21)</f>
        <v>-1801535.1300000001</v>
      </c>
      <c r="I21" s="126">
        <f>SUMIFS(lr12_2,lr12_kd,$B21)</f>
        <v>-1315749.01</v>
      </c>
      <c r="J21" s="126">
        <f>SUMIFS(lr12_3,lr12_kd,$B21)</f>
        <v>-714610.71</v>
      </c>
      <c r="K21" s="126">
        <f>SUMIFS(lr12_4,lr12_kd,$B21)</f>
        <v>-1090013.42</v>
      </c>
      <c r="L21" s="126">
        <f>SUMIFS(lr12_5,lr12_kd,$B21)</f>
        <v>-1298601.27</v>
      </c>
      <c r="M21" s="126">
        <f>SUMIFS(lr12_6,lr12_kd,$B21)</f>
        <v>-1223367.5</v>
      </c>
      <c r="N21" s="126">
        <f>SUMIFS(lr12_7,lr12_kd,$B21)</f>
        <v>-1501981.34</v>
      </c>
      <c r="O21" s="126">
        <f>SUMIFS(lr12_8,lr12_kd,$B21)</f>
        <v>-1094965.02</v>
      </c>
      <c r="P21" s="126">
        <f>SUMIFS(lr12_9,lr12_kd,$B21)</f>
        <v>-1883760.6800000002</v>
      </c>
      <c r="Q21" s="126">
        <f>SUMIFS(lr12_10,lr12_kd,$B21)</f>
        <v>-2135189.58</v>
      </c>
      <c r="R21" s="126">
        <f>SUMIFS(lr12_11,lr12_kd,$B21)</f>
        <v>-1002527.75</v>
      </c>
      <c r="S21" s="126">
        <f>SUMIFS(lr12_12,lr12_kd,$B21)</f>
        <v>-1288939.8999999999</v>
      </c>
      <c r="T21" s="126">
        <f>SUM(H21:J21)</f>
        <v>-3831894.85</v>
      </c>
      <c r="U21" s="126">
        <f>SUM(K21:M21)</f>
        <v>-3611982.19</v>
      </c>
      <c r="V21" s="126">
        <f>SUM(N21:P21)</f>
        <v>-4480707.040000001</v>
      </c>
      <c r="W21" s="126">
        <f>SUM(Q21:S21)</f>
        <v>-4426657.2300000004</v>
      </c>
      <c r="X21" s="126">
        <f>SUM(H21:K21)</f>
        <v>-4921908.2699999996</v>
      </c>
      <c r="Y21" s="126">
        <f>SUM(L21:O21)</f>
        <v>-5118915.1300000008</v>
      </c>
      <c r="Z21" s="126">
        <f>SUM(P21:S21)</f>
        <v>-6310417.9100000001</v>
      </c>
      <c r="AA21" s="126">
        <f>SUM(H21:M21)</f>
        <v>-7443877.0399999991</v>
      </c>
      <c r="AB21" s="126">
        <f>SUM(N21:S21)</f>
        <v>-8907364.2700000014</v>
      </c>
      <c r="AC21" s="126">
        <f>SUM(AA21:AB21)</f>
        <v>-16351241.310000001</v>
      </c>
      <c r="XCD21" s="116" t="s">
        <v>200</v>
      </c>
      <c r="XCE21" s="117">
        <f t="shared" si="1"/>
        <v>21</v>
      </c>
      <c r="XCF21" s="117"/>
      <c r="XCG21" s="202">
        <v>4</v>
      </c>
      <c r="XCH21" s="202" t="s">
        <v>209</v>
      </c>
      <c r="XCI21" s="202" t="s">
        <v>218</v>
      </c>
      <c r="XCJ21" s="202" t="s">
        <v>214</v>
      </c>
      <c r="XCK21" s="202" t="s">
        <v>214</v>
      </c>
      <c r="XCL21" s="202" t="s">
        <v>196</v>
      </c>
      <c r="XCM21" s="202" t="s">
        <v>219</v>
      </c>
      <c r="XCN21" s="202" t="s">
        <v>218</v>
      </c>
      <c r="XCO21" s="202" t="s">
        <v>204</v>
      </c>
      <c r="XCP21" s="202" t="s">
        <v>215</v>
      </c>
      <c r="XCQ21" s="202" t="s">
        <v>203</v>
      </c>
      <c r="XCR21" s="202" t="s">
        <v>214</v>
      </c>
      <c r="XCS21" s="202" t="s">
        <v>216</v>
      </c>
      <c r="XCT21" s="202" t="s">
        <v>214</v>
      </c>
      <c r="XCU21" s="203"/>
      <c r="XCV21" s="202">
        <v>3</v>
      </c>
      <c r="XCW21" s="202" t="str">
        <f t="shared" si="0"/>
        <v>C</v>
      </c>
      <c r="XCX21" s="203"/>
      <c r="XCY21" s="202"/>
      <c r="XCZ21" s="202"/>
      <c r="XDA21" s="202"/>
      <c r="XDB21" s="202"/>
      <c r="XDC21" s="202"/>
      <c r="XDD21" s="202"/>
      <c r="XDE21" s="202"/>
      <c r="XDF21" s="202"/>
      <c r="XDG21" s="202"/>
      <c r="XDH21" s="202"/>
      <c r="XDI21" s="202"/>
      <c r="XDJ21" s="203"/>
      <c r="XDK21" s="203"/>
      <c r="XDL21" s="203"/>
    </row>
    <row r="22" spans="2:29 16304:16340" ht="11.1" customHeight="1">
      <c r="XCD22" s="116" t="s">
        <v>219</v>
      </c>
      <c r="XCE22" s="117">
        <f t="shared" si="1"/>
        <v>22</v>
      </c>
      <c r="XCF22" s="117"/>
      <c r="XCG22" s="202">
        <v>1</v>
      </c>
      <c r="XCH22" s="202" t="s">
        <v>196</v>
      </c>
      <c r="XCI22" s="202" t="s">
        <v>211</v>
      </c>
      <c r="XCJ22" s="202" t="s">
        <v>215</v>
      </c>
      <c r="XCK22" s="202" t="s">
        <v>217</v>
      </c>
      <c r="XCL22" s="202" t="s">
        <v>214</v>
      </c>
      <c r="XCM22" s="202" t="s">
        <v>216</v>
      </c>
      <c r="XCN22" s="202" t="s">
        <v>210</v>
      </c>
      <c r="XCO22" s="202" t="s">
        <v>214</v>
      </c>
      <c r="XCP22" s="202" t="s">
        <v>220</v>
      </c>
      <c r="XCQ22" s="202" t="s">
        <v>200</v>
      </c>
      <c r="XCR22" s="202" t="s">
        <v>196</v>
      </c>
      <c r="XCS22" s="202" t="s">
        <v>200</v>
      </c>
      <c r="XCT22" s="202" t="s">
        <v>200</v>
      </c>
      <c r="XCU22" s="203"/>
      <c r="XCV22" s="202">
        <v>22</v>
      </c>
      <c r="XCW22" s="202" t="str">
        <f t="shared" si="0"/>
        <v>V</v>
      </c>
      <c r="XCX22" s="203"/>
      <c r="XCY22" s="202" t="str">
        <f>INDEX(XCH:XCH,MATCH(XCY18,$XCE:$XCE,0))</f>
        <v>G</v>
      </c>
      <c r="XCZ22" s="202" t="str">
        <f>INDEX(XCI:XCI,MATCH(XCZ18,$XCE:$XCE,0))</f>
        <v>A</v>
      </c>
      <c r="XDA22" s="202" t="str">
        <f>INDEX(XCJ:XCJ,MATCH(XDA18,$XCE:$XCE,0))</f>
        <v>Z</v>
      </c>
      <c r="XDB22" s="202"/>
      <c r="XDC22" s="202" t="str">
        <f>INDEX(XCL:XCL,MATCH(XDC18,$XCE:$XCE,0))</f>
        <v>H</v>
      </c>
      <c r="XDD22" s="202" t="str">
        <f>INDEX(XCM:XCM,MATCH(XDD18,$XCE:$XCE,0))</f>
        <v>A</v>
      </c>
      <c r="XDE22" s="202" t="str">
        <f>INDEX(XCN:XCN,MATCH(XDE18,$XCE:$XCE,0))</f>
        <v>G</v>
      </c>
      <c r="XDF22" s="202"/>
      <c r="XDG22" s="202" t="str">
        <f>INDEX(XCP:XCP,MATCH(XDG18,$XCE:$XCE,0))</f>
        <v>R</v>
      </c>
      <c r="XDH22" s="202" t="str">
        <f>INDEX(XCQ:XCQ,MATCH(XDH18,$XCE:$XCE,0))</f>
        <v>X</v>
      </c>
      <c r="XDI22" s="202" t="str">
        <f>INDEX(XCR:XCR,MATCH(XDI18,$XCE:$XCE,0))</f>
        <v>E</v>
      </c>
      <c r="XDJ22" s="203"/>
      <c r="XDK22" s="203" t="str">
        <f>XCY22&amp;XCZ22&amp;XDA22&amp;"-"&amp;XDC22&amp;XDD22&amp;XDE22&amp;"-"&amp;XDG22&amp;XDH22&amp;XDI22&amp;"-"&amp;XDC24&amp;XDD24&amp;XDE24</f>
        <v>GAZ-HAG-RXE-HUQ</v>
      </c>
      <c r="XDL22" s="203"/>
    </row>
    <row r="23" spans="2:29 16304:16340" ht="23.1" customHeight="1">
      <c r="XCD23" s="116" t="s">
        <v>221</v>
      </c>
      <c r="XCE23" s="117">
        <f t="shared" si="1"/>
        <v>23</v>
      </c>
      <c r="XCF23" s="117"/>
      <c r="XCG23" s="202">
        <v>3</v>
      </c>
      <c r="XCH23" s="202" t="s">
        <v>208</v>
      </c>
      <c r="XCI23" s="202" t="s">
        <v>209</v>
      </c>
      <c r="XCJ23" s="202" t="s">
        <v>218</v>
      </c>
      <c r="XCK23" s="202" t="s">
        <v>207</v>
      </c>
      <c r="XCL23" s="202" t="s">
        <v>210</v>
      </c>
      <c r="XCM23" s="202" t="s">
        <v>200</v>
      </c>
      <c r="XCN23" s="202" t="s">
        <v>204</v>
      </c>
      <c r="XCO23" s="202" t="s">
        <v>212</v>
      </c>
      <c r="XCP23" s="202" t="s">
        <v>205</v>
      </c>
      <c r="XCQ23" s="202" t="s">
        <v>197</v>
      </c>
      <c r="XCR23" s="202" t="s">
        <v>214</v>
      </c>
      <c r="XCS23" s="202" t="s">
        <v>214</v>
      </c>
      <c r="XCT23" s="202" t="s">
        <v>209</v>
      </c>
      <c r="XCU23" s="203"/>
      <c r="XCV23" s="202">
        <v>20</v>
      </c>
      <c r="XCW23" s="202" t="str">
        <f t="shared" si="0"/>
        <v>T</v>
      </c>
      <c r="XCX23" s="203"/>
      <c r="XCY23" s="202"/>
      <c r="XCZ23" s="202"/>
      <c r="XDA23" s="202"/>
      <c r="XDB23" s="202"/>
      <c r="XDC23" s="202"/>
      <c r="XDD23" s="202"/>
      <c r="XDE23" s="202"/>
      <c r="XDF23" s="202"/>
      <c r="XDG23" s="202"/>
      <c r="XDH23" s="202"/>
      <c r="XDI23" s="202"/>
      <c r="XDJ23" s="203"/>
      <c r="XDK23" s="203"/>
      <c r="XDL23" s="203"/>
    </row>
    <row r="24" spans="2:29 16304:16340" ht="23.1" customHeight="1">
      <c r="F24" s="120" t="s">
        <v>36</v>
      </c>
      <c r="XCD24" s="116" t="s">
        <v>216</v>
      </c>
      <c r="XCE24" s="117">
        <f t="shared" si="1"/>
        <v>24</v>
      </c>
      <c r="XCF24" s="117"/>
      <c r="XCG24" s="202">
        <v>8</v>
      </c>
      <c r="XCH24" s="202" t="s">
        <v>201</v>
      </c>
      <c r="XCI24" s="202" t="s">
        <v>203</v>
      </c>
      <c r="XCJ24" s="202" t="s">
        <v>216</v>
      </c>
      <c r="XCK24" s="202" t="s">
        <v>209</v>
      </c>
      <c r="XCL24" s="202" t="s">
        <v>203</v>
      </c>
      <c r="XCM24" s="202" t="s">
        <v>200</v>
      </c>
      <c r="XCN24" s="202" t="s">
        <v>208</v>
      </c>
      <c r="XCO24" s="202" t="s">
        <v>211</v>
      </c>
      <c r="XCP24" s="202" t="s">
        <v>203</v>
      </c>
      <c r="XCQ24" s="202" t="s">
        <v>216</v>
      </c>
      <c r="XCR24" s="202" t="s">
        <v>210</v>
      </c>
      <c r="XCS24" s="202" t="s">
        <v>208</v>
      </c>
      <c r="XCT24" s="202" t="s">
        <v>219</v>
      </c>
      <c r="XCU24" s="203"/>
      <c r="XCV24" s="202">
        <v>21</v>
      </c>
      <c r="XCW24" s="202" t="str">
        <f t="shared" si="0"/>
        <v>U</v>
      </c>
      <c r="XCX24" s="203"/>
      <c r="XCY24" s="202"/>
      <c r="XCZ24" s="202"/>
      <c r="XDA24" s="202"/>
      <c r="XDB24" s="202"/>
      <c r="XDC24" s="202" t="str">
        <f>INDEX(XCL:XCL,MATCH(XDC20,$XCE:$XCE,0))</f>
        <v>H</v>
      </c>
      <c r="XDD24" s="202" t="str">
        <f>INDEX(XCM:XCM,MATCH(XDD20,$XCE:$XCE,0))</f>
        <v>U</v>
      </c>
      <c r="XDE24" s="202" t="str">
        <f>INDEX(XCN:XCN,MATCH(XDE20,$XCE:$XCE,0))</f>
        <v>Q</v>
      </c>
      <c r="XDF24" s="202"/>
      <c r="XDG24" s="202"/>
      <c r="XDH24" s="202"/>
      <c r="XDI24" s="202"/>
      <c r="XDJ24" s="203"/>
      <c r="XDK24" s="203"/>
      <c r="XDL24" s="203"/>
    </row>
    <row r="25" spans="2:29 16304:16340" ht="23.1" customHeight="1">
      <c r="E25" s="141">
        <v>44562</v>
      </c>
      <c r="F25" s="120" t="str">
        <f>TEXT(E25,"mmmm")</f>
        <v>January</v>
      </c>
      <c r="XCD25" s="116" t="s">
        <v>217</v>
      </c>
      <c r="XCE25" s="117">
        <f t="shared" si="1"/>
        <v>25</v>
      </c>
      <c r="XCF25" s="117"/>
      <c r="XCG25" s="202">
        <v>9</v>
      </c>
      <c r="XCH25" s="202" t="s">
        <v>210</v>
      </c>
      <c r="XCI25" s="202" t="s">
        <v>204</v>
      </c>
      <c r="XCJ25" s="202" t="s">
        <v>201</v>
      </c>
      <c r="XCK25" s="202" t="s">
        <v>213</v>
      </c>
      <c r="XCL25" s="202" t="s">
        <v>197</v>
      </c>
      <c r="XCM25" s="202" t="s">
        <v>211</v>
      </c>
      <c r="XCN25" s="202" t="s">
        <v>197</v>
      </c>
      <c r="XCO25" s="202" t="s">
        <v>217</v>
      </c>
      <c r="XCP25" s="202" t="s">
        <v>213</v>
      </c>
      <c r="XCQ25" s="202" t="s">
        <v>220</v>
      </c>
      <c r="XCR25" s="202" t="s">
        <v>212</v>
      </c>
      <c r="XCS25" s="202" t="s">
        <v>216</v>
      </c>
      <c r="XCT25" s="202" t="s">
        <v>205</v>
      </c>
      <c r="XCU25" s="203"/>
      <c r="XCV25" s="202">
        <v>25</v>
      </c>
      <c r="XCW25" s="202" t="str">
        <f t="shared" si="0"/>
        <v>Y</v>
      </c>
      <c r="XCX25" s="203"/>
      <c r="XCY25" s="202"/>
      <c r="XCZ25" s="202"/>
      <c r="XDA25" s="202"/>
      <c r="XDB25" s="202"/>
      <c r="XDC25" s="202"/>
      <c r="XDD25" s="202"/>
      <c r="XDE25" s="202"/>
      <c r="XDF25" s="202"/>
      <c r="XDG25" s="202"/>
      <c r="XDH25" s="202"/>
      <c r="XDI25" s="202"/>
      <c r="XDJ25" s="203"/>
      <c r="XDK25" s="203"/>
      <c r="XDL25" s="203"/>
    </row>
    <row r="26" spans="2:29 16304:16340" ht="23.1" customHeight="1">
      <c r="E26" s="141">
        <v>44593</v>
      </c>
      <c r="F26" s="120" t="str">
        <f t="shared" ref="F26:F36" si="28">TEXT(E26,"mmmm")</f>
        <v>February</v>
      </c>
      <c r="XCD26" s="116" t="s">
        <v>207</v>
      </c>
      <c r="XCE26" s="117">
        <f t="shared" si="1"/>
        <v>26</v>
      </c>
      <c r="XCF26" s="117"/>
      <c r="XCG26" s="202">
        <v>9</v>
      </c>
      <c r="XCH26" s="202" t="s">
        <v>210</v>
      </c>
      <c r="XCI26" s="202" t="s">
        <v>205</v>
      </c>
      <c r="XCJ26" s="202" t="s">
        <v>217</v>
      </c>
      <c r="XCK26" s="202" t="s">
        <v>212</v>
      </c>
      <c r="XCL26" s="202" t="s">
        <v>206</v>
      </c>
      <c r="XCM26" s="202" t="s">
        <v>215</v>
      </c>
      <c r="XCN26" s="202" t="s">
        <v>200</v>
      </c>
      <c r="XCO26" s="202" t="s">
        <v>207</v>
      </c>
      <c r="XCP26" s="202" t="s">
        <v>213</v>
      </c>
      <c r="XCQ26" s="202" t="s">
        <v>208</v>
      </c>
      <c r="XCR26" s="202" t="s">
        <v>213</v>
      </c>
      <c r="XCS26" s="202" t="s">
        <v>204</v>
      </c>
      <c r="XCT26" s="202" t="s">
        <v>203</v>
      </c>
      <c r="XCU26" s="203"/>
      <c r="XCV26" s="202">
        <v>3</v>
      </c>
      <c r="XCW26" s="202" t="str">
        <f t="shared" si="0"/>
        <v>C</v>
      </c>
      <c r="XCX26" s="203"/>
      <c r="XCY26" s="202"/>
      <c r="XCZ26" s="202"/>
      <c r="XDA26" s="202"/>
      <c r="XDB26" s="202"/>
      <c r="XDC26" s="202"/>
      <c r="XDD26" s="202"/>
      <c r="XDE26" s="202"/>
      <c r="XDF26" s="202"/>
      <c r="XDG26" s="202"/>
      <c r="XDH26" s="202"/>
      <c r="XDI26" s="202"/>
      <c r="XDJ26" s="203"/>
      <c r="XDK26" s="203"/>
      <c r="XDL26" s="203"/>
    </row>
    <row r="27" spans="2:29 16304:16340" ht="23.1" customHeight="1">
      <c r="E27" s="141">
        <v>44621</v>
      </c>
      <c r="F27" s="120" t="str">
        <f t="shared" si="28"/>
        <v>March</v>
      </c>
    </row>
    <row r="28" spans="2:29 16304:16340" ht="23.1" customHeight="1">
      <c r="E28" s="141">
        <v>44652</v>
      </c>
      <c r="F28" s="120" t="str">
        <f t="shared" si="28"/>
        <v>April</v>
      </c>
    </row>
    <row r="29" spans="2:29 16304:16340" ht="23.1" customHeight="1">
      <c r="E29" s="141">
        <v>44682</v>
      </c>
      <c r="F29" s="120" t="str">
        <f t="shared" si="28"/>
        <v>May</v>
      </c>
    </row>
    <row r="30" spans="2:29 16304:16340" ht="23.1" customHeight="1">
      <c r="E30" s="141">
        <v>44713</v>
      </c>
      <c r="F30" s="120" t="str">
        <f t="shared" si="28"/>
        <v>June</v>
      </c>
    </row>
    <row r="31" spans="2:29 16304:16340" ht="23.1" customHeight="1">
      <c r="E31" s="141">
        <v>44743</v>
      </c>
      <c r="F31" s="120" t="str">
        <f t="shared" si="28"/>
        <v>July</v>
      </c>
    </row>
    <row r="32" spans="2:29 16304:16340" ht="23.1" customHeight="1">
      <c r="E32" s="141">
        <v>44774</v>
      </c>
      <c r="F32" s="120" t="str">
        <f t="shared" si="28"/>
        <v>August</v>
      </c>
    </row>
    <row r="33" spans="5:6" ht="23.1" customHeight="1">
      <c r="E33" s="141">
        <v>44805</v>
      </c>
      <c r="F33" s="120" t="str">
        <f t="shared" si="28"/>
        <v>September</v>
      </c>
    </row>
    <row r="34" spans="5:6" ht="23.1" customHeight="1">
      <c r="E34" s="141">
        <v>44835</v>
      </c>
      <c r="F34" s="120" t="str">
        <f t="shared" si="28"/>
        <v>October</v>
      </c>
    </row>
    <row r="35" spans="5:6" ht="23.1" customHeight="1">
      <c r="E35" s="141">
        <v>44866</v>
      </c>
      <c r="F35" s="120" t="str">
        <f t="shared" si="28"/>
        <v>November</v>
      </c>
    </row>
    <row r="36" spans="5:6" ht="23.1" customHeight="1">
      <c r="E36" s="141">
        <v>44896</v>
      </c>
      <c r="F36" s="120" t="str">
        <f t="shared" si="28"/>
        <v>December</v>
      </c>
    </row>
    <row r="37" spans="5:6" ht="23.1" customHeight="1">
      <c r="F37" s="120" t="s">
        <v>226</v>
      </c>
    </row>
    <row r="38" spans="5:6" ht="23.1" customHeight="1">
      <c r="F38" s="120" t="s">
        <v>227</v>
      </c>
    </row>
    <row r="39" spans="5:6" ht="23.1" customHeight="1">
      <c r="F39" s="120" t="s">
        <v>228</v>
      </c>
    </row>
    <row r="40" spans="5:6" ht="23.1" customHeight="1">
      <c r="F40" s="120" t="s">
        <v>229</v>
      </c>
    </row>
    <row r="41" spans="5:6" ht="23.1" customHeight="1">
      <c r="F41" s="120" t="s">
        <v>230</v>
      </c>
    </row>
    <row r="42" spans="5:6" ht="23.1" customHeight="1">
      <c r="F42" s="120" t="s">
        <v>231</v>
      </c>
    </row>
    <row r="43" spans="5:6" ht="23.1" customHeight="1">
      <c r="F43" s="120" t="s">
        <v>232</v>
      </c>
    </row>
    <row r="44" spans="5:6" ht="23.1" customHeight="1">
      <c r="F44" s="120" t="s">
        <v>233</v>
      </c>
    </row>
    <row r="45" spans="5:6" ht="23.1" customHeight="1">
      <c r="F45" s="120" t="s">
        <v>234</v>
      </c>
    </row>
    <row r="46" spans="5:6" ht="23.1" customHeight="1">
      <c r="F46" s="120" t="s">
        <v>224</v>
      </c>
    </row>
  </sheetData>
  <mergeCells count="1">
    <mergeCell ref="B2:D2"/>
  </mergeCells>
  <phoneticPr fontId="7" type="noConversion"/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ED14-CD21-B144-8956-6558158F7B26}">
  <sheetPr codeName="Sheet16" filterMode="1">
    <pageSetUpPr fitToPage="1"/>
  </sheetPr>
  <dimension ref="B2:S158"/>
  <sheetViews>
    <sheetView showGridLines="0" zoomScale="90" zoomScaleNormal="90" workbookViewId="0">
      <selection activeCell="F160" sqref="F160"/>
    </sheetView>
  </sheetViews>
  <sheetFormatPr defaultColWidth="10.875" defaultRowHeight="23.1" customHeight="1" outlineLevelCol="1"/>
  <cols>
    <col min="1" max="1" width="3.375" style="205" customWidth="1"/>
    <col min="2" max="2" width="12.625" style="205" customWidth="1"/>
    <col min="3" max="3" width="30.375" style="205" customWidth="1"/>
    <col min="4" max="4" width="21.375" style="205" hidden="1" customWidth="1" outlineLevel="1"/>
    <col min="5" max="5" width="15.125" style="205" hidden="1" customWidth="1" outlineLevel="1"/>
    <col min="6" max="6" width="17" style="205" bestFit="1" customWidth="1" collapsed="1"/>
    <col min="7" max="7" width="17" style="205" bestFit="1" customWidth="1"/>
    <col min="8" max="13" width="15.125" style="205" customWidth="1"/>
    <col min="14" max="17" width="16.625" style="205" bestFit="1" customWidth="1"/>
    <col min="18" max="18" width="14.25" style="205" customWidth="1"/>
    <col min="19" max="19" width="15" style="205" customWidth="1"/>
    <col min="20" max="16384" width="10.875" style="205"/>
  </cols>
  <sheetData>
    <row r="2" spans="2:19" ht="23.1" customHeight="1" thickBot="1">
      <c r="B2" s="208" t="s">
        <v>58</v>
      </c>
      <c r="C2" s="135" t="str">
        <f>LR!C2</f>
        <v>Kahfizul13@gmail.com</v>
      </c>
      <c r="D2" s="135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4" spans="2:19" ht="23.1" customHeight="1">
      <c r="B4" s="435" t="str">
        <f>UPPER(BB!B4)</f>
        <v>PERUMDA PARKIR MAKASSAR RAYA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7"/>
    </row>
    <row r="5" spans="2:19" ht="23.1" customHeight="1">
      <c r="B5" s="412" t="s">
        <v>181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4"/>
    </row>
    <row r="6" spans="2:19" ht="23.1" customHeight="1" thickBot="1">
      <c r="B6" s="449" t="str">
        <f>"Periode  "&amp;prof_thn</f>
        <v>Periode  2022</v>
      </c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1"/>
      <c r="S6" s="243" t="s">
        <v>142</v>
      </c>
    </row>
    <row r="7" spans="2:19" ht="9.9499999999999993" customHeight="1">
      <c r="F7" s="277">
        <v>44562</v>
      </c>
      <c r="G7" s="277">
        <v>44593</v>
      </c>
      <c r="H7" s="277">
        <v>44621</v>
      </c>
      <c r="I7" s="277">
        <v>44652</v>
      </c>
      <c r="J7" s="277">
        <v>44682</v>
      </c>
      <c r="K7" s="277">
        <v>44713</v>
      </c>
      <c r="L7" s="277">
        <v>44743</v>
      </c>
      <c r="M7" s="277">
        <v>44774</v>
      </c>
      <c r="N7" s="277">
        <v>44805</v>
      </c>
      <c r="O7" s="277">
        <v>44835</v>
      </c>
      <c r="P7" s="277">
        <v>44866</v>
      </c>
      <c r="Q7" s="277">
        <v>44896</v>
      </c>
      <c r="S7" s="278">
        <f>IF(Q7=0,0,1)</f>
        <v>1</v>
      </c>
    </row>
    <row r="8" spans="2:19" ht="23.1" customHeight="1">
      <c r="B8" s="279" t="s">
        <v>271</v>
      </c>
      <c r="C8" s="280"/>
      <c r="D8" s="281" t="s">
        <v>225</v>
      </c>
      <c r="E8" s="282" t="s">
        <v>36</v>
      </c>
      <c r="F8" s="282" t="str">
        <f>UPPER(TEXT(F7,"mmmm"))</f>
        <v>JANUARY</v>
      </c>
      <c r="G8" s="282" t="str">
        <f>UPPER(TEXT(G7,"mmmm"))</f>
        <v>FEBRUARY</v>
      </c>
      <c r="H8" s="282" t="str">
        <f>UPPER(TEXT(H$7,"mmmm"))</f>
        <v>MARCH</v>
      </c>
      <c r="I8" s="282" t="str">
        <f t="shared" ref="I8:Q8" si="0">UPPER(TEXT(I$7,"mmmm"))</f>
        <v>APRIL</v>
      </c>
      <c r="J8" s="282" t="str">
        <f t="shared" si="0"/>
        <v>MAY</v>
      </c>
      <c r="K8" s="282" t="str">
        <f t="shared" si="0"/>
        <v>JUNE</v>
      </c>
      <c r="L8" s="282" t="str">
        <f t="shared" si="0"/>
        <v>JULY</v>
      </c>
      <c r="M8" s="282" t="str">
        <f t="shared" si="0"/>
        <v>AUGUST</v>
      </c>
      <c r="N8" s="282" t="str">
        <f t="shared" si="0"/>
        <v>SEPTEMBER</v>
      </c>
      <c r="O8" s="282" t="str">
        <f t="shared" si="0"/>
        <v>OCTOBER</v>
      </c>
      <c r="P8" s="282" t="str">
        <f t="shared" si="0"/>
        <v>NOVEMBER</v>
      </c>
      <c r="Q8" s="282" t="str">
        <f t="shared" si="0"/>
        <v>DECEMBER</v>
      </c>
      <c r="S8" s="278">
        <f t="shared" ref="S8:S64" si="1">IF(Q8=0,0,1)</f>
        <v>1</v>
      </c>
    </row>
    <row r="9" spans="2:19" ht="23.1" customHeight="1">
      <c r="B9" s="283" t="s">
        <v>267</v>
      </c>
      <c r="C9" s="284"/>
      <c r="D9" s="284" t="str">
        <f t="shared" ref="D9:D33" si="2">IFERROR(INDEX(akun_type,MATCH(B9,akun_kb,0)),"")</f>
        <v/>
      </c>
      <c r="E9" s="286" t="str">
        <f t="shared" ref="E9:E15" si="3">IF(D9="","",IF(INDEX(typ_sn,MATCH(INDEX(akun_type,MATCH(B9,akun_kb,0)),typ_ket,0))="db",SUMIF(akun_kb,B9,akun_db)-SUMIF(akun_kb,B9,akun_kr),SUMIF(akun_kb,B9,akun_kr)-SUMIF(akun_kb,B9,akun_db)))</f>
        <v/>
      </c>
      <c r="F9" s="286" t="str">
        <f t="shared" ref="F9:Q9" si="4">IF($D9="","",IF(INDEX(typ_sn,MATCH(INDEX(akun_type,MATCH($B9,akun_kb,0)),typ_ket,0))="db",SUMIFS(ju_sld,ju_bln,TEXT(F$7,"mmmm"),ju_debet,$B9)-SUMIFS(ju_sld,ju_bln,TEXT(F$7,"mmmm"),ju_kr,$B9),SUMIFS(ju_sld,ju_bln,TEXT(F$7,"mmmm"),ju_kr,$B9)-SUMIFS(ju_sld,ju_bln,TEXT(F$7,"mmmm"),ju_debet,$B9))+E9)</f>
        <v/>
      </c>
      <c r="G9" s="286" t="str">
        <f t="shared" si="4"/>
        <v/>
      </c>
      <c r="H9" s="286" t="str">
        <f t="shared" si="4"/>
        <v/>
      </c>
      <c r="I9" s="286" t="str">
        <f t="shared" si="4"/>
        <v/>
      </c>
      <c r="J9" s="286" t="str">
        <f t="shared" si="4"/>
        <v/>
      </c>
      <c r="K9" s="286" t="str">
        <f t="shared" si="4"/>
        <v/>
      </c>
      <c r="L9" s="286" t="str">
        <f t="shared" si="4"/>
        <v/>
      </c>
      <c r="M9" s="286" t="str">
        <f t="shared" si="4"/>
        <v/>
      </c>
      <c r="N9" s="286" t="str">
        <f t="shared" si="4"/>
        <v/>
      </c>
      <c r="O9" s="286" t="str">
        <f t="shared" si="4"/>
        <v/>
      </c>
      <c r="P9" s="286" t="str">
        <f t="shared" si="4"/>
        <v/>
      </c>
      <c r="Q9" s="286" t="str">
        <f t="shared" si="4"/>
        <v/>
      </c>
      <c r="S9" s="278">
        <f t="shared" si="1"/>
        <v>1</v>
      </c>
    </row>
    <row r="10" spans="2:19" ht="23.1" customHeight="1">
      <c r="B10" s="285" t="s">
        <v>126</v>
      </c>
      <c r="C10" s="284"/>
      <c r="D10" s="284" t="str">
        <f t="shared" si="2"/>
        <v/>
      </c>
      <c r="E10" s="286" t="str">
        <f t="shared" si="3"/>
        <v/>
      </c>
      <c r="F10" s="286" t="str">
        <f t="shared" ref="F10:Q10" si="5">IF($D10="","",IF(INDEX(typ_sn,MATCH(INDEX(akun_type,MATCH($B10,akun_kb,0)),typ_ket,0))="db",SUMIFS(ju_sld,ju_bln,TEXT(F$7,"mmmm"),ju_debet,$B10)-SUMIFS(ju_sld,ju_bln,TEXT(F$7,"mmmm"),ju_kr,$B10),SUMIFS(ju_sld,ju_bln,TEXT(F$7,"mmmm"),ju_kr,$B10)-SUMIFS(ju_sld,ju_bln,TEXT(F$7,"mmmm"),ju_debet,$B10))+E10)</f>
        <v/>
      </c>
      <c r="G10" s="286" t="str">
        <f t="shared" si="5"/>
        <v/>
      </c>
      <c r="H10" s="286" t="str">
        <f t="shared" si="5"/>
        <v/>
      </c>
      <c r="I10" s="286" t="str">
        <f t="shared" si="5"/>
        <v/>
      </c>
      <c r="J10" s="286" t="str">
        <f t="shared" si="5"/>
        <v/>
      </c>
      <c r="K10" s="286" t="str">
        <f t="shared" si="5"/>
        <v/>
      </c>
      <c r="L10" s="286" t="str">
        <f t="shared" si="5"/>
        <v/>
      </c>
      <c r="M10" s="286" t="str">
        <f t="shared" si="5"/>
        <v/>
      </c>
      <c r="N10" s="286" t="str">
        <f t="shared" si="5"/>
        <v/>
      </c>
      <c r="O10" s="286" t="str">
        <f t="shared" si="5"/>
        <v/>
      </c>
      <c r="P10" s="286" t="str">
        <f t="shared" si="5"/>
        <v/>
      </c>
      <c r="Q10" s="286" t="str">
        <f t="shared" si="5"/>
        <v/>
      </c>
      <c r="S10" s="278">
        <f t="shared" si="1"/>
        <v>1</v>
      </c>
    </row>
    <row r="11" spans="2:19" ht="23.1" customHeight="1">
      <c r="B11" s="377" t="str">
        <f>NERACA!B11</f>
        <v>KAS</v>
      </c>
      <c r="C11" s="375"/>
      <c r="D11" s="375" t="str">
        <f t="shared" si="2"/>
        <v/>
      </c>
      <c r="E11" s="378" t="str">
        <f t="shared" si="3"/>
        <v/>
      </c>
      <c r="F11" s="378" t="str">
        <f t="shared" ref="F11:Q11" si="6">IF($D11="","",IF(INDEX(typ_sn,MATCH(INDEX(akun_type,MATCH($B11,akun_kb,0)),typ_ket,0))="db",SUMIFS(ju_sld,ju_bln,TEXT(F$7,"mmmm"),ju_debet,$B11)-SUMIFS(ju_sld,ju_bln,TEXT(F$7,"mmmm"),ju_kr,$B11),SUMIFS(ju_sld,ju_bln,TEXT(F$7,"mmmm"),ju_kr,$B11)-SUMIFS(ju_sld,ju_bln,TEXT(F$7,"mmmm"),ju_debet,$B11))+E11)</f>
        <v/>
      </c>
      <c r="G11" s="378" t="str">
        <f t="shared" si="6"/>
        <v/>
      </c>
      <c r="H11" s="378" t="str">
        <f t="shared" si="6"/>
        <v/>
      </c>
      <c r="I11" s="378" t="str">
        <f t="shared" si="6"/>
        <v/>
      </c>
      <c r="J11" s="378" t="str">
        <f t="shared" si="6"/>
        <v/>
      </c>
      <c r="K11" s="378" t="str">
        <f t="shared" si="6"/>
        <v/>
      </c>
      <c r="L11" s="378" t="str">
        <f t="shared" si="6"/>
        <v/>
      </c>
      <c r="M11" s="378" t="str">
        <f t="shared" si="6"/>
        <v/>
      </c>
      <c r="N11" s="378" t="str">
        <f t="shared" si="6"/>
        <v/>
      </c>
      <c r="O11" s="378" t="str">
        <f t="shared" si="6"/>
        <v/>
      </c>
      <c r="P11" s="378" t="str">
        <f t="shared" si="6"/>
        <v/>
      </c>
      <c r="Q11" s="378" t="str">
        <f t="shared" si="6"/>
        <v/>
      </c>
      <c r="S11" s="278">
        <f t="shared" si="1"/>
        <v>1</v>
      </c>
    </row>
    <row r="12" spans="2:19" ht="23.1" customHeight="1">
      <c r="B12" s="287" t="str">
        <f>NERACA!B12</f>
        <v>110101 | KAS BENDAHARA PENERIMAAN</v>
      </c>
      <c r="C12" s="284"/>
      <c r="D12" s="284" t="str">
        <f t="shared" si="2"/>
        <v>Kas</v>
      </c>
      <c r="E12" s="286">
        <f t="shared" si="3"/>
        <v>27156105</v>
      </c>
      <c r="F12" s="286">
        <f t="shared" ref="F12:Q12" si="7">IF($D12="","",IF(INDEX(typ_sn,MATCH(INDEX(akun_type,MATCH($B12,akun_kb,0)),typ_ket,0))="db",SUMIFS(ju_sld,ju_bln,TEXT(F$7,"mmmm"),ju_debet,$B12)-SUMIFS(ju_sld,ju_bln,TEXT(F$7,"mmmm"),ju_kr,$B12),SUMIFS(ju_sld,ju_bln,TEXT(F$7,"mmmm"),ju_kr,$B12)-SUMIFS(ju_sld,ju_bln,TEXT(F$7,"mmmm"),ju_debet,$B12))+E12)</f>
        <v>79395900</v>
      </c>
      <c r="G12" s="286">
        <f t="shared" si="7"/>
        <v>44999000</v>
      </c>
      <c r="H12" s="286">
        <f t="shared" si="7"/>
        <v>51290500</v>
      </c>
      <c r="I12" s="286">
        <f t="shared" si="7"/>
        <v>64373500</v>
      </c>
      <c r="J12" s="286">
        <f t="shared" si="7"/>
        <v>26050800</v>
      </c>
      <c r="K12" s="286">
        <f t="shared" si="7"/>
        <v>30540500</v>
      </c>
      <c r="L12" s="286">
        <f t="shared" si="7"/>
        <v>62535500</v>
      </c>
      <c r="M12" s="286">
        <f t="shared" si="7"/>
        <v>34513000</v>
      </c>
      <c r="N12" s="286">
        <f t="shared" si="7"/>
        <v>33606000</v>
      </c>
      <c r="O12" s="286">
        <f t="shared" si="7"/>
        <v>77729000</v>
      </c>
      <c r="P12" s="286">
        <f t="shared" si="7"/>
        <v>31966500</v>
      </c>
      <c r="Q12" s="286">
        <f t="shared" si="7"/>
        <v>500</v>
      </c>
      <c r="S12" s="278">
        <f t="shared" si="1"/>
        <v>1</v>
      </c>
    </row>
    <row r="13" spans="2:19" ht="17.25" customHeight="1">
      <c r="B13" s="287" t="str">
        <f>NERACA!B13</f>
        <v>110102 | KAS BENDAHARA PENGELUARAN</v>
      </c>
      <c r="C13" s="284"/>
      <c r="D13" s="284" t="str">
        <f t="shared" si="2"/>
        <v>Kas</v>
      </c>
      <c r="E13" s="286">
        <f t="shared" si="3"/>
        <v>7852676</v>
      </c>
      <c r="F13" s="286">
        <f t="shared" ref="F13:Q13" si="8">IF($D13="","",IF(INDEX(typ_sn,MATCH(INDEX(akun_type,MATCH($B13,akun_kb,0)),typ_ket,0))="db",SUMIFS(ju_sld,ju_bln,TEXT(F$7,"mmmm"),ju_debet,$B13)-SUMIFS(ju_sld,ju_bln,TEXT(F$7,"mmmm"),ju_kr,$B13),SUMIFS(ju_sld,ju_bln,TEXT(F$7,"mmmm"),ju_kr,$B13)-SUMIFS(ju_sld,ju_bln,TEXT(F$7,"mmmm"),ju_debet,$B13))+E13)</f>
        <v>24218928</v>
      </c>
      <c r="G13" s="286">
        <f t="shared" si="8"/>
        <v>23070528</v>
      </c>
      <c r="H13" s="286">
        <f t="shared" si="8"/>
        <v>40248920</v>
      </c>
      <c r="I13" s="286">
        <f t="shared" si="8"/>
        <v>17350154</v>
      </c>
      <c r="J13" s="286">
        <f t="shared" si="8"/>
        <v>47739742</v>
      </c>
      <c r="K13" s="286">
        <f t="shared" si="8"/>
        <v>23043995</v>
      </c>
      <c r="L13" s="286">
        <f t="shared" si="8"/>
        <v>55932915</v>
      </c>
      <c r="M13" s="286">
        <f t="shared" si="8"/>
        <v>10487446</v>
      </c>
      <c r="N13" s="286">
        <f t="shared" si="8"/>
        <v>107475930</v>
      </c>
      <c r="O13" s="286">
        <f t="shared" si="8"/>
        <v>106091997</v>
      </c>
      <c r="P13" s="286">
        <f t="shared" si="8"/>
        <v>38543333</v>
      </c>
      <c r="Q13" s="286">
        <f t="shared" si="8"/>
        <v>18860300</v>
      </c>
      <c r="S13" s="278">
        <f t="shared" si="1"/>
        <v>1</v>
      </c>
    </row>
    <row r="14" spans="2:19" ht="17.25" customHeight="1">
      <c r="B14" s="287" t="str">
        <f>NERACA!B14</f>
        <v>110103 | KAS DALAM PERJALANAN</v>
      </c>
      <c r="C14" s="284"/>
      <c r="D14" s="284" t="str">
        <f t="shared" si="2"/>
        <v>Kas</v>
      </c>
      <c r="E14" s="286">
        <f t="shared" si="3"/>
        <v>0</v>
      </c>
      <c r="F14" s="286">
        <f t="shared" ref="F14:Q14" si="9">IF($D14="","",IF(INDEX(typ_sn,MATCH(INDEX(akun_type,MATCH($B14,akun_kb,0)),typ_ket,0))="db",SUMIFS(ju_sld,ju_bln,TEXT(F$7,"mmmm"),ju_debet,$B14)-SUMIFS(ju_sld,ju_bln,TEXT(F$7,"mmmm"),ju_kr,$B14),SUMIFS(ju_sld,ju_bln,TEXT(F$7,"mmmm"),ju_kr,$B14)-SUMIFS(ju_sld,ju_bln,TEXT(F$7,"mmmm"),ju_debet,$B14))+E14)</f>
        <v>0</v>
      </c>
      <c r="G14" s="286">
        <f t="shared" si="9"/>
        <v>0</v>
      </c>
      <c r="H14" s="286">
        <f t="shared" si="9"/>
        <v>0</v>
      </c>
      <c r="I14" s="286">
        <f t="shared" si="9"/>
        <v>0</v>
      </c>
      <c r="J14" s="286">
        <f t="shared" si="9"/>
        <v>0</v>
      </c>
      <c r="K14" s="286">
        <f t="shared" si="9"/>
        <v>0</v>
      </c>
      <c r="L14" s="286">
        <f t="shared" si="9"/>
        <v>0</v>
      </c>
      <c r="M14" s="286">
        <f t="shared" si="9"/>
        <v>0</v>
      </c>
      <c r="N14" s="286">
        <f t="shared" si="9"/>
        <v>0</v>
      </c>
      <c r="O14" s="286">
        <f t="shared" si="9"/>
        <v>0</v>
      </c>
      <c r="P14" s="286">
        <f t="shared" si="9"/>
        <v>0</v>
      </c>
      <c r="Q14" s="286">
        <f t="shared" si="9"/>
        <v>0</v>
      </c>
      <c r="S14" s="278">
        <f t="shared" si="1"/>
        <v>0</v>
      </c>
    </row>
    <row r="15" spans="2:19" ht="17.25" customHeight="1">
      <c r="B15" s="287" t="str">
        <f>NERACA!B15</f>
        <v>110104 | PENYETORAN KEMBALI KE KAS PD.PARKIR</v>
      </c>
      <c r="C15" s="284"/>
      <c r="D15" s="284" t="str">
        <f t="shared" si="2"/>
        <v>Kas</v>
      </c>
      <c r="E15" s="286">
        <f t="shared" si="3"/>
        <v>0</v>
      </c>
      <c r="F15" s="286">
        <f t="shared" ref="F15:Q15" si="10">IF($D15="","",IF(INDEX(typ_sn,MATCH(INDEX(akun_type,MATCH($B15,akun_kb,0)),typ_ket,0))="db",SUMIFS(ju_sld,ju_bln,TEXT(F$7,"mmmm"),ju_debet,$B15)-SUMIFS(ju_sld,ju_bln,TEXT(F$7,"mmmm"),ju_kr,$B15),SUMIFS(ju_sld,ju_bln,TEXT(F$7,"mmmm"),ju_kr,$B15)-SUMIFS(ju_sld,ju_bln,TEXT(F$7,"mmmm"),ju_debet,$B15))+E15)</f>
        <v>0</v>
      </c>
      <c r="G15" s="286">
        <f t="shared" si="10"/>
        <v>0</v>
      </c>
      <c r="H15" s="286">
        <f t="shared" si="10"/>
        <v>0</v>
      </c>
      <c r="I15" s="286">
        <f t="shared" si="10"/>
        <v>0</v>
      </c>
      <c r="J15" s="286">
        <f t="shared" si="10"/>
        <v>0</v>
      </c>
      <c r="K15" s="286">
        <f t="shared" si="10"/>
        <v>0</v>
      </c>
      <c r="L15" s="286">
        <f t="shared" si="10"/>
        <v>0</v>
      </c>
      <c r="M15" s="286">
        <f t="shared" si="10"/>
        <v>0</v>
      </c>
      <c r="N15" s="286">
        <f t="shared" si="10"/>
        <v>0</v>
      </c>
      <c r="O15" s="286">
        <f t="shared" si="10"/>
        <v>0</v>
      </c>
      <c r="P15" s="286">
        <f t="shared" si="10"/>
        <v>0</v>
      </c>
      <c r="Q15" s="286">
        <f t="shared" si="10"/>
        <v>0</v>
      </c>
      <c r="S15" s="278">
        <f t="shared" si="1"/>
        <v>0</v>
      </c>
    </row>
    <row r="16" spans="2:19" ht="23.1" customHeight="1">
      <c r="B16" s="292" t="str">
        <f>NERACA!B16</f>
        <v>TOTAL KAS</v>
      </c>
      <c r="C16" s="375"/>
      <c r="D16" s="375" t="str">
        <f t="shared" si="2"/>
        <v/>
      </c>
      <c r="E16" s="376">
        <f t="shared" ref="E16:Q16" si="11">SUM(E12:E15)</f>
        <v>35008781</v>
      </c>
      <c r="F16" s="376">
        <f t="shared" si="11"/>
        <v>103614828</v>
      </c>
      <c r="G16" s="376">
        <f t="shared" si="11"/>
        <v>68069528</v>
      </c>
      <c r="H16" s="376">
        <f t="shared" si="11"/>
        <v>91539420</v>
      </c>
      <c r="I16" s="376">
        <f t="shared" si="11"/>
        <v>81723654</v>
      </c>
      <c r="J16" s="376">
        <f t="shared" si="11"/>
        <v>73790542</v>
      </c>
      <c r="K16" s="376">
        <f t="shared" si="11"/>
        <v>53584495</v>
      </c>
      <c r="L16" s="376">
        <f t="shared" si="11"/>
        <v>118468415</v>
      </c>
      <c r="M16" s="376">
        <f t="shared" si="11"/>
        <v>45000446</v>
      </c>
      <c r="N16" s="376">
        <f t="shared" si="11"/>
        <v>141081930</v>
      </c>
      <c r="O16" s="376">
        <f t="shared" si="11"/>
        <v>183820997</v>
      </c>
      <c r="P16" s="376">
        <f t="shared" si="11"/>
        <v>70509833</v>
      </c>
      <c r="Q16" s="376">
        <f t="shared" si="11"/>
        <v>18860800</v>
      </c>
      <c r="R16" s="218"/>
      <c r="S16" s="278">
        <f t="shared" si="1"/>
        <v>1</v>
      </c>
    </row>
    <row r="17" spans="2:19" ht="23.1" customHeight="1">
      <c r="B17" s="285" t="str">
        <f>NERACA!B17</f>
        <v>BANK</v>
      </c>
      <c r="C17" s="284"/>
      <c r="D17" s="284" t="str">
        <f t="shared" si="2"/>
        <v/>
      </c>
      <c r="E17" s="286" t="str">
        <f t="shared" ref="E17:E22" si="12">IF(D17="","",IF(INDEX(typ_sn,MATCH(INDEX(akun_type,MATCH(B17,akun_kb,0)),typ_ket,0))="db",SUMIF(akun_kb,B17,akun_db)-SUMIF(akun_kb,B17,akun_kr),SUMIF(akun_kb,B17,akun_kr)-SUMIF(akun_kb,B17,akun_db)))</f>
        <v/>
      </c>
      <c r="F17" s="286"/>
      <c r="G17" s="286" t="str">
        <f t="shared" ref="F17:Q22" si="13">IF($D17="","",IF(INDEX(typ_sn,MATCH(INDEX(akun_type,MATCH($B17,akun_kb,0)),typ_ket,0))="db",SUMIFS(ju_sld,ju_bln,TEXT(G$7,"mmmm"),ju_debet,$B17)-SUMIFS(ju_sld,ju_bln,TEXT(G$7,"mmmm"),ju_kr,$B17),SUMIFS(ju_sld,ju_bln,TEXT(G$7,"mmmm"),ju_kr,$B17)-SUMIFS(ju_sld,ju_bln,TEXT(G$7,"mmmm"),ju_debet,$B17))+F17)</f>
        <v/>
      </c>
      <c r="H17" s="286" t="str">
        <f t="shared" si="13"/>
        <v/>
      </c>
      <c r="I17" s="286" t="str">
        <f t="shared" si="13"/>
        <v/>
      </c>
      <c r="J17" s="286" t="str">
        <f t="shared" si="13"/>
        <v/>
      </c>
      <c r="K17" s="286" t="str">
        <f t="shared" si="13"/>
        <v/>
      </c>
      <c r="L17" s="286" t="str">
        <f t="shared" si="13"/>
        <v/>
      </c>
      <c r="M17" s="286" t="str">
        <f t="shared" si="13"/>
        <v/>
      </c>
      <c r="N17" s="286" t="str">
        <f t="shared" si="13"/>
        <v/>
      </c>
      <c r="O17" s="286" t="str">
        <f t="shared" si="13"/>
        <v/>
      </c>
      <c r="P17" s="286" t="str">
        <f t="shared" si="13"/>
        <v/>
      </c>
      <c r="Q17" s="286" t="str">
        <f t="shared" si="13"/>
        <v/>
      </c>
      <c r="R17" s="218"/>
      <c r="S17" s="278">
        <f t="shared" si="1"/>
        <v>1</v>
      </c>
    </row>
    <row r="18" spans="2:19" ht="17.25" customHeight="1">
      <c r="B18" s="287" t="str">
        <f>NERACA!B18</f>
        <v>110201 | BANK BTN</v>
      </c>
      <c r="C18" s="284"/>
      <c r="D18" s="284" t="str">
        <f t="shared" si="2"/>
        <v>Bank</v>
      </c>
      <c r="E18" s="286">
        <f t="shared" ref="E18" si="14">IF(D18="","",IF(INDEX(typ_sn,MATCH(INDEX(akun_type,MATCH(B18,akun_kb,0)),typ_ket,0))="db",SUMIF(akun_kb,B18,akun_db)-SUMIF(akun_kb,B18,akun_kr),SUMIF(akun_kb,B18,akun_kr)-SUMIF(akun_kb,B18,akun_db)))</f>
        <v>815981072</v>
      </c>
      <c r="F18" s="286">
        <f t="shared" ref="F18" si="15">IF($D18="","",IF(INDEX(typ_sn,MATCH(INDEX(akun_type,MATCH($B18,akun_kb,0)),typ_ket,0))="db",SUMIFS(ju_sld,ju_bln,TEXT(F$7,"mmmm"),ju_debet,$B18)-SUMIFS(ju_sld,ju_bln,TEXT(F$7,"mmmm"),ju_kr,$B18),SUMIFS(ju_sld,ju_bln,TEXT(F$7,"mmmm"),ju_kr,$B18)-SUMIFS(ju_sld,ju_bln,TEXT(F$7,"mmmm"),ju_debet,$B18))+E18)</f>
        <v>881502412.12</v>
      </c>
      <c r="G18" s="286">
        <f t="shared" ref="G18" si="16">IF($D18="","",IF(INDEX(typ_sn,MATCH(INDEX(akun_type,MATCH($B18,akun_kb,0)),typ_ket,0))="db",SUMIFS(ju_sld,ju_bln,TEXT(G$7,"mmmm"),ju_debet,$B18)-SUMIFS(ju_sld,ju_bln,TEXT(G$7,"mmmm"),ju_kr,$B18),SUMIFS(ju_sld,ju_bln,TEXT(G$7,"mmmm"),ju_kr,$B18)-SUMIFS(ju_sld,ju_bln,TEXT(G$7,"mmmm"),ju_debet,$B18))+F18)</f>
        <v>958237418.14999998</v>
      </c>
      <c r="H18" s="286">
        <f t="shared" ref="H18" si="17">IF($D18="","",IF(INDEX(typ_sn,MATCH(INDEX(akun_type,MATCH($B18,akun_kb,0)),typ_ket,0))="db",SUMIFS(ju_sld,ju_bln,TEXT(H$7,"mmmm"),ju_debet,$B18)-SUMIFS(ju_sld,ju_bln,TEXT(H$7,"mmmm"),ju_kr,$B18),SUMIFS(ju_sld,ju_bln,TEXT(H$7,"mmmm"),ju_kr,$B18)-SUMIFS(ju_sld,ju_bln,TEXT(H$7,"mmmm"),ju_debet,$B18))+G18)</f>
        <v>1022084010.89</v>
      </c>
      <c r="I18" s="286">
        <f t="shared" ref="I18" si="18">IF($D18="","",IF(INDEX(typ_sn,MATCH(INDEX(akun_type,MATCH($B18,akun_kb,0)),typ_ket,0))="db",SUMIFS(ju_sld,ju_bln,TEXT(I$7,"mmmm"),ju_debet,$B18)-SUMIFS(ju_sld,ju_bln,TEXT(I$7,"mmmm"),ju_kr,$B18),SUMIFS(ju_sld,ju_bln,TEXT(I$7,"mmmm"),ju_kr,$B18)-SUMIFS(ju_sld,ju_bln,TEXT(I$7,"mmmm"),ju_debet,$B18))+H18)</f>
        <v>1091432008.8899999</v>
      </c>
      <c r="J18" s="286">
        <f t="shared" ref="J18" si="19">IF($D18="","",IF(INDEX(typ_sn,MATCH(INDEX(akun_type,MATCH($B18,akun_kb,0)),typ_ket,0))="db",SUMIFS(ju_sld,ju_bln,TEXT(J$7,"mmmm"),ju_debet,$B18)-SUMIFS(ju_sld,ju_bln,TEXT(J$7,"mmmm"),ju_kr,$B18),SUMIFS(ju_sld,ju_bln,TEXT(J$7,"mmmm"),ju_kr,$B18)-SUMIFS(ju_sld,ju_bln,TEXT(J$7,"mmmm"),ju_debet,$B18))+I18)</f>
        <v>1136482710.6299999</v>
      </c>
      <c r="K18" s="286">
        <f t="shared" ref="K18" si="20">IF($D18="","",IF(INDEX(typ_sn,MATCH(INDEX(akun_type,MATCH($B18,akun_kb,0)),typ_ket,0))="db",SUMIFS(ju_sld,ju_bln,TEXT(K$7,"mmmm"),ju_debet,$B18)-SUMIFS(ju_sld,ju_bln,TEXT(K$7,"mmmm"),ju_kr,$B18),SUMIFS(ju_sld,ju_bln,TEXT(K$7,"mmmm"),ju_kr,$B18)-SUMIFS(ju_sld,ju_bln,TEXT(K$7,"mmmm"),ju_debet,$B18))+J18)</f>
        <v>1174589280.9499998</v>
      </c>
      <c r="L18" s="286">
        <f t="shared" ref="L18" si="21">IF($D18="","",IF(INDEX(typ_sn,MATCH(INDEX(akun_type,MATCH($B18,akun_kb,0)),typ_ket,0))="db",SUMIFS(ju_sld,ju_bln,TEXT(L$7,"mmmm"),ju_debet,$B18)-SUMIFS(ju_sld,ju_bln,TEXT(L$7,"mmmm"),ju_kr,$B18),SUMIFS(ju_sld,ju_bln,TEXT(L$7,"mmmm"),ju_kr,$B18)-SUMIFS(ju_sld,ju_bln,TEXT(L$7,"mmmm"),ju_debet,$B18))+K18)</f>
        <v>1233577564.4199998</v>
      </c>
      <c r="M18" s="286">
        <f t="shared" ref="M18" si="22">IF($D18="","",IF(INDEX(typ_sn,MATCH(INDEX(akun_type,MATCH($B18,akun_kb,0)),typ_ket,0))="db",SUMIFS(ju_sld,ju_bln,TEXT(M$7,"mmmm"),ju_debet,$B18)-SUMIFS(ju_sld,ju_bln,TEXT(M$7,"mmmm"),ju_kr,$B18),SUMIFS(ju_sld,ju_bln,TEXT(M$7,"mmmm"),ju_kr,$B18)-SUMIFS(ju_sld,ju_bln,TEXT(M$7,"mmmm"),ju_debet,$B18))+L18)</f>
        <v>1690894359.1099999</v>
      </c>
      <c r="N18" s="286">
        <f t="shared" ref="N18" si="23">IF($D18="","",IF(INDEX(typ_sn,MATCH(INDEX(akun_type,MATCH($B18,akun_kb,0)),typ_ket,0))="db",SUMIFS(ju_sld,ju_bln,TEXT(N$7,"mmmm"),ju_debet,$B18)-SUMIFS(ju_sld,ju_bln,TEXT(N$7,"mmmm"),ju_kr,$B18),SUMIFS(ju_sld,ju_bln,TEXT(N$7,"mmmm"),ju_kr,$B18)-SUMIFS(ju_sld,ju_bln,TEXT(N$7,"mmmm"),ju_debet,$B18))+M18)</f>
        <v>3050835339.3299999</v>
      </c>
      <c r="O18" s="286">
        <f t="shared" ref="O18" si="24">IF($D18="","",IF(INDEX(typ_sn,MATCH(INDEX(akun_type,MATCH($B18,akun_kb,0)),typ_ket,0))="db",SUMIFS(ju_sld,ju_bln,TEXT(O$7,"mmmm"),ju_debet,$B18)-SUMIFS(ju_sld,ju_bln,TEXT(O$7,"mmmm"),ju_kr,$B18),SUMIFS(ju_sld,ju_bln,TEXT(O$7,"mmmm"),ju_kr,$B18)-SUMIFS(ju_sld,ju_bln,TEXT(O$7,"mmmm"),ju_debet,$B18))+N18)</f>
        <v>4042516691.5500002</v>
      </c>
      <c r="P18" s="286">
        <f t="shared" ref="P18" si="25">IF($D18="","",IF(INDEX(typ_sn,MATCH(INDEX(akun_type,MATCH($B18,akun_kb,0)),typ_ket,0))="db",SUMIFS(ju_sld,ju_bln,TEXT(P$7,"mmmm"),ju_debet,$B18)-SUMIFS(ju_sld,ju_bln,TEXT(P$7,"mmmm"),ju_kr,$B18),SUMIFS(ju_sld,ju_bln,TEXT(P$7,"mmmm"),ju_kr,$B18)-SUMIFS(ju_sld,ju_bln,TEXT(P$7,"mmmm"),ju_debet,$B18))+O18)</f>
        <v>3455512930.9100003</v>
      </c>
      <c r="Q18" s="286">
        <f t="shared" ref="Q18" si="26">IF($D18="","",IF(INDEX(typ_sn,MATCH(INDEX(akun_type,MATCH($B18,akun_kb,0)),typ_ket,0))="db",SUMIFS(ju_sld,ju_bln,TEXT(Q$7,"mmmm"),ju_debet,$B18)-SUMIFS(ju_sld,ju_bln,TEXT(Q$7,"mmmm"),ju_kr,$B18),SUMIFS(ju_sld,ju_bln,TEXT(Q$7,"mmmm"),ju_kr,$B18)-SUMIFS(ju_sld,ju_bln,TEXT(Q$7,"mmmm"),ju_debet,$B18))+P18)</f>
        <v>3349055291.2300005</v>
      </c>
      <c r="R18" s="218"/>
      <c r="S18" s="278">
        <f t="shared" si="1"/>
        <v>1</v>
      </c>
    </row>
    <row r="19" spans="2:19" ht="17.25" customHeight="1">
      <c r="B19" s="287" t="str">
        <f>NERACA!B19</f>
        <v>110202 | BANK BTN 2</v>
      </c>
      <c r="C19" s="284"/>
      <c r="D19" s="284" t="str">
        <f t="shared" ref="D19:D22" si="27">IFERROR(INDEX(akun_type,MATCH(B19,akun_kb,0)),"")</f>
        <v>Bank</v>
      </c>
      <c r="E19" s="286">
        <f t="shared" si="12"/>
        <v>0</v>
      </c>
      <c r="F19" s="286">
        <f t="shared" si="13"/>
        <v>0</v>
      </c>
      <c r="G19" s="286">
        <f t="shared" si="13"/>
        <v>0</v>
      </c>
      <c r="H19" s="286">
        <f t="shared" si="13"/>
        <v>0</v>
      </c>
      <c r="I19" s="286">
        <f t="shared" si="13"/>
        <v>0</v>
      </c>
      <c r="J19" s="286">
        <f t="shared" si="13"/>
        <v>0</v>
      </c>
      <c r="K19" s="286">
        <f t="shared" si="13"/>
        <v>0</v>
      </c>
      <c r="L19" s="286">
        <f t="shared" si="13"/>
        <v>0</v>
      </c>
      <c r="M19" s="286">
        <f t="shared" si="13"/>
        <v>0</v>
      </c>
      <c r="N19" s="286">
        <f t="shared" si="13"/>
        <v>0</v>
      </c>
      <c r="O19" s="286">
        <f t="shared" si="13"/>
        <v>1217000</v>
      </c>
      <c r="P19" s="286">
        <f t="shared" si="13"/>
        <v>1192000</v>
      </c>
      <c r="Q19" s="286">
        <f t="shared" si="13"/>
        <v>1167000</v>
      </c>
      <c r="R19" s="218"/>
      <c r="S19" s="278">
        <f t="shared" ref="S19:S22" si="28">IF(Q19=0,0,1)</f>
        <v>1</v>
      </c>
    </row>
    <row r="20" spans="2:19" ht="17.25" customHeight="1">
      <c r="B20" s="287" t="str">
        <f>NERACA!B20</f>
        <v>110203 | BANK MEGA SYARIAH</v>
      </c>
      <c r="C20" s="284"/>
      <c r="D20" s="284" t="str">
        <f t="shared" si="27"/>
        <v>Bank</v>
      </c>
      <c r="E20" s="286">
        <f t="shared" si="12"/>
        <v>0</v>
      </c>
      <c r="F20" s="286">
        <f t="shared" si="13"/>
        <v>0</v>
      </c>
      <c r="G20" s="286">
        <f t="shared" si="13"/>
        <v>0</v>
      </c>
      <c r="H20" s="286">
        <f t="shared" si="13"/>
        <v>0</v>
      </c>
      <c r="I20" s="286">
        <f t="shared" si="13"/>
        <v>0</v>
      </c>
      <c r="J20" s="286">
        <f t="shared" si="13"/>
        <v>0</v>
      </c>
      <c r="K20" s="286">
        <f t="shared" si="13"/>
        <v>0</v>
      </c>
      <c r="L20" s="286">
        <f t="shared" si="13"/>
        <v>0</v>
      </c>
      <c r="M20" s="286">
        <f t="shared" si="13"/>
        <v>0</v>
      </c>
      <c r="N20" s="286">
        <f t="shared" si="13"/>
        <v>0</v>
      </c>
      <c r="O20" s="286">
        <f t="shared" si="13"/>
        <v>1195221618.3000002</v>
      </c>
      <c r="P20" s="286">
        <f t="shared" si="13"/>
        <v>2009052553.9100003</v>
      </c>
      <c r="Q20" s="286">
        <f t="shared" si="13"/>
        <v>2009173139.1700003</v>
      </c>
      <c r="R20" s="218"/>
      <c r="S20" s="278">
        <f t="shared" si="28"/>
        <v>1</v>
      </c>
    </row>
    <row r="21" spans="2:19" ht="17.25" customHeight="1">
      <c r="B21" s="287" t="str">
        <f>NERACA!B21</f>
        <v>110204 | BANK BPD SULSELBAR</v>
      </c>
      <c r="C21" s="284"/>
      <c r="D21" s="284" t="str">
        <f t="shared" si="27"/>
        <v>Bank</v>
      </c>
      <c r="E21" s="286">
        <f t="shared" si="12"/>
        <v>58615218</v>
      </c>
      <c r="F21" s="286">
        <f t="shared" si="13"/>
        <v>81722024</v>
      </c>
      <c r="G21" s="286">
        <f t="shared" si="13"/>
        <v>111282734</v>
      </c>
      <c r="H21" s="286">
        <f t="shared" si="13"/>
        <v>177393334</v>
      </c>
      <c r="I21" s="286">
        <f t="shared" si="13"/>
        <v>219905989</v>
      </c>
      <c r="J21" s="286">
        <f t="shared" si="13"/>
        <v>271153428</v>
      </c>
      <c r="K21" s="286">
        <f t="shared" si="13"/>
        <v>329203349</v>
      </c>
      <c r="L21" s="286">
        <f t="shared" si="13"/>
        <v>387757121</v>
      </c>
      <c r="M21" s="286">
        <f t="shared" si="13"/>
        <v>405217721</v>
      </c>
      <c r="N21" s="286">
        <f t="shared" si="13"/>
        <v>412691502</v>
      </c>
      <c r="O21" s="286">
        <f t="shared" si="13"/>
        <v>-0.39999997615814209</v>
      </c>
      <c r="P21" s="286">
        <f t="shared" si="13"/>
        <v>-0.39999997615814209</v>
      </c>
      <c r="Q21" s="286">
        <f t="shared" si="13"/>
        <v>-0.39999997615814209</v>
      </c>
      <c r="R21" s="218"/>
      <c r="S21" s="278">
        <f t="shared" si="28"/>
        <v>1</v>
      </c>
    </row>
    <row r="22" spans="2:19" ht="17.25" customHeight="1">
      <c r="B22" s="287" t="str">
        <f>NERACA!B22</f>
        <v>110205 | BANK BPD SULSELBAR 1300030000329814</v>
      </c>
      <c r="C22" s="284"/>
      <c r="D22" s="284" t="str">
        <f t="shared" si="27"/>
        <v>Bank</v>
      </c>
      <c r="E22" s="286">
        <f t="shared" si="12"/>
        <v>419143976</v>
      </c>
      <c r="F22" s="286">
        <f t="shared" si="13"/>
        <v>494437688</v>
      </c>
      <c r="G22" s="286">
        <f t="shared" si="13"/>
        <v>457914507</v>
      </c>
      <c r="H22" s="286">
        <f t="shared" si="13"/>
        <v>644814274</v>
      </c>
      <c r="I22" s="286">
        <f t="shared" si="13"/>
        <v>261559606</v>
      </c>
      <c r="J22" s="286">
        <f t="shared" si="13"/>
        <v>374453591.87</v>
      </c>
      <c r="K22" s="286">
        <f t="shared" si="13"/>
        <v>592352330.87</v>
      </c>
      <c r="L22" s="286">
        <f t="shared" si="13"/>
        <v>755008528.87</v>
      </c>
      <c r="M22" s="286">
        <f t="shared" si="13"/>
        <v>1023126984.87</v>
      </c>
      <c r="N22" s="286">
        <f t="shared" si="13"/>
        <v>861483825.87</v>
      </c>
      <c r="O22" s="286">
        <f t="shared" si="13"/>
        <v>86631808.870000005</v>
      </c>
      <c r="P22" s="286">
        <f t="shared" si="13"/>
        <v>86680742.870000005</v>
      </c>
      <c r="Q22" s="286">
        <f t="shared" si="13"/>
        <v>86740449.870000005</v>
      </c>
      <c r="R22" s="218"/>
      <c r="S22" s="278">
        <f t="shared" si="28"/>
        <v>1</v>
      </c>
    </row>
    <row r="23" spans="2:19" ht="17.25" customHeight="1">
      <c r="B23" s="287" t="str">
        <f>NERACA!B23</f>
        <v>110206 | BANK BPD SULSELBAR 130003123456789-2</v>
      </c>
      <c r="C23" s="284"/>
      <c r="D23" s="284" t="str">
        <f t="shared" ref="D23:D32" si="29">IFERROR(INDEX(akun_type,MATCH(B23,akun_kb,0)),"")</f>
        <v>Bank</v>
      </c>
      <c r="E23" s="286">
        <f t="shared" ref="E23:E32" si="30">IF(D23="","",IF(INDEX(typ_sn,MATCH(INDEX(akun_type,MATCH(B23,akun_kb,0)),typ_ket,0))="db",SUMIF(akun_kb,B23,akun_db)-SUMIF(akun_kb,B23,akun_kr),SUMIF(akun_kb,B23,akun_kr)-SUMIF(akun_kb,B23,akun_db)))</f>
        <v>3509202</v>
      </c>
      <c r="F23" s="286">
        <f t="shared" ref="F23:F32" si="31">IF($D23="","",IF(INDEX(typ_sn,MATCH(INDEX(akun_type,MATCH($B23,akun_kb,0)),typ_ket,0))="db",SUMIFS(ju_sld,ju_bln,TEXT(F$7,"mmmm"),ju_debet,$B23)-SUMIFS(ju_sld,ju_bln,TEXT(F$7,"mmmm"),ju_kr,$B23),SUMIFS(ju_sld,ju_bln,TEXT(F$7,"mmmm"),ju_kr,$B23)-SUMIFS(ju_sld,ju_bln,TEXT(F$7,"mmmm"),ju_debet,$B23))+E23)</f>
        <v>3476299</v>
      </c>
      <c r="G23" s="286">
        <f t="shared" ref="G23:G32" si="32">IF($D23="","",IF(INDEX(typ_sn,MATCH(INDEX(akun_type,MATCH($B23,akun_kb,0)),typ_ket,0))="db",SUMIFS(ju_sld,ju_bln,TEXT(G$7,"mmmm"),ju_debet,$B23)-SUMIFS(ju_sld,ju_bln,TEXT(G$7,"mmmm"),ju_kr,$B23),SUMIFS(ju_sld,ju_bln,TEXT(G$7,"mmmm"),ju_kr,$B23)-SUMIFS(ju_sld,ju_bln,TEXT(G$7,"mmmm"),ju_debet,$B23))+F23)</f>
        <v>3446651</v>
      </c>
      <c r="H23" s="286">
        <f t="shared" ref="H23:H32" si="33">IF($D23="","",IF(INDEX(typ_sn,MATCH(INDEX(akun_type,MATCH($B23,akun_kb,0)),typ_ket,0))="db",SUMIFS(ju_sld,ju_bln,TEXT(H$7,"mmmm"),ju_debet,$B23)-SUMIFS(ju_sld,ju_bln,TEXT(H$7,"mmmm"),ju_kr,$B23),SUMIFS(ju_sld,ju_bln,TEXT(H$7,"mmmm"),ju_kr,$B23)-SUMIFS(ju_sld,ju_bln,TEXT(H$7,"mmmm"),ju_debet,$B23))+G23)</f>
        <v>3406554</v>
      </c>
      <c r="I23" s="286">
        <f t="shared" ref="I23:I32" si="34">IF($D23="","",IF(INDEX(typ_sn,MATCH(INDEX(akun_type,MATCH($B23,akun_kb,0)),typ_ket,0))="db",SUMIFS(ju_sld,ju_bln,TEXT(I$7,"mmmm"),ju_debet,$B23)-SUMIFS(ju_sld,ju_bln,TEXT(I$7,"mmmm"),ju_kr,$B23),SUMIFS(ju_sld,ju_bln,TEXT(I$7,"mmmm"),ju_kr,$B23)-SUMIFS(ju_sld,ju_bln,TEXT(I$7,"mmmm"),ju_debet,$B23))+H23)</f>
        <v>3373553</v>
      </c>
      <c r="J23" s="286">
        <f t="shared" ref="J23:J32" si="35">IF($D23="","",IF(INDEX(typ_sn,MATCH(INDEX(akun_type,MATCH($B23,akun_kb,0)),typ_ket,0))="db",SUMIFS(ju_sld,ju_bln,TEXT(J$7,"mmmm"),ju_debet,$B23)-SUMIFS(ju_sld,ju_bln,TEXT(J$7,"mmmm"),ju_kr,$B23),SUMIFS(ju_sld,ju_bln,TEXT(J$7,"mmmm"),ju_kr,$B23)-SUMIFS(ju_sld,ju_bln,TEXT(J$7,"mmmm"),ju_debet,$B23))+I23)</f>
        <v>3340406</v>
      </c>
      <c r="K23" s="286">
        <f t="shared" ref="K23:K32" si="36">IF($D23="","",IF(INDEX(typ_sn,MATCH(INDEX(akun_type,MATCH($B23,akun_kb,0)),typ_ket,0))="db",SUMIFS(ju_sld,ju_bln,TEXT(K$7,"mmmm"),ju_debet,$B23)-SUMIFS(ju_sld,ju_bln,TEXT(K$7,"mmmm"),ju_kr,$B23),SUMIFS(ju_sld,ju_bln,TEXT(K$7,"mmmm"),ju_kr,$B23)-SUMIFS(ju_sld,ju_bln,TEXT(K$7,"mmmm"),ju_debet,$B23))+J23)</f>
        <v>3307560</v>
      </c>
      <c r="L23" s="286">
        <f t="shared" ref="L23:L32" si="37">IF($D23="","",IF(INDEX(typ_sn,MATCH(INDEX(akun_type,MATCH($B23,akun_kb,0)),typ_ket,0))="db",SUMIFS(ju_sld,ju_bln,TEXT(L$7,"mmmm"),ju_debet,$B23)-SUMIFS(ju_sld,ju_bln,TEXT(L$7,"mmmm"),ju_kr,$B23),SUMIFS(ju_sld,ju_bln,TEXT(L$7,"mmmm"),ju_kr,$B23)-SUMIFS(ju_sld,ju_bln,TEXT(L$7,"mmmm"),ju_debet,$B23))+K23)</f>
        <v>3277746</v>
      </c>
      <c r="M23" s="286">
        <f t="shared" ref="M23:M32" si="38">IF($D23="","",IF(INDEX(typ_sn,MATCH(INDEX(akun_type,MATCH($B23,akun_kb,0)),typ_ket,0))="db",SUMIFS(ju_sld,ju_bln,TEXT(M$7,"mmmm"),ju_debet,$B23)-SUMIFS(ju_sld,ju_bln,TEXT(M$7,"mmmm"),ju_kr,$B23),SUMIFS(ju_sld,ju_bln,TEXT(M$7,"mmmm"),ju_kr,$B23)-SUMIFS(ju_sld,ju_bln,TEXT(M$7,"mmmm"),ju_debet,$B23))+L23)</f>
        <v>3241246</v>
      </c>
      <c r="N23" s="286">
        <f t="shared" ref="N23:N32" si="39">IF($D23="","",IF(INDEX(typ_sn,MATCH(INDEX(akun_type,MATCH($B23,akun_kb,0)),typ_ket,0))="db",SUMIFS(ju_sld,ju_bln,TEXT(N$7,"mmmm"),ju_debet,$B23)-SUMIFS(ju_sld,ju_bln,TEXT(N$7,"mmmm"),ju_kr,$B23),SUMIFS(ju_sld,ju_bln,TEXT(N$7,"mmmm"),ju_kr,$B23)-SUMIFS(ju_sld,ju_bln,TEXT(N$7,"mmmm"),ju_debet,$B23))+M23)</f>
        <v>3211278</v>
      </c>
      <c r="O23" s="286">
        <f t="shared" ref="O23:O32" si="40">IF($D23="","",IF(INDEX(typ_sn,MATCH(INDEX(akun_type,MATCH($B23,akun_kb,0)),typ_ket,0))="db",SUMIFS(ju_sld,ju_bln,TEXT(O$7,"mmmm"),ju_debet,$B23)-SUMIFS(ju_sld,ju_bln,TEXT(O$7,"mmmm"),ju_kr,$B23),SUMIFS(ju_sld,ju_bln,TEXT(O$7,"mmmm"),ju_kr,$B23)-SUMIFS(ju_sld,ju_bln,TEXT(O$7,"mmmm"),ju_debet,$B23))+N23)</f>
        <v>0</v>
      </c>
      <c r="P23" s="286">
        <f t="shared" ref="P23:P32" si="41">IF($D23="","",IF(INDEX(typ_sn,MATCH(INDEX(akun_type,MATCH($B23,akun_kb,0)),typ_ket,0))="db",SUMIFS(ju_sld,ju_bln,TEXT(P$7,"mmmm"),ju_debet,$B23)-SUMIFS(ju_sld,ju_bln,TEXT(P$7,"mmmm"),ju_kr,$B23),SUMIFS(ju_sld,ju_bln,TEXT(P$7,"mmmm"),ju_kr,$B23)-SUMIFS(ju_sld,ju_bln,TEXT(P$7,"mmmm"),ju_debet,$B23))+O23)</f>
        <v>0</v>
      </c>
      <c r="Q23" s="286">
        <f t="shared" ref="Q23:Q32" si="42">IF($D23="","",IF(INDEX(typ_sn,MATCH(INDEX(akun_type,MATCH($B23,akun_kb,0)),typ_ket,0))="db",SUMIFS(ju_sld,ju_bln,TEXT(Q$7,"mmmm"),ju_debet,$B23)-SUMIFS(ju_sld,ju_bln,TEXT(Q$7,"mmmm"),ju_kr,$B23),SUMIFS(ju_sld,ju_bln,TEXT(Q$7,"mmmm"),ju_kr,$B23)-SUMIFS(ju_sld,ju_bln,TEXT(Q$7,"mmmm"),ju_debet,$B23))+P23)</f>
        <v>0</v>
      </c>
      <c r="R23" s="218"/>
      <c r="S23" s="278">
        <f t="shared" ref="S23:S32" si="43">IF(Q23=0,0,1)</f>
        <v>0</v>
      </c>
    </row>
    <row r="24" spans="2:19" ht="17.25" customHeight="1">
      <c r="B24" s="287" t="str">
        <f>NERACA!B24</f>
        <v>110207 | BANK BRI</v>
      </c>
      <c r="C24" s="284"/>
      <c r="D24" s="284" t="str">
        <f t="shared" si="29"/>
        <v>Bank</v>
      </c>
      <c r="E24" s="286">
        <f t="shared" si="30"/>
        <v>6595167</v>
      </c>
      <c r="F24" s="286">
        <f t="shared" si="31"/>
        <v>5895465</v>
      </c>
      <c r="G24" s="286">
        <f t="shared" si="32"/>
        <v>5860217</v>
      </c>
      <c r="H24" s="286">
        <f t="shared" si="33"/>
        <v>5824841</v>
      </c>
      <c r="I24" s="286">
        <f t="shared" si="34"/>
        <v>5789578</v>
      </c>
      <c r="J24" s="286">
        <f t="shared" si="35"/>
        <v>5754268</v>
      </c>
      <c r="K24" s="286">
        <f t="shared" si="36"/>
        <v>5718990</v>
      </c>
      <c r="L24" s="286">
        <f t="shared" si="37"/>
        <v>5683665</v>
      </c>
      <c r="M24" s="286">
        <f t="shared" si="38"/>
        <v>5648372</v>
      </c>
      <c r="N24" s="286">
        <f t="shared" si="39"/>
        <v>5613071</v>
      </c>
      <c r="O24" s="286">
        <f t="shared" si="40"/>
        <v>5577724</v>
      </c>
      <c r="P24" s="286">
        <f t="shared" si="41"/>
        <v>5542408</v>
      </c>
      <c r="Q24" s="286">
        <f t="shared" si="42"/>
        <v>0</v>
      </c>
      <c r="R24" s="218"/>
      <c r="S24" s="278">
        <f t="shared" si="43"/>
        <v>0</v>
      </c>
    </row>
    <row r="25" spans="2:19" ht="17.25" customHeight="1">
      <c r="B25" s="287" t="str">
        <f>NERACA!B25</f>
        <v>110208 | BANK PANIN DUBAI SYARIAH - 7009001988</v>
      </c>
      <c r="C25" s="284"/>
      <c r="D25" s="284" t="str">
        <f t="shared" si="29"/>
        <v>Bank</v>
      </c>
      <c r="E25" s="286">
        <f t="shared" si="30"/>
        <v>631511959</v>
      </c>
      <c r="F25" s="286">
        <f t="shared" si="31"/>
        <v>558325562.26999998</v>
      </c>
      <c r="G25" s="286">
        <f t="shared" si="32"/>
        <v>712639950.92999995</v>
      </c>
      <c r="H25" s="286">
        <f t="shared" si="33"/>
        <v>732060215.0999999</v>
      </c>
      <c r="I25" s="286">
        <f t="shared" si="34"/>
        <v>641250660.03999996</v>
      </c>
      <c r="J25" s="286">
        <f t="shared" si="35"/>
        <v>732823845.28999996</v>
      </c>
      <c r="K25" s="286">
        <f t="shared" si="36"/>
        <v>864988029.90999997</v>
      </c>
      <c r="L25" s="286">
        <f t="shared" si="37"/>
        <v>937732967.19999993</v>
      </c>
      <c r="M25" s="286">
        <f t="shared" si="38"/>
        <v>579705679.79999995</v>
      </c>
      <c r="N25" s="286">
        <f t="shared" si="39"/>
        <v>190663851.51999998</v>
      </c>
      <c r="O25" s="286">
        <f t="shared" si="40"/>
        <v>-0.24000000953674316</v>
      </c>
      <c r="P25" s="286">
        <f t="shared" si="41"/>
        <v>-0.24000000953674316</v>
      </c>
      <c r="Q25" s="286">
        <f t="shared" si="42"/>
        <v>-0.24000000953674316</v>
      </c>
      <c r="R25" s="218"/>
      <c r="S25" s="278">
        <f t="shared" si="43"/>
        <v>1</v>
      </c>
    </row>
    <row r="26" spans="2:19" ht="17.25" customHeight="1">
      <c r="B26" s="287" t="str">
        <f>NERACA!B26</f>
        <v>110209 | BANK PANIN DUBAI SYARIAH - TABUNGAN</v>
      </c>
      <c r="C26" s="284"/>
      <c r="D26" s="284" t="str">
        <f t="shared" si="29"/>
        <v>Bank</v>
      </c>
      <c r="E26" s="286">
        <f t="shared" si="30"/>
        <v>1189265</v>
      </c>
      <c r="F26" s="286">
        <f t="shared" si="31"/>
        <v>1189265</v>
      </c>
      <c r="G26" s="286">
        <f t="shared" si="32"/>
        <v>1189265</v>
      </c>
      <c r="H26" s="286">
        <f t="shared" si="33"/>
        <v>1189265</v>
      </c>
      <c r="I26" s="286">
        <f t="shared" si="34"/>
        <v>1189265</v>
      </c>
      <c r="J26" s="286">
        <f t="shared" si="35"/>
        <v>0</v>
      </c>
      <c r="K26" s="286">
        <f t="shared" si="36"/>
        <v>0</v>
      </c>
      <c r="L26" s="286">
        <f t="shared" si="37"/>
        <v>0</v>
      </c>
      <c r="M26" s="286">
        <f t="shared" si="38"/>
        <v>0</v>
      </c>
      <c r="N26" s="286">
        <f t="shared" si="39"/>
        <v>0</v>
      </c>
      <c r="O26" s="286">
        <f t="shared" si="40"/>
        <v>0</v>
      </c>
      <c r="P26" s="286">
        <f t="shared" si="41"/>
        <v>0</v>
      </c>
      <c r="Q26" s="286">
        <f t="shared" si="42"/>
        <v>0</v>
      </c>
      <c r="R26" s="218"/>
      <c r="S26" s="278">
        <f t="shared" si="43"/>
        <v>0</v>
      </c>
    </row>
    <row r="27" spans="2:19" ht="17.25" customHeight="1">
      <c r="B27" s="287" t="str">
        <f>NERACA!B27</f>
        <v>110210 | BANK BJB</v>
      </c>
      <c r="C27" s="284"/>
      <c r="D27" s="284" t="str">
        <f t="shared" si="29"/>
        <v>Bank</v>
      </c>
      <c r="E27" s="286">
        <f t="shared" si="30"/>
        <v>9991565</v>
      </c>
      <c r="F27" s="286">
        <f t="shared" si="31"/>
        <v>9991565</v>
      </c>
      <c r="G27" s="286">
        <f t="shared" si="32"/>
        <v>9991565</v>
      </c>
      <c r="H27" s="286">
        <f t="shared" si="33"/>
        <v>9991565</v>
      </c>
      <c r="I27" s="286">
        <f t="shared" si="34"/>
        <v>9991565</v>
      </c>
      <c r="J27" s="286">
        <f t="shared" si="35"/>
        <v>9991565</v>
      </c>
      <c r="K27" s="286">
        <f t="shared" si="36"/>
        <v>0</v>
      </c>
      <c r="L27" s="286">
        <f t="shared" si="37"/>
        <v>0</v>
      </c>
      <c r="M27" s="286">
        <f t="shared" si="38"/>
        <v>0</v>
      </c>
      <c r="N27" s="286">
        <f t="shared" si="39"/>
        <v>0</v>
      </c>
      <c r="O27" s="286">
        <f t="shared" si="40"/>
        <v>0</v>
      </c>
      <c r="P27" s="286">
        <f t="shared" si="41"/>
        <v>0</v>
      </c>
      <c r="Q27" s="286">
        <f t="shared" si="42"/>
        <v>0</v>
      </c>
      <c r="R27" s="218"/>
      <c r="S27" s="278">
        <f t="shared" si="43"/>
        <v>0</v>
      </c>
    </row>
    <row r="28" spans="2:19" ht="17.25" customHeight="1">
      <c r="B28" s="287" t="str">
        <f>NERACA!B28</f>
        <v>110211 | BANK MANDIRI</v>
      </c>
      <c r="C28" s="284"/>
      <c r="D28" s="284" t="str">
        <f t="shared" si="29"/>
        <v>Bank</v>
      </c>
      <c r="E28" s="286">
        <f t="shared" si="30"/>
        <v>560003903</v>
      </c>
      <c r="F28" s="286">
        <f t="shared" si="31"/>
        <v>702276334.39999998</v>
      </c>
      <c r="G28" s="286">
        <f t="shared" si="32"/>
        <v>809213179.82999992</v>
      </c>
      <c r="H28" s="286">
        <f t="shared" si="33"/>
        <v>985659536.91999996</v>
      </c>
      <c r="I28" s="286">
        <f t="shared" si="34"/>
        <v>1125530020.73</v>
      </c>
      <c r="J28" s="286">
        <f t="shared" si="35"/>
        <v>1242888554.3399999</v>
      </c>
      <c r="K28" s="286">
        <f t="shared" si="36"/>
        <v>1314817465.9099998</v>
      </c>
      <c r="L28" s="286">
        <f t="shared" si="37"/>
        <v>1344509079.6399999</v>
      </c>
      <c r="M28" s="286">
        <f t="shared" si="38"/>
        <v>1367214045.0799999</v>
      </c>
      <c r="N28" s="286">
        <f t="shared" si="39"/>
        <v>532591538.50999987</v>
      </c>
      <c r="O28" s="286">
        <f t="shared" si="40"/>
        <v>-0.37000012397766113</v>
      </c>
      <c r="P28" s="286">
        <f t="shared" si="41"/>
        <v>-0.37000012397766113</v>
      </c>
      <c r="Q28" s="286">
        <f t="shared" si="42"/>
        <v>-0.37000012397766113</v>
      </c>
      <c r="R28" s="218"/>
      <c r="S28" s="278">
        <f t="shared" si="43"/>
        <v>1</v>
      </c>
    </row>
    <row r="29" spans="2:19" ht="17.25" customHeight="1">
      <c r="B29" s="287" t="str">
        <f>NERACA!B29</f>
        <v>110212 | BANK MANDIRI TASPEN</v>
      </c>
      <c r="C29" s="284"/>
      <c r="D29" s="284" t="str">
        <f t="shared" si="29"/>
        <v>Bank</v>
      </c>
      <c r="E29" s="286">
        <f t="shared" si="30"/>
        <v>73162212</v>
      </c>
      <c r="F29" s="286">
        <f t="shared" si="31"/>
        <v>73201774.280000001</v>
      </c>
      <c r="G29" s="286">
        <f t="shared" si="32"/>
        <v>73241444.650000006</v>
      </c>
      <c r="H29" s="286">
        <f t="shared" si="33"/>
        <v>73274801.710000008</v>
      </c>
      <c r="I29" s="286">
        <f t="shared" si="34"/>
        <v>73274801.710000008</v>
      </c>
      <c r="J29" s="286">
        <f t="shared" si="35"/>
        <v>-0.17000000178813934</v>
      </c>
      <c r="K29" s="286">
        <f t="shared" si="36"/>
        <v>-0.17000000178813934</v>
      </c>
      <c r="L29" s="286">
        <f t="shared" si="37"/>
        <v>-0.17000000178813934</v>
      </c>
      <c r="M29" s="286">
        <f t="shared" si="38"/>
        <v>-0.17000000178813934</v>
      </c>
      <c r="N29" s="286">
        <f t="shared" si="39"/>
        <v>-0.17000000178813934</v>
      </c>
      <c r="O29" s="286">
        <f t="shared" si="40"/>
        <v>-0.17000000178813934</v>
      </c>
      <c r="P29" s="286">
        <f t="shared" si="41"/>
        <v>-0.17000000178813934</v>
      </c>
      <c r="Q29" s="286">
        <f t="shared" si="42"/>
        <v>-0.17000000178813934</v>
      </c>
      <c r="R29" s="218"/>
      <c r="S29" s="278">
        <f t="shared" si="43"/>
        <v>1</v>
      </c>
    </row>
    <row r="30" spans="2:19" ht="17.25" customHeight="1">
      <c r="B30" s="287" t="str">
        <f>NERACA!B30</f>
        <v>110213 | BANK BNI</v>
      </c>
      <c r="C30" s="284"/>
      <c r="D30" s="284" t="str">
        <f t="shared" si="29"/>
        <v>Bank</v>
      </c>
      <c r="E30" s="286">
        <f t="shared" si="30"/>
        <v>16381156</v>
      </c>
      <c r="F30" s="286">
        <f t="shared" si="31"/>
        <v>16360141</v>
      </c>
      <c r="G30" s="286">
        <f t="shared" si="32"/>
        <v>16336626</v>
      </c>
      <c r="H30" s="286">
        <f t="shared" si="33"/>
        <v>16315477</v>
      </c>
      <c r="I30" s="286">
        <f t="shared" si="34"/>
        <v>16294197</v>
      </c>
      <c r="J30" s="286">
        <f t="shared" si="35"/>
        <v>20123452</v>
      </c>
      <c r="K30" s="286">
        <f t="shared" si="36"/>
        <v>32953876</v>
      </c>
      <c r="L30" s="286">
        <f t="shared" si="37"/>
        <v>45789280</v>
      </c>
      <c r="M30" s="286">
        <f t="shared" si="38"/>
        <v>46578276</v>
      </c>
      <c r="N30" s="286">
        <f t="shared" si="39"/>
        <v>47167070</v>
      </c>
      <c r="O30" s="286">
        <f t="shared" si="40"/>
        <v>0</v>
      </c>
      <c r="P30" s="286">
        <f t="shared" si="41"/>
        <v>0</v>
      </c>
      <c r="Q30" s="286">
        <f t="shared" si="42"/>
        <v>0</v>
      </c>
      <c r="R30" s="218"/>
      <c r="S30" s="278">
        <f t="shared" si="43"/>
        <v>0</v>
      </c>
    </row>
    <row r="31" spans="2:19" ht="17.25" customHeight="1">
      <c r="B31" s="287" t="str">
        <f>NERACA!B31</f>
        <v>110214 | BANK 1</v>
      </c>
      <c r="C31" s="284"/>
      <c r="D31" s="284" t="str">
        <f t="shared" si="29"/>
        <v>Bank</v>
      </c>
      <c r="E31" s="286">
        <f t="shared" si="30"/>
        <v>0</v>
      </c>
      <c r="F31" s="286">
        <f t="shared" si="31"/>
        <v>0</v>
      </c>
      <c r="G31" s="286">
        <f t="shared" si="32"/>
        <v>0</v>
      </c>
      <c r="H31" s="286">
        <f t="shared" si="33"/>
        <v>0</v>
      </c>
      <c r="I31" s="286">
        <f t="shared" si="34"/>
        <v>0</v>
      </c>
      <c r="J31" s="286">
        <f t="shared" si="35"/>
        <v>0</v>
      </c>
      <c r="K31" s="286">
        <f t="shared" si="36"/>
        <v>0</v>
      </c>
      <c r="L31" s="286">
        <f t="shared" si="37"/>
        <v>0</v>
      </c>
      <c r="M31" s="286">
        <f t="shared" si="38"/>
        <v>0</v>
      </c>
      <c r="N31" s="286">
        <f t="shared" si="39"/>
        <v>0</v>
      </c>
      <c r="O31" s="286">
        <f t="shared" si="40"/>
        <v>0</v>
      </c>
      <c r="P31" s="286">
        <f t="shared" si="41"/>
        <v>0</v>
      </c>
      <c r="Q31" s="286">
        <f t="shared" si="42"/>
        <v>0</v>
      </c>
      <c r="R31" s="218"/>
      <c r="S31" s="278">
        <f t="shared" si="43"/>
        <v>0</v>
      </c>
    </row>
    <row r="32" spans="2:19" ht="17.25" customHeight="1">
      <c r="B32" s="287" t="str">
        <f>NERACA!B32</f>
        <v>110215 | BANK 2</v>
      </c>
      <c r="C32" s="284"/>
      <c r="D32" s="284" t="str">
        <f t="shared" si="29"/>
        <v>Bank</v>
      </c>
      <c r="E32" s="286">
        <f t="shared" si="30"/>
        <v>0</v>
      </c>
      <c r="F32" s="286">
        <f t="shared" si="31"/>
        <v>0</v>
      </c>
      <c r="G32" s="286">
        <f t="shared" si="32"/>
        <v>0</v>
      </c>
      <c r="H32" s="286">
        <f t="shared" si="33"/>
        <v>0</v>
      </c>
      <c r="I32" s="286">
        <f t="shared" si="34"/>
        <v>0</v>
      </c>
      <c r="J32" s="286">
        <f t="shared" si="35"/>
        <v>0</v>
      </c>
      <c r="K32" s="286">
        <f t="shared" si="36"/>
        <v>0</v>
      </c>
      <c r="L32" s="286">
        <f t="shared" si="37"/>
        <v>0</v>
      </c>
      <c r="M32" s="286">
        <f t="shared" si="38"/>
        <v>0</v>
      </c>
      <c r="N32" s="286">
        <f t="shared" si="39"/>
        <v>0</v>
      </c>
      <c r="O32" s="286">
        <f t="shared" si="40"/>
        <v>0</v>
      </c>
      <c r="P32" s="286">
        <f t="shared" si="41"/>
        <v>0</v>
      </c>
      <c r="Q32" s="286">
        <f t="shared" si="42"/>
        <v>0</v>
      </c>
      <c r="R32" s="218"/>
      <c r="S32" s="278">
        <f t="shared" si="43"/>
        <v>0</v>
      </c>
    </row>
    <row r="33" spans="2:19" ht="23.1" customHeight="1">
      <c r="B33" s="292" t="str">
        <f>NERACA!B33</f>
        <v>TOTAL BANK</v>
      </c>
      <c r="C33" s="284"/>
      <c r="D33" s="284" t="str">
        <f t="shared" si="2"/>
        <v/>
      </c>
      <c r="E33" s="293">
        <f>SUM(E18:E32)</f>
        <v>2596084695</v>
      </c>
      <c r="F33" s="293">
        <f t="shared" ref="F33:Q33" si="44">SUM(F18:F32)</f>
        <v>2828378530.0700002</v>
      </c>
      <c r="G33" s="293">
        <f t="shared" si="44"/>
        <v>3159353558.5599999</v>
      </c>
      <c r="H33" s="293">
        <f t="shared" si="44"/>
        <v>3672013874.6199999</v>
      </c>
      <c r="I33" s="293">
        <f t="shared" si="44"/>
        <v>3449591244.3699999</v>
      </c>
      <c r="J33" s="293">
        <f t="shared" si="44"/>
        <v>3797011820.96</v>
      </c>
      <c r="K33" s="293">
        <f t="shared" si="44"/>
        <v>4317930882.4699993</v>
      </c>
      <c r="L33" s="293">
        <f t="shared" si="44"/>
        <v>4713335951.9599991</v>
      </c>
      <c r="M33" s="293">
        <f t="shared" si="44"/>
        <v>5121626683.6899996</v>
      </c>
      <c r="N33" s="293">
        <f t="shared" si="44"/>
        <v>5104257476.0599995</v>
      </c>
      <c r="O33" s="293">
        <f t="shared" si="44"/>
        <v>5331164841.5400009</v>
      </c>
      <c r="P33" s="293">
        <f t="shared" si="44"/>
        <v>5557980634.5100012</v>
      </c>
      <c r="Q33" s="293">
        <f t="shared" si="44"/>
        <v>5446135879.0900011</v>
      </c>
      <c r="R33" s="218"/>
      <c r="S33" s="278">
        <f t="shared" si="1"/>
        <v>1</v>
      </c>
    </row>
    <row r="34" spans="2:19" ht="23.1" customHeight="1">
      <c r="B34" s="292" t="str">
        <f>NERACA!B34</f>
        <v>TOTAL KAS DAN BANK</v>
      </c>
      <c r="C34" s="280"/>
      <c r="D34" s="280"/>
      <c r="E34" s="289">
        <f t="shared" ref="E34:P34" si="45">E16+E33</f>
        <v>2631093476</v>
      </c>
      <c r="F34" s="289">
        <f t="shared" si="45"/>
        <v>2931993358.0700002</v>
      </c>
      <c r="G34" s="289">
        <f t="shared" si="45"/>
        <v>3227423086.5599999</v>
      </c>
      <c r="H34" s="289">
        <f t="shared" si="45"/>
        <v>3763553294.6199999</v>
      </c>
      <c r="I34" s="289">
        <f t="shared" si="45"/>
        <v>3531314898.3699999</v>
      </c>
      <c r="J34" s="289">
        <f t="shared" si="45"/>
        <v>3870802362.96</v>
      </c>
      <c r="K34" s="289">
        <f t="shared" si="45"/>
        <v>4371515377.4699993</v>
      </c>
      <c r="L34" s="289">
        <f t="shared" si="45"/>
        <v>4831804366.9599991</v>
      </c>
      <c r="M34" s="289">
        <f t="shared" si="45"/>
        <v>5166627129.6899996</v>
      </c>
      <c r="N34" s="289">
        <f t="shared" si="45"/>
        <v>5245339406.0599995</v>
      </c>
      <c r="O34" s="289">
        <f t="shared" si="45"/>
        <v>5514985838.5400009</v>
      </c>
      <c r="P34" s="289">
        <f t="shared" si="45"/>
        <v>5628490467.5100012</v>
      </c>
      <c r="Q34" s="289">
        <f>Q16+Q33</f>
        <v>5464996679.0900011</v>
      </c>
      <c r="R34" s="218"/>
      <c r="S34" s="278">
        <f t="shared" si="1"/>
        <v>1</v>
      </c>
    </row>
    <row r="35" spans="2:19" ht="18.75" customHeight="1">
      <c r="B35" s="292" t="str">
        <f>NERACA!B35</f>
        <v>PIUTANG USAHA</v>
      </c>
      <c r="C35" s="284"/>
      <c r="D35" s="284" t="str">
        <f t="shared" ref="D35:D38" si="46">IFERROR(INDEX(akun_type,MATCH(B35,akun_kb,0)),"")</f>
        <v/>
      </c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18"/>
      <c r="S35" s="278">
        <f t="shared" si="1"/>
        <v>0</v>
      </c>
    </row>
    <row r="36" spans="2:19" ht="16.5" customHeight="1">
      <c r="B36" s="287" t="str">
        <f>NERACA!B36</f>
        <v>110301 | PIUTANG USAHA PARKIR TEPI JALAN UMUM</v>
      </c>
      <c r="C36" s="284"/>
      <c r="D36" s="284" t="str">
        <f t="shared" ref="D36" si="47">IFERROR(INDEX(akun_type,MATCH(B36,akun_kb,0)),"")</f>
        <v>Akun Piutang</v>
      </c>
      <c r="E36" s="286">
        <f t="shared" ref="E36:E43" si="48">IF(INDEX(typ_sn,MATCH(INDEX(akun_type,MATCH(B36,akun_kb,0)),typ_ket,0))="db",SUMIF(akun_kb,B36,akun_db)-SUMIF(akun_kb,B36,akun_kr),SUMIF(akun_kb,B36,akun_kr)-SUMIF(akun_kb,B36,akun_db))</f>
        <v>14324500</v>
      </c>
      <c r="F36" s="286">
        <f t="shared" ref="F36" si="49">IF(INDEX(typ_sn,MATCH(INDEX(akun_type,MATCH($B36,akun_kb,0)),typ_ket,0))="db",SUMIFS(ju_sld,ju_bln,TEXT(F$7,"mmmm"),ju_debet,$B36)-SUMIFS(ju_sld,ju_bln,TEXT(F$7,"mmmm"),ju_kr,$B36),SUMIFS(ju_sld,ju_bln,TEXT(F$7,"mmmm"),ju_kr,$B36)-SUMIFS(ju_sld,ju_bln,TEXT(F$7,"mmmm"),ju_debet,$B36))+E36</f>
        <v>13685500</v>
      </c>
      <c r="G36" s="286">
        <f t="shared" ref="G36" si="50">IF(INDEX(typ_sn,MATCH(INDEX(akun_type,MATCH($B36,akun_kb,0)),typ_ket,0))="db",SUMIFS(ju_sld,ju_bln,TEXT(G$7,"mmmm"),ju_debet,$B36)-SUMIFS(ju_sld,ju_bln,TEXT(G$7,"mmmm"),ju_kr,$B36),SUMIFS(ju_sld,ju_bln,TEXT(G$7,"mmmm"),ju_kr,$B36)-SUMIFS(ju_sld,ju_bln,TEXT(G$7,"mmmm"),ju_debet,$B36))+F36</f>
        <v>59553500</v>
      </c>
      <c r="H36" s="286">
        <f t="shared" ref="H36" si="51">IF(INDEX(typ_sn,MATCH(INDEX(akun_type,MATCH($B36,akun_kb,0)),typ_ket,0))="db",SUMIFS(ju_sld,ju_bln,TEXT(H$7,"mmmm"),ju_debet,$B36)-SUMIFS(ju_sld,ju_bln,TEXT(H$7,"mmmm"),ju_kr,$B36),SUMIFS(ju_sld,ju_bln,TEXT(H$7,"mmmm"),ju_kr,$B36)-SUMIFS(ju_sld,ju_bln,TEXT(H$7,"mmmm"),ju_debet,$B36))+G36</f>
        <v>14808500</v>
      </c>
      <c r="I36" s="286">
        <f t="shared" ref="I36" si="52">IF(INDEX(typ_sn,MATCH(INDEX(akun_type,MATCH($B36,akun_kb,0)),typ_ket,0))="db",SUMIFS(ju_sld,ju_bln,TEXT(I$7,"mmmm"),ju_debet,$B36)-SUMIFS(ju_sld,ju_bln,TEXT(I$7,"mmmm"),ju_kr,$B36),SUMIFS(ju_sld,ju_bln,TEXT(I$7,"mmmm"),ju_kr,$B36)-SUMIFS(ju_sld,ju_bln,TEXT(I$7,"mmmm"),ju_debet,$B36))+H36</f>
        <v>11967500</v>
      </c>
      <c r="J36" s="286">
        <f t="shared" ref="J36" si="53">IF(INDEX(typ_sn,MATCH(INDEX(akun_type,MATCH($B36,akun_kb,0)),typ_ket,0))="db",SUMIFS(ju_sld,ju_bln,TEXT(J$7,"mmmm"),ju_debet,$B36)-SUMIFS(ju_sld,ju_bln,TEXT(J$7,"mmmm"),ju_kr,$B36),SUMIFS(ju_sld,ju_bln,TEXT(J$7,"mmmm"),ju_kr,$B36)-SUMIFS(ju_sld,ju_bln,TEXT(J$7,"mmmm"),ju_debet,$B36))+I36</f>
        <v>13265500</v>
      </c>
      <c r="K36" s="286">
        <f t="shared" ref="K36" si="54">IF(INDEX(typ_sn,MATCH(INDEX(akun_type,MATCH($B36,akun_kb,0)),typ_ket,0))="db",SUMIFS(ju_sld,ju_bln,TEXT(K$7,"mmmm"),ju_debet,$B36)-SUMIFS(ju_sld,ju_bln,TEXT(K$7,"mmmm"),ju_kr,$B36),SUMIFS(ju_sld,ju_bln,TEXT(K$7,"mmmm"),ju_kr,$B36)-SUMIFS(ju_sld,ju_bln,TEXT(K$7,"mmmm"),ju_debet,$B36))+J36</f>
        <v>19369500</v>
      </c>
      <c r="L36" s="286">
        <f t="shared" ref="L36" si="55">IF(INDEX(typ_sn,MATCH(INDEX(akun_type,MATCH($B36,akun_kb,0)),typ_ket,0))="db",SUMIFS(ju_sld,ju_bln,TEXT(L$7,"mmmm"),ju_debet,$B36)-SUMIFS(ju_sld,ju_bln,TEXT(L$7,"mmmm"),ju_kr,$B36),SUMIFS(ju_sld,ju_bln,TEXT(L$7,"mmmm"),ju_kr,$B36)-SUMIFS(ju_sld,ju_bln,TEXT(L$7,"mmmm"),ju_debet,$B36))+K36</f>
        <v>52957500</v>
      </c>
      <c r="M36" s="286">
        <f t="shared" ref="M36" si="56">IF(INDEX(typ_sn,MATCH(INDEX(akun_type,MATCH($B36,akun_kb,0)),typ_ket,0))="db",SUMIFS(ju_sld,ju_bln,TEXT(M$7,"mmmm"),ju_debet,$B36)-SUMIFS(ju_sld,ju_bln,TEXT(M$7,"mmmm"),ju_kr,$B36),SUMIFS(ju_sld,ju_bln,TEXT(M$7,"mmmm"),ju_kr,$B36)-SUMIFS(ju_sld,ju_bln,TEXT(M$7,"mmmm"),ju_debet,$B36))+L36</f>
        <v>17798500</v>
      </c>
      <c r="N36" s="286">
        <f t="shared" ref="N36:N43" si="57">IF(INDEX(typ_sn,MATCH(INDEX(akun_type,MATCH($B36,akun_kb,0)),typ_ket,0))="db",SUMIFS(ju_sld,ju_bln,TEXT(N$7,"mmmm"),ju_debet,$B36)-SUMIFS(ju_sld,ju_bln,TEXT(N$7,"mmmm"),ju_kr,$B36),SUMIFS(ju_sld,ju_bln,TEXT(N$7,"mmmm"),ju_kr,$B36)-SUMIFS(ju_sld,ju_bln,TEXT(N$7,"mmmm"),ju_debet,$B36))+M36</f>
        <v>18133500</v>
      </c>
      <c r="O36" s="286">
        <f t="shared" ref="O36" si="58">IF(INDEX(typ_sn,MATCH(INDEX(akun_type,MATCH($B36,akun_kb,0)),typ_ket,0))="db",SUMIFS(ju_sld,ju_bln,TEXT(O$7,"mmmm"),ju_debet,$B36)-SUMIFS(ju_sld,ju_bln,TEXT(O$7,"mmmm"),ju_kr,$B36),SUMIFS(ju_sld,ju_bln,TEXT(O$7,"mmmm"),ju_kr,$B36)-SUMIFS(ju_sld,ju_bln,TEXT(O$7,"mmmm"),ju_debet,$B36))+N36</f>
        <v>17948500</v>
      </c>
      <c r="P36" s="286">
        <f t="shared" ref="P36" si="59">IF(INDEX(typ_sn,MATCH(INDEX(akun_type,MATCH($B36,akun_kb,0)),typ_ket,0))="db",SUMIFS(ju_sld,ju_bln,TEXT(P$7,"mmmm"),ju_debet,$B36)-SUMIFS(ju_sld,ju_bln,TEXT(P$7,"mmmm"),ju_kr,$B36),SUMIFS(ju_sld,ju_bln,TEXT(P$7,"mmmm"),ju_kr,$B36)-SUMIFS(ju_sld,ju_bln,TEXT(P$7,"mmmm"),ju_debet,$B36))+O36</f>
        <v>18052500</v>
      </c>
      <c r="Q36" s="286">
        <f t="shared" ref="Q36" si="60">IF(INDEX(typ_sn,MATCH(INDEX(akun_type,MATCH($B36,akun_kb,0)),typ_ket,0))="db",SUMIFS(ju_sld,ju_bln,TEXT(Q$7,"mmmm"),ju_debet,$B36)-SUMIFS(ju_sld,ju_bln,TEXT(Q$7,"mmmm"),ju_kr,$B36),SUMIFS(ju_sld,ju_bln,TEXT(Q$7,"mmmm"),ju_kr,$B36)-SUMIFS(ju_sld,ju_bln,TEXT(Q$7,"mmmm"),ju_debet,$B36))+P36</f>
        <v>44257500</v>
      </c>
      <c r="R36" s="218"/>
      <c r="S36" s="278">
        <f t="shared" ref="S36" si="61">IF(Q36=0,0,1)</f>
        <v>1</v>
      </c>
    </row>
    <row r="37" spans="2:19" ht="15.75" customHeight="1">
      <c r="B37" s="287" t="str">
        <f>NERACA!B37</f>
        <v>110302 | PIUTANG USAHA PARKIR INSIDENTIL</v>
      </c>
      <c r="C37" s="284"/>
      <c r="D37" s="284" t="str">
        <f t="shared" si="46"/>
        <v>Akun Piutang</v>
      </c>
      <c r="E37" s="286">
        <f t="shared" si="48"/>
        <v>0</v>
      </c>
      <c r="F37" s="286">
        <f t="shared" ref="F37:F38" si="62">IF(INDEX(typ_sn,MATCH(INDEX(akun_type,MATCH($B37,akun_kb,0)),typ_ket,0))="db",SUMIFS(ju_sld,ju_bln,TEXT(F$7,"mmmm"),ju_debet,$B37)-SUMIFS(ju_sld,ju_bln,TEXT(F$7,"mmmm"),ju_kr,$B37),SUMIFS(ju_sld,ju_bln,TEXT(F$7,"mmmm"),ju_kr,$B37)-SUMIFS(ju_sld,ju_bln,TEXT(F$7,"mmmm"),ju_debet,$B37))+E37</f>
        <v>650000</v>
      </c>
      <c r="G37" s="286">
        <f t="shared" ref="G37:G38" si="63">IF(INDEX(typ_sn,MATCH(INDEX(akun_type,MATCH($B37,akun_kb,0)),typ_ket,0))="db",SUMIFS(ju_sld,ju_bln,TEXT(G$7,"mmmm"),ju_debet,$B37)-SUMIFS(ju_sld,ju_bln,TEXT(G$7,"mmmm"),ju_kr,$B37),SUMIFS(ju_sld,ju_bln,TEXT(G$7,"mmmm"),ju_kr,$B37)-SUMIFS(ju_sld,ju_bln,TEXT(G$7,"mmmm"),ju_debet,$B37))+F37</f>
        <v>565000</v>
      </c>
      <c r="H37" s="286">
        <f t="shared" ref="H37:H38" si="64">IF(INDEX(typ_sn,MATCH(INDEX(akun_type,MATCH($B37,akun_kb,0)),typ_ket,0))="db",SUMIFS(ju_sld,ju_bln,TEXT(H$7,"mmmm"),ju_debet,$B37)-SUMIFS(ju_sld,ju_bln,TEXT(H$7,"mmmm"),ju_kr,$B37),SUMIFS(ju_sld,ju_bln,TEXT(H$7,"mmmm"),ju_kr,$B37)-SUMIFS(ju_sld,ju_bln,TEXT(H$7,"mmmm"),ju_debet,$B37))+G37</f>
        <v>550000</v>
      </c>
      <c r="I37" s="286">
        <f t="shared" ref="I37:I38" si="65">IF(INDEX(typ_sn,MATCH(INDEX(akun_type,MATCH($B37,akun_kb,0)),typ_ket,0))="db",SUMIFS(ju_sld,ju_bln,TEXT(I$7,"mmmm"),ju_debet,$B37)-SUMIFS(ju_sld,ju_bln,TEXT(I$7,"mmmm"),ju_kr,$B37),SUMIFS(ju_sld,ju_bln,TEXT(I$7,"mmmm"),ju_kr,$B37)-SUMIFS(ju_sld,ju_bln,TEXT(I$7,"mmmm"),ju_debet,$B37))+H37</f>
        <v>680000</v>
      </c>
      <c r="J37" s="286">
        <f t="shared" ref="J37:J38" si="66">IF(INDEX(typ_sn,MATCH(INDEX(akun_type,MATCH($B37,akun_kb,0)),typ_ket,0))="db",SUMIFS(ju_sld,ju_bln,TEXT(J$7,"mmmm"),ju_debet,$B37)-SUMIFS(ju_sld,ju_bln,TEXT(J$7,"mmmm"),ju_kr,$B37),SUMIFS(ju_sld,ju_bln,TEXT(J$7,"mmmm"),ju_kr,$B37)-SUMIFS(ju_sld,ju_bln,TEXT(J$7,"mmmm"),ju_debet,$B37))+I37</f>
        <v>313000</v>
      </c>
      <c r="K37" s="286">
        <f t="shared" ref="K37:K38" si="67">IF(INDEX(typ_sn,MATCH(INDEX(akun_type,MATCH($B37,akun_kb,0)),typ_ket,0))="db",SUMIFS(ju_sld,ju_bln,TEXT(K$7,"mmmm"),ju_debet,$B37)-SUMIFS(ju_sld,ju_bln,TEXT(K$7,"mmmm"),ju_kr,$B37),SUMIFS(ju_sld,ju_bln,TEXT(K$7,"mmmm"),ju_kr,$B37)-SUMIFS(ju_sld,ju_bln,TEXT(K$7,"mmmm"),ju_debet,$B37))+J37</f>
        <v>102000</v>
      </c>
      <c r="L37" s="286">
        <f t="shared" ref="L37:L38" si="68">IF(INDEX(typ_sn,MATCH(INDEX(akun_type,MATCH($B37,akun_kb,0)),typ_ket,0))="db",SUMIFS(ju_sld,ju_bln,TEXT(L$7,"mmmm"),ju_debet,$B37)-SUMIFS(ju_sld,ju_bln,TEXT(L$7,"mmmm"),ju_kr,$B37),SUMIFS(ju_sld,ju_bln,TEXT(L$7,"mmmm"),ju_kr,$B37)-SUMIFS(ju_sld,ju_bln,TEXT(L$7,"mmmm"),ju_debet,$B37))+K37</f>
        <v>877000</v>
      </c>
      <c r="M37" s="286">
        <f t="shared" ref="M37:M38" si="69">IF(INDEX(typ_sn,MATCH(INDEX(akun_type,MATCH($B37,akun_kb,0)),typ_ket,0))="db",SUMIFS(ju_sld,ju_bln,TEXT(M$7,"mmmm"),ju_debet,$B37)-SUMIFS(ju_sld,ju_bln,TEXT(M$7,"mmmm"),ju_kr,$B37),SUMIFS(ju_sld,ju_bln,TEXT(M$7,"mmmm"),ju_kr,$B37)-SUMIFS(ju_sld,ju_bln,TEXT(M$7,"mmmm"),ju_debet,$B37))+L37</f>
        <v>27000</v>
      </c>
      <c r="N37" s="286">
        <f t="shared" si="57"/>
        <v>0</v>
      </c>
      <c r="O37" s="286">
        <f t="shared" ref="O37:O38" si="70">IF(INDEX(typ_sn,MATCH(INDEX(akun_type,MATCH($B37,akun_kb,0)),typ_ket,0))="db",SUMIFS(ju_sld,ju_bln,TEXT(O$7,"mmmm"),ju_debet,$B37)-SUMIFS(ju_sld,ju_bln,TEXT(O$7,"mmmm"),ju_kr,$B37),SUMIFS(ju_sld,ju_bln,TEXT(O$7,"mmmm"),ju_kr,$B37)-SUMIFS(ju_sld,ju_bln,TEXT(O$7,"mmmm"),ju_debet,$B37))+N37</f>
        <v>817000</v>
      </c>
      <c r="P37" s="286">
        <f t="shared" ref="P37:P38" si="71">IF(INDEX(typ_sn,MATCH(INDEX(akun_type,MATCH($B37,akun_kb,0)),typ_ket,0))="db",SUMIFS(ju_sld,ju_bln,TEXT(P$7,"mmmm"),ju_debet,$B37)-SUMIFS(ju_sld,ju_bln,TEXT(P$7,"mmmm"),ju_kr,$B37),SUMIFS(ju_sld,ju_bln,TEXT(P$7,"mmmm"),ju_kr,$B37)-SUMIFS(ju_sld,ju_bln,TEXT(P$7,"mmmm"),ju_debet,$B37))+O37</f>
        <v>60000</v>
      </c>
      <c r="Q37" s="286">
        <f t="shared" ref="Q37:Q38" si="72">IF(INDEX(typ_sn,MATCH(INDEX(akun_type,MATCH($B37,akun_kb,0)),typ_ket,0))="db",SUMIFS(ju_sld,ju_bln,TEXT(Q$7,"mmmm"),ju_debet,$B37)-SUMIFS(ju_sld,ju_bln,TEXT(Q$7,"mmmm"),ju_kr,$B37),SUMIFS(ju_sld,ju_bln,TEXT(Q$7,"mmmm"),ju_kr,$B37)-SUMIFS(ju_sld,ju_bln,TEXT(Q$7,"mmmm"),ju_debet,$B37))+P37</f>
        <v>0</v>
      </c>
      <c r="R37" s="218"/>
      <c r="S37" s="278">
        <f t="shared" si="1"/>
        <v>0</v>
      </c>
    </row>
    <row r="38" spans="2:19" ht="16.5" customHeight="1">
      <c r="B38" s="287" t="str">
        <f>NERACA!B38</f>
        <v>110303 | PIUTANG USAHA PARKIR KOMERSIAL</v>
      </c>
      <c r="C38" s="284"/>
      <c r="D38" s="284" t="str">
        <f t="shared" si="46"/>
        <v>Akun Piutang</v>
      </c>
      <c r="E38" s="286">
        <f t="shared" si="48"/>
        <v>4100000</v>
      </c>
      <c r="F38" s="286">
        <f t="shared" si="62"/>
        <v>6200000</v>
      </c>
      <c r="G38" s="286">
        <f t="shared" si="63"/>
        <v>18075000</v>
      </c>
      <c r="H38" s="286">
        <f t="shared" si="64"/>
        <v>6450000</v>
      </c>
      <c r="I38" s="286">
        <f t="shared" si="65"/>
        <v>2950000</v>
      </c>
      <c r="J38" s="286">
        <f t="shared" si="66"/>
        <v>6600000</v>
      </c>
      <c r="K38" s="286">
        <f t="shared" si="67"/>
        <v>5550000</v>
      </c>
      <c r="L38" s="286">
        <f t="shared" si="68"/>
        <v>9825000</v>
      </c>
      <c r="M38" s="286">
        <f t="shared" si="69"/>
        <v>6850000</v>
      </c>
      <c r="N38" s="286">
        <f t="shared" si="57"/>
        <v>6075000</v>
      </c>
      <c r="O38" s="286">
        <f t="shared" si="70"/>
        <v>5900000</v>
      </c>
      <c r="P38" s="286">
        <f t="shared" si="71"/>
        <v>5750000</v>
      </c>
      <c r="Q38" s="286">
        <f t="shared" si="72"/>
        <v>7125000</v>
      </c>
      <c r="R38" s="218"/>
      <c r="S38" s="278">
        <f t="shared" si="1"/>
        <v>1</v>
      </c>
    </row>
    <row r="39" spans="2:19" ht="15.75" customHeight="1">
      <c r="B39" s="287" t="str">
        <f>NERACA!B39</f>
        <v>110304 | PIUTANG USAHA PARKIR LANGGANA BULANAN (PLB)</v>
      </c>
      <c r="C39" s="284"/>
      <c r="D39" s="284" t="str">
        <f t="shared" ref="D39:D43" si="73">IFERROR(INDEX(akun_type,MATCH(B39,akun_kb,0)),"")</f>
        <v>Akun Piutang</v>
      </c>
      <c r="E39" s="286">
        <f t="shared" si="48"/>
        <v>239035000</v>
      </c>
      <c r="F39" s="286">
        <f t="shared" ref="F39:F43" si="74">IF(INDEX(typ_sn,MATCH(INDEX(akun_type,MATCH($B39,akun_kb,0)),typ_ket,0))="db",SUMIFS(ju_sld,ju_bln,TEXT(F$7,"mmmm"),ju_debet,$B39)-SUMIFS(ju_sld,ju_bln,TEXT(F$7,"mmmm"),ju_kr,$B39),SUMIFS(ju_sld,ju_bln,TEXT(F$7,"mmmm"),ju_kr,$B39)-SUMIFS(ju_sld,ju_bln,TEXT(F$7,"mmmm"),ju_debet,$B39))+E39</f>
        <v>336610000</v>
      </c>
      <c r="G39" s="286">
        <f t="shared" ref="G39:G43" si="75">IF(INDEX(typ_sn,MATCH(INDEX(akun_type,MATCH($B39,akun_kb,0)),typ_ket,0))="db",SUMIFS(ju_sld,ju_bln,TEXT(G$7,"mmmm"),ju_debet,$B39)-SUMIFS(ju_sld,ju_bln,TEXT(G$7,"mmmm"),ju_kr,$B39),SUMIFS(ju_sld,ju_bln,TEXT(G$7,"mmmm"),ju_kr,$B39)-SUMIFS(ju_sld,ju_bln,TEXT(G$7,"mmmm"),ju_debet,$B39))+F39</f>
        <v>372720000</v>
      </c>
      <c r="H39" s="286">
        <f t="shared" ref="H39:H43" si="76">IF(INDEX(typ_sn,MATCH(INDEX(akun_type,MATCH($B39,akun_kb,0)),typ_ket,0))="db",SUMIFS(ju_sld,ju_bln,TEXT(H$7,"mmmm"),ju_debet,$B39)-SUMIFS(ju_sld,ju_bln,TEXT(H$7,"mmmm"),ju_kr,$B39),SUMIFS(ju_sld,ju_bln,TEXT(H$7,"mmmm"),ju_kr,$B39)-SUMIFS(ju_sld,ju_bln,TEXT(H$7,"mmmm"),ju_debet,$B39))+G39</f>
        <v>356795000</v>
      </c>
      <c r="I39" s="286">
        <f t="shared" ref="I39:I43" si="77">IF(INDEX(typ_sn,MATCH(INDEX(akun_type,MATCH($B39,akun_kb,0)),typ_ket,0))="db",SUMIFS(ju_sld,ju_bln,TEXT(I$7,"mmmm"),ju_debet,$B39)-SUMIFS(ju_sld,ju_bln,TEXT(I$7,"mmmm"),ju_kr,$B39),SUMIFS(ju_sld,ju_bln,TEXT(I$7,"mmmm"),ju_kr,$B39)-SUMIFS(ju_sld,ju_bln,TEXT(I$7,"mmmm"),ju_debet,$B39))+H39</f>
        <v>331621000</v>
      </c>
      <c r="J39" s="286">
        <f t="shared" ref="J39:J43" si="78">IF(INDEX(typ_sn,MATCH(INDEX(akun_type,MATCH($B39,akun_kb,0)),typ_ket,0))="db",SUMIFS(ju_sld,ju_bln,TEXT(J$7,"mmmm"),ju_debet,$B39)-SUMIFS(ju_sld,ju_bln,TEXT(J$7,"mmmm"),ju_kr,$B39),SUMIFS(ju_sld,ju_bln,TEXT(J$7,"mmmm"),ju_kr,$B39)-SUMIFS(ju_sld,ju_bln,TEXT(J$7,"mmmm"),ju_debet,$B39))+I39</f>
        <v>368820000</v>
      </c>
      <c r="K39" s="286">
        <f t="shared" ref="K39:K43" si="79">IF(INDEX(typ_sn,MATCH(INDEX(akun_type,MATCH($B39,akun_kb,0)),typ_ket,0))="db",SUMIFS(ju_sld,ju_bln,TEXT(K$7,"mmmm"),ju_debet,$B39)-SUMIFS(ju_sld,ju_bln,TEXT(K$7,"mmmm"),ju_kr,$B39),SUMIFS(ju_sld,ju_bln,TEXT(K$7,"mmmm"),ju_kr,$B39)-SUMIFS(ju_sld,ju_bln,TEXT(K$7,"mmmm"),ju_debet,$B39))+J39</f>
        <v>369226000</v>
      </c>
      <c r="L39" s="286">
        <f t="shared" ref="L39:L43" si="80">IF(INDEX(typ_sn,MATCH(INDEX(akun_type,MATCH($B39,akun_kb,0)),typ_ket,0))="db",SUMIFS(ju_sld,ju_bln,TEXT(L$7,"mmmm"),ju_debet,$B39)-SUMIFS(ju_sld,ju_bln,TEXT(L$7,"mmmm"),ju_kr,$B39),SUMIFS(ju_sld,ju_bln,TEXT(L$7,"mmmm"),ju_kr,$B39)-SUMIFS(ju_sld,ju_bln,TEXT(L$7,"mmmm"),ju_debet,$B39))+K39</f>
        <v>375320000</v>
      </c>
      <c r="M39" s="286">
        <f t="shared" ref="M39:M43" si="81">IF(INDEX(typ_sn,MATCH(INDEX(akun_type,MATCH($B39,akun_kb,0)),typ_ket,0))="db",SUMIFS(ju_sld,ju_bln,TEXT(M$7,"mmmm"),ju_debet,$B39)-SUMIFS(ju_sld,ju_bln,TEXT(M$7,"mmmm"),ju_kr,$B39),SUMIFS(ju_sld,ju_bln,TEXT(M$7,"mmmm"),ju_kr,$B39)-SUMIFS(ju_sld,ju_bln,TEXT(M$7,"mmmm"),ju_debet,$B39))+L39</f>
        <v>327545000</v>
      </c>
      <c r="N39" s="286">
        <f t="shared" si="57"/>
        <v>327095000</v>
      </c>
      <c r="O39" s="286">
        <f t="shared" ref="O39:O43" si="82">IF(INDEX(typ_sn,MATCH(INDEX(akun_type,MATCH($B39,akun_kb,0)),typ_ket,0))="db",SUMIFS(ju_sld,ju_bln,TEXT(O$7,"mmmm"),ju_debet,$B39)-SUMIFS(ju_sld,ju_bln,TEXT(O$7,"mmmm"),ju_kr,$B39),SUMIFS(ju_sld,ju_bln,TEXT(O$7,"mmmm"),ju_kr,$B39)-SUMIFS(ju_sld,ju_bln,TEXT(O$7,"mmmm"),ju_debet,$B39))+N39</f>
        <v>302220000</v>
      </c>
      <c r="P39" s="286">
        <f t="shared" ref="P39:P43" si="83">IF(INDEX(typ_sn,MATCH(INDEX(akun_type,MATCH($B39,akun_kb,0)),typ_ket,0))="db",SUMIFS(ju_sld,ju_bln,TEXT(P$7,"mmmm"),ju_debet,$B39)-SUMIFS(ju_sld,ju_bln,TEXT(P$7,"mmmm"),ju_kr,$B39),SUMIFS(ju_sld,ju_bln,TEXT(P$7,"mmmm"),ju_kr,$B39)-SUMIFS(ju_sld,ju_bln,TEXT(P$7,"mmmm"),ju_debet,$B39))+O39</f>
        <v>331795000</v>
      </c>
      <c r="Q39" s="286">
        <f t="shared" ref="Q39:Q43" si="84">IF(INDEX(typ_sn,MATCH(INDEX(akun_type,MATCH($B39,akun_kb,0)),typ_ket,0))="db",SUMIFS(ju_sld,ju_bln,TEXT(Q$7,"mmmm"),ju_debet,$B39)-SUMIFS(ju_sld,ju_bln,TEXT(Q$7,"mmmm"),ju_kr,$B39),SUMIFS(ju_sld,ju_bln,TEXT(Q$7,"mmmm"),ju_kr,$B39)-SUMIFS(ju_sld,ju_bln,TEXT(Q$7,"mmmm"),ju_debet,$B39))+P39</f>
        <v>303945000</v>
      </c>
      <c r="R39" s="218"/>
      <c r="S39" s="278">
        <f t="shared" ref="S39:S43" si="85">IF(Q39=0,0,1)</f>
        <v>1</v>
      </c>
    </row>
    <row r="40" spans="2:19" ht="16.5" customHeight="1">
      <c r="B40" s="287" t="str">
        <f>NERACA!B40</f>
        <v>110305 | PIUTANG INSIDENTIL ONLINE</v>
      </c>
      <c r="C40" s="284"/>
      <c r="D40" s="284" t="str">
        <f t="shared" si="73"/>
        <v>Akun Piutang</v>
      </c>
      <c r="E40" s="286">
        <f t="shared" si="48"/>
        <v>0</v>
      </c>
      <c r="F40" s="286">
        <f t="shared" si="74"/>
        <v>0</v>
      </c>
      <c r="G40" s="286">
        <f t="shared" si="75"/>
        <v>0</v>
      </c>
      <c r="H40" s="286">
        <f t="shared" si="76"/>
        <v>0</v>
      </c>
      <c r="I40" s="286">
        <f t="shared" si="77"/>
        <v>0</v>
      </c>
      <c r="J40" s="286">
        <f t="shared" si="78"/>
        <v>0</v>
      </c>
      <c r="K40" s="286">
        <f t="shared" si="79"/>
        <v>0</v>
      </c>
      <c r="L40" s="286">
        <f t="shared" si="80"/>
        <v>0</v>
      </c>
      <c r="M40" s="286">
        <f t="shared" si="81"/>
        <v>0</v>
      </c>
      <c r="N40" s="286">
        <f t="shared" si="57"/>
        <v>0</v>
      </c>
      <c r="O40" s="286">
        <f t="shared" si="82"/>
        <v>0</v>
      </c>
      <c r="P40" s="286">
        <f t="shared" si="83"/>
        <v>0</v>
      </c>
      <c r="Q40" s="286">
        <f t="shared" si="84"/>
        <v>0</v>
      </c>
      <c r="R40" s="218"/>
      <c r="S40" s="278">
        <f t="shared" si="85"/>
        <v>0</v>
      </c>
    </row>
    <row r="41" spans="2:19" ht="15.75" customHeight="1">
      <c r="B41" s="287" t="str">
        <f>NERACA!B41</f>
        <v>110306 | PIUTANG PARKIR KHUSUS BADAN USAHA</v>
      </c>
      <c r="C41" s="284"/>
      <c r="D41" s="284" t="str">
        <f t="shared" si="73"/>
        <v>Akun Piutang</v>
      </c>
      <c r="E41" s="286">
        <f t="shared" si="48"/>
        <v>0</v>
      </c>
      <c r="F41" s="286">
        <f t="shared" si="74"/>
        <v>0</v>
      </c>
      <c r="G41" s="286">
        <f t="shared" si="75"/>
        <v>0</v>
      </c>
      <c r="H41" s="286">
        <f t="shared" si="76"/>
        <v>0</v>
      </c>
      <c r="I41" s="286">
        <f t="shared" si="77"/>
        <v>0</v>
      </c>
      <c r="J41" s="286">
        <f t="shared" si="78"/>
        <v>0</v>
      </c>
      <c r="K41" s="286">
        <f t="shared" si="79"/>
        <v>0</v>
      </c>
      <c r="L41" s="286">
        <f t="shared" si="80"/>
        <v>0</v>
      </c>
      <c r="M41" s="286">
        <f t="shared" si="81"/>
        <v>0</v>
      </c>
      <c r="N41" s="286">
        <f t="shared" si="57"/>
        <v>0</v>
      </c>
      <c r="O41" s="286">
        <f t="shared" si="82"/>
        <v>0</v>
      </c>
      <c r="P41" s="286">
        <f t="shared" si="83"/>
        <v>0</v>
      </c>
      <c r="Q41" s="286">
        <f t="shared" si="84"/>
        <v>0</v>
      </c>
      <c r="R41" s="218"/>
      <c r="S41" s="278">
        <f t="shared" si="85"/>
        <v>0</v>
      </c>
    </row>
    <row r="42" spans="2:19" ht="16.5" customHeight="1">
      <c r="B42" s="287" t="str">
        <f>NERACA!B42</f>
        <v>110307 | PIUTANG PARKIR TEKHNOLOGI / ONLINE</v>
      </c>
      <c r="C42" s="284"/>
      <c r="D42" s="284" t="str">
        <f t="shared" si="73"/>
        <v>Akun Piutang</v>
      </c>
      <c r="E42" s="286">
        <f t="shared" si="48"/>
        <v>2555000</v>
      </c>
      <c r="F42" s="286">
        <f t="shared" si="74"/>
        <v>3218000</v>
      </c>
      <c r="G42" s="286">
        <f t="shared" si="75"/>
        <v>3512000</v>
      </c>
      <c r="H42" s="286">
        <f t="shared" si="76"/>
        <v>2618000</v>
      </c>
      <c r="I42" s="286">
        <f t="shared" si="77"/>
        <v>2216000</v>
      </c>
      <c r="J42" s="286">
        <f t="shared" si="78"/>
        <v>2557000</v>
      </c>
      <c r="K42" s="286">
        <f t="shared" si="79"/>
        <v>2785000</v>
      </c>
      <c r="L42" s="286">
        <f t="shared" si="80"/>
        <v>3270000</v>
      </c>
      <c r="M42" s="286">
        <f t="shared" si="81"/>
        <v>2730000</v>
      </c>
      <c r="N42" s="286">
        <f t="shared" si="57"/>
        <v>2527000</v>
      </c>
      <c r="O42" s="286">
        <f t="shared" si="82"/>
        <v>2673000</v>
      </c>
      <c r="P42" s="286">
        <f t="shared" si="83"/>
        <v>2556000</v>
      </c>
      <c r="Q42" s="286">
        <f t="shared" si="84"/>
        <v>2406000</v>
      </c>
      <c r="R42" s="218"/>
      <c r="S42" s="278">
        <f t="shared" si="85"/>
        <v>1</v>
      </c>
    </row>
    <row r="43" spans="2:19" ht="15.75" customHeight="1">
      <c r="B43" s="287" t="str">
        <f>NERACA!B43</f>
        <v>110308 | PIUTANG PT.KTI (Kinarya Terbaik Indonesia)</v>
      </c>
      <c r="C43" s="284"/>
      <c r="D43" s="284" t="str">
        <f t="shared" si="73"/>
        <v>Akun Piutang</v>
      </c>
      <c r="E43" s="286">
        <f t="shared" si="48"/>
        <v>239464586</v>
      </c>
      <c r="F43" s="286">
        <f t="shared" si="74"/>
        <v>239464586</v>
      </c>
      <c r="G43" s="286">
        <f t="shared" si="75"/>
        <v>239464586</v>
      </c>
      <c r="H43" s="286">
        <f t="shared" si="76"/>
        <v>239464586</v>
      </c>
      <c r="I43" s="286">
        <f t="shared" si="77"/>
        <v>239464586</v>
      </c>
      <c r="J43" s="286">
        <f t="shared" si="78"/>
        <v>242464586</v>
      </c>
      <c r="K43" s="286">
        <f t="shared" si="79"/>
        <v>242464586</v>
      </c>
      <c r="L43" s="286">
        <f t="shared" si="80"/>
        <v>242464586</v>
      </c>
      <c r="M43" s="286">
        <f t="shared" si="81"/>
        <v>242464586</v>
      </c>
      <c r="N43" s="286">
        <f t="shared" si="57"/>
        <v>244964586</v>
      </c>
      <c r="O43" s="286">
        <f t="shared" si="82"/>
        <v>248464586</v>
      </c>
      <c r="P43" s="286">
        <f t="shared" si="83"/>
        <v>278464586</v>
      </c>
      <c r="Q43" s="286">
        <f t="shared" si="84"/>
        <v>309464586</v>
      </c>
      <c r="R43" s="218"/>
      <c r="S43" s="278">
        <f t="shared" si="85"/>
        <v>1</v>
      </c>
    </row>
    <row r="44" spans="2:19" ht="23.1" customHeight="1">
      <c r="B44" s="292" t="str">
        <f>NERACA!B45</f>
        <v>PIUTANG NON USAHA</v>
      </c>
      <c r="C44" s="280"/>
      <c r="D44" s="280"/>
      <c r="E44" s="289">
        <f t="shared" ref="E44:Q44" si="86">SUM(E36:E43)</f>
        <v>499479086</v>
      </c>
      <c r="F44" s="289">
        <f t="shared" si="86"/>
        <v>599828086</v>
      </c>
      <c r="G44" s="289">
        <f t="shared" si="86"/>
        <v>693890086</v>
      </c>
      <c r="H44" s="289">
        <f t="shared" si="86"/>
        <v>620686086</v>
      </c>
      <c r="I44" s="289">
        <f t="shared" si="86"/>
        <v>588899086</v>
      </c>
      <c r="J44" s="289">
        <f t="shared" si="86"/>
        <v>634020086</v>
      </c>
      <c r="K44" s="289">
        <f t="shared" si="86"/>
        <v>639497086</v>
      </c>
      <c r="L44" s="289">
        <f t="shared" si="86"/>
        <v>684714086</v>
      </c>
      <c r="M44" s="289">
        <f t="shared" si="86"/>
        <v>597415086</v>
      </c>
      <c r="N44" s="289">
        <f t="shared" si="86"/>
        <v>598795086</v>
      </c>
      <c r="O44" s="289">
        <f t="shared" si="86"/>
        <v>578023086</v>
      </c>
      <c r="P44" s="289">
        <f t="shared" si="86"/>
        <v>636678086</v>
      </c>
      <c r="Q44" s="289">
        <f t="shared" si="86"/>
        <v>667198086</v>
      </c>
      <c r="R44" s="218"/>
      <c r="S44" s="278">
        <f t="shared" si="1"/>
        <v>1</v>
      </c>
    </row>
    <row r="45" spans="2:19" ht="15.75" customHeight="1">
      <c r="B45" s="287" t="str">
        <f>NERACA!B45</f>
        <v>PIUTANG NON USAHA</v>
      </c>
      <c r="C45" s="284"/>
      <c r="D45" s="284" t="str">
        <f t="shared" ref="D45:D47" si="87">IFERROR(INDEX(akun_type,MATCH(B45,akun_kb,0)),"")</f>
        <v/>
      </c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18"/>
      <c r="S45" s="278">
        <f t="shared" ref="S45:S47" si="88">IF(Q45=0,0,1)</f>
        <v>0</v>
      </c>
    </row>
    <row r="46" spans="2:19" ht="16.5" customHeight="1">
      <c r="B46" s="287" t="str">
        <f>NERACA!B46</f>
        <v>110401 | PIUTANG DIREKSI</v>
      </c>
      <c r="C46" s="284"/>
      <c r="D46" s="284" t="str">
        <f t="shared" si="87"/>
        <v>Akun Piutang</v>
      </c>
      <c r="E46" s="286">
        <f t="shared" ref="E46:E47" si="89">IF(INDEX(typ_sn,MATCH(INDEX(akun_type,MATCH(B46,akun_kb,0)),typ_ket,0))="db",SUMIF(akun_kb,B46,akun_db)-SUMIF(akun_kb,B46,akun_kr),SUMIF(akun_kb,B46,akun_kr)-SUMIF(akun_kb,B46,akun_db))</f>
        <v>2376534996</v>
      </c>
      <c r="F46" s="286">
        <f t="shared" ref="F46:F47" si="90">IF(INDEX(typ_sn,MATCH(INDEX(akun_type,MATCH($B46,akun_kb,0)),typ_ket,0))="db",SUMIFS(ju_sld,ju_bln,TEXT(F$7,"mmmm"),ju_debet,$B46)-SUMIFS(ju_sld,ju_bln,TEXT(F$7,"mmmm"),ju_kr,$B46),SUMIFS(ju_sld,ju_bln,TEXT(F$7,"mmmm"),ju_kr,$B46)-SUMIFS(ju_sld,ju_bln,TEXT(F$7,"mmmm"),ju_debet,$B46))+E46</f>
        <v>2376534996</v>
      </c>
      <c r="G46" s="286">
        <f t="shared" ref="G46:G47" si="91">IF(INDEX(typ_sn,MATCH(INDEX(akun_type,MATCH($B46,akun_kb,0)),typ_ket,0))="db",SUMIFS(ju_sld,ju_bln,TEXT(G$7,"mmmm"),ju_debet,$B46)-SUMIFS(ju_sld,ju_bln,TEXT(G$7,"mmmm"),ju_kr,$B46),SUMIFS(ju_sld,ju_bln,TEXT(G$7,"mmmm"),ju_kr,$B46)-SUMIFS(ju_sld,ju_bln,TEXT(G$7,"mmmm"),ju_debet,$B46))+F46</f>
        <v>2376534996</v>
      </c>
      <c r="H46" s="286">
        <f t="shared" ref="H46:H47" si="92">IF(INDEX(typ_sn,MATCH(INDEX(akun_type,MATCH($B46,akun_kb,0)),typ_ket,0))="db",SUMIFS(ju_sld,ju_bln,TEXT(H$7,"mmmm"),ju_debet,$B46)-SUMIFS(ju_sld,ju_bln,TEXT(H$7,"mmmm"),ju_kr,$B46),SUMIFS(ju_sld,ju_bln,TEXT(H$7,"mmmm"),ju_kr,$B46)-SUMIFS(ju_sld,ju_bln,TEXT(H$7,"mmmm"),ju_debet,$B46))+G46</f>
        <v>2376534996</v>
      </c>
      <c r="I46" s="286">
        <f t="shared" ref="I46:I47" si="93">IF(INDEX(typ_sn,MATCH(INDEX(akun_type,MATCH($B46,akun_kb,0)),typ_ket,0))="db",SUMIFS(ju_sld,ju_bln,TEXT(I$7,"mmmm"),ju_debet,$B46)-SUMIFS(ju_sld,ju_bln,TEXT(I$7,"mmmm"),ju_kr,$B46),SUMIFS(ju_sld,ju_bln,TEXT(I$7,"mmmm"),ju_kr,$B46)-SUMIFS(ju_sld,ju_bln,TEXT(I$7,"mmmm"),ju_debet,$B46))+H46</f>
        <v>2376534996</v>
      </c>
      <c r="J46" s="286">
        <f t="shared" ref="J46:J47" si="94">IF(INDEX(typ_sn,MATCH(INDEX(akun_type,MATCH($B46,akun_kb,0)),typ_ket,0))="db",SUMIFS(ju_sld,ju_bln,TEXT(J$7,"mmmm"),ju_debet,$B46)-SUMIFS(ju_sld,ju_bln,TEXT(J$7,"mmmm"),ju_kr,$B46),SUMIFS(ju_sld,ju_bln,TEXT(J$7,"mmmm"),ju_kr,$B46)-SUMIFS(ju_sld,ju_bln,TEXT(J$7,"mmmm"),ju_debet,$B46))+I46</f>
        <v>2376534996</v>
      </c>
      <c r="K46" s="286">
        <f t="shared" ref="K46:K47" si="95">IF(INDEX(typ_sn,MATCH(INDEX(akun_type,MATCH($B46,akun_kb,0)),typ_ket,0))="db",SUMIFS(ju_sld,ju_bln,TEXT(K$7,"mmmm"),ju_debet,$B46)-SUMIFS(ju_sld,ju_bln,TEXT(K$7,"mmmm"),ju_kr,$B46),SUMIFS(ju_sld,ju_bln,TEXT(K$7,"mmmm"),ju_kr,$B46)-SUMIFS(ju_sld,ju_bln,TEXT(K$7,"mmmm"),ju_debet,$B46))+J46</f>
        <v>2376534996</v>
      </c>
      <c r="L46" s="286">
        <f t="shared" ref="L46:L47" si="96">IF(INDEX(typ_sn,MATCH(INDEX(akun_type,MATCH($B46,akun_kb,0)),typ_ket,0))="db",SUMIFS(ju_sld,ju_bln,TEXT(L$7,"mmmm"),ju_debet,$B46)-SUMIFS(ju_sld,ju_bln,TEXT(L$7,"mmmm"),ju_kr,$B46),SUMIFS(ju_sld,ju_bln,TEXT(L$7,"mmmm"),ju_kr,$B46)-SUMIFS(ju_sld,ju_bln,TEXT(L$7,"mmmm"),ju_debet,$B46))+K46</f>
        <v>2376534996</v>
      </c>
      <c r="M46" s="286">
        <f t="shared" ref="M46:M47" si="97">IF(INDEX(typ_sn,MATCH(INDEX(akun_type,MATCH($B46,akun_kb,0)),typ_ket,0))="db",SUMIFS(ju_sld,ju_bln,TEXT(M$7,"mmmm"),ju_debet,$B46)-SUMIFS(ju_sld,ju_bln,TEXT(M$7,"mmmm"),ju_kr,$B46),SUMIFS(ju_sld,ju_bln,TEXT(M$7,"mmmm"),ju_kr,$B46)-SUMIFS(ju_sld,ju_bln,TEXT(M$7,"mmmm"),ju_debet,$B46))+L46</f>
        <v>2376534996</v>
      </c>
      <c r="N46" s="286">
        <f t="shared" ref="N46:N54" si="98">IF(INDEX(typ_sn,MATCH(INDEX(akun_type,MATCH($B46,akun_kb,0)),typ_ket,0))="db",SUMIFS(ju_sld,ju_bln,TEXT(N$7,"mmmm"),ju_debet,$B46)-SUMIFS(ju_sld,ju_bln,TEXT(N$7,"mmmm"),ju_kr,$B46),SUMIFS(ju_sld,ju_bln,TEXT(N$7,"mmmm"),ju_kr,$B46)-SUMIFS(ju_sld,ju_bln,TEXT(N$7,"mmmm"),ju_debet,$B46))+M46</f>
        <v>2376534996</v>
      </c>
      <c r="O46" s="286">
        <f t="shared" ref="O46:O47" si="99">IF(INDEX(typ_sn,MATCH(INDEX(akun_type,MATCH($B46,akun_kb,0)),typ_ket,0))="db",SUMIFS(ju_sld,ju_bln,TEXT(O$7,"mmmm"),ju_debet,$B46)-SUMIFS(ju_sld,ju_bln,TEXT(O$7,"mmmm"),ju_kr,$B46),SUMIFS(ju_sld,ju_bln,TEXT(O$7,"mmmm"),ju_kr,$B46)-SUMIFS(ju_sld,ju_bln,TEXT(O$7,"mmmm"),ju_debet,$B46))+N46</f>
        <v>2376534996</v>
      </c>
      <c r="P46" s="286">
        <f t="shared" ref="P46:P47" si="100">IF(INDEX(typ_sn,MATCH(INDEX(akun_type,MATCH($B46,akun_kb,0)),typ_ket,0))="db",SUMIFS(ju_sld,ju_bln,TEXT(P$7,"mmmm"),ju_debet,$B46)-SUMIFS(ju_sld,ju_bln,TEXT(P$7,"mmmm"),ju_kr,$B46),SUMIFS(ju_sld,ju_bln,TEXT(P$7,"mmmm"),ju_kr,$B46)-SUMIFS(ju_sld,ju_bln,TEXT(P$7,"mmmm"),ju_debet,$B46))+O46</f>
        <v>2376534996</v>
      </c>
      <c r="Q46" s="286">
        <f t="shared" ref="Q46:Q47" si="101">IF(INDEX(typ_sn,MATCH(INDEX(akun_type,MATCH($B46,akun_kb,0)),typ_ket,0))="db",SUMIFS(ju_sld,ju_bln,TEXT(Q$7,"mmmm"),ju_debet,$B46)-SUMIFS(ju_sld,ju_bln,TEXT(Q$7,"mmmm"),ju_kr,$B46),SUMIFS(ju_sld,ju_bln,TEXT(Q$7,"mmmm"),ju_kr,$B46)-SUMIFS(ju_sld,ju_bln,TEXT(Q$7,"mmmm"),ju_debet,$B46))+P46</f>
        <v>2376534996</v>
      </c>
      <c r="R46" s="218"/>
      <c r="S46" s="278">
        <f t="shared" si="88"/>
        <v>1</v>
      </c>
    </row>
    <row r="47" spans="2:19" ht="16.5" customHeight="1">
      <c r="B47" s="287" t="str">
        <f>NERACA!B47</f>
        <v>110402 | PIUTANG BADAN PENGAWAS</v>
      </c>
      <c r="C47" s="284"/>
      <c r="D47" s="284" t="str">
        <f t="shared" si="87"/>
        <v>Akun Piutang</v>
      </c>
      <c r="E47" s="286">
        <f t="shared" si="89"/>
        <v>44500000</v>
      </c>
      <c r="F47" s="286">
        <f t="shared" si="90"/>
        <v>44500000</v>
      </c>
      <c r="G47" s="286">
        <f t="shared" si="91"/>
        <v>44500000</v>
      </c>
      <c r="H47" s="286">
        <f t="shared" si="92"/>
        <v>44500000</v>
      </c>
      <c r="I47" s="286">
        <f t="shared" si="93"/>
        <v>44500000</v>
      </c>
      <c r="J47" s="286">
        <f t="shared" si="94"/>
        <v>44500000</v>
      </c>
      <c r="K47" s="286">
        <f t="shared" si="95"/>
        <v>44500000</v>
      </c>
      <c r="L47" s="286">
        <f t="shared" si="96"/>
        <v>44500000</v>
      </c>
      <c r="M47" s="286">
        <f t="shared" si="97"/>
        <v>44500000</v>
      </c>
      <c r="N47" s="286">
        <f t="shared" si="98"/>
        <v>44500000</v>
      </c>
      <c r="O47" s="286">
        <f t="shared" si="99"/>
        <v>44500000</v>
      </c>
      <c r="P47" s="286">
        <f t="shared" si="100"/>
        <v>44500000</v>
      </c>
      <c r="Q47" s="286">
        <f t="shared" si="101"/>
        <v>39500000</v>
      </c>
      <c r="R47" s="218"/>
      <c r="S47" s="278">
        <f t="shared" si="88"/>
        <v>1</v>
      </c>
    </row>
    <row r="48" spans="2:19" ht="16.5" customHeight="1">
      <c r="B48" s="287" t="str">
        <f>NERACA!B48</f>
        <v>110403 | PIUTANG KARYAWAN</v>
      </c>
      <c r="C48" s="284"/>
      <c r="D48" s="284" t="str">
        <f t="shared" ref="D48" si="102">IFERROR(INDEX(akun_type,MATCH(B48,akun_kb,0)),"")</f>
        <v>Akun Piutang</v>
      </c>
      <c r="E48" s="286">
        <f t="shared" ref="E48" si="103">IF(INDEX(typ_sn,MATCH(INDEX(akun_type,MATCH(B48,akun_kb,0)),typ_ket,0))="db",SUMIF(akun_kb,B48,akun_db)-SUMIF(akun_kb,B48,akun_kr),SUMIF(akun_kb,B48,akun_kr)-SUMIF(akun_kb,B48,akun_db))</f>
        <v>87908574</v>
      </c>
      <c r="F48" s="286">
        <f t="shared" ref="F48" si="104">IF(INDEX(typ_sn,MATCH(INDEX(akun_type,MATCH($B48,akun_kb,0)),typ_ket,0))="db",SUMIFS(ju_sld,ju_bln,TEXT(F$7,"mmmm"),ju_debet,$B48)-SUMIFS(ju_sld,ju_bln,TEXT(F$7,"mmmm"),ju_kr,$B48),SUMIFS(ju_sld,ju_bln,TEXT(F$7,"mmmm"),ju_kr,$B48)-SUMIFS(ju_sld,ju_bln,TEXT(F$7,"mmmm"),ju_debet,$B48))+E48</f>
        <v>87908574</v>
      </c>
      <c r="G48" s="286">
        <f t="shared" ref="G48" si="105">IF(INDEX(typ_sn,MATCH(INDEX(akun_type,MATCH($B48,akun_kb,0)),typ_ket,0))="db",SUMIFS(ju_sld,ju_bln,TEXT(G$7,"mmmm"),ju_debet,$B48)-SUMIFS(ju_sld,ju_bln,TEXT(G$7,"mmmm"),ju_kr,$B48),SUMIFS(ju_sld,ju_bln,TEXT(G$7,"mmmm"),ju_kr,$B48)-SUMIFS(ju_sld,ju_bln,TEXT(G$7,"mmmm"),ju_debet,$B48))+F48</f>
        <v>87908574</v>
      </c>
      <c r="H48" s="286">
        <f t="shared" ref="H48" si="106">IF(INDEX(typ_sn,MATCH(INDEX(akun_type,MATCH($B48,akun_kb,0)),typ_ket,0))="db",SUMIFS(ju_sld,ju_bln,TEXT(H$7,"mmmm"),ju_debet,$B48)-SUMIFS(ju_sld,ju_bln,TEXT(H$7,"mmmm"),ju_kr,$B48),SUMIFS(ju_sld,ju_bln,TEXT(H$7,"mmmm"),ju_kr,$B48)-SUMIFS(ju_sld,ju_bln,TEXT(H$7,"mmmm"),ju_debet,$B48))+G48</f>
        <v>87908574</v>
      </c>
      <c r="I48" s="286">
        <f t="shared" ref="I48" si="107">IF(INDEX(typ_sn,MATCH(INDEX(akun_type,MATCH($B48,akun_kb,0)),typ_ket,0))="db",SUMIFS(ju_sld,ju_bln,TEXT(I$7,"mmmm"),ju_debet,$B48)-SUMIFS(ju_sld,ju_bln,TEXT(I$7,"mmmm"),ju_kr,$B48),SUMIFS(ju_sld,ju_bln,TEXT(I$7,"mmmm"),ju_kr,$B48)-SUMIFS(ju_sld,ju_bln,TEXT(I$7,"mmmm"),ju_debet,$B48))+H48</f>
        <v>87908574</v>
      </c>
      <c r="J48" s="286">
        <f t="shared" ref="J48" si="108">IF(INDEX(typ_sn,MATCH(INDEX(akun_type,MATCH($B48,akun_kb,0)),typ_ket,0))="db",SUMIFS(ju_sld,ju_bln,TEXT(J$7,"mmmm"),ju_debet,$B48)-SUMIFS(ju_sld,ju_bln,TEXT(J$7,"mmmm"),ju_kr,$B48),SUMIFS(ju_sld,ju_bln,TEXT(J$7,"mmmm"),ju_kr,$B48)-SUMIFS(ju_sld,ju_bln,TEXT(J$7,"mmmm"),ju_debet,$B48))+I48</f>
        <v>87908574</v>
      </c>
      <c r="K48" s="286">
        <f t="shared" ref="K48" si="109">IF(INDEX(typ_sn,MATCH(INDEX(akun_type,MATCH($B48,akun_kb,0)),typ_ket,0))="db",SUMIFS(ju_sld,ju_bln,TEXT(K$7,"mmmm"),ju_debet,$B48)-SUMIFS(ju_sld,ju_bln,TEXT(K$7,"mmmm"),ju_kr,$B48),SUMIFS(ju_sld,ju_bln,TEXT(K$7,"mmmm"),ju_kr,$B48)-SUMIFS(ju_sld,ju_bln,TEXT(K$7,"mmmm"),ju_debet,$B48))+J48</f>
        <v>87908574</v>
      </c>
      <c r="L48" s="286">
        <f t="shared" ref="L48" si="110">IF(INDEX(typ_sn,MATCH(INDEX(akun_type,MATCH($B48,akun_kb,0)),typ_ket,0))="db",SUMIFS(ju_sld,ju_bln,TEXT(L$7,"mmmm"),ju_debet,$B48)-SUMIFS(ju_sld,ju_bln,TEXT(L$7,"mmmm"),ju_kr,$B48),SUMIFS(ju_sld,ju_bln,TEXT(L$7,"mmmm"),ju_kr,$B48)-SUMIFS(ju_sld,ju_bln,TEXT(L$7,"mmmm"),ju_debet,$B48))+K48</f>
        <v>87908574</v>
      </c>
      <c r="M48" s="286">
        <f t="shared" ref="M48" si="111">IF(INDEX(typ_sn,MATCH(INDEX(akun_type,MATCH($B48,akun_kb,0)),typ_ket,0))="db",SUMIFS(ju_sld,ju_bln,TEXT(M$7,"mmmm"),ju_debet,$B48)-SUMIFS(ju_sld,ju_bln,TEXT(M$7,"mmmm"),ju_kr,$B48),SUMIFS(ju_sld,ju_bln,TEXT(M$7,"mmmm"),ju_kr,$B48)-SUMIFS(ju_sld,ju_bln,TEXT(M$7,"mmmm"),ju_debet,$B48))+L48</f>
        <v>87908574</v>
      </c>
      <c r="N48" s="286">
        <f t="shared" si="98"/>
        <v>87908574</v>
      </c>
      <c r="O48" s="286">
        <f t="shared" ref="O48" si="112">IF(INDEX(typ_sn,MATCH(INDEX(akun_type,MATCH($B48,akun_kb,0)),typ_ket,0))="db",SUMIFS(ju_sld,ju_bln,TEXT(O$7,"mmmm"),ju_debet,$B48)-SUMIFS(ju_sld,ju_bln,TEXT(O$7,"mmmm"),ju_kr,$B48),SUMIFS(ju_sld,ju_bln,TEXT(O$7,"mmmm"),ju_kr,$B48)-SUMIFS(ju_sld,ju_bln,TEXT(O$7,"mmmm"),ju_debet,$B48))+N48</f>
        <v>87908574</v>
      </c>
      <c r="P48" s="286">
        <f t="shared" ref="P48" si="113">IF(INDEX(typ_sn,MATCH(INDEX(akun_type,MATCH($B48,akun_kb,0)),typ_ket,0))="db",SUMIFS(ju_sld,ju_bln,TEXT(P$7,"mmmm"),ju_debet,$B48)-SUMIFS(ju_sld,ju_bln,TEXT(P$7,"mmmm"),ju_kr,$B48),SUMIFS(ju_sld,ju_bln,TEXT(P$7,"mmmm"),ju_kr,$B48)-SUMIFS(ju_sld,ju_bln,TEXT(P$7,"mmmm"),ju_debet,$B48))+O48</f>
        <v>87908574</v>
      </c>
      <c r="Q48" s="286">
        <f t="shared" ref="Q48" si="114">IF(INDEX(typ_sn,MATCH(INDEX(akun_type,MATCH($B48,akun_kb,0)),typ_ket,0))="db",SUMIFS(ju_sld,ju_bln,TEXT(Q$7,"mmmm"),ju_debet,$B48)-SUMIFS(ju_sld,ju_bln,TEXT(Q$7,"mmmm"),ju_kr,$B48),SUMIFS(ju_sld,ju_bln,TEXT(Q$7,"mmmm"),ju_kr,$B48)-SUMIFS(ju_sld,ju_bln,TEXT(Q$7,"mmmm"),ju_debet,$B48))+P48</f>
        <v>87908574</v>
      </c>
      <c r="R48" s="218"/>
      <c r="S48" s="278">
        <f t="shared" ref="S48" si="115">IF(Q48=0,0,1)</f>
        <v>1</v>
      </c>
    </row>
    <row r="49" spans="2:19" ht="16.5" customHeight="1">
      <c r="B49" s="287" t="str">
        <f>NERACA!B49</f>
        <v>110408 | CADANGAN KERUGIAN PIUTANG</v>
      </c>
      <c r="C49" s="284"/>
      <c r="D49" s="284" t="str">
        <f t="shared" ref="D49:D51" si="116">IFERROR(INDEX(akun_type,MATCH(B49,akun_kb,0)),"")</f>
        <v>Akun Piutang</v>
      </c>
      <c r="E49" s="286">
        <f t="shared" ref="E49" si="117">IF(INDEX(typ_sn,MATCH(INDEX(akun_type,MATCH(B49,akun_kb,0)),typ_ket,0))="db",SUMIF(akun_kb,B49,akun_db)-SUMIF(akun_kb,B49,akun_kr),SUMIF(akun_kb,B49,akun_kr)-SUMIF(akun_kb,B49,akun_db))</f>
        <v>-55549514</v>
      </c>
      <c r="F49" s="286">
        <f t="shared" ref="F49" si="118">IF(INDEX(typ_sn,MATCH(INDEX(akun_type,MATCH($B49,akun_kb,0)),typ_ket,0))="db",SUMIFS(ju_sld,ju_bln,TEXT(F$7,"mmmm"),ju_debet,$B49)-SUMIFS(ju_sld,ju_bln,TEXT(F$7,"mmmm"),ju_kr,$B49),SUMIFS(ju_sld,ju_bln,TEXT(F$7,"mmmm"),ju_kr,$B49)-SUMIFS(ju_sld,ju_bln,TEXT(F$7,"mmmm"),ju_debet,$B49))+E49</f>
        <v>-55549514</v>
      </c>
      <c r="G49" s="286">
        <f t="shared" ref="G49" si="119">IF(INDEX(typ_sn,MATCH(INDEX(akun_type,MATCH($B49,akun_kb,0)),typ_ket,0))="db",SUMIFS(ju_sld,ju_bln,TEXT(G$7,"mmmm"),ju_debet,$B49)-SUMIFS(ju_sld,ju_bln,TEXT(G$7,"mmmm"),ju_kr,$B49),SUMIFS(ju_sld,ju_bln,TEXT(G$7,"mmmm"),ju_kr,$B49)-SUMIFS(ju_sld,ju_bln,TEXT(G$7,"mmmm"),ju_debet,$B49))+F49</f>
        <v>-55549514</v>
      </c>
      <c r="H49" s="286">
        <f t="shared" ref="H49" si="120">IF(INDEX(typ_sn,MATCH(INDEX(akun_type,MATCH($B49,akun_kb,0)),typ_ket,0))="db",SUMIFS(ju_sld,ju_bln,TEXT(H$7,"mmmm"),ju_debet,$B49)-SUMIFS(ju_sld,ju_bln,TEXT(H$7,"mmmm"),ju_kr,$B49),SUMIFS(ju_sld,ju_bln,TEXT(H$7,"mmmm"),ju_kr,$B49)-SUMIFS(ju_sld,ju_bln,TEXT(H$7,"mmmm"),ju_debet,$B49))+G49</f>
        <v>-55549514</v>
      </c>
      <c r="I49" s="286">
        <f t="shared" ref="I49" si="121">IF(INDEX(typ_sn,MATCH(INDEX(akun_type,MATCH($B49,akun_kb,0)),typ_ket,0))="db",SUMIFS(ju_sld,ju_bln,TEXT(I$7,"mmmm"),ju_debet,$B49)-SUMIFS(ju_sld,ju_bln,TEXT(I$7,"mmmm"),ju_kr,$B49),SUMIFS(ju_sld,ju_bln,TEXT(I$7,"mmmm"),ju_kr,$B49)-SUMIFS(ju_sld,ju_bln,TEXT(I$7,"mmmm"),ju_debet,$B49))+H49</f>
        <v>-55549514</v>
      </c>
      <c r="J49" s="286">
        <f t="shared" ref="J49" si="122">IF(INDEX(typ_sn,MATCH(INDEX(akun_type,MATCH($B49,akun_kb,0)),typ_ket,0))="db",SUMIFS(ju_sld,ju_bln,TEXT(J$7,"mmmm"),ju_debet,$B49)-SUMIFS(ju_sld,ju_bln,TEXT(J$7,"mmmm"),ju_kr,$B49),SUMIFS(ju_sld,ju_bln,TEXT(J$7,"mmmm"),ju_kr,$B49)-SUMIFS(ju_sld,ju_bln,TEXT(J$7,"mmmm"),ju_debet,$B49))+I49</f>
        <v>-55549514</v>
      </c>
      <c r="K49" s="286">
        <f t="shared" ref="K49" si="123">IF(INDEX(typ_sn,MATCH(INDEX(akun_type,MATCH($B49,akun_kb,0)),typ_ket,0))="db",SUMIFS(ju_sld,ju_bln,TEXT(K$7,"mmmm"),ju_debet,$B49)-SUMIFS(ju_sld,ju_bln,TEXT(K$7,"mmmm"),ju_kr,$B49),SUMIFS(ju_sld,ju_bln,TEXT(K$7,"mmmm"),ju_kr,$B49)-SUMIFS(ju_sld,ju_bln,TEXT(K$7,"mmmm"),ju_debet,$B49))+J49</f>
        <v>-55549514</v>
      </c>
      <c r="L49" s="286">
        <f t="shared" ref="L49" si="124">IF(INDEX(typ_sn,MATCH(INDEX(akun_type,MATCH($B49,akun_kb,0)),typ_ket,0))="db",SUMIFS(ju_sld,ju_bln,TEXT(L$7,"mmmm"),ju_debet,$B49)-SUMIFS(ju_sld,ju_bln,TEXT(L$7,"mmmm"),ju_kr,$B49),SUMIFS(ju_sld,ju_bln,TEXT(L$7,"mmmm"),ju_kr,$B49)-SUMIFS(ju_sld,ju_bln,TEXT(L$7,"mmmm"),ju_debet,$B49))+K49</f>
        <v>-55549514</v>
      </c>
      <c r="M49" s="286">
        <f t="shared" ref="M49" si="125">IF(INDEX(typ_sn,MATCH(INDEX(akun_type,MATCH($B49,akun_kb,0)),typ_ket,0))="db",SUMIFS(ju_sld,ju_bln,TEXT(M$7,"mmmm"),ju_debet,$B49)-SUMIFS(ju_sld,ju_bln,TEXT(M$7,"mmmm"),ju_kr,$B49),SUMIFS(ju_sld,ju_bln,TEXT(M$7,"mmmm"),ju_kr,$B49)-SUMIFS(ju_sld,ju_bln,TEXT(M$7,"mmmm"),ju_debet,$B49))+L49</f>
        <v>-55549514</v>
      </c>
      <c r="N49" s="286">
        <f t="shared" si="98"/>
        <v>-55549514</v>
      </c>
      <c r="O49" s="286">
        <f t="shared" ref="O49" si="126">IF(INDEX(typ_sn,MATCH(INDEX(akun_type,MATCH($B49,akun_kb,0)),typ_ket,0))="db",SUMIFS(ju_sld,ju_bln,TEXT(O$7,"mmmm"),ju_debet,$B49)-SUMIFS(ju_sld,ju_bln,TEXT(O$7,"mmmm"),ju_kr,$B49),SUMIFS(ju_sld,ju_bln,TEXT(O$7,"mmmm"),ju_kr,$B49)-SUMIFS(ju_sld,ju_bln,TEXT(O$7,"mmmm"),ju_debet,$B49))+N49</f>
        <v>-55549514</v>
      </c>
      <c r="P49" s="286">
        <f t="shared" ref="P49" si="127">IF(INDEX(typ_sn,MATCH(INDEX(akun_type,MATCH($B49,akun_kb,0)),typ_ket,0))="db",SUMIFS(ju_sld,ju_bln,TEXT(P$7,"mmmm"),ju_debet,$B49)-SUMIFS(ju_sld,ju_bln,TEXT(P$7,"mmmm"),ju_kr,$B49),SUMIFS(ju_sld,ju_bln,TEXT(P$7,"mmmm"),ju_kr,$B49)-SUMIFS(ju_sld,ju_bln,TEXT(P$7,"mmmm"),ju_debet,$B49))+O49</f>
        <v>-55549514</v>
      </c>
      <c r="Q49" s="286">
        <f t="shared" ref="Q49" si="128">IF(INDEX(typ_sn,MATCH(INDEX(akun_type,MATCH($B49,akun_kb,0)),typ_ket,0))="db",SUMIFS(ju_sld,ju_bln,TEXT(Q$7,"mmmm"),ju_debet,$B49)-SUMIFS(ju_sld,ju_bln,TEXT(Q$7,"mmmm"),ju_kr,$B49),SUMIFS(ju_sld,ju_bln,TEXT(Q$7,"mmmm"),ju_kr,$B49)-SUMIFS(ju_sld,ju_bln,TEXT(Q$7,"mmmm"),ju_debet,$B49))+P49</f>
        <v>-55549514</v>
      </c>
      <c r="R49" s="218"/>
      <c r="S49" s="278">
        <f t="shared" ref="S49:S51" si="129">IF(Q49=0,0,1)</f>
        <v>1</v>
      </c>
    </row>
    <row r="50" spans="2:19" ht="16.5" customHeight="1">
      <c r="B50" s="374" t="str">
        <f>NERACA!B50</f>
        <v>TOTAL PIUTANG NON USAHA</v>
      </c>
      <c r="C50" s="380"/>
      <c r="D50" s="381" t="str">
        <f t="shared" si="116"/>
        <v/>
      </c>
      <c r="E50" s="382">
        <f>SUM(E46:E49)</f>
        <v>2453394056</v>
      </c>
      <c r="F50" s="382">
        <f>SUM(F46:F49)</f>
        <v>2453394056</v>
      </c>
      <c r="G50" s="382">
        <f t="shared" ref="G50:Q50" si="130">SUM(G46:G49)</f>
        <v>2453394056</v>
      </c>
      <c r="H50" s="382">
        <f t="shared" si="130"/>
        <v>2453394056</v>
      </c>
      <c r="I50" s="382">
        <f t="shared" si="130"/>
        <v>2453394056</v>
      </c>
      <c r="J50" s="382">
        <f t="shared" si="130"/>
        <v>2453394056</v>
      </c>
      <c r="K50" s="382">
        <f t="shared" si="130"/>
        <v>2453394056</v>
      </c>
      <c r="L50" s="382">
        <f t="shared" si="130"/>
        <v>2453394056</v>
      </c>
      <c r="M50" s="382">
        <f t="shared" si="130"/>
        <v>2453394056</v>
      </c>
      <c r="N50" s="382">
        <f t="shared" si="130"/>
        <v>2453394056</v>
      </c>
      <c r="O50" s="382">
        <f t="shared" si="130"/>
        <v>2453394056</v>
      </c>
      <c r="P50" s="382">
        <f t="shared" si="130"/>
        <v>2453394056</v>
      </c>
      <c r="Q50" s="382">
        <f t="shared" si="130"/>
        <v>2448394056</v>
      </c>
      <c r="R50" s="218"/>
      <c r="S50" s="278">
        <f t="shared" si="129"/>
        <v>1</v>
      </c>
    </row>
    <row r="51" spans="2:19" ht="16.5" customHeight="1">
      <c r="B51" s="377" t="str">
        <f>NERACA!B51</f>
        <v>TOTAL PIUTANG</v>
      </c>
      <c r="C51" s="375"/>
      <c r="D51" s="375" t="str">
        <f t="shared" si="116"/>
        <v/>
      </c>
      <c r="E51" s="376">
        <f>E34+E44</f>
        <v>3130572562</v>
      </c>
      <c r="F51" s="376">
        <f t="shared" ref="F51:Q51" si="131">F34+F44</f>
        <v>3531821444.0700002</v>
      </c>
      <c r="G51" s="376">
        <f t="shared" si="131"/>
        <v>3921313172.5599999</v>
      </c>
      <c r="H51" s="376">
        <f t="shared" si="131"/>
        <v>4384239380.6199999</v>
      </c>
      <c r="I51" s="376">
        <f t="shared" si="131"/>
        <v>4120213984.3699999</v>
      </c>
      <c r="J51" s="376">
        <f t="shared" si="131"/>
        <v>4504822448.96</v>
      </c>
      <c r="K51" s="376">
        <f t="shared" si="131"/>
        <v>5011012463.4699993</v>
      </c>
      <c r="L51" s="376">
        <f t="shared" si="131"/>
        <v>5516518452.9599991</v>
      </c>
      <c r="M51" s="376">
        <f t="shared" si="131"/>
        <v>5764042215.6899996</v>
      </c>
      <c r="N51" s="376">
        <f t="shared" si="131"/>
        <v>5844134492.0599995</v>
      </c>
      <c r="O51" s="376">
        <f t="shared" si="131"/>
        <v>6093008924.5400009</v>
      </c>
      <c r="P51" s="376">
        <f t="shared" si="131"/>
        <v>6265168553.5100012</v>
      </c>
      <c r="Q51" s="376">
        <f t="shared" si="131"/>
        <v>6132194765.0900011</v>
      </c>
      <c r="R51" s="218"/>
      <c r="S51" s="278">
        <f t="shared" si="129"/>
        <v>1</v>
      </c>
    </row>
    <row r="52" spans="2:19" ht="16.5" customHeight="1">
      <c r="B52" s="285" t="str">
        <f>NERACA!B52</f>
        <v>PERSEDIAAN</v>
      </c>
      <c r="C52" s="284"/>
      <c r="D52" s="284" t="str">
        <f t="shared" ref="D52:D54" si="132">IFERROR(INDEX(akun_type,MATCH(B52,akun_kb,0)),"")</f>
        <v/>
      </c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18"/>
      <c r="S52" s="278">
        <f t="shared" ref="S52:S54" si="133">IF(Q52=0,0,1)</f>
        <v>0</v>
      </c>
    </row>
    <row r="53" spans="2:19" ht="16.5" customHeight="1">
      <c r="B53" s="287" t="str">
        <f>NERACA!B53</f>
        <v>110601 | PERSEDIAAN KARCIS RODA 4 (R4)</v>
      </c>
      <c r="C53" s="284"/>
      <c r="D53" s="284" t="str">
        <f t="shared" si="132"/>
        <v>Persediaan</v>
      </c>
      <c r="E53" s="286">
        <f t="shared" ref="E53:E54" si="134">IF(INDEX(typ_sn,MATCH(INDEX(akun_type,MATCH(B53,akun_kb,0)),typ_ket,0))="db",SUMIF(akun_kb,B53,akun_db)-SUMIF(akun_kb,B53,akun_kr),SUMIF(akun_kb,B53,akun_kr)-SUMIF(akun_kb,B53,akun_db))</f>
        <v>4780000</v>
      </c>
      <c r="F53" s="286">
        <f t="shared" ref="F53:F54" si="135">IF(INDEX(typ_sn,MATCH(INDEX(akun_type,MATCH($B53,akun_kb,0)),typ_ket,0))="db",SUMIFS(ju_sld,ju_bln,TEXT(F$7,"mmmm"),ju_debet,$B53)-SUMIFS(ju_sld,ju_bln,TEXT(F$7,"mmmm"),ju_kr,$B53),SUMIFS(ju_sld,ju_bln,TEXT(F$7,"mmmm"),ju_kr,$B53)-SUMIFS(ju_sld,ju_bln,TEXT(F$7,"mmmm"),ju_debet,$B53))+E53</f>
        <v>4780000</v>
      </c>
      <c r="G53" s="286">
        <f t="shared" ref="G53:G54" si="136">IF(INDEX(typ_sn,MATCH(INDEX(akun_type,MATCH($B53,akun_kb,0)),typ_ket,0))="db",SUMIFS(ju_sld,ju_bln,TEXT(G$7,"mmmm"),ju_debet,$B53)-SUMIFS(ju_sld,ju_bln,TEXT(G$7,"mmmm"),ju_kr,$B53),SUMIFS(ju_sld,ju_bln,TEXT(G$7,"mmmm"),ju_kr,$B53)-SUMIFS(ju_sld,ju_bln,TEXT(G$7,"mmmm"),ju_debet,$B53))+F53</f>
        <v>4780000</v>
      </c>
      <c r="H53" s="286">
        <f t="shared" ref="H53:H54" si="137">IF(INDEX(typ_sn,MATCH(INDEX(akun_type,MATCH($B53,akun_kb,0)),typ_ket,0))="db",SUMIFS(ju_sld,ju_bln,TEXT(H$7,"mmmm"),ju_debet,$B53)-SUMIFS(ju_sld,ju_bln,TEXT(H$7,"mmmm"),ju_kr,$B53),SUMIFS(ju_sld,ju_bln,TEXT(H$7,"mmmm"),ju_kr,$B53)-SUMIFS(ju_sld,ju_bln,TEXT(H$7,"mmmm"),ju_debet,$B53))+G53</f>
        <v>14440000</v>
      </c>
      <c r="I53" s="286">
        <f t="shared" ref="I53:I54" si="138">IF(INDEX(typ_sn,MATCH(INDEX(akun_type,MATCH($B53,akun_kb,0)),typ_ket,0))="db",SUMIFS(ju_sld,ju_bln,TEXT(I$7,"mmmm"),ju_debet,$B53)-SUMIFS(ju_sld,ju_bln,TEXT(I$7,"mmmm"),ju_kr,$B53),SUMIFS(ju_sld,ju_bln,TEXT(I$7,"mmmm"),ju_kr,$B53)-SUMIFS(ju_sld,ju_bln,TEXT(I$7,"mmmm"),ju_debet,$B53))+H53</f>
        <v>14440000</v>
      </c>
      <c r="J53" s="286">
        <f t="shared" ref="J53:J54" si="139">IF(INDEX(typ_sn,MATCH(INDEX(akun_type,MATCH($B53,akun_kb,0)),typ_ket,0))="db",SUMIFS(ju_sld,ju_bln,TEXT(J$7,"mmmm"),ju_debet,$B53)-SUMIFS(ju_sld,ju_bln,TEXT(J$7,"mmmm"),ju_kr,$B53),SUMIFS(ju_sld,ju_bln,TEXT(J$7,"mmmm"),ju_kr,$B53)-SUMIFS(ju_sld,ju_bln,TEXT(J$7,"mmmm"),ju_debet,$B53))+I53</f>
        <v>14440000</v>
      </c>
      <c r="K53" s="286">
        <f t="shared" ref="K53:K54" si="140">IF(INDEX(typ_sn,MATCH(INDEX(akun_type,MATCH($B53,akun_kb,0)),typ_ket,0))="db",SUMIFS(ju_sld,ju_bln,TEXT(K$7,"mmmm"),ju_debet,$B53)-SUMIFS(ju_sld,ju_bln,TEXT(K$7,"mmmm"),ju_kr,$B53),SUMIFS(ju_sld,ju_bln,TEXT(K$7,"mmmm"),ju_kr,$B53)-SUMIFS(ju_sld,ju_bln,TEXT(K$7,"mmmm"),ju_debet,$B53))+J53</f>
        <v>13825000</v>
      </c>
      <c r="L53" s="286">
        <f t="shared" ref="L53:L54" si="141">IF(INDEX(typ_sn,MATCH(INDEX(akun_type,MATCH($B53,akun_kb,0)),typ_ket,0))="db",SUMIFS(ju_sld,ju_bln,TEXT(L$7,"mmmm"),ju_debet,$B53)-SUMIFS(ju_sld,ju_bln,TEXT(L$7,"mmmm"),ju_kr,$B53),SUMIFS(ju_sld,ju_bln,TEXT(L$7,"mmmm"),ju_kr,$B53)-SUMIFS(ju_sld,ju_bln,TEXT(L$7,"mmmm"),ju_debet,$B53))+K53</f>
        <v>13825000</v>
      </c>
      <c r="M53" s="286">
        <f t="shared" ref="M53:M54" si="142">IF(INDEX(typ_sn,MATCH(INDEX(akun_type,MATCH($B53,akun_kb,0)),typ_ket,0))="db",SUMIFS(ju_sld,ju_bln,TEXT(M$7,"mmmm"),ju_debet,$B53)-SUMIFS(ju_sld,ju_bln,TEXT(M$7,"mmmm"),ju_kr,$B53),SUMIFS(ju_sld,ju_bln,TEXT(M$7,"mmmm"),ju_kr,$B53)-SUMIFS(ju_sld,ju_bln,TEXT(M$7,"mmmm"),ju_debet,$B53))+L53</f>
        <v>13825000</v>
      </c>
      <c r="N53" s="286">
        <f t="shared" si="98"/>
        <v>13825000</v>
      </c>
      <c r="O53" s="286">
        <f t="shared" ref="O53:O54" si="143">IF(INDEX(typ_sn,MATCH(INDEX(akun_type,MATCH($B53,akun_kb,0)),typ_ket,0))="db",SUMIFS(ju_sld,ju_bln,TEXT(O$7,"mmmm"),ju_debet,$B53)-SUMIFS(ju_sld,ju_bln,TEXT(O$7,"mmmm"),ju_kr,$B53),SUMIFS(ju_sld,ju_bln,TEXT(O$7,"mmmm"),ju_kr,$B53)-SUMIFS(ju_sld,ju_bln,TEXT(O$7,"mmmm"),ju_debet,$B53))+N53</f>
        <v>13825000</v>
      </c>
      <c r="P53" s="286">
        <f t="shared" ref="P53:P54" si="144">IF(INDEX(typ_sn,MATCH(INDEX(akun_type,MATCH($B53,akun_kb,0)),typ_ket,0))="db",SUMIFS(ju_sld,ju_bln,TEXT(P$7,"mmmm"),ju_debet,$B53)-SUMIFS(ju_sld,ju_bln,TEXT(P$7,"mmmm"),ju_kr,$B53),SUMIFS(ju_sld,ju_bln,TEXT(P$7,"mmmm"),ju_kr,$B53)-SUMIFS(ju_sld,ju_bln,TEXT(P$7,"mmmm"),ju_debet,$B53))+O53</f>
        <v>13825000</v>
      </c>
      <c r="Q53" s="286">
        <f t="shared" ref="Q53:Q54" si="145">IF(INDEX(typ_sn,MATCH(INDEX(akun_type,MATCH($B53,akun_kb,0)),typ_ket,0))="db",SUMIFS(ju_sld,ju_bln,TEXT(Q$7,"mmmm"),ju_debet,$B53)-SUMIFS(ju_sld,ju_bln,TEXT(Q$7,"mmmm"),ju_kr,$B53),SUMIFS(ju_sld,ju_bln,TEXT(Q$7,"mmmm"),ju_kr,$B53)-SUMIFS(ju_sld,ju_bln,TEXT(Q$7,"mmmm"),ju_debet,$B53))+P53</f>
        <v>1866000</v>
      </c>
      <c r="R53" s="218"/>
      <c r="S53" s="278">
        <f t="shared" si="133"/>
        <v>1</v>
      </c>
    </row>
    <row r="54" spans="2:19" ht="16.5" customHeight="1">
      <c r="B54" s="287" t="str">
        <f>NERACA!B54</f>
        <v>110602 | PERSEDIAAN KARCIS RODA 2 (R2)</v>
      </c>
      <c r="C54" s="284"/>
      <c r="D54" s="284" t="str">
        <f t="shared" si="132"/>
        <v>Persediaan</v>
      </c>
      <c r="E54" s="286">
        <f t="shared" si="134"/>
        <v>2675000</v>
      </c>
      <c r="F54" s="286">
        <f t="shared" si="135"/>
        <v>2675000</v>
      </c>
      <c r="G54" s="286">
        <f t="shared" si="136"/>
        <v>2675000</v>
      </c>
      <c r="H54" s="286">
        <f t="shared" si="137"/>
        <v>9940000</v>
      </c>
      <c r="I54" s="286">
        <f t="shared" si="138"/>
        <v>9940000</v>
      </c>
      <c r="J54" s="286">
        <f t="shared" si="139"/>
        <v>9940000</v>
      </c>
      <c r="K54" s="286">
        <f t="shared" si="140"/>
        <v>11720000</v>
      </c>
      <c r="L54" s="286">
        <f t="shared" si="141"/>
        <v>11720000</v>
      </c>
      <c r="M54" s="286">
        <f t="shared" si="142"/>
        <v>11720000</v>
      </c>
      <c r="N54" s="286">
        <f t="shared" si="98"/>
        <v>11720000</v>
      </c>
      <c r="O54" s="286">
        <f t="shared" si="143"/>
        <v>11720000</v>
      </c>
      <c r="P54" s="286">
        <f t="shared" si="144"/>
        <v>11720000</v>
      </c>
      <c r="Q54" s="286">
        <f t="shared" si="145"/>
        <v>1356000</v>
      </c>
      <c r="R54" s="218"/>
      <c r="S54" s="278">
        <f t="shared" si="133"/>
        <v>1</v>
      </c>
    </row>
    <row r="55" spans="2:19" ht="23.1" customHeight="1">
      <c r="B55" s="288" t="s">
        <v>130</v>
      </c>
      <c r="C55" s="280"/>
      <c r="D55" s="280"/>
      <c r="E55" s="289">
        <f>SUM(E53:E54)</f>
        <v>7455000</v>
      </c>
      <c r="F55" s="289">
        <f t="shared" ref="F55:Q55" si="146">SUM(F53:F54)</f>
        <v>7455000</v>
      </c>
      <c r="G55" s="289">
        <f t="shared" si="146"/>
        <v>7455000</v>
      </c>
      <c r="H55" s="289">
        <f t="shared" si="146"/>
        <v>24380000</v>
      </c>
      <c r="I55" s="289">
        <f t="shared" si="146"/>
        <v>24380000</v>
      </c>
      <c r="J55" s="289">
        <f t="shared" si="146"/>
        <v>24380000</v>
      </c>
      <c r="K55" s="289">
        <f t="shared" si="146"/>
        <v>25545000</v>
      </c>
      <c r="L55" s="289">
        <f t="shared" si="146"/>
        <v>25545000</v>
      </c>
      <c r="M55" s="289">
        <f t="shared" si="146"/>
        <v>25545000</v>
      </c>
      <c r="N55" s="289">
        <f t="shared" si="146"/>
        <v>25545000</v>
      </c>
      <c r="O55" s="289">
        <f t="shared" si="146"/>
        <v>25545000</v>
      </c>
      <c r="P55" s="289">
        <f t="shared" si="146"/>
        <v>25545000</v>
      </c>
      <c r="Q55" s="289">
        <f t="shared" si="146"/>
        <v>3222000</v>
      </c>
      <c r="R55" s="218"/>
      <c r="S55" s="278">
        <f t="shared" si="1"/>
        <v>1</v>
      </c>
    </row>
    <row r="56" spans="2:19" ht="24" customHeight="1">
      <c r="B56" s="285" t="s">
        <v>131</v>
      </c>
      <c r="C56" s="284"/>
      <c r="D56" s="284" t="str">
        <f t="shared" ref="D56:D64" si="147">IFERROR(INDEX(akun_type,MATCH(B56,akun_kb,0)),"")</f>
        <v/>
      </c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18"/>
      <c r="S56" s="278">
        <f t="shared" si="1"/>
        <v>0</v>
      </c>
    </row>
    <row r="57" spans="2:19" ht="20.25" customHeight="1">
      <c r="B57" s="287" t="str">
        <f>NERACA!B57</f>
        <v>110701 | UANG MUKA PPH BADAN</v>
      </c>
      <c r="C57" s="284"/>
      <c r="D57" s="284" t="str">
        <f t="shared" si="147"/>
        <v>Aktiva Lancar Lainnya</v>
      </c>
      <c r="E57" s="286">
        <f t="shared" ref="E57:E64" si="148">IF(INDEX(typ_sn,MATCH(INDEX(akun_type,MATCH(B57,akun_kb,0)),typ_ket,0))="db",SUMIF(akun_kb,B57,akun_db)-SUMIF(akun_kb,B57,akun_kr),SUMIF(akun_kb,B57,akun_kr)-SUMIF(akun_kb,B57,akun_db))</f>
        <v>0</v>
      </c>
      <c r="F57" s="286">
        <f t="shared" ref="F57:Q57" si="149">IF(INDEX(typ_sn,MATCH(INDEX(akun_type,MATCH($B57,akun_kb,0)),typ_ket,0))="db",SUMIFS(ju_sld,ju_bln,TEXT(F$7,"mmmm"),ju_debet,$B57)-SUMIFS(ju_sld,ju_bln,TEXT(F$7,"mmmm"),ju_kr,$B57),SUMIFS(ju_sld,ju_bln,TEXT(F$7,"mmmm"),ju_kr,$B57)-SUMIFS(ju_sld,ju_bln,TEXT(F$7,"mmmm"),ju_debet,$B57))+E57</f>
        <v>0</v>
      </c>
      <c r="G57" s="286">
        <f t="shared" si="149"/>
        <v>0</v>
      </c>
      <c r="H57" s="286">
        <f t="shared" si="149"/>
        <v>0</v>
      </c>
      <c r="I57" s="286">
        <f t="shared" si="149"/>
        <v>0</v>
      </c>
      <c r="J57" s="286">
        <f t="shared" si="149"/>
        <v>0</v>
      </c>
      <c r="K57" s="286">
        <f t="shared" si="149"/>
        <v>0</v>
      </c>
      <c r="L57" s="286">
        <f t="shared" si="149"/>
        <v>0</v>
      </c>
      <c r="M57" s="286">
        <f t="shared" si="149"/>
        <v>0</v>
      </c>
      <c r="N57" s="286">
        <f t="shared" si="149"/>
        <v>0</v>
      </c>
      <c r="O57" s="286">
        <f t="shared" si="149"/>
        <v>0</v>
      </c>
      <c r="P57" s="286">
        <f t="shared" si="149"/>
        <v>0</v>
      </c>
      <c r="Q57" s="286">
        <f t="shared" si="149"/>
        <v>0</v>
      </c>
      <c r="R57" s="218"/>
      <c r="S57" s="278">
        <f t="shared" si="1"/>
        <v>0</v>
      </c>
    </row>
    <row r="58" spans="2:19" ht="15" customHeight="1">
      <c r="B58" s="287" t="str">
        <f>NERACA!B58</f>
        <v>110702 | UANG MUKA PPH PSL. 21</v>
      </c>
      <c r="C58" s="284"/>
      <c r="D58" s="284" t="str">
        <f t="shared" si="147"/>
        <v>Aktiva Lancar Lainnya</v>
      </c>
      <c r="E58" s="286">
        <f t="shared" si="148"/>
        <v>0</v>
      </c>
      <c r="F58" s="286">
        <f t="shared" ref="F58:Q58" si="150">IF(INDEX(typ_sn,MATCH(INDEX(akun_type,MATCH($B58,akun_kb,0)),typ_ket,0))="db",SUMIFS(ju_sld,ju_bln,TEXT(F$7,"mmmm"),ju_debet,$B58)-SUMIFS(ju_sld,ju_bln,TEXT(F$7,"mmmm"),ju_kr,$B58),SUMIFS(ju_sld,ju_bln,TEXT(F$7,"mmmm"),ju_kr,$B58)-SUMIFS(ju_sld,ju_bln,TEXT(F$7,"mmmm"),ju_debet,$B58))+E58</f>
        <v>0</v>
      </c>
      <c r="G58" s="286">
        <f t="shared" si="150"/>
        <v>0</v>
      </c>
      <c r="H58" s="286">
        <f t="shared" si="150"/>
        <v>0</v>
      </c>
      <c r="I58" s="286">
        <f t="shared" si="150"/>
        <v>0</v>
      </c>
      <c r="J58" s="286">
        <f t="shared" si="150"/>
        <v>0</v>
      </c>
      <c r="K58" s="286">
        <f t="shared" si="150"/>
        <v>0</v>
      </c>
      <c r="L58" s="286">
        <f t="shared" si="150"/>
        <v>0</v>
      </c>
      <c r="M58" s="286">
        <f t="shared" si="150"/>
        <v>0</v>
      </c>
      <c r="N58" s="286">
        <f t="shared" si="150"/>
        <v>0</v>
      </c>
      <c r="O58" s="286">
        <f t="shared" si="150"/>
        <v>0</v>
      </c>
      <c r="P58" s="286">
        <f t="shared" si="150"/>
        <v>0</v>
      </c>
      <c r="Q58" s="286">
        <f t="shared" si="150"/>
        <v>0</v>
      </c>
      <c r="R58" s="218"/>
      <c r="S58" s="278">
        <f t="shared" si="1"/>
        <v>0</v>
      </c>
    </row>
    <row r="59" spans="2:19" ht="18" customHeight="1">
      <c r="B59" s="287" t="str">
        <f>NERACA!B59</f>
        <v>110703 | UANG MUKA PPH PSL. 25</v>
      </c>
      <c r="C59" s="284"/>
      <c r="D59" s="284" t="str">
        <f t="shared" si="147"/>
        <v>Aktiva Lancar Lainnya</v>
      </c>
      <c r="E59" s="286">
        <f t="shared" si="148"/>
        <v>0</v>
      </c>
      <c r="F59" s="286">
        <f t="shared" ref="F59:Q59" si="151">IF(INDEX(typ_sn,MATCH(INDEX(akun_type,MATCH($B59,akun_kb,0)),typ_ket,0))="db",SUMIFS(ju_sld,ju_bln,TEXT(F$7,"mmmm"),ju_debet,$B59)-SUMIFS(ju_sld,ju_bln,TEXT(F$7,"mmmm"),ju_kr,$B59),SUMIFS(ju_sld,ju_bln,TEXT(F$7,"mmmm"),ju_kr,$B59)-SUMIFS(ju_sld,ju_bln,TEXT(F$7,"mmmm"),ju_debet,$B59))+E59</f>
        <v>25601126</v>
      </c>
      <c r="G59" s="286">
        <f t="shared" si="151"/>
        <v>38401689</v>
      </c>
      <c r="H59" s="286">
        <f t="shared" si="151"/>
        <v>51202252</v>
      </c>
      <c r="I59" s="286">
        <f t="shared" si="151"/>
        <v>64002815</v>
      </c>
      <c r="J59" s="286">
        <f t="shared" si="151"/>
        <v>76803378</v>
      </c>
      <c r="K59" s="286">
        <f t="shared" si="151"/>
        <v>89603941</v>
      </c>
      <c r="L59" s="286">
        <f t="shared" si="151"/>
        <v>102404504</v>
      </c>
      <c r="M59" s="286">
        <f t="shared" si="151"/>
        <v>115205067</v>
      </c>
      <c r="N59" s="286">
        <f t="shared" si="151"/>
        <v>142516101</v>
      </c>
      <c r="O59" s="286">
        <f t="shared" si="151"/>
        <v>169827135</v>
      </c>
      <c r="P59" s="286">
        <f t="shared" si="151"/>
        <v>197138169</v>
      </c>
      <c r="Q59" s="286">
        <f t="shared" si="151"/>
        <v>224449203</v>
      </c>
      <c r="R59" s="218"/>
      <c r="S59" s="278">
        <f t="shared" si="1"/>
        <v>1</v>
      </c>
    </row>
    <row r="60" spans="2:19" ht="15.75" customHeight="1">
      <c r="B60" s="287" t="str">
        <f>NERACA!B60</f>
        <v>110704 | UANG MUKA PPH PSL. 23</v>
      </c>
      <c r="C60" s="284"/>
      <c r="D60" s="284" t="str">
        <f t="shared" si="147"/>
        <v>Aktiva Lancar Lainnya</v>
      </c>
      <c r="E60" s="286">
        <f t="shared" si="148"/>
        <v>0</v>
      </c>
      <c r="F60" s="286">
        <f t="shared" ref="F60:Q60" si="152">IF(INDEX(typ_sn,MATCH(INDEX(akun_type,MATCH($B60,akun_kb,0)),typ_ket,0))="db",SUMIFS(ju_sld,ju_bln,TEXT(F$7,"mmmm"),ju_debet,$B60)-SUMIFS(ju_sld,ju_bln,TEXT(F$7,"mmmm"),ju_kr,$B60),SUMIFS(ju_sld,ju_bln,TEXT(F$7,"mmmm"),ju_kr,$B60)-SUMIFS(ju_sld,ju_bln,TEXT(F$7,"mmmm"),ju_debet,$B60))+E60</f>
        <v>0</v>
      </c>
      <c r="G60" s="286">
        <f t="shared" si="152"/>
        <v>0</v>
      </c>
      <c r="H60" s="286">
        <f t="shared" si="152"/>
        <v>0</v>
      </c>
      <c r="I60" s="286">
        <f t="shared" si="152"/>
        <v>0</v>
      </c>
      <c r="J60" s="286">
        <f t="shared" si="152"/>
        <v>0</v>
      </c>
      <c r="K60" s="286">
        <f t="shared" si="152"/>
        <v>0</v>
      </c>
      <c r="L60" s="286">
        <f t="shared" si="152"/>
        <v>0</v>
      </c>
      <c r="M60" s="286">
        <f t="shared" si="152"/>
        <v>0</v>
      </c>
      <c r="N60" s="286">
        <f t="shared" si="152"/>
        <v>0</v>
      </c>
      <c r="O60" s="286">
        <f t="shared" si="152"/>
        <v>0</v>
      </c>
      <c r="P60" s="286">
        <f t="shared" si="152"/>
        <v>0</v>
      </c>
      <c r="Q60" s="286">
        <f t="shared" si="152"/>
        <v>0</v>
      </c>
      <c r="R60" s="218"/>
      <c r="S60" s="278">
        <f t="shared" si="1"/>
        <v>0</v>
      </c>
    </row>
    <row r="61" spans="2:19" ht="21.75" customHeight="1">
      <c r="B61" s="287" t="str">
        <f>NERACA!B61</f>
        <v>110705 | UANG MUKA PPN</v>
      </c>
      <c r="C61" s="284"/>
      <c r="D61" s="284" t="str">
        <f t="shared" si="147"/>
        <v>Aktiva Lancar Lainnya</v>
      </c>
      <c r="E61" s="286">
        <f t="shared" si="148"/>
        <v>0</v>
      </c>
      <c r="F61" s="286">
        <f t="shared" ref="F61:Q61" si="153">IF(INDEX(typ_sn,MATCH(INDEX(akun_type,MATCH($B61,akun_kb,0)),typ_ket,0))="db",SUMIFS(ju_sld,ju_bln,TEXT(F$7,"mmmm"),ju_debet,$B61)-SUMIFS(ju_sld,ju_bln,TEXT(F$7,"mmmm"),ju_kr,$B61),SUMIFS(ju_sld,ju_bln,TEXT(F$7,"mmmm"),ju_kr,$B61)-SUMIFS(ju_sld,ju_bln,TEXT(F$7,"mmmm"),ju_debet,$B61))+E61</f>
        <v>0</v>
      </c>
      <c r="G61" s="286">
        <f t="shared" si="153"/>
        <v>0</v>
      </c>
      <c r="H61" s="286">
        <f t="shared" si="153"/>
        <v>0</v>
      </c>
      <c r="I61" s="286">
        <f t="shared" si="153"/>
        <v>0</v>
      </c>
      <c r="J61" s="286">
        <f t="shared" si="153"/>
        <v>0</v>
      </c>
      <c r="K61" s="286">
        <f t="shared" si="153"/>
        <v>0</v>
      </c>
      <c r="L61" s="286">
        <f t="shared" si="153"/>
        <v>0</v>
      </c>
      <c r="M61" s="286">
        <f t="shared" si="153"/>
        <v>0</v>
      </c>
      <c r="N61" s="286">
        <f t="shared" si="153"/>
        <v>0</v>
      </c>
      <c r="O61" s="286">
        <f t="shared" si="153"/>
        <v>0</v>
      </c>
      <c r="P61" s="286">
        <f t="shared" si="153"/>
        <v>0</v>
      </c>
      <c r="Q61" s="286">
        <f t="shared" si="153"/>
        <v>0</v>
      </c>
      <c r="R61" s="218"/>
      <c r="S61" s="278">
        <f t="shared" si="1"/>
        <v>0</v>
      </c>
    </row>
    <row r="62" spans="2:19" ht="16.5" customHeight="1">
      <c r="B62" s="287" t="str">
        <f>NERACA!B62</f>
        <v>110706 | UANG MUKA BIAYA PARKIR TEKHNOLOGI</v>
      </c>
      <c r="C62" s="284"/>
      <c r="D62" s="284" t="str">
        <f t="shared" si="147"/>
        <v>Aktiva Lancar Lainnya</v>
      </c>
      <c r="E62" s="286">
        <f t="shared" si="148"/>
        <v>1000000</v>
      </c>
      <c r="F62" s="286">
        <f t="shared" ref="F62:Q62" si="154">IF(INDEX(typ_sn,MATCH(INDEX(akun_type,MATCH($B62,akun_kb,0)),typ_ket,0))="db",SUMIFS(ju_sld,ju_bln,TEXT(F$7,"mmmm"),ju_debet,$B62)-SUMIFS(ju_sld,ju_bln,TEXT(F$7,"mmmm"),ju_kr,$B62),SUMIFS(ju_sld,ju_bln,TEXT(F$7,"mmmm"),ju_kr,$B62)-SUMIFS(ju_sld,ju_bln,TEXT(F$7,"mmmm"),ju_debet,$B62))+E62</f>
        <v>1000000</v>
      </c>
      <c r="G62" s="286">
        <f t="shared" si="154"/>
        <v>1000000</v>
      </c>
      <c r="H62" s="286">
        <f t="shared" si="154"/>
        <v>1000000</v>
      </c>
      <c r="I62" s="286">
        <f t="shared" si="154"/>
        <v>1000000</v>
      </c>
      <c r="J62" s="286">
        <f t="shared" si="154"/>
        <v>1000000</v>
      </c>
      <c r="K62" s="286">
        <f t="shared" si="154"/>
        <v>1000000</v>
      </c>
      <c r="L62" s="286">
        <f t="shared" si="154"/>
        <v>1000000</v>
      </c>
      <c r="M62" s="286">
        <f t="shared" si="154"/>
        <v>1000000</v>
      </c>
      <c r="N62" s="286">
        <f t="shared" si="154"/>
        <v>1000000</v>
      </c>
      <c r="O62" s="286">
        <f t="shared" si="154"/>
        <v>1000000</v>
      </c>
      <c r="P62" s="286">
        <f t="shared" si="154"/>
        <v>1000000</v>
      </c>
      <c r="Q62" s="286">
        <f t="shared" si="154"/>
        <v>1000000</v>
      </c>
      <c r="R62" s="218"/>
      <c r="S62" s="278">
        <f t="shared" si="1"/>
        <v>1</v>
      </c>
    </row>
    <row r="63" spans="2:19" ht="21" customHeight="1">
      <c r="B63" s="287" t="str">
        <f>NERACA!B63</f>
        <v>110707 | UANG MUKA LAINNYA</v>
      </c>
      <c r="C63" s="284"/>
      <c r="D63" s="284" t="str">
        <f t="shared" si="147"/>
        <v>Aktiva Lancar Lainnya</v>
      </c>
      <c r="E63" s="286">
        <f t="shared" si="148"/>
        <v>0</v>
      </c>
      <c r="F63" s="286">
        <f t="shared" ref="F63:Q63" si="155">IF(INDEX(typ_sn,MATCH(INDEX(akun_type,MATCH($B63,akun_kb,0)),typ_ket,0))="db",SUMIFS(ju_sld,ju_bln,TEXT(F$7,"mmmm"),ju_debet,$B63)-SUMIFS(ju_sld,ju_bln,TEXT(F$7,"mmmm"),ju_kr,$B63),SUMIFS(ju_sld,ju_bln,TEXT(F$7,"mmmm"),ju_kr,$B63)-SUMIFS(ju_sld,ju_bln,TEXT(F$7,"mmmm"),ju_debet,$B63))+E63</f>
        <v>0</v>
      </c>
      <c r="G63" s="286">
        <f t="shared" si="155"/>
        <v>0</v>
      </c>
      <c r="H63" s="286">
        <f t="shared" si="155"/>
        <v>0</v>
      </c>
      <c r="I63" s="286">
        <f t="shared" si="155"/>
        <v>0</v>
      </c>
      <c r="J63" s="286">
        <f t="shared" si="155"/>
        <v>0</v>
      </c>
      <c r="K63" s="286">
        <f t="shared" si="155"/>
        <v>0</v>
      </c>
      <c r="L63" s="286">
        <f t="shared" si="155"/>
        <v>0</v>
      </c>
      <c r="M63" s="286">
        <f t="shared" si="155"/>
        <v>0</v>
      </c>
      <c r="N63" s="286">
        <f t="shared" si="155"/>
        <v>0</v>
      </c>
      <c r="O63" s="286">
        <f t="shared" si="155"/>
        <v>0</v>
      </c>
      <c r="P63" s="286">
        <f t="shared" si="155"/>
        <v>0</v>
      </c>
      <c r="Q63" s="286">
        <f t="shared" si="155"/>
        <v>0</v>
      </c>
      <c r="R63" s="218"/>
      <c r="S63" s="278">
        <f t="shared" si="1"/>
        <v>0</v>
      </c>
    </row>
    <row r="64" spans="2:19" ht="18.75" customHeight="1">
      <c r="B64" s="287" t="str">
        <f>NERACA!B64</f>
        <v>110708 | UANG MUKA PAJAK PLB</v>
      </c>
      <c r="C64" s="284"/>
      <c r="D64" s="284" t="str">
        <f t="shared" si="147"/>
        <v>Aktiva Lancar Lainnya</v>
      </c>
      <c r="E64" s="286">
        <f t="shared" si="148"/>
        <v>0</v>
      </c>
      <c r="F64" s="286">
        <f t="shared" ref="F64:Q64" si="156">IF(INDEX(typ_sn,MATCH(INDEX(akun_type,MATCH($B64,akun_kb,0)),typ_ket,0))="db",SUMIFS(ju_sld,ju_bln,TEXT(F$7,"mmmm"),ju_debet,$B64)-SUMIFS(ju_sld,ju_bln,TEXT(F$7,"mmmm"),ju_kr,$B64),SUMIFS(ju_sld,ju_bln,TEXT(F$7,"mmmm"),ju_kr,$B64)-SUMIFS(ju_sld,ju_bln,TEXT(F$7,"mmmm"),ju_debet,$B64))+E64</f>
        <v>0</v>
      </c>
      <c r="G64" s="286">
        <f t="shared" si="156"/>
        <v>0</v>
      </c>
      <c r="H64" s="286">
        <f t="shared" si="156"/>
        <v>0</v>
      </c>
      <c r="I64" s="286">
        <f t="shared" si="156"/>
        <v>0</v>
      </c>
      <c r="J64" s="286">
        <f t="shared" si="156"/>
        <v>0</v>
      </c>
      <c r="K64" s="286">
        <f t="shared" si="156"/>
        <v>0</v>
      </c>
      <c r="L64" s="286">
        <f t="shared" si="156"/>
        <v>0</v>
      </c>
      <c r="M64" s="286">
        <f t="shared" si="156"/>
        <v>0</v>
      </c>
      <c r="N64" s="286">
        <f t="shared" si="156"/>
        <v>0</v>
      </c>
      <c r="O64" s="286">
        <f t="shared" si="156"/>
        <v>0</v>
      </c>
      <c r="P64" s="286">
        <f t="shared" si="156"/>
        <v>0</v>
      </c>
      <c r="Q64" s="286">
        <f t="shared" si="156"/>
        <v>0</v>
      </c>
      <c r="R64" s="218"/>
      <c r="S64" s="278">
        <f t="shared" si="1"/>
        <v>0</v>
      </c>
    </row>
    <row r="65" spans="2:19" s="274" customFormat="1" ht="18.75" customHeight="1">
      <c r="B65" s="285" t="str">
        <f>NERACA!B65</f>
        <v>TOTAL UANG MUKA</v>
      </c>
      <c r="C65" s="373"/>
      <c r="D65" s="284" t="str">
        <f t="shared" ref="D65" si="157">IFERROR(INDEX(akun_type,MATCH(B65,akun_kb,0)),"")</f>
        <v/>
      </c>
      <c r="E65" s="286">
        <f>SUM(E57:E64)</f>
        <v>1000000</v>
      </c>
      <c r="F65" s="293">
        <f t="shared" ref="F65:Q65" si="158">SUM(F57:F64)</f>
        <v>26601126</v>
      </c>
      <c r="G65" s="293">
        <f t="shared" si="158"/>
        <v>39401689</v>
      </c>
      <c r="H65" s="293">
        <f t="shared" si="158"/>
        <v>52202252</v>
      </c>
      <c r="I65" s="293">
        <f t="shared" si="158"/>
        <v>65002815</v>
      </c>
      <c r="J65" s="293">
        <f t="shared" si="158"/>
        <v>77803378</v>
      </c>
      <c r="K65" s="293">
        <f t="shared" si="158"/>
        <v>90603941</v>
      </c>
      <c r="L65" s="293">
        <f t="shared" si="158"/>
        <v>103404504</v>
      </c>
      <c r="M65" s="293">
        <f t="shared" si="158"/>
        <v>116205067</v>
      </c>
      <c r="N65" s="293">
        <f t="shared" si="158"/>
        <v>143516101</v>
      </c>
      <c r="O65" s="293">
        <f t="shared" si="158"/>
        <v>170827135</v>
      </c>
      <c r="P65" s="293">
        <f t="shared" si="158"/>
        <v>198138169</v>
      </c>
      <c r="Q65" s="293">
        <f t="shared" si="158"/>
        <v>225449203</v>
      </c>
      <c r="R65" s="231"/>
      <c r="S65" s="383">
        <f t="shared" ref="S65" si="159">IF(Q65=0,0,1)</f>
        <v>1</v>
      </c>
    </row>
    <row r="66" spans="2:19" ht="18.75" customHeight="1">
      <c r="B66" s="285" t="str">
        <f>NERACA!B66</f>
        <v>TOTAL ASET LANCAR</v>
      </c>
      <c r="C66" s="284"/>
      <c r="D66" s="284" t="str">
        <f t="shared" ref="D66:D67" si="160">IFERROR(INDEX(akun_type,MATCH(B66,akun_kb,0)),"")</f>
        <v/>
      </c>
      <c r="E66" s="293">
        <f>E65+E55+E51+E34</f>
        <v>5770121038</v>
      </c>
      <c r="F66" s="293">
        <f t="shared" ref="F66:Q66" si="161">F65+F55+F51+F34</f>
        <v>6497870928.1400003</v>
      </c>
      <c r="G66" s="293">
        <f t="shared" si="161"/>
        <v>7195592948.1199999</v>
      </c>
      <c r="H66" s="293">
        <f t="shared" si="161"/>
        <v>8224374927.2399998</v>
      </c>
      <c r="I66" s="293">
        <f t="shared" si="161"/>
        <v>7740911697.7399998</v>
      </c>
      <c r="J66" s="293">
        <f t="shared" si="161"/>
        <v>8477808189.9200001</v>
      </c>
      <c r="K66" s="293">
        <f t="shared" si="161"/>
        <v>9498676781.9399986</v>
      </c>
      <c r="L66" s="293">
        <f t="shared" si="161"/>
        <v>10477272323.919998</v>
      </c>
      <c r="M66" s="293">
        <f t="shared" si="161"/>
        <v>11072419412.379999</v>
      </c>
      <c r="N66" s="293">
        <f t="shared" si="161"/>
        <v>11258534999.119999</v>
      </c>
      <c r="O66" s="293">
        <f t="shared" si="161"/>
        <v>11804366898.080002</v>
      </c>
      <c r="P66" s="293">
        <f t="shared" si="161"/>
        <v>12117342190.020002</v>
      </c>
      <c r="Q66" s="293">
        <f t="shared" si="161"/>
        <v>11825862647.180002</v>
      </c>
      <c r="R66" s="218"/>
      <c r="S66" s="278">
        <f t="shared" ref="S66:S67" si="162">IF(Q66=0,0,1)</f>
        <v>1</v>
      </c>
    </row>
    <row r="67" spans="2:19" ht="18" customHeight="1">
      <c r="B67" s="287"/>
      <c r="C67" s="284"/>
      <c r="D67" s="284" t="str">
        <f t="shared" si="160"/>
        <v/>
      </c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18"/>
      <c r="S67" s="278">
        <f t="shared" si="162"/>
        <v>0</v>
      </c>
    </row>
    <row r="68" spans="2:19" ht="18" customHeight="1">
      <c r="B68" s="285" t="str">
        <f>NERACA!B68</f>
        <v>ASET TETAP</v>
      </c>
      <c r="C68" s="284"/>
      <c r="D68" s="284" t="str">
        <f t="shared" ref="D68" si="163">IFERROR(INDEX(akun_type,MATCH(B68,akun_kb,0)),"")</f>
        <v/>
      </c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18"/>
      <c r="S68" s="278">
        <f t="shared" ref="S68" si="164">IF(Q68=0,0,1)</f>
        <v>0</v>
      </c>
    </row>
    <row r="69" spans="2:19" ht="18" customHeight="1">
      <c r="B69" s="287" t="str">
        <f>NERACA!B69</f>
        <v>120101 | TANAH</v>
      </c>
      <c r="C69" s="284"/>
      <c r="D69" s="284" t="str">
        <f t="shared" ref="D69:D71" si="165">IFERROR(INDEX(akun_type,MATCH(B69,akun_kb,0)),"")</f>
        <v>Aktiva Tetap</v>
      </c>
      <c r="E69" s="286">
        <f t="shared" ref="E69:E71" si="166">IF(INDEX(typ_sn,MATCH(INDEX(akun_type,MATCH(B69,akun_kb,0)),typ_ket,0))="db",SUMIF(akun_kb,B69,akun_db)-SUMIF(akun_kb,B69,akun_kr),SUMIF(akun_kb,B69,akun_kr)-SUMIF(akun_kb,B69,akun_db))</f>
        <v>500000000</v>
      </c>
      <c r="F69" s="286">
        <f t="shared" ref="F69:F71" si="167">IF(INDEX(typ_sn,MATCH(INDEX(akun_type,MATCH($B69,akun_kb,0)),typ_ket,0))="db",SUMIFS(ju_sld,ju_bln,TEXT(F$7,"mmmm"),ju_debet,$B69)-SUMIFS(ju_sld,ju_bln,TEXT(F$7,"mmmm"),ju_kr,$B69),SUMIFS(ju_sld,ju_bln,TEXT(F$7,"mmmm"),ju_kr,$B69)-SUMIFS(ju_sld,ju_bln,TEXT(F$7,"mmmm"),ju_debet,$B69))+E69</f>
        <v>500000000</v>
      </c>
      <c r="G69" s="286">
        <f t="shared" ref="G69:G71" si="168">IF(INDEX(typ_sn,MATCH(INDEX(akun_type,MATCH($B69,akun_kb,0)),typ_ket,0))="db",SUMIFS(ju_sld,ju_bln,TEXT(G$7,"mmmm"),ju_debet,$B69)-SUMIFS(ju_sld,ju_bln,TEXT(G$7,"mmmm"),ju_kr,$B69),SUMIFS(ju_sld,ju_bln,TEXT(G$7,"mmmm"),ju_kr,$B69)-SUMIFS(ju_sld,ju_bln,TEXT(G$7,"mmmm"),ju_debet,$B69))+F69</f>
        <v>500000000</v>
      </c>
      <c r="H69" s="286">
        <f t="shared" ref="H69:H71" si="169">IF(INDEX(typ_sn,MATCH(INDEX(akun_type,MATCH($B69,akun_kb,0)),typ_ket,0))="db",SUMIFS(ju_sld,ju_bln,TEXT(H$7,"mmmm"),ju_debet,$B69)-SUMIFS(ju_sld,ju_bln,TEXT(H$7,"mmmm"),ju_kr,$B69),SUMIFS(ju_sld,ju_bln,TEXT(H$7,"mmmm"),ju_kr,$B69)-SUMIFS(ju_sld,ju_bln,TEXT(H$7,"mmmm"),ju_debet,$B69))+G69</f>
        <v>500000000</v>
      </c>
      <c r="I69" s="286">
        <f t="shared" ref="I69:I71" si="170">IF(INDEX(typ_sn,MATCH(INDEX(akun_type,MATCH($B69,akun_kb,0)),typ_ket,0))="db",SUMIFS(ju_sld,ju_bln,TEXT(I$7,"mmmm"),ju_debet,$B69)-SUMIFS(ju_sld,ju_bln,TEXT(I$7,"mmmm"),ju_kr,$B69),SUMIFS(ju_sld,ju_bln,TEXT(I$7,"mmmm"),ju_kr,$B69)-SUMIFS(ju_sld,ju_bln,TEXT(I$7,"mmmm"),ju_debet,$B69))+H69</f>
        <v>500000000</v>
      </c>
      <c r="J69" s="286">
        <f t="shared" ref="J69:J71" si="171">IF(INDEX(typ_sn,MATCH(INDEX(akun_type,MATCH($B69,akun_kb,0)),typ_ket,0))="db",SUMIFS(ju_sld,ju_bln,TEXT(J$7,"mmmm"),ju_debet,$B69)-SUMIFS(ju_sld,ju_bln,TEXT(J$7,"mmmm"),ju_kr,$B69),SUMIFS(ju_sld,ju_bln,TEXT(J$7,"mmmm"),ju_kr,$B69)-SUMIFS(ju_sld,ju_bln,TEXT(J$7,"mmmm"),ju_debet,$B69))+I69</f>
        <v>500000000</v>
      </c>
      <c r="K69" s="286">
        <f t="shared" ref="K69:K71" si="172">IF(INDEX(typ_sn,MATCH(INDEX(akun_type,MATCH($B69,akun_kb,0)),typ_ket,0))="db",SUMIFS(ju_sld,ju_bln,TEXT(K$7,"mmmm"),ju_debet,$B69)-SUMIFS(ju_sld,ju_bln,TEXT(K$7,"mmmm"),ju_kr,$B69),SUMIFS(ju_sld,ju_bln,TEXT(K$7,"mmmm"),ju_kr,$B69)-SUMIFS(ju_sld,ju_bln,TEXT(K$7,"mmmm"),ju_debet,$B69))+J69</f>
        <v>500000000</v>
      </c>
      <c r="L69" s="286">
        <f t="shared" ref="L69:L71" si="173">IF(INDEX(typ_sn,MATCH(INDEX(akun_type,MATCH($B69,akun_kb,0)),typ_ket,0))="db",SUMIFS(ju_sld,ju_bln,TEXT(L$7,"mmmm"),ju_debet,$B69)-SUMIFS(ju_sld,ju_bln,TEXT(L$7,"mmmm"),ju_kr,$B69),SUMIFS(ju_sld,ju_bln,TEXT(L$7,"mmmm"),ju_kr,$B69)-SUMIFS(ju_sld,ju_bln,TEXT(L$7,"mmmm"),ju_debet,$B69))+K69</f>
        <v>500000000</v>
      </c>
      <c r="M69" s="286">
        <f t="shared" ref="M69:M71" si="174">IF(INDEX(typ_sn,MATCH(INDEX(akun_type,MATCH($B69,akun_kb,0)),typ_ket,0))="db",SUMIFS(ju_sld,ju_bln,TEXT(M$7,"mmmm"),ju_debet,$B69)-SUMIFS(ju_sld,ju_bln,TEXT(M$7,"mmmm"),ju_kr,$B69),SUMIFS(ju_sld,ju_bln,TEXT(M$7,"mmmm"),ju_kr,$B69)-SUMIFS(ju_sld,ju_bln,TEXT(M$7,"mmmm"),ju_debet,$B69))+L69</f>
        <v>500000000</v>
      </c>
      <c r="N69" s="286">
        <f t="shared" ref="N69:N71" si="175">IF(INDEX(typ_sn,MATCH(INDEX(akun_type,MATCH($B69,akun_kb,0)),typ_ket,0))="db",SUMIFS(ju_sld,ju_bln,TEXT(N$7,"mmmm"),ju_debet,$B69)-SUMIFS(ju_sld,ju_bln,TEXT(N$7,"mmmm"),ju_kr,$B69),SUMIFS(ju_sld,ju_bln,TEXT(N$7,"mmmm"),ju_kr,$B69)-SUMIFS(ju_sld,ju_bln,TEXT(N$7,"mmmm"),ju_debet,$B69))+M69</f>
        <v>500000000</v>
      </c>
      <c r="O69" s="286">
        <f t="shared" ref="O69:O71" si="176">IF(INDEX(typ_sn,MATCH(INDEX(akun_type,MATCH($B69,akun_kb,0)),typ_ket,0))="db",SUMIFS(ju_sld,ju_bln,TEXT(O$7,"mmmm"),ju_debet,$B69)-SUMIFS(ju_sld,ju_bln,TEXT(O$7,"mmmm"),ju_kr,$B69),SUMIFS(ju_sld,ju_bln,TEXT(O$7,"mmmm"),ju_kr,$B69)-SUMIFS(ju_sld,ju_bln,TEXT(O$7,"mmmm"),ju_debet,$B69))+N69</f>
        <v>500000000</v>
      </c>
      <c r="P69" s="286">
        <f t="shared" ref="P69:P71" si="177">IF(INDEX(typ_sn,MATCH(INDEX(akun_type,MATCH($B69,akun_kb,0)),typ_ket,0))="db",SUMIFS(ju_sld,ju_bln,TEXT(P$7,"mmmm"),ju_debet,$B69)-SUMIFS(ju_sld,ju_bln,TEXT(P$7,"mmmm"),ju_kr,$B69),SUMIFS(ju_sld,ju_bln,TEXT(P$7,"mmmm"),ju_kr,$B69)-SUMIFS(ju_sld,ju_bln,TEXT(P$7,"mmmm"),ju_debet,$B69))+O69</f>
        <v>500000000</v>
      </c>
      <c r="Q69" s="286">
        <f t="shared" ref="Q69:Q71" si="178">IF(INDEX(typ_sn,MATCH(INDEX(akun_type,MATCH($B69,akun_kb,0)),typ_ket,0))="db",SUMIFS(ju_sld,ju_bln,TEXT(Q$7,"mmmm"),ju_debet,$B69)-SUMIFS(ju_sld,ju_bln,TEXT(Q$7,"mmmm"),ju_kr,$B69),SUMIFS(ju_sld,ju_bln,TEXT(Q$7,"mmmm"),ju_kr,$B69)-SUMIFS(ju_sld,ju_bln,TEXT(Q$7,"mmmm"),ju_debet,$B69))+P69</f>
        <v>500000000</v>
      </c>
      <c r="R69" s="218"/>
      <c r="S69" s="278">
        <f t="shared" ref="S69:S71" si="179">IF(Q69=0,0,1)</f>
        <v>1</v>
      </c>
    </row>
    <row r="70" spans="2:19" ht="18" customHeight="1">
      <c r="B70" s="287" t="str">
        <f>NERACA!B70</f>
        <v>120102 | BANGUNAN KANTOR</v>
      </c>
      <c r="C70" s="284"/>
      <c r="D70" s="284" t="str">
        <f t="shared" si="165"/>
        <v>Aktiva Tetap</v>
      </c>
      <c r="E70" s="286">
        <f t="shared" si="166"/>
        <v>673550165</v>
      </c>
      <c r="F70" s="286">
        <f t="shared" si="167"/>
        <v>673550165</v>
      </c>
      <c r="G70" s="286">
        <f t="shared" si="168"/>
        <v>673550165</v>
      </c>
      <c r="H70" s="286">
        <f t="shared" si="169"/>
        <v>673550165</v>
      </c>
      <c r="I70" s="286">
        <f t="shared" si="170"/>
        <v>673550165</v>
      </c>
      <c r="J70" s="286">
        <f t="shared" si="171"/>
        <v>673550165</v>
      </c>
      <c r="K70" s="286">
        <f t="shared" si="172"/>
        <v>673550165</v>
      </c>
      <c r="L70" s="286">
        <f t="shared" si="173"/>
        <v>673550165</v>
      </c>
      <c r="M70" s="286">
        <f t="shared" si="174"/>
        <v>673550165</v>
      </c>
      <c r="N70" s="286">
        <f t="shared" si="175"/>
        <v>673550165</v>
      </c>
      <c r="O70" s="286">
        <f t="shared" si="176"/>
        <v>673550165</v>
      </c>
      <c r="P70" s="286">
        <f t="shared" si="177"/>
        <v>673550165</v>
      </c>
      <c r="Q70" s="286">
        <f t="shared" si="178"/>
        <v>673550165</v>
      </c>
      <c r="R70" s="218"/>
      <c r="S70" s="278">
        <f t="shared" si="179"/>
        <v>1</v>
      </c>
    </row>
    <row r="71" spans="2:19" ht="18" customHeight="1">
      <c r="B71" s="287" t="str">
        <f>NERACA!B71</f>
        <v>120103 | KENDARAAN</v>
      </c>
      <c r="C71" s="284"/>
      <c r="D71" s="284" t="str">
        <f t="shared" si="165"/>
        <v>Aktiva Tetap</v>
      </c>
      <c r="E71" s="286">
        <f t="shared" si="166"/>
        <v>2419051800</v>
      </c>
      <c r="F71" s="286">
        <f t="shared" si="167"/>
        <v>2419051800</v>
      </c>
      <c r="G71" s="286">
        <f t="shared" si="168"/>
        <v>2419051800</v>
      </c>
      <c r="H71" s="286">
        <f t="shared" si="169"/>
        <v>2419051800</v>
      </c>
      <c r="I71" s="286">
        <f t="shared" si="170"/>
        <v>2419051800</v>
      </c>
      <c r="J71" s="286">
        <f t="shared" si="171"/>
        <v>2419051800</v>
      </c>
      <c r="K71" s="286">
        <f t="shared" si="172"/>
        <v>2419051800</v>
      </c>
      <c r="L71" s="286">
        <f t="shared" si="173"/>
        <v>2419051800</v>
      </c>
      <c r="M71" s="286">
        <f t="shared" si="174"/>
        <v>2419051800</v>
      </c>
      <c r="N71" s="286">
        <f t="shared" si="175"/>
        <v>2419051800</v>
      </c>
      <c r="O71" s="286">
        <f t="shared" si="176"/>
        <v>2419051800</v>
      </c>
      <c r="P71" s="286">
        <f t="shared" si="177"/>
        <v>2419051800</v>
      </c>
      <c r="Q71" s="286">
        <f t="shared" si="178"/>
        <v>2086662600</v>
      </c>
      <c r="R71" s="218"/>
      <c r="S71" s="278">
        <f t="shared" si="179"/>
        <v>1</v>
      </c>
    </row>
    <row r="72" spans="2:19" ht="18" customHeight="1">
      <c r="B72" s="287" t="str">
        <f>NERACA!B72</f>
        <v>120104 | RAMBU RAMBU</v>
      </c>
      <c r="C72" s="284"/>
      <c r="D72" s="284" t="str">
        <f t="shared" ref="D72:D74" si="180">IFERROR(INDEX(akun_type,MATCH(B72,akun_kb,0)),"")</f>
        <v>Aktiva Tetap</v>
      </c>
      <c r="E72" s="286">
        <f t="shared" ref="E72:E74" si="181">IF(INDEX(typ_sn,MATCH(INDEX(akun_type,MATCH(B72,akun_kb,0)),typ_ket,0))="db",SUMIF(akun_kb,B72,akun_db)-SUMIF(akun_kb,B72,akun_kr),SUMIF(akun_kb,B72,akun_kr)-SUMIF(akun_kb,B72,akun_db))</f>
        <v>14500000</v>
      </c>
      <c r="F72" s="286">
        <f t="shared" ref="F72:F74" si="182">IF(INDEX(typ_sn,MATCH(INDEX(akun_type,MATCH($B72,akun_kb,0)),typ_ket,0))="db",SUMIFS(ju_sld,ju_bln,TEXT(F$7,"mmmm"),ju_debet,$B72)-SUMIFS(ju_sld,ju_bln,TEXT(F$7,"mmmm"),ju_kr,$B72),SUMIFS(ju_sld,ju_bln,TEXT(F$7,"mmmm"),ju_kr,$B72)-SUMIFS(ju_sld,ju_bln,TEXT(F$7,"mmmm"),ju_debet,$B72))+E72</f>
        <v>14500000</v>
      </c>
      <c r="G72" s="286">
        <f t="shared" ref="G72:G74" si="183">IF(INDEX(typ_sn,MATCH(INDEX(akun_type,MATCH($B72,akun_kb,0)),typ_ket,0))="db",SUMIFS(ju_sld,ju_bln,TEXT(G$7,"mmmm"),ju_debet,$B72)-SUMIFS(ju_sld,ju_bln,TEXT(G$7,"mmmm"),ju_kr,$B72),SUMIFS(ju_sld,ju_bln,TEXT(G$7,"mmmm"),ju_kr,$B72)-SUMIFS(ju_sld,ju_bln,TEXT(G$7,"mmmm"),ju_debet,$B72))+F72</f>
        <v>14500000</v>
      </c>
      <c r="H72" s="286">
        <f t="shared" ref="H72:H74" si="184">IF(INDEX(typ_sn,MATCH(INDEX(akun_type,MATCH($B72,akun_kb,0)),typ_ket,0))="db",SUMIFS(ju_sld,ju_bln,TEXT(H$7,"mmmm"),ju_debet,$B72)-SUMIFS(ju_sld,ju_bln,TEXT(H$7,"mmmm"),ju_kr,$B72),SUMIFS(ju_sld,ju_bln,TEXT(H$7,"mmmm"),ju_kr,$B72)-SUMIFS(ju_sld,ju_bln,TEXT(H$7,"mmmm"),ju_debet,$B72))+G72</f>
        <v>14500000</v>
      </c>
      <c r="I72" s="286">
        <f t="shared" ref="I72:I74" si="185">IF(INDEX(typ_sn,MATCH(INDEX(akun_type,MATCH($B72,akun_kb,0)),typ_ket,0))="db",SUMIFS(ju_sld,ju_bln,TEXT(I$7,"mmmm"),ju_debet,$B72)-SUMIFS(ju_sld,ju_bln,TEXT(I$7,"mmmm"),ju_kr,$B72),SUMIFS(ju_sld,ju_bln,TEXT(I$7,"mmmm"),ju_kr,$B72)-SUMIFS(ju_sld,ju_bln,TEXT(I$7,"mmmm"),ju_debet,$B72))+H72</f>
        <v>14500000</v>
      </c>
      <c r="J72" s="286">
        <f t="shared" ref="J72:J74" si="186">IF(INDEX(typ_sn,MATCH(INDEX(akun_type,MATCH($B72,akun_kb,0)),typ_ket,0))="db",SUMIFS(ju_sld,ju_bln,TEXT(J$7,"mmmm"),ju_debet,$B72)-SUMIFS(ju_sld,ju_bln,TEXT(J$7,"mmmm"),ju_kr,$B72),SUMIFS(ju_sld,ju_bln,TEXT(J$7,"mmmm"),ju_kr,$B72)-SUMIFS(ju_sld,ju_bln,TEXT(J$7,"mmmm"),ju_debet,$B72))+I72</f>
        <v>14500000</v>
      </c>
      <c r="K72" s="286">
        <f t="shared" ref="K72:K74" si="187">IF(INDEX(typ_sn,MATCH(INDEX(akun_type,MATCH($B72,akun_kb,0)),typ_ket,0))="db",SUMIFS(ju_sld,ju_bln,TEXT(K$7,"mmmm"),ju_debet,$B72)-SUMIFS(ju_sld,ju_bln,TEXT(K$7,"mmmm"),ju_kr,$B72),SUMIFS(ju_sld,ju_bln,TEXT(K$7,"mmmm"),ju_kr,$B72)-SUMIFS(ju_sld,ju_bln,TEXT(K$7,"mmmm"),ju_debet,$B72))+J72</f>
        <v>14500000</v>
      </c>
      <c r="L72" s="286">
        <f t="shared" ref="L72:L74" si="188">IF(INDEX(typ_sn,MATCH(INDEX(akun_type,MATCH($B72,akun_kb,0)),typ_ket,0))="db",SUMIFS(ju_sld,ju_bln,TEXT(L$7,"mmmm"),ju_debet,$B72)-SUMIFS(ju_sld,ju_bln,TEXT(L$7,"mmmm"),ju_kr,$B72),SUMIFS(ju_sld,ju_bln,TEXT(L$7,"mmmm"),ju_kr,$B72)-SUMIFS(ju_sld,ju_bln,TEXT(L$7,"mmmm"),ju_debet,$B72))+K72</f>
        <v>14500000</v>
      </c>
      <c r="M72" s="286">
        <f t="shared" ref="M72:M74" si="189">IF(INDEX(typ_sn,MATCH(INDEX(akun_type,MATCH($B72,akun_kb,0)),typ_ket,0))="db",SUMIFS(ju_sld,ju_bln,TEXT(M$7,"mmmm"),ju_debet,$B72)-SUMIFS(ju_sld,ju_bln,TEXT(M$7,"mmmm"),ju_kr,$B72),SUMIFS(ju_sld,ju_bln,TEXT(M$7,"mmmm"),ju_kr,$B72)-SUMIFS(ju_sld,ju_bln,TEXT(M$7,"mmmm"),ju_debet,$B72))+L72</f>
        <v>14500000</v>
      </c>
      <c r="N72" s="286">
        <f t="shared" ref="N72:N74" si="190">IF(INDEX(typ_sn,MATCH(INDEX(akun_type,MATCH($B72,akun_kb,0)),typ_ket,0))="db",SUMIFS(ju_sld,ju_bln,TEXT(N$7,"mmmm"),ju_debet,$B72)-SUMIFS(ju_sld,ju_bln,TEXT(N$7,"mmmm"),ju_kr,$B72),SUMIFS(ju_sld,ju_bln,TEXT(N$7,"mmmm"),ju_kr,$B72)-SUMIFS(ju_sld,ju_bln,TEXT(N$7,"mmmm"),ju_debet,$B72))+M72</f>
        <v>14500000</v>
      </c>
      <c r="O72" s="286">
        <f t="shared" ref="O72:O74" si="191">IF(INDEX(typ_sn,MATCH(INDEX(akun_type,MATCH($B72,akun_kb,0)),typ_ket,0))="db",SUMIFS(ju_sld,ju_bln,TEXT(O$7,"mmmm"),ju_debet,$B72)-SUMIFS(ju_sld,ju_bln,TEXT(O$7,"mmmm"),ju_kr,$B72),SUMIFS(ju_sld,ju_bln,TEXT(O$7,"mmmm"),ju_kr,$B72)-SUMIFS(ju_sld,ju_bln,TEXT(O$7,"mmmm"),ju_debet,$B72))+N72</f>
        <v>14500000</v>
      </c>
      <c r="P72" s="286">
        <f t="shared" ref="P72:P74" si="192">IF(INDEX(typ_sn,MATCH(INDEX(akun_type,MATCH($B72,akun_kb,0)),typ_ket,0))="db",SUMIFS(ju_sld,ju_bln,TEXT(P$7,"mmmm"),ju_debet,$B72)-SUMIFS(ju_sld,ju_bln,TEXT(P$7,"mmmm"),ju_kr,$B72),SUMIFS(ju_sld,ju_bln,TEXT(P$7,"mmmm"),ju_kr,$B72)-SUMIFS(ju_sld,ju_bln,TEXT(P$7,"mmmm"),ju_debet,$B72))+O72</f>
        <v>14500000</v>
      </c>
      <c r="Q72" s="286">
        <f t="shared" ref="Q72:Q74" si="193">IF(INDEX(typ_sn,MATCH(INDEX(akun_type,MATCH($B72,akun_kb,0)),typ_ket,0))="db",SUMIFS(ju_sld,ju_bln,TEXT(Q$7,"mmmm"),ju_debet,$B72)-SUMIFS(ju_sld,ju_bln,TEXT(Q$7,"mmmm"),ju_kr,$B72),SUMIFS(ju_sld,ju_bln,TEXT(Q$7,"mmmm"),ju_kr,$B72)-SUMIFS(ju_sld,ju_bln,TEXT(Q$7,"mmmm"),ju_debet,$B72))+P72</f>
        <v>14500000</v>
      </c>
      <c r="R72" s="218"/>
      <c r="S72" s="278">
        <f t="shared" ref="S72:S74" si="194">IF(Q72=0,0,1)</f>
        <v>1</v>
      </c>
    </row>
    <row r="73" spans="2:19" ht="18" customHeight="1">
      <c r="B73" s="287" t="str">
        <f>NERACA!B73</f>
        <v>120105 | INVENTARIS KANTOR</v>
      </c>
      <c r="C73" s="284"/>
      <c r="D73" s="284" t="str">
        <f t="shared" si="180"/>
        <v>Aktiva Tetap</v>
      </c>
      <c r="E73" s="286">
        <f t="shared" si="181"/>
        <v>593544510</v>
      </c>
      <c r="F73" s="286">
        <f t="shared" si="182"/>
        <v>593544510</v>
      </c>
      <c r="G73" s="286">
        <f t="shared" si="183"/>
        <v>593544510</v>
      </c>
      <c r="H73" s="286">
        <f t="shared" si="184"/>
        <v>594494510</v>
      </c>
      <c r="I73" s="286">
        <f t="shared" si="185"/>
        <v>596944510</v>
      </c>
      <c r="J73" s="286">
        <f t="shared" si="186"/>
        <v>596944510</v>
      </c>
      <c r="K73" s="286">
        <f t="shared" si="187"/>
        <v>596944510</v>
      </c>
      <c r="L73" s="286">
        <f t="shared" si="188"/>
        <v>596944510</v>
      </c>
      <c r="M73" s="286">
        <f t="shared" si="189"/>
        <v>597544410</v>
      </c>
      <c r="N73" s="286">
        <f t="shared" si="190"/>
        <v>616542410</v>
      </c>
      <c r="O73" s="286">
        <f t="shared" si="191"/>
        <v>671683560</v>
      </c>
      <c r="P73" s="286">
        <f t="shared" si="192"/>
        <v>671683560</v>
      </c>
      <c r="Q73" s="286">
        <f t="shared" si="193"/>
        <v>685084560</v>
      </c>
      <c r="R73" s="218"/>
      <c r="S73" s="278">
        <f t="shared" si="194"/>
        <v>1</v>
      </c>
    </row>
    <row r="74" spans="2:19" ht="18" customHeight="1">
      <c r="B74" s="287" t="str">
        <f>NERACA!B74</f>
        <v>120106 | SERVER CMS</v>
      </c>
      <c r="C74" s="284"/>
      <c r="D74" s="284" t="str">
        <f t="shared" si="180"/>
        <v>Aktiva Tetap</v>
      </c>
      <c r="E74" s="286">
        <f t="shared" si="181"/>
        <v>0</v>
      </c>
      <c r="F74" s="286">
        <f t="shared" si="182"/>
        <v>0</v>
      </c>
      <c r="G74" s="286">
        <f t="shared" si="183"/>
        <v>0</v>
      </c>
      <c r="H74" s="286">
        <f t="shared" si="184"/>
        <v>0</v>
      </c>
      <c r="I74" s="286">
        <f t="shared" si="185"/>
        <v>0</v>
      </c>
      <c r="J74" s="286">
        <f t="shared" si="186"/>
        <v>0</v>
      </c>
      <c r="K74" s="286">
        <f t="shared" si="187"/>
        <v>0</v>
      </c>
      <c r="L74" s="286">
        <f t="shared" si="188"/>
        <v>0</v>
      </c>
      <c r="M74" s="286">
        <f t="shared" si="189"/>
        <v>0</v>
      </c>
      <c r="N74" s="286">
        <f t="shared" si="190"/>
        <v>0</v>
      </c>
      <c r="O74" s="286">
        <f t="shared" si="191"/>
        <v>0</v>
      </c>
      <c r="P74" s="286">
        <f t="shared" si="192"/>
        <v>0</v>
      </c>
      <c r="Q74" s="286">
        <f t="shared" si="193"/>
        <v>204462000</v>
      </c>
      <c r="R74" s="218"/>
      <c r="S74" s="278">
        <f t="shared" si="194"/>
        <v>1</v>
      </c>
    </row>
    <row r="75" spans="2:19" ht="18" customHeight="1">
      <c r="B75" s="287" t="str">
        <f>NERACA!B75</f>
        <v>120107 | PENGADAAN LAPTOP</v>
      </c>
      <c r="C75" s="284"/>
      <c r="D75" s="284" t="str">
        <f t="shared" ref="D75:D78" si="195">IFERROR(INDEX(akun_type,MATCH(B75,akun_kb,0)),"")</f>
        <v>Aktiva Tetap</v>
      </c>
      <c r="E75" s="286">
        <f t="shared" ref="E75:E78" si="196">IF(INDEX(typ_sn,MATCH(INDEX(akun_type,MATCH(B75,akun_kb,0)),typ_ket,0))="db",SUMIF(akun_kb,B75,akun_db)-SUMIF(akun_kb,B75,akun_kr),SUMIF(akun_kb,B75,akun_kr)-SUMIF(akun_kb,B75,akun_db))</f>
        <v>0</v>
      </c>
      <c r="F75" s="286">
        <f t="shared" ref="F75:F78" si="197">IF(INDEX(typ_sn,MATCH(INDEX(akun_type,MATCH($B75,akun_kb,0)),typ_ket,0))="db",SUMIFS(ju_sld,ju_bln,TEXT(F$7,"mmmm"),ju_debet,$B75)-SUMIFS(ju_sld,ju_bln,TEXT(F$7,"mmmm"),ju_kr,$B75),SUMIFS(ju_sld,ju_bln,TEXT(F$7,"mmmm"),ju_kr,$B75)-SUMIFS(ju_sld,ju_bln,TEXT(F$7,"mmmm"),ju_debet,$B75))+E75</f>
        <v>0</v>
      </c>
      <c r="G75" s="286">
        <f t="shared" ref="G75:G78" si="198">IF(INDEX(typ_sn,MATCH(INDEX(akun_type,MATCH($B75,akun_kb,0)),typ_ket,0))="db",SUMIFS(ju_sld,ju_bln,TEXT(G$7,"mmmm"),ju_debet,$B75)-SUMIFS(ju_sld,ju_bln,TEXT(G$7,"mmmm"),ju_kr,$B75),SUMIFS(ju_sld,ju_bln,TEXT(G$7,"mmmm"),ju_kr,$B75)-SUMIFS(ju_sld,ju_bln,TEXT(G$7,"mmmm"),ju_debet,$B75))+F75</f>
        <v>0</v>
      </c>
      <c r="H75" s="286">
        <f t="shared" ref="H75:H78" si="199">IF(INDEX(typ_sn,MATCH(INDEX(akun_type,MATCH($B75,akun_kb,0)),typ_ket,0))="db",SUMIFS(ju_sld,ju_bln,TEXT(H$7,"mmmm"),ju_debet,$B75)-SUMIFS(ju_sld,ju_bln,TEXT(H$7,"mmmm"),ju_kr,$B75),SUMIFS(ju_sld,ju_bln,TEXT(H$7,"mmmm"),ju_kr,$B75)-SUMIFS(ju_sld,ju_bln,TEXT(H$7,"mmmm"),ju_debet,$B75))+G75</f>
        <v>0</v>
      </c>
      <c r="I75" s="286">
        <f t="shared" ref="I75:I78" si="200">IF(INDEX(typ_sn,MATCH(INDEX(akun_type,MATCH($B75,akun_kb,0)),typ_ket,0))="db",SUMIFS(ju_sld,ju_bln,TEXT(I$7,"mmmm"),ju_debet,$B75)-SUMIFS(ju_sld,ju_bln,TEXT(I$7,"mmmm"),ju_kr,$B75),SUMIFS(ju_sld,ju_bln,TEXT(I$7,"mmmm"),ju_kr,$B75)-SUMIFS(ju_sld,ju_bln,TEXT(I$7,"mmmm"),ju_debet,$B75))+H75</f>
        <v>0</v>
      </c>
      <c r="J75" s="286">
        <f t="shared" ref="J75:J78" si="201">IF(INDEX(typ_sn,MATCH(INDEX(akun_type,MATCH($B75,akun_kb,0)),typ_ket,0))="db",SUMIFS(ju_sld,ju_bln,TEXT(J$7,"mmmm"),ju_debet,$B75)-SUMIFS(ju_sld,ju_bln,TEXT(J$7,"mmmm"),ju_kr,$B75),SUMIFS(ju_sld,ju_bln,TEXT(J$7,"mmmm"),ju_kr,$B75)-SUMIFS(ju_sld,ju_bln,TEXT(J$7,"mmmm"),ju_debet,$B75))+I75</f>
        <v>0</v>
      </c>
      <c r="K75" s="286">
        <f t="shared" ref="K75:K78" si="202">IF(INDEX(typ_sn,MATCH(INDEX(akun_type,MATCH($B75,akun_kb,0)),typ_ket,0))="db",SUMIFS(ju_sld,ju_bln,TEXT(K$7,"mmmm"),ju_debet,$B75)-SUMIFS(ju_sld,ju_bln,TEXT(K$7,"mmmm"),ju_kr,$B75),SUMIFS(ju_sld,ju_bln,TEXT(K$7,"mmmm"),ju_kr,$B75)-SUMIFS(ju_sld,ju_bln,TEXT(K$7,"mmmm"),ju_debet,$B75))+J75</f>
        <v>0</v>
      </c>
      <c r="L75" s="286">
        <f t="shared" ref="L75:L78" si="203">IF(INDEX(typ_sn,MATCH(INDEX(akun_type,MATCH($B75,akun_kb,0)),typ_ket,0))="db",SUMIFS(ju_sld,ju_bln,TEXT(L$7,"mmmm"),ju_debet,$B75)-SUMIFS(ju_sld,ju_bln,TEXT(L$7,"mmmm"),ju_kr,$B75),SUMIFS(ju_sld,ju_bln,TEXT(L$7,"mmmm"),ju_kr,$B75)-SUMIFS(ju_sld,ju_bln,TEXT(L$7,"mmmm"),ju_debet,$B75))+K75</f>
        <v>0</v>
      </c>
      <c r="M75" s="286">
        <f t="shared" ref="M75:M78" si="204">IF(INDEX(typ_sn,MATCH(INDEX(akun_type,MATCH($B75,akun_kb,0)),typ_ket,0))="db",SUMIFS(ju_sld,ju_bln,TEXT(M$7,"mmmm"),ju_debet,$B75)-SUMIFS(ju_sld,ju_bln,TEXT(M$7,"mmmm"),ju_kr,$B75),SUMIFS(ju_sld,ju_bln,TEXT(M$7,"mmmm"),ju_kr,$B75)-SUMIFS(ju_sld,ju_bln,TEXT(M$7,"mmmm"),ju_debet,$B75))+L75</f>
        <v>0</v>
      </c>
      <c r="N75" s="286">
        <f t="shared" ref="N75:N78" si="205">IF(INDEX(typ_sn,MATCH(INDEX(akun_type,MATCH($B75,akun_kb,0)),typ_ket,0))="db",SUMIFS(ju_sld,ju_bln,TEXT(N$7,"mmmm"),ju_debet,$B75)-SUMIFS(ju_sld,ju_bln,TEXT(N$7,"mmmm"),ju_kr,$B75),SUMIFS(ju_sld,ju_bln,TEXT(N$7,"mmmm"),ju_kr,$B75)-SUMIFS(ju_sld,ju_bln,TEXT(N$7,"mmmm"),ju_debet,$B75))+M75</f>
        <v>0</v>
      </c>
      <c r="O75" s="286">
        <f t="shared" ref="O75:O78" si="206">IF(INDEX(typ_sn,MATCH(INDEX(akun_type,MATCH($B75,akun_kb,0)),typ_ket,0))="db",SUMIFS(ju_sld,ju_bln,TEXT(O$7,"mmmm"),ju_debet,$B75)-SUMIFS(ju_sld,ju_bln,TEXT(O$7,"mmmm"),ju_kr,$B75),SUMIFS(ju_sld,ju_bln,TEXT(O$7,"mmmm"),ju_kr,$B75)-SUMIFS(ju_sld,ju_bln,TEXT(O$7,"mmmm"),ju_debet,$B75))+N75</f>
        <v>0</v>
      </c>
      <c r="P75" s="286">
        <f t="shared" ref="P75:P78" si="207">IF(INDEX(typ_sn,MATCH(INDEX(akun_type,MATCH($B75,akun_kb,0)),typ_ket,0))="db",SUMIFS(ju_sld,ju_bln,TEXT(P$7,"mmmm"),ju_debet,$B75)-SUMIFS(ju_sld,ju_bln,TEXT(P$7,"mmmm"),ju_kr,$B75),SUMIFS(ju_sld,ju_bln,TEXT(P$7,"mmmm"),ju_kr,$B75)-SUMIFS(ju_sld,ju_bln,TEXT(P$7,"mmmm"),ju_debet,$B75))+O75</f>
        <v>0</v>
      </c>
      <c r="Q75" s="286">
        <f t="shared" ref="Q75:Q78" si="208">IF(INDEX(typ_sn,MATCH(INDEX(akun_type,MATCH($B75,akun_kb,0)),typ_ket,0))="db",SUMIFS(ju_sld,ju_bln,TEXT(Q$7,"mmmm"),ju_debet,$B75)-SUMIFS(ju_sld,ju_bln,TEXT(Q$7,"mmmm"),ju_kr,$B75),SUMIFS(ju_sld,ju_bln,TEXT(Q$7,"mmmm"),ju_kr,$B75)-SUMIFS(ju_sld,ju_bln,TEXT(Q$7,"mmmm"),ju_debet,$B75))+P75</f>
        <v>0</v>
      </c>
      <c r="R75" s="218"/>
      <c r="S75" s="278">
        <f t="shared" ref="S75:S78" si="209">IF(Q75=0,0,1)</f>
        <v>0</v>
      </c>
    </row>
    <row r="76" spans="2:19" ht="18" customHeight="1">
      <c r="B76" s="287" t="str">
        <f>NERACA!B76</f>
        <v>120108 | PENGADAAN KOMPUTER (PC) DAN HARD DISK</v>
      </c>
      <c r="C76" s="284"/>
      <c r="D76" s="284" t="str">
        <f t="shared" si="195"/>
        <v>Aktiva Tetap</v>
      </c>
      <c r="E76" s="286">
        <f t="shared" si="196"/>
        <v>0</v>
      </c>
      <c r="F76" s="286">
        <f t="shared" si="197"/>
        <v>0</v>
      </c>
      <c r="G76" s="286">
        <f t="shared" si="198"/>
        <v>0</v>
      </c>
      <c r="H76" s="286">
        <f t="shared" si="199"/>
        <v>0</v>
      </c>
      <c r="I76" s="286">
        <f t="shared" si="200"/>
        <v>0</v>
      </c>
      <c r="J76" s="286">
        <f t="shared" si="201"/>
        <v>0</v>
      </c>
      <c r="K76" s="286">
        <f t="shared" si="202"/>
        <v>0</v>
      </c>
      <c r="L76" s="286">
        <f t="shared" si="203"/>
        <v>0</v>
      </c>
      <c r="M76" s="286">
        <f t="shared" si="204"/>
        <v>0</v>
      </c>
      <c r="N76" s="286">
        <f t="shared" si="205"/>
        <v>0</v>
      </c>
      <c r="O76" s="286">
        <f t="shared" si="206"/>
        <v>0</v>
      </c>
      <c r="P76" s="286">
        <f t="shared" si="207"/>
        <v>0</v>
      </c>
      <c r="Q76" s="286">
        <f t="shared" si="208"/>
        <v>0</v>
      </c>
      <c r="R76" s="218"/>
      <c r="S76" s="278">
        <f t="shared" si="209"/>
        <v>0</v>
      </c>
    </row>
    <row r="77" spans="2:19" ht="18" customHeight="1">
      <c r="B77" s="287" t="str">
        <f>NERACA!B77</f>
        <v>120109 | PENGADAAN PRINTER,SCANNER DAN INFOCUS</v>
      </c>
      <c r="C77" s="284"/>
      <c r="D77" s="284" t="str">
        <f t="shared" si="195"/>
        <v>Aktiva Tetap</v>
      </c>
      <c r="E77" s="286">
        <f t="shared" si="196"/>
        <v>0</v>
      </c>
      <c r="F77" s="286">
        <f t="shared" si="197"/>
        <v>0</v>
      </c>
      <c r="G77" s="286">
        <f t="shared" si="198"/>
        <v>0</v>
      </c>
      <c r="H77" s="286">
        <f t="shared" si="199"/>
        <v>0</v>
      </c>
      <c r="I77" s="286">
        <f t="shared" si="200"/>
        <v>0</v>
      </c>
      <c r="J77" s="286">
        <f t="shared" si="201"/>
        <v>0</v>
      </c>
      <c r="K77" s="286">
        <f t="shared" si="202"/>
        <v>0</v>
      </c>
      <c r="L77" s="286">
        <f t="shared" si="203"/>
        <v>0</v>
      </c>
      <c r="M77" s="286">
        <f t="shared" si="204"/>
        <v>0</v>
      </c>
      <c r="N77" s="286">
        <f t="shared" si="205"/>
        <v>0</v>
      </c>
      <c r="O77" s="286">
        <f t="shared" si="206"/>
        <v>0</v>
      </c>
      <c r="P77" s="286">
        <f t="shared" si="207"/>
        <v>0</v>
      </c>
      <c r="Q77" s="286">
        <f t="shared" si="208"/>
        <v>0</v>
      </c>
      <c r="R77" s="218"/>
      <c r="S77" s="278">
        <f t="shared" si="209"/>
        <v>0</v>
      </c>
    </row>
    <row r="78" spans="2:19" ht="18" customHeight="1">
      <c r="B78" s="287" t="str">
        <f>NERACA!B78</f>
        <v>120201 | AKUMULASI PENYUSUTAN BANGUNAN KANTOR</v>
      </c>
      <c r="C78" s="284"/>
      <c r="D78" s="284" t="str">
        <f t="shared" si="195"/>
        <v>Depresiasi &amp; Amortisasi</v>
      </c>
      <c r="E78" s="286">
        <f t="shared" si="196"/>
        <v>-309395274</v>
      </c>
      <c r="F78" s="286">
        <f t="shared" si="197"/>
        <v>-312201733</v>
      </c>
      <c r="G78" s="286">
        <f t="shared" si="198"/>
        <v>-315008192</v>
      </c>
      <c r="H78" s="286">
        <f t="shared" si="199"/>
        <v>-317814651</v>
      </c>
      <c r="I78" s="286">
        <f t="shared" si="200"/>
        <v>-320621110</v>
      </c>
      <c r="J78" s="286">
        <f t="shared" si="201"/>
        <v>-323427569</v>
      </c>
      <c r="K78" s="286">
        <f t="shared" si="202"/>
        <v>-326234028</v>
      </c>
      <c r="L78" s="286">
        <f t="shared" si="203"/>
        <v>-329040487</v>
      </c>
      <c r="M78" s="286">
        <f t="shared" si="204"/>
        <v>-331846946</v>
      </c>
      <c r="N78" s="286">
        <f t="shared" si="205"/>
        <v>-334653405</v>
      </c>
      <c r="O78" s="286">
        <f t="shared" si="206"/>
        <v>-337459864</v>
      </c>
      <c r="P78" s="286">
        <f t="shared" si="207"/>
        <v>-340266323</v>
      </c>
      <c r="Q78" s="286">
        <f t="shared" si="208"/>
        <v>-343072782</v>
      </c>
      <c r="R78" s="218"/>
      <c r="S78" s="278">
        <f t="shared" si="209"/>
        <v>1</v>
      </c>
    </row>
    <row r="79" spans="2:19" ht="18" customHeight="1">
      <c r="B79" s="287" t="str">
        <f>NERACA!B79</f>
        <v>120202 | AKUMULASI PENYUSUTAN KENDARAAN</v>
      </c>
      <c r="C79" s="284"/>
      <c r="D79" s="284" t="str">
        <f t="shared" ref="D79:D81" si="210">IFERROR(INDEX(akun_type,MATCH(B79,akun_kb,0)),"")</f>
        <v>Depresiasi &amp; Amortisasi</v>
      </c>
      <c r="E79" s="286">
        <f t="shared" ref="E79:E81" si="211">IF(INDEX(typ_sn,MATCH(INDEX(akun_type,MATCH(B79,akun_kb,0)),typ_ket,0))="db",SUMIF(akun_kb,B79,akun_db)-SUMIF(akun_kb,B79,akun_kr),SUMIF(akun_kb,B79,akun_kr)-SUMIF(akun_kb,B79,akun_db))</f>
        <v>-2190031133</v>
      </c>
      <c r="F79" s="286">
        <f t="shared" ref="F79:F81" si="212">IF(INDEX(typ_sn,MATCH(INDEX(akun_type,MATCH($B79,akun_kb,0)),typ_ket,0))="db",SUMIFS(ju_sld,ju_bln,TEXT(F$7,"mmmm"),ju_debet,$B79)-SUMIFS(ju_sld,ju_bln,TEXT(F$7,"mmmm"),ju_kr,$B79),SUMIFS(ju_sld,ju_bln,TEXT(F$7,"mmmm"),ju_kr,$B79)-SUMIFS(ju_sld,ju_bln,TEXT(F$7,"mmmm"),ju_debet,$B79))+E79</f>
        <v>-2219063083</v>
      </c>
      <c r="G79" s="286">
        <f t="shared" ref="G79:G81" si="213">IF(INDEX(typ_sn,MATCH(INDEX(akun_type,MATCH($B79,akun_kb,0)),typ_ket,0))="db",SUMIFS(ju_sld,ju_bln,TEXT(G$7,"mmmm"),ju_debet,$B79)-SUMIFS(ju_sld,ju_bln,TEXT(G$7,"mmmm"),ju_kr,$B79),SUMIFS(ju_sld,ju_bln,TEXT(G$7,"mmmm"),ju_kr,$B79)-SUMIFS(ju_sld,ju_bln,TEXT(G$7,"mmmm"),ju_debet,$B79))+F79</f>
        <v>-2248095033</v>
      </c>
      <c r="H79" s="286">
        <f t="shared" ref="H79:H81" si="214">IF(INDEX(typ_sn,MATCH(INDEX(akun_type,MATCH($B79,akun_kb,0)),typ_ket,0))="db",SUMIFS(ju_sld,ju_bln,TEXT(H$7,"mmmm"),ju_debet,$B79)-SUMIFS(ju_sld,ju_bln,TEXT(H$7,"mmmm"),ju_kr,$B79),SUMIFS(ju_sld,ju_bln,TEXT(H$7,"mmmm"),ju_kr,$B79)-SUMIFS(ju_sld,ju_bln,TEXT(H$7,"mmmm"),ju_debet,$B79))+G79</f>
        <v>-2277126983</v>
      </c>
      <c r="I79" s="286">
        <f t="shared" ref="I79:I81" si="215">IF(INDEX(typ_sn,MATCH(INDEX(akun_type,MATCH($B79,akun_kb,0)),typ_ket,0))="db",SUMIFS(ju_sld,ju_bln,TEXT(I$7,"mmmm"),ju_debet,$B79)-SUMIFS(ju_sld,ju_bln,TEXT(I$7,"mmmm"),ju_kr,$B79),SUMIFS(ju_sld,ju_bln,TEXT(I$7,"mmmm"),ju_kr,$B79)-SUMIFS(ju_sld,ju_bln,TEXT(I$7,"mmmm"),ju_debet,$B79))+H79</f>
        <v>-2306158933</v>
      </c>
      <c r="J79" s="286">
        <f t="shared" ref="J79:J81" si="216">IF(INDEX(typ_sn,MATCH(INDEX(akun_type,MATCH($B79,akun_kb,0)),typ_ket,0))="db",SUMIFS(ju_sld,ju_bln,TEXT(J$7,"mmmm"),ju_debet,$B79)-SUMIFS(ju_sld,ju_bln,TEXT(J$7,"mmmm"),ju_kr,$B79),SUMIFS(ju_sld,ju_bln,TEXT(J$7,"mmmm"),ju_kr,$B79)-SUMIFS(ju_sld,ju_bln,TEXT(J$7,"mmmm"),ju_debet,$B79))+I79</f>
        <v>-2335190883</v>
      </c>
      <c r="K79" s="286">
        <f t="shared" ref="K79:K81" si="217">IF(INDEX(typ_sn,MATCH(INDEX(akun_type,MATCH($B79,akun_kb,0)),typ_ket,0))="db",SUMIFS(ju_sld,ju_bln,TEXT(K$7,"mmmm"),ju_debet,$B79)-SUMIFS(ju_sld,ju_bln,TEXT(K$7,"mmmm"),ju_kr,$B79),SUMIFS(ju_sld,ju_bln,TEXT(K$7,"mmmm"),ju_kr,$B79)-SUMIFS(ju_sld,ju_bln,TEXT(K$7,"mmmm"),ju_debet,$B79))+J79</f>
        <v>-2364222833</v>
      </c>
      <c r="L79" s="286">
        <f t="shared" ref="L79:L81" si="218">IF(INDEX(typ_sn,MATCH(INDEX(akun_type,MATCH($B79,akun_kb,0)),typ_ket,0))="db",SUMIFS(ju_sld,ju_bln,TEXT(L$7,"mmmm"),ju_debet,$B79)-SUMIFS(ju_sld,ju_bln,TEXT(L$7,"mmmm"),ju_kr,$B79),SUMIFS(ju_sld,ju_bln,TEXT(L$7,"mmmm"),ju_kr,$B79)-SUMIFS(ju_sld,ju_bln,TEXT(L$7,"mmmm"),ju_debet,$B79))+K79</f>
        <v>-2393254783</v>
      </c>
      <c r="M79" s="286">
        <f t="shared" ref="M79:M81" si="219">IF(INDEX(typ_sn,MATCH(INDEX(akun_type,MATCH($B79,akun_kb,0)),typ_ket,0))="db",SUMIFS(ju_sld,ju_bln,TEXT(M$7,"mmmm"),ju_debet,$B79)-SUMIFS(ju_sld,ju_bln,TEXT(M$7,"mmmm"),ju_kr,$B79),SUMIFS(ju_sld,ju_bln,TEXT(M$7,"mmmm"),ju_kr,$B79)-SUMIFS(ju_sld,ju_bln,TEXT(M$7,"mmmm"),ju_debet,$B79))+L79</f>
        <v>-2422286733</v>
      </c>
      <c r="N79" s="286">
        <f t="shared" ref="N79:N81" si="220">IF(INDEX(typ_sn,MATCH(INDEX(akun_type,MATCH($B79,akun_kb,0)),typ_ket,0))="db",SUMIFS(ju_sld,ju_bln,TEXT(N$7,"mmmm"),ju_debet,$B79)-SUMIFS(ju_sld,ju_bln,TEXT(N$7,"mmmm"),ju_kr,$B79),SUMIFS(ju_sld,ju_bln,TEXT(N$7,"mmmm"),ju_kr,$B79)-SUMIFS(ju_sld,ju_bln,TEXT(N$7,"mmmm"),ju_debet,$B79))+M79</f>
        <v>-2451318683</v>
      </c>
      <c r="O79" s="286">
        <f t="shared" ref="O79:O81" si="221">IF(INDEX(typ_sn,MATCH(INDEX(akun_type,MATCH($B79,akun_kb,0)),typ_ket,0))="db",SUMIFS(ju_sld,ju_bln,TEXT(O$7,"mmmm"),ju_debet,$B79)-SUMIFS(ju_sld,ju_bln,TEXT(O$7,"mmmm"),ju_kr,$B79),SUMIFS(ju_sld,ju_bln,TEXT(O$7,"mmmm"),ju_kr,$B79)-SUMIFS(ju_sld,ju_bln,TEXT(O$7,"mmmm"),ju_debet,$B79))+N79</f>
        <v>-2480350633</v>
      </c>
      <c r="P79" s="286">
        <f t="shared" ref="P79:P81" si="222">IF(INDEX(typ_sn,MATCH(INDEX(akun_type,MATCH($B79,akun_kb,0)),typ_ket,0))="db",SUMIFS(ju_sld,ju_bln,TEXT(P$7,"mmmm"),ju_debet,$B79)-SUMIFS(ju_sld,ju_bln,TEXT(P$7,"mmmm"),ju_kr,$B79),SUMIFS(ju_sld,ju_bln,TEXT(P$7,"mmmm"),ju_kr,$B79)-SUMIFS(ju_sld,ju_bln,TEXT(P$7,"mmmm"),ju_debet,$B79))+O79</f>
        <v>-2509382583</v>
      </c>
      <c r="Q79" s="286">
        <f t="shared" ref="Q79:Q81" si="223">IF(INDEX(typ_sn,MATCH(INDEX(akun_type,MATCH($B79,akun_kb,0)),typ_ket,0))="db",SUMIFS(ju_sld,ju_bln,TEXT(Q$7,"mmmm"),ju_debet,$B79)-SUMIFS(ju_sld,ju_bln,TEXT(Q$7,"mmmm"),ju_kr,$B79),SUMIFS(ju_sld,ju_bln,TEXT(Q$7,"mmmm"),ju_kr,$B79)-SUMIFS(ju_sld,ju_bln,TEXT(Q$7,"mmmm"),ju_debet,$B79))+P79</f>
        <v>-2206025333</v>
      </c>
      <c r="R79" s="218"/>
      <c r="S79" s="278">
        <f t="shared" ref="S79:S81" si="224">IF(Q79=0,0,1)</f>
        <v>1</v>
      </c>
    </row>
    <row r="80" spans="2:19" ht="18" customHeight="1">
      <c r="B80" s="287" t="str">
        <f>NERACA!B80</f>
        <v>120203 | AKUMULASI PENYUSUTAN RAMBU RAMBU</v>
      </c>
      <c r="C80" s="284"/>
      <c r="D80" s="284" t="str">
        <f t="shared" si="210"/>
        <v>Depresiasi &amp; Amortisasi</v>
      </c>
      <c r="E80" s="286">
        <f t="shared" si="211"/>
        <v>-13458333</v>
      </c>
      <c r="F80" s="286">
        <f t="shared" si="212"/>
        <v>-13499999</v>
      </c>
      <c r="G80" s="286">
        <f t="shared" si="213"/>
        <v>-13541665</v>
      </c>
      <c r="H80" s="286">
        <f t="shared" si="214"/>
        <v>-13583331</v>
      </c>
      <c r="I80" s="286">
        <f t="shared" si="215"/>
        <v>-13624997</v>
      </c>
      <c r="J80" s="286">
        <f t="shared" si="216"/>
        <v>-13666663</v>
      </c>
      <c r="K80" s="286">
        <f t="shared" si="217"/>
        <v>-13708329</v>
      </c>
      <c r="L80" s="286">
        <f t="shared" si="218"/>
        <v>-13749995</v>
      </c>
      <c r="M80" s="286">
        <f t="shared" si="219"/>
        <v>-13791661</v>
      </c>
      <c r="N80" s="286">
        <f t="shared" si="220"/>
        <v>-13833327</v>
      </c>
      <c r="O80" s="286">
        <f t="shared" si="221"/>
        <v>-13874993</v>
      </c>
      <c r="P80" s="286">
        <f t="shared" si="222"/>
        <v>-13916659</v>
      </c>
      <c r="Q80" s="286">
        <f t="shared" si="223"/>
        <v>-13958325</v>
      </c>
      <c r="R80" s="218"/>
      <c r="S80" s="278">
        <f t="shared" si="224"/>
        <v>1</v>
      </c>
    </row>
    <row r="81" spans="2:19" ht="18" customHeight="1">
      <c r="B81" s="287" t="str">
        <f>NERACA!B81</f>
        <v>120204 | AKUMULASI PENYUSUTAN INVENTARIS KANTOR</v>
      </c>
      <c r="C81" s="284"/>
      <c r="D81" s="284" t="str">
        <f t="shared" si="210"/>
        <v>Depresiasi &amp; Amortisasi</v>
      </c>
      <c r="E81" s="286">
        <f t="shared" si="211"/>
        <v>-472223165</v>
      </c>
      <c r="F81" s="286">
        <f t="shared" si="212"/>
        <v>-477877658</v>
      </c>
      <c r="G81" s="286">
        <f t="shared" si="213"/>
        <v>-483532151</v>
      </c>
      <c r="H81" s="286">
        <f t="shared" si="214"/>
        <v>-489186644</v>
      </c>
      <c r="I81" s="286">
        <f t="shared" si="215"/>
        <v>-494897803.66333336</v>
      </c>
      <c r="J81" s="286">
        <f t="shared" si="216"/>
        <v>-500608963.32666671</v>
      </c>
      <c r="K81" s="286">
        <f t="shared" si="217"/>
        <v>-506320122.99000007</v>
      </c>
      <c r="L81" s="286">
        <f t="shared" si="218"/>
        <v>-512031282.65333343</v>
      </c>
      <c r="M81" s="286">
        <f t="shared" si="219"/>
        <v>-517742442.31666678</v>
      </c>
      <c r="N81" s="286">
        <f t="shared" si="220"/>
        <v>-523780232.31666678</v>
      </c>
      <c r="O81" s="286">
        <f t="shared" si="221"/>
        <v>-530734041.31666678</v>
      </c>
      <c r="P81" s="286">
        <f t="shared" si="222"/>
        <v>-537687850.31666684</v>
      </c>
      <c r="Q81" s="286">
        <f t="shared" si="223"/>
        <v>-544641659.31666684</v>
      </c>
      <c r="R81" s="218"/>
      <c r="S81" s="278">
        <f t="shared" si="224"/>
        <v>1</v>
      </c>
    </row>
    <row r="82" spans="2:19" ht="18" customHeight="1">
      <c r="B82" s="287" t="str">
        <f>NERACA!B82</f>
        <v>120205 | AKUMULASI PENYUSUTAN SERVER CMS</v>
      </c>
      <c r="C82" s="284"/>
      <c r="D82" s="284" t="str">
        <f t="shared" ref="D82:D105" si="225">IFERROR(INDEX(akun_type,MATCH(B82,akun_kb,0)),"")</f>
        <v>Depresiasi &amp; Amortisasi</v>
      </c>
      <c r="E82" s="286">
        <f t="shared" ref="E82:E104" si="226">IF(INDEX(typ_sn,MATCH(INDEX(akun_type,MATCH(B82,akun_kb,0)),typ_ket,0))="db",SUMIF(akun_kb,B82,akun_db)-SUMIF(akun_kb,B82,akun_kr),SUMIF(akun_kb,B82,akun_kr)-SUMIF(akun_kb,B82,akun_db))</f>
        <v>0</v>
      </c>
      <c r="F82" s="286">
        <f t="shared" ref="F82:F104" si="227">IF(INDEX(typ_sn,MATCH(INDEX(akun_type,MATCH($B82,akun_kb,0)),typ_ket,0))="db",SUMIFS(ju_sld,ju_bln,TEXT(F$7,"mmmm"),ju_debet,$B82)-SUMIFS(ju_sld,ju_bln,TEXT(F$7,"mmmm"),ju_kr,$B82),SUMIFS(ju_sld,ju_bln,TEXT(F$7,"mmmm"),ju_kr,$B82)-SUMIFS(ju_sld,ju_bln,TEXT(F$7,"mmmm"),ju_debet,$B82))+E82</f>
        <v>0</v>
      </c>
      <c r="G82" s="286">
        <f t="shared" ref="G82:G104" si="228">IF(INDEX(typ_sn,MATCH(INDEX(akun_type,MATCH($B82,akun_kb,0)),typ_ket,0))="db",SUMIFS(ju_sld,ju_bln,TEXT(G$7,"mmmm"),ju_debet,$B82)-SUMIFS(ju_sld,ju_bln,TEXT(G$7,"mmmm"),ju_kr,$B82),SUMIFS(ju_sld,ju_bln,TEXT(G$7,"mmmm"),ju_kr,$B82)-SUMIFS(ju_sld,ju_bln,TEXT(G$7,"mmmm"),ju_debet,$B82))+F82</f>
        <v>0</v>
      </c>
      <c r="H82" s="286">
        <f t="shared" ref="H82:H104" si="229">IF(INDEX(typ_sn,MATCH(INDEX(akun_type,MATCH($B82,akun_kb,0)),typ_ket,0))="db",SUMIFS(ju_sld,ju_bln,TEXT(H$7,"mmmm"),ju_debet,$B82)-SUMIFS(ju_sld,ju_bln,TEXT(H$7,"mmmm"),ju_kr,$B82),SUMIFS(ju_sld,ju_bln,TEXT(H$7,"mmmm"),ju_kr,$B82)-SUMIFS(ju_sld,ju_bln,TEXT(H$7,"mmmm"),ju_debet,$B82))+G82</f>
        <v>0</v>
      </c>
      <c r="I82" s="286">
        <f t="shared" ref="I82:I104" si="230">IF(INDEX(typ_sn,MATCH(INDEX(akun_type,MATCH($B82,akun_kb,0)),typ_ket,0))="db",SUMIFS(ju_sld,ju_bln,TEXT(I$7,"mmmm"),ju_debet,$B82)-SUMIFS(ju_sld,ju_bln,TEXT(I$7,"mmmm"),ju_kr,$B82),SUMIFS(ju_sld,ju_bln,TEXT(I$7,"mmmm"),ju_kr,$B82)-SUMIFS(ju_sld,ju_bln,TEXT(I$7,"mmmm"),ju_debet,$B82))+H82</f>
        <v>0</v>
      </c>
      <c r="J82" s="286">
        <f t="shared" ref="J82:J104" si="231">IF(INDEX(typ_sn,MATCH(INDEX(akun_type,MATCH($B82,akun_kb,0)),typ_ket,0))="db",SUMIFS(ju_sld,ju_bln,TEXT(J$7,"mmmm"),ju_debet,$B82)-SUMIFS(ju_sld,ju_bln,TEXT(J$7,"mmmm"),ju_kr,$B82),SUMIFS(ju_sld,ju_bln,TEXT(J$7,"mmmm"),ju_kr,$B82)-SUMIFS(ju_sld,ju_bln,TEXT(J$7,"mmmm"),ju_debet,$B82))+I82</f>
        <v>0</v>
      </c>
      <c r="K82" s="286">
        <f t="shared" ref="K82:K104" si="232">IF(INDEX(typ_sn,MATCH(INDEX(akun_type,MATCH($B82,akun_kb,0)),typ_ket,0))="db",SUMIFS(ju_sld,ju_bln,TEXT(K$7,"mmmm"),ju_debet,$B82)-SUMIFS(ju_sld,ju_bln,TEXT(K$7,"mmmm"),ju_kr,$B82),SUMIFS(ju_sld,ju_bln,TEXT(K$7,"mmmm"),ju_kr,$B82)-SUMIFS(ju_sld,ju_bln,TEXT(K$7,"mmmm"),ju_debet,$B82))+J82</f>
        <v>0</v>
      </c>
      <c r="L82" s="286">
        <f t="shared" ref="L82:L104" si="233">IF(INDEX(typ_sn,MATCH(INDEX(akun_type,MATCH($B82,akun_kb,0)),typ_ket,0))="db",SUMIFS(ju_sld,ju_bln,TEXT(L$7,"mmmm"),ju_debet,$B82)-SUMIFS(ju_sld,ju_bln,TEXT(L$7,"mmmm"),ju_kr,$B82),SUMIFS(ju_sld,ju_bln,TEXT(L$7,"mmmm"),ju_kr,$B82)-SUMIFS(ju_sld,ju_bln,TEXT(L$7,"mmmm"),ju_debet,$B82))+K82</f>
        <v>0</v>
      </c>
      <c r="M82" s="286">
        <f t="shared" ref="M82:M104" si="234">IF(INDEX(typ_sn,MATCH(INDEX(akun_type,MATCH($B82,akun_kb,0)),typ_ket,0))="db",SUMIFS(ju_sld,ju_bln,TEXT(M$7,"mmmm"),ju_debet,$B82)-SUMIFS(ju_sld,ju_bln,TEXT(M$7,"mmmm"),ju_kr,$B82),SUMIFS(ju_sld,ju_bln,TEXT(M$7,"mmmm"),ju_kr,$B82)-SUMIFS(ju_sld,ju_bln,TEXT(M$7,"mmmm"),ju_debet,$B82))+L82</f>
        <v>0</v>
      </c>
      <c r="N82" s="286">
        <f t="shared" ref="N82:N104" si="235">IF(INDEX(typ_sn,MATCH(INDEX(akun_type,MATCH($B82,akun_kb,0)),typ_ket,0))="db",SUMIFS(ju_sld,ju_bln,TEXT(N$7,"mmmm"),ju_debet,$B82)-SUMIFS(ju_sld,ju_bln,TEXT(N$7,"mmmm"),ju_kr,$B82),SUMIFS(ju_sld,ju_bln,TEXT(N$7,"mmmm"),ju_kr,$B82)-SUMIFS(ju_sld,ju_bln,TEXT(N$7,"mmmm"),ju_debet,$B82))+M82</f>
        <v>0</v>
      </c>
      <c r="O82" s="286">
        <f t="shared" ref="O82:O104" si="236">IF(INDEX(typ_sn,MATCH(INDEX(akun_type,MATCH($B82,akun_kb,0)),typ_ket,0))="db",SUMIFS(ju_sld,ju_bln,TEXT(O$7,"mmmm"),ju_debet,$B82)-SUMIFS(ju_sld,ju_bln,TEXT(O$7,"mmmm"),ju_kr,$B82),SUMIFS(ju_sld,ju_bln,TEXT(O$7,"mmmm"),ju_kr,$B82)-SUMIFS(ju_sld,ju_bln,TEXT(O$7,"mmmm"),ju_debet,$B82))+N82</f>
        <v>0</v>
      </c>
      <c r="P82" s="286">
        <f t="shared" ref="P82:P104" si="237">IF(INDEX(typ_sn,MATCH(INDEX(akun_type,MATCH($B82,akun_kb,0)),typ_ket,0))="db",SUMIFS(ju_sld,ju_bln,TEXT(P$7,"mmmm"),ju_debet,$B82)-SUMIFS(ju_sld,ju_bln,TEXT(P$7,"mmmm"),ju_kr,$B82),SUMIFS(ju_sld,ju_bln,TEXT(P$7,"mmmm"),ju_kr,$B82)-SUMIFS(ju_sld,ju_bln,TEXT(P$7,"mmmm"),ju_debet,$B82))+O82</f>
        <v>0</v>
      </c>
      <c r="Q82" s="286">
        <f t="shared" ref="Q82:Q104" si="238">IF(INDEX(typ_sn,MATCH(INDEX(akun_type,MATCH($B82,akun_kb,0)),typ_ket,0))="db",SUMIFS(ju_sld,ju_bln,TEXT(Q$7,"mmmm"),ju_debet,$B82)-SUMIFS(ju_sld,ju_bln,TEXT(Q$7,"mmmm"),ju_kr,$B82),SUMIFS(ju_sld,ju_bln,TEXT(Q$7,"mmmm"),ju_kr,$B82)-SUMIFS(ju_sld,ju_bln,TEXT(Q$7,"mmmm"),ju_debet,$B82))+P82</f>
        <v>0</v>
      </c>
      <c r="R82" s="218"/>
      <c r="S82" s="278">
        <f t="shared" ref="S82:S105" si="239">IF(Q82=0,0,1)</f>
        <v>0</v>
      </c>
    </row>
    <row r="83" spans="2:19" s="274" customFormat="1" ht="18" customHeight="1">
      <c r="B83" s="285" t="str">
        <f>NERACA!B83</f>
        <v>TOTAL ASET TETAP</v>
      </c>
      <c r="C83" s="380"/>
      <c r="D83" s="381" t="str">
        <f t="shared" si="225"/>
        <v/>
      </c>
      <c r="E83" s="382">
        <f>SUM(E69:E82)</f>
        <v>1215538570</v>
      </c>
      <c r="F83" s="382">
        <f t="shared" ref="F83:Q83" si="240">SUM(F69:F82)</f>
        <v>1178004002</v>
      </c>
      <c r="G83" s="382">
        <f t="shared" si="240"/>
        <v>1140469434</v>
      </c>
      <c r="H83" s="382">
        <f t="shared" si="240"/>
        <v>1103884866</v>
      </c>
      <c r="I83" s="382">
        <f t="shared" si="240"/>
        <v>1068743631.3366666</v>
      </c>
      <c r="J83" s="382">
        <f t="shared" si="240"/>
        <v>1031152396.6733333</v>
      </c>
      <c r="K83" s="382">
        <f t="shared" si="240"/>
        <v>993561162.00999999</v>
      </c>
      <c r="L83" s="382">
        <f t="shared" si="240"/>
        <v>955969927.34666657</v>
      </c>
      <c r="M83" s="382">
        <f t="shared" si="240"/>
        <v>918978592.68333316</v>
      </c>
      <c r="N83" s="382">
        <f t="shared" si="240"/>
        <v>900058727.68333316</v>
      </c>
      <c r="O83" s="382">
        <f t="shared" si="240"/>
        <v>916365993.68333316</v>
      </c>
      <c r="P83" s="382">
        <f t="shared" si="240"/>
        <v>877532109.68333316</v>
      </c>
      <c r="Q83" s="382">
        <f t="shared" si="240"/>
        <v>1056561225.6833332</v>
      </c>
      <c r="R83" s="231"/>
      <c r="S83" s="383">
        <f t="shared" si="239"/>
        <v>1</v>
      </c>
    </row>
    <row r="84" spans="2:19" s="274" customFormat="1" ht="18" customHeight="1">
      <c r="B84" s="285" t="str">
        <f>NERACA!B84</f>
        <v>ASET TETAP LAINNYA</v>
      </c>
      <c r="C84" s="373"/>
      <c r="D84" s="284" t="str">
        <f t="shared" si="225"/>
        <v/>
      </c>
      <c r="E84" s="286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31"/>
      <c r="S84" s="383">
        <f t="shared" si="239"/>
        <v>0</v>
      </c>
    </row>
    <row r="85" spans="2:19" ht="18" customHeight="1">
      <c r="B85" s="287" t="str">
        <f>NERACA!B85</f>
        <v>130101 | GOODWILL</v>
      </c>
      <c r="C85" s="284"/>
      <c r="D85" s="284" t="str">
        <f t="shared" si="225"/>
        <v>Aktiva Tetap</v>
      </c>
      <c r="E85" s="286">
        <f t="shared" si="226"/>
        <v>2079027500</v>
      </c>
      <c r="F85" s="286">
        <f t="shared" si="227"/>
        <v>2079027500</v>
      </c>
      <c r="G85" s="286">
        <f t="shared" si="228"/>
        <v>2079027500</v>
      </c>
      <c r="H85" s="286">
        <f t="shared" si="229"/>
        <v>2079027500</v>
      </c>
      <c r="I85" s="286">
        <f t="shared" si="230"/>
        <v>2079027500</v>
      </c>
      <c r="J85" s="286">
        <f t="shared" si="231"/>
        <v>2079027500</v>
      </c>
      <c r="K85" s="286">
        <f t="shared" si="232"/>
        <v>2079027500</v>
      </c>
      <c r="L85" s="286">
        <f t="shared" si="233"/>
        <v>2079027500</v>
      </c>
      <c r="M85" s="286">
        <f t="shared" si="234"/>
        <v>2079027500</v>
      </c>
      <c r="N85" s="286">
        <f t="shared" si="235"/>
        <v>2079027500</v>
      </c>
      <c r="O85" s="286">
        <f t="shared" si="236"/>
        <v>2079027500</v>
      </c>
      <c r="P85" s="286">
        <f t="shared" si="237"/>
        <v>2079027500</v>
      </c>
      <c r="Q85" s="286">
        <f t="shared" si="238"/>
        <v>2079027500</v>
      </c>
      <c r="R85" s="218"/>
      <c r="S85" s="278">
        <f t="shared" si="239"/>
        <v>1</v>
      </c>
    </row>
    <row r="86" spans="2:19" ht="18" customHeight="1">
      <c r="B86" s="287" t="str">
        <f>NERACA!B86</f>
        <v>130111 | SISTEM INFORMASI PARKIR/WEBSITE PD PARKIR</v>
      </c>
      <c r="C86" s="284"/>
      <c r="D86" s="284" t="str">
        <f t="shared" si="225"/>
        <v>Aktiva Tetap</v>
      </c>
      <c r="E86" s="286">
        <f t="shared" si="226"/>
        <v>40000000</v>
      </c>
      <c r="F86" s="286">
        <f t="shared" si="227"/>
        <v>40000000</v>
      </c>
      <c r="G86" s="286">
        <f t="shared" si="228"/>
        <v>40000000</v>
      </c>
      <c r="H86" s="286">
        <f t="shared" si="229"/>
        <v>40000000</v>
      </c>
      <c r="I86" s="286">
        <f t="shared" si="230"/>
        <v>40000000</v>
      </c>
      <c r="J86" s="286">
        <f t="shared" si="231"/>
        <v>51200000</v>
      </c>
      <c r="K86" s="286">
        <f t="shared" si="232"/>
        <v>51200000</v>
      </c>
      <c r="L86" s="286">
        <f t="shared" si="233"/>
        <v>51200000</v>
      </c>
      <c r="M86" s="286">
        <f t="shared" si="234"/>
        <v>51200000</v>
      </c>
      <c r="N86" s="286">
        <f t="shared" si="235"/>
        <v>51200000</v>
      </c>
      <c r="O86" s="286">
        <f t="shared" si="236"/>
        <v>51200000</v>
      </c>
      <c r="P86" s="286">
        <f t="shared" si="237"/>
        <v>51200000</v>
      </c>
      <c r="Q86" s="286">
        <f t="shared" si="238"/>
        <v>51200000</v>
      </c>
      <c r="R86" s="218"/>
      <c r="S86" s="278">
        <f t="shared" si="239"/>
        <v>1</v>
      </c>
    </row>
    <row r="87" spans="2:19" ht="18" customHeight="1">
      <c r="B87" s="287" t="str">
        <f>NERACA!B87</f>
        <v>130112 | SISTEM INFORMASI KEUANGAN</v>
      </c>
      <c r="C87" s="284"/>
      <c r="D87" s="284" t="str">
        <f t="shared" si="225"/>
        <v>Aktiva Tetap</v>
      </c>
      <c r="E87" s="286">
        <f t="shared" si="226"/>
        <v>87000000</v>
      </c>
      <c r="F87" s="286">
        <f t="shared" si="227"/>
        <v>87000000</v>
      </c>
      <c r="G87" s="286">
        <f t="shared" si="228"/>
        <v>87000000</v>
      </c>
      <c r="H87" s="286">
        <f t="shared" si="229"/>
        <v>87000000</v>
      </c>
      <c r="I87" s="286">
        <f t="shared" si="230"/>
        <v>87000000</v>
      </c>
      <c r="J87" s="286">
        <f t="shared" si="231"/>
        <v>87000000</v>
      </c>
      <c r="K87" s="286">
        <f t="shared" si="232"/>
        <v>87000000</v>
      </c>
      <c r="L87" s="286">
        <f t="shared" si="233"/>
        <v>87000000</v>
      </c>
      <c r="M87" s="286">
        <f t="shared" si="234"/>
        <v>87000000</v>
      </c>
      <c r="N87" s="286">
        <f t="shared" si="235"/>
        <v>87000000</v>
      </c>
      <c r="O87" s="286">
        <f t="shared" si="236"/>
        <v>87000000</v>
      </c>
      <c r="P87" s="286">
        <f t="shared" si="237"/>
        <v>87000000</v>
      </c>
      <c r="Q87" s="286">
        <f t="shared" si="238"/>
        <v>87000000</v>
      </c>
      <c r="R87" s="218"/>
      <c r="S87" s="278">
        <f t="shared" si="239"/>
        <v>1</v>
      </c>
    </row>
    <row r="88" spans="2:19" ht="18" customHeight="1">
      <c r="B88" s="287" t="str">
        <f>NERACA!B88</f>
        <v>130113 | RENSTRA</v>
      </c>
      <c r="C88" s="284"/>
      <c r="D88" s="284" t="str">
        <f t="shared" si="225"/>
        <v>Aktiva Tetap</v>
      </c>
      <c r="E88" s="286">
        <f t="shared" si="226"/>
        <v>45000000</v>
      </c>
      <c r="F88" s="286">
        <f t="shared" si="227"/>
        <v>45000000</v>
      </c>
      <c r="G88" s="286">
        <f t="shared" si="228"/>
        <v>45000000</v>
      </c>
      <c r="H88" s="286">
        <f t="shared" si="229"/>
        <v>45000000</v>
      </c>
      <c r="I88" s="286">
        <f t="shared" si="230"/>
        <v>45000000</v>
      </c>
      <c r="J88" s="286">
        <f t="shared" si="231"/>
        <v>45000000</v>
      </c>
      <c r="K88" s="286">
        <f t="shared" si="232"/>
        <v>45000000</v>
      </c>
      <c r="L88" s="286">
        <f t="shared" si="233"/>
        <v>45000000</v>
      </c>
      <c r="M88" s="286">
        <f t="shared" si="234"/>
        <v>45000000</v>
      </c>
      <c r="N88" s="286">
        <f t="shared" si="235"/>
        <v>45000000</v>
      </c>
      <c r="O88" s="286">
        <f t="shared" si="236"/>
        <v>45000000</v>
      </c>
      <c r="P88" s="286">
        <f t="shared" si="237"/>
        <v>45000000</v>
      </c>
      <c r="Q88" s="286">
        <f t="shared" si="238"/>
        <v>45000000</v>
      </c>
      <c r="R88" s="218"/>
      <c r="S88" s="278">
        <f t="shared" si="239"/>
        <v>1</v>
      </c>
    </row>
    <row r="89" spans="2:19" ht="18" customHeight="1">
      <c r="B89" s="287" t="str">
        <f>NERACA!B89</f>
        <v>130114 | PEDOMAN AKUNTANSI</v>
      </c>
      <c r="C89" s="284"/>
      <c r="D89" s="284" t="str">
        <f t="shared" si="225"/>
        <v>Aktiva Tetap</v>
      </c>
      <c r="E89" s="286">
        <f t="shared" si="226"/>
        <v>95200000</v>
      </c>
      <c r="F89" s="286">
        <f t="shared" si="227"/>
        <v>95200000</v>
      </c>
      <c r="G89" s="286">
        <f t="shared" si="228"/>
        <v>95200000</v>
      </c>
      <c r="H89" s="286">
        <f t="shared" si="229"/>
        <v>95200000</v>
      </c>
      <c r="I89" s="286">
        <f t="shared" si="230"/>
        <v>95200000</v>
      </c>
      <c r="J89" s="286">
        <f t="shared" si="231"/>
        <v>95200000</v>
      </c>
      <c r="K89" s="286">
        <f t="shared" si="232"/>
        <v>95200000</v>
      </c>
      <c r="L89" s="286">
        <f t="shared" si="233"/>
        <v>95200000</v>
      </c>
      <c r="M89" s="286">
        <f t="shared" si="234"/>
        <v>95200000</v>
      </c>
      <c r="N89" s="286">
        <f t="shared" si="235"/>
        <v>95200000</v>
      </c>
      <c r="O89" s="286">
        <f t="shared" si="236"/>
        <v>95200000</v>
      </c>
      <c r="P89" s="286">
        <f t="shared" si="237"/>
        <v>95200000</v>
      </c>
      <c r="Q89" s="286">
        <f t="shared" si="238"/>
        <v>95200000</v>
      </c>
      <c r="R89" s="218"/>
      <c r="S89" s="278">
        <f t="shared" si="239"/>
        <v>1</v>
      </c>
    </row>
    <row r="90" spans="2:19" ht="18" customHeight="1">
      <c r="B90" s="287" t="str">
        <f>NERACA!B90</f>
        <v>130115 | PEDOMAN PENYUSUNAN RKAP</v>
      </c>
      <c r="C90" s="284"/>
      <c r="D90" s="284" t="str">
        <f t="shared" si="225"/>
        <v>Aktiva Tetap</v>
      </c>
      <c r="E90" s="286">
        <f t="shared" si="226"/>
        <v>44800000</v>
      </c>
      <c r="F90" s="286">
        <f t="shared" si="227"/>
        <v>44800000</v>
      </c>
      <c r="G90" s="286">
        <f t="shared" si="228"/>
        <v>44800000</v>
      </c>
      <c r="H90" s="286">
        <f t="shared" si="229"/>
        <v>44800000</v>
      </c>
      <c r="I90" s="286">
        <f t="shared" si="230"/>
        <v>44800000</v>
      </c>
      <c r="J90" s="286">
        <f t="shared" si="231"/>
        <v>44800000</v>
      </c>
      <c r="K90" s="286">
        <f t="shared" si="232"/>
        <v>44800000</v>
      </c>
      <c r="L90" s="286">
        <f t="shared" si="233"/>
        <v>44800000</v>
      </c>
      <c r="M90" s="286">
        <f t="shared" si="234"/>
        <v>44800000</v>
      </c>
      <c r="N90" s="286">
        <f t="shared" si="235"/>
        <v>44800000</v>
      </c>
      <c r="O90" s="286">
        <f t="shared" si="236"/>
        <v>44800000</v>
      </c>
      <c r="P90" s="286">
        <f t="shared" si="237"/>
        <v>44800000</v>
      </c>
      <c r="Q90" s="286">
        <f t="shared" si="238"/>
        <v>44800000</v>
      </c>
      <c r="R90" s="218"/>
      <c r="S90" s="278">
        <f t="shared" si="239"/>
        <v>1</v>
      </c>
    </row>
    <row r="91" spans="2:19" ht="18" customHeight="1">
      <c r="B91" s="287" t="str">
        <f>NERACA!B91</f>
        <v>130116 | ISO</v>
      </c>
      <c r="C91" s="284"/>
      <c r="D91" s="284" t="str">
        <f t="shared" si="225"/>
        <v>Aktiva Tetap</v>
      </c>
      <c r="E91" s="286">
        <f t="shared" si="226"/>
        <v>182100000</v>
      </c>
      <c r="F91" s="286">
        <f t="shared" si="227"/>
        <v>182100000</v>
      </c>
      <c r="G91" s="286">
        <f t="shared" si="228"/>
        <v>182100000</v>
      </c>
      <c r="H91" s="286">
        <f t="shared" si="229"/>
        <v>182100000</v>
      </c>
      <c r="I91" s="286">
        <f t="shared" si="230"/>
        <v>182100000</v>
      </c>
      <c r="J91" s="286">
        <f t="shared" si="231"/>
        <v>182100000</v>
      </c>
      <c r="K91" s="286">
        <f t="shared" si="232"/>
        <v>182100000</v>
      </c>
      <c r="L91" s="286">
        <f t="shared" si="233"/>
        <v>182100000</v>
      </c>
      <c r="M91" s="286">
        <f t="shared" si="234"/>
        <v>182100000</v>
      </c>
      <c r="N91" s="286">
        <f t="shared" si="235"/>
        <v>182100000</v>
      </c>
      <c r="O91" s="286">
        <f t="shared" si="236"/>
        <v>182100000</v>
      </c>
      <c r="P91" s="286">
        <f t="shared" si="237"/>
        <v>182100000</v>
      </c>
      <c r="Q91" s="286">
        <f t="shared" si="238"/>
        <v>182100000</v>
      </c>
      <c r="R91" s="218"/>
      <c r="S91" s="278">
        <f t="shared" si="239"/>
        <v>1</v>
      </c>
    </row>
    <row r="92" spans="2:19" ht="18" customHeight="1">
      <c r="B92" s="287" t="str">
        <f>NERACA!B92</f>
        <v>130117 | PEMBUATAN SISTEM KWITANSI</v>
      </c>
      <c r="C92" s="284"/>
      <c r="D92" s="284" t="str">
        <f t="shared" si="225"/>
        <v>Aktiva Tetap</v>
      </c>
      <c r="E92" s="286">
        <f t="shared" si="226"/>
        <v>7250000</v>
      </c>
      <c r="F92" s="286">
        <f t="shared" si="227"/>
        <v>7250000</v>
      </c>
      <c r="G92" s="286">
        <f t="shared" si="228"/>
        <v>7250000</v>
      </c>
      <c r="H92" s="286">
        <f t="shared" si="229"/>
        <v>7250000</v>
      </c>
      <c r="I92" s="286">
        <f t="shared" si="230"/>
        <v>7250000</v>
      </c>
      <c r="J92" s="286">
        <f t="shared" si="231"/>
        <v>7250000</v>
      </c>
      <c r="K92" s="286">
        <f t="shared" si="232"/>
        <v>7250000</v>
      </c>
      <c r="L92" s="286">
        <f t="shared" si="233"/>
        <v>7250000</v>
      </c>
      <c r="M92" s="286">
        <f t="shared" si="234"/>
        <v>7250000</v>
      </c>
      <c r="N92" s="286">
        <f t="shared" si="235"/>
        <v>7250000</v>
      </c>
      <c r="O92" s="286">
        <f t="shared" si="236"/>
        <v>7250000</v>
      </c>
      <c r="P92" s="286">
        <f t="shared" si="237"/>
        <v>7250000</v>
      </c>
      <c r="Q92" s="286">
        <f t="shared" si="238"/>
        <v>7250000</v>
      </c>
      <c r="R92" s="218"/>
      <c r="S92" s="278">
        <f t="shared" si="239"/>
        <v>1</v>
      </c>
    </row>
    <row r="93" spans="2:19" ht="18" customHeight="1">
      <c r="B93" s="287" t="str">
        <f>NERACA!B93</f>
        <v>130118 | MAP PARKING</v>
      </c>
      <c r="C93" s="284"/>
      <c r="D93" s="284" t="str">
        <f t="shared" si="225"/>
        <v>Aktiva Tetap</v>
      </c>
      <c r="E93" s="286">
        <f t="shared" si="226"/>
        <v>40000000</v>
      </c>
      <c r="F93" s="286">
        <f t="shared" si="227"/>
        <v>40000000</v>
      </c>
      <c r="G93" s="286">
        <f t="shared" si="228"/>
        <v>40000000</v>
      </c>
      <c r="H93" s="286">
        <f t="shared" si="229"/>
        <v>40000000</v>
      </c>
      <c r="I93" s="286">
        <f t="shared" si="230"/>
        <v>40000000</v>
      </c>
      <c r="J93" s="286">
        <f t="shared" si="231"/>
        <v>40000000</v>
      </c>
      <c r="K93" s="286">
        <f t="shared" si="232"/>
        <v>40000000</v>
      </c>
      <c r="L93" s="286">
        <f t="shared" si="233"/>
        <v>40000000</v>
      </c>
      <c r="M93" s="286">
        <f t="shared" si="234"/>
        <v>40000000</v>
      </c>
      <c r="N93" s="286">
        <f t="shared" si="235"/>
        <v>40000000</v>
      </c>
      <c r="O93" s="286">
        <f t="shared" si="236"/>
        <v>40000000</v>
      </c>
      <c r="P93" s="286">
        <f t="shared" si="237"/>
        <v>40000000</v>
      </c>
      <c r="Q93" s="286">
        <f t="shared" si="238"/>
        <v>40000000</v>
      </c>
      <c r="R93" s="218"/>
      <c r="S93" s="278">
        <f t="shared" si="239"/>
        <v>1</v>
      </c>
    </row>
    <row r="94" spans="2:19" ht="18" customHeight="1">
      <c r="B94" s="287" t="str">
        <f>NERACA!B94</f>
        <v>130119 | PENYUSUNAN REGULASI PERDA</v>
      </c>
      <c r="C94" s="284"/>
      <c r="D94" s="284" t="str">
        <f t="shared" si="225"/>
        <v>Aktiva Tetap</v>
      </c>
      <c r="E94" s="286">
        <f t="shared" si="226"/>
        <v>67590000</v>
      </c>
      <c r="F94" s="286">
        <f t="shared" si="227"/>
        <v>67590000</v>
      </c>
      <c r="G94" s="286">
        <f t="shared" si="228"/>
        <v>67590000</v>
      </c>
      <c r="H94" s="286">
        <f t="shared" si="229"/>
        <v>67590000</v>
      </c>
      <c r="I94" s="286">
        <f t="shared" si="230"/>
        <v>67590000</v>
      </c>
      <c r="J94" s="286">
        <f t="shared" si="231"/>
        <v>67590000</v>
      </c>
      <c r="K94" s="286">
        <f t="shared" si="232"/>
        <v>67590000</v>
      </c>
      <c r="L94" s="286">
        <f t="shared" si="233"/>
        <v>67590000</v>
      </c>
      <c r="M94" s="286">
        <f t="shared" si="234"/>
        <v>67590000</v>
      </c>
      <c r="N94" s="286">
        <f t="shared" si="235"/>
        <v>67590000</v>
      </c>
      <c r="O94" s="286">
        <f t="shared" si="236"/>
        <v>67590000</v>
      </c>
      <c r="P94" s="286">
        <f t="shared" si="237"/>
        <v>67590000</v>
      </c>
      <c r="Q94" s="286">
        <f t="shared" si="238"/>
        <v>67590000</v>
      </c>
      <c r="R94" s="218"/>
      <c r="S94" s="278">
        <f t="shared" si="239"/>
        <v>1</v>
      </c>
    </row>
    <row r="95" spans="2:19" ht="18" customHeight="1">
      <c r="B95" s="287" t="str">
        <f>NERACA!B95</f>
        <v>130120 | BIAYA PEMBUATAN SIM KEU</v>
      </c>
      <c r="C95" s="284"/>
      <c r="D95" s="284" t="str">
        <f t="shared" si="225"/>
        <v>Aktiva Tetap</v>
      </c>
      <c r="E95" s="286">
        <f t="shared" si="226"/>
        <v>74950000</v>
      </c>
      <c r="F95" s="286">
        <f t="shared" si="227"/>
        <v>74950000</v>
      </c>
      <c r="G95" s="286">
        <f t="shared" si="228"/>
        <v>74950000</v>
      </c>
      <c r="H95" s="286">
        <f t="shared" si="229"/>
        <v>74950000</v>
      </c>
      <c r="I95" s="286">
        <f t="shared" si="230"/>
        <v>74950000</v>
      </c>
      <c r="J95" s="286">
        <f t="shared" si="231"/>
        <v>74950000</v>
      </c>
      <c r="K95" s="286">
        <f t="shared" si="232"/>
        <v>74950000</v>
      </c>
      <c r="L95" s="286">
        <f t="shared" si="233"/>
        <v>74950000</v>
      </c>
      <c r="M95" s="286">
        <f t="shared" si="234"/>
        <v>74950000</v>
      </c>
      <c r="N95" s="286">
        <f t="shared" si="235"/>
        <v>74950000</v>
      </c>
      <c r="O95" s="286">
        <f t="shared" si="236"/>
        <v>74950000</v>
      </c>
      <c r="P95" s="286">
        <f t="shared" si="237"/>
        <v>74950000</v>
      </c>
      <c r="Q95" s="286">
        <f t="shared" si="238"/>
        <v>74950000</v>
      </c>
      <c r="R95" s="218"/>
      <c r="S95" s="278">
        <f t="shared" si="239"/>
        <v>1</v>
      </c>
    </row>
    <row r="96" spans="2:19" ht="18" customHeight="1">
      <c r="B96" s="287" t="str">
        <f>NERACA!B96</f>
        <v>130121 | BIAYA PEMBUATAN SIM KEU 2</v>
      </c>
      <c r="C96" s="284"/>
      <c r="D96" s="284" t="str">
        <f t="shared" si="225"/>
        <v>Aktiva Tetap</v>
      </c>
      <c r="E96" s="286">
        <f t="shared" si="226"/>
        <v>28450000</v>
      </c>
      <c r="F96" s="286">
        <f t="shared" si="227"/>
        <v>28450000</v>
      </c>
      <c r="G96" s="286">
        <f t="shared" si="228"/>
        <v>28450000</v>
      </c>
      <c r="H96" s="286">
        <f t="shared" si="229"/>
        <v>28450000</v>
      </c>
      <c r="I96" s="286">
        <f t="shared" si="230"/>
        <v>28450000</v>
      </c>
      <c r="J96" s="286">
        <f t="shared" si="231"/>
        <v>28450000</v>
      </c>
      <c r="K96" s="286">
        <f t="shared" si="232"/>
        <v>28450000</v>
      </c>
      <c r="L96" s="286">
        <f t="shared" si="233"/>
        <v>28450000</v>
      </c>
      <c r="M96" s="286">
        <f t="shared" si="234"/>
        <v>28450000</v>
      </c>
      <c r="N96" s="286">
        <f t="shared" si="235"/>
        <v>28450000</v>
      </c>
      <c r="O96" s="286">
        <f t="shared" si="236"/>
        <v>28450000</v>
      </c>
      <c r="P96" s="286">
        <f t="shared" si="237"/>
        <v>28450000</v>
      </c>
      <c r="Q96" s="286">
        <f t="shared" si="238"/>
        <v>28450000</v>
      </c>
      <c r="R96" s="218"/>
      <c r="S96" s="278">
        <f t="shared" si="239"/>
        <v>1</v>
      </c>
    </row>
    <row r="97" spans="2:19" ht="18" customHeight="1">
      <c r="B97" s="287" t="str">
        <f>NERACA!B97</f>
        <v>130122 | BIAYA PENGEMBANGAN SIM KEU</v>
      </c>
      <c r="C97" s="284"/>
      <c r="D97" s="284" t="str">
        <f t="shared" si="225"/>
        <v>Aktiva Tetap</v>
      </c>
      <c r="E97" s="286">
        <f t="shared" si="226"/>
        <v>74950000</v>
      </c>
      <c r="F97" s="286">
        <f t="shared" si="227"/>
        <v>74950000</v>
      </c>
      <c r="G97" s="286">
        <f t="shared" si="228"/>
        <v>74950000</v>
      </c>
      <c r="H97" s="286">
        <f t="shared" si="229"/>
        <v>74950000</v>
      </c>
      <c r="I97" s="286">
        <f t="shared" si="230"/>
        <v>74950000</v>
      </c>
      <c r="J97" s="286">
        <f t="shared" si="231"/>
        <v>74950000</v>
      </c>
      <c r="K97" s="286">
        <f t="shared" si="232"/>
        <v>74950000</v>
      </c>
      <c r="L97" s="286">
        <f t="shared" si="233"/>
        <v>74950000</v>
      </c>
      <c r="M97" s="286">
        <f t="shared" si="234"/>
        <v>74950000</v>
      </c>
      <c r="N97" s="286">
        <f t="shared" si="235"/>
        <v>74950000</v>
      </c>
      <c r="O97" s="286">
        <f t="shared" si="236"/>
        <v>74950000</v>
      </c>
      <c r="P97" s="286">
        <f t="shared" si="237"/>
        <v>74950000</v>
      </c>
      <c r="Q97" s="286">
        <f t="shared" si="238"/>
        <v>74950000</v>
      </c>
      <c r="R97" s="218"/>
      <c r="S97" s="278">
        <f t="shared" si="239"/>
        <v>1</v>
      </c>
    </row>
    <row r="98" spans="2:19" ht="18" customHeight="1">
      <c r="B98" s="287" t="str">
        <f>NERACA!B98</f>
        <v>130123 | DESIGN GAMBAR PARKIRAN TAMAN</v>
      </c>
      <c r="C98" s="284"/>
      <c r="D98" s="284" t="str">
        <f t="shared" si="225"/>
        <v>Aktiva Tetap</v>
      </c>
      <c r="E98" s="286">
        <f t="shared" si="226"/>
        <v>198660000</v>
      </c>
      <c r="F98" s="286">
        <f t="shared" si="227"/>
        <v>198660000</v>
      </c>
      <c r="G98" s="286">
        <f t="shared" si="228"/>
        <v>198660000</v>
      </c>
      <c r="H98" s="286">
        <f t="shared" si="229"/>
        <v>198660000</v>
      </c>
      <c r="I98" s="286">
        <f t="shared" si="230"/>
        <v>198660000</v>
      </c>
      <c r="J98" s="286">
        <f t="shared" si="231"/>
        <v>198660000</v>
      </c>
      <c r="K98" s="286">
        <f t="shared" si="232"/>
        <v>198660000</v>
      </c>
      <c r="L98" s="286">
        <f t="shared" si="233"/>
        <v>198660000</v>
      </c>
      <c r="M98" s="286">
        <f t="shared" si="234"/>
        <v>198660000</v>
      </c>
      <c r="N98" s="286">
        <f t="shared" si="235"/>
        <v>198660000</v>
      </c>
      <c r="O98" s="286">
        <f t="shared" si="236"/>
        <v>198660000</v>
      </c>
      <c r="P98" s="286">
        <f t="shared" si="237"/>
        <v>198660000</v>
      </c>
      <c r="Q98" s="286">
        <f t="shared" si="238"/>
        <v>198660000</v>
      </c>
      <c r="R98" s="218"/>
      <c r="S98" s="278">
        <f t="shared" si="239"/>
        <v>1</v>
      </c>
    </row>
    <row r="99" spans="2:19" ht="18" customHeight="1">
      <c r="B99" s="287" t="str">
        <f>NERACA!B99</f>
        <v>130124 | PEMBUATAN SOP</v>
      </c>
      <c r="C99" s="284"/>
      <c r="D99" s="284" t="str">
        <f t="shared" si="225"/>
        <v>Aktiva Tetap</v>
      </c>
      <c r="E99" s="286">
        <f t="shared" si="226"/>
        <v>60000000</v>
      </c>
      <c r="F99" s="286">
        <f t="shared" si="227"/>
        <v>60000000</v>
      </c>
      <c r="G99" s="286">
        <f t="shared" si="228"/>
        <v>60000000</v>
      </c>
      <c r="H99" s="286">
        <f t="shared" si="229"/>
        <v>60000000</v>
      </c>
      <c r="I99" s="286">
        <f t="shared" si="230"/>
        <v>60000000</v>
      </c>
      <c r="J99" s="286">
        <f t="shared" si="231"/>
        <v>60000000</v>
      </c>
      <c r="K99" s="286">
        <f t="shared" si="232"/>
        <v>60000000</v>
      </c>
      <c r="L99" s="286">
        <f t="shared" si="233"/>
        <v>60000000</v>
      </c>
      <c r="M99" s="286">
        <f t="shared" si="234"/>
        <v>60000000</v>
      </c>
      <c r="N99" s="286">
        <f t="shared" si="235"/>
        <v>60000000</v>
      </c>
      <c r="O99" s="286">
        <f t="shared" si="236"/>
        <v>60000000</v>
      </c>
      <c r="P99" s="286">
        <f t="shared" si="237"/>
        <v>60000000</v>
      </c>
      <c r="Q99" s="286">
        <f t="shared" si="238"/>
        <v>60000000</v>
      </c>
      <c r="R99" s="218"/>
      <c r="S99" s="278">
        <f t="shared" si="239"/>
        <v>1</v>
      </c>
    </row>
    <row r="100" spans="2:19" ht="18" customHeight="1">
      <c r="B100" s="287" t="str">
        <f>NERACA!B100</f>
        <v>130125 | PEMBUATAN CORPORATE PLAN</v>
      </c>
      <c r="C100" s="284"/>
      <c r="D100" s="284" t="str">
        <f t="shared" si="225"/>
        <v>Aktiva Tetap</v>
      </c>
      <c r="E100" s="286">
        <f t="shared" si="226"/>
        <v>40000000</v>
      </c>
      <c r="F100" s="286">
        <f t="shared" si="227"/>
        <v>40000000</v>
      </c>
      <c r="G100" s="286">
        <f t="shared" si="228"/>
        <v>40000000</v>
      </c>
      <c r="H100" s="286">
        <f t="shared" si="229"/>
        <v>40000000</v>
      </c>
      <c r="I100" s="286">
        <f t="shared" si="230"/>
        <v>40000000</v>
      </c>
      <c r="J100" s="286">
        <f t="shared" si="231"/>
        <v>40000000</v>
      </c>
      <c r="K100" s="286">
        <f t="shared" si="232"/>
        <v>40000000</v>
      </c>
      <c r="L100" s="286">
        <f t="shared" si="233"/>
        <v>40000000</v>
      </c>
      <c r="M100" s="286">
        <f t="shared" si="234"/>
        <v>40000000</v>
      </c>
      <c r="N100" s="286">
        <f t="shared" si="235"/>
        <v>40000000</v>
      </c>
      <c r="O100" s="286">
        <f t="shared" si="236"/>
        <v>40000000</v>
      </c>
      <c r="P100" s="286">
        <f t="shared" si="237"/>
        <v>40000000</v>
      </c>
      <c r="Q100" s="286">
        <f t="shared" si="238"/>
        <v>40000000</v>
      </c>
      <c r="R100" s="218"/>
      <c r="S100" s="278">
        <f t="shared" si="239"/>
        <v>1</v>
      </c>
    </row>
    <row r="101" spans="2:19" ht="18" customHeight="1">
      <c r="B101" s="287" t="str">
        <f>NERACA!B101</f>
        <v>130126 | SISTEM INFORMASI JUKIR DAN TITIK PARKIR</v>
      </c>
      <c r="C101" s="284"/>
      <c r="D101" s="284" t="str">
        <f t="shared" si="225"/>
        <v>Aktiva Tetap</v>
      </c>
      <c r="E101" s="286">
        <f t="shared" si="226"/>
        <v>79900000</v>
      </c>
      <c r="F101" s="286">
        <f t="shared" si="227"/>
        <v>79900000</v>
      </c>
      <c r="G101" s="286">
        <f t="shared" si="228"/>
        <v>79900000</v>
      </c>
      <c r="H101" s="286">
        <f t="shared" si="229"/>
        <v>79900000</v>
      </c>
      <c r="I101" s="286">
        <f t="shared" si="230"/>
        <v>79900000</v>
      </c>
      <c r="J101" s="286">
        <f t="shared" si="231"/>
        <v>79900000</v>
      </c>
      <c r="K101" s="286">
        <f t="shared" si="232"/>
        <v>79900000</v>
      </c>
      <c r="L101" s="286">
        <f t="shared" si="233"/>
        <v>79900000</v>
      </c>
      <c r="M101" s="286">
        <f t="shared" si="234"/>
        <v>79900000</v>
      </c>
      <c r="N101" s="286">
        <f t="shared" si="235"/>
        <v>79900000</v>
      </c>
      <c r="O101" s="286">
        <f t="shared" si="236"/>
        <v>79900000</v>
      </c>
      <c r="P101" s="286">
        <f t="shared" si="237"/>
        <v>79900000</v>
      </c>
      <c r="Q101" s="286">
        <f t="shared" si="238"/>
        <v>79900000</v>
      </c>
      <c r="R101" s="218"/>
      <c r="S101" s="278">
        <f t="shared" si="239"/>
        <v>1</v>
      </c>
    </row>
    <row r="102" spans="2:19" ht="18" customHeight="1">
      <c r="B102" s="287" t="str">
        <f>NERACA!B102</f>
        <v>130127 | SISTEM INFORMASI PEGAWAI</v>
      </c>
      <c r="C102" s="284"/>
      <c r="D102" s="284" t="str">
        <f t="shared" si="225"/>
        <v>Aktiva Tetap</v>
      </c>
      <c r="E102" s="286">
        <f t="shared" si="226"/>
        <v>24850000</v>
      </c>
      <c r="F102" s="286">
        <f t="shared" si="227"/>
        <v>24850000</v>
      </c>
      <c r="G102" s="286">
        <f t="shared" si="228"/>
        <v>24850000</v>
      </c>
      <c r="H102" s="286">
        <f t="shared" si="229"/>
        <v>24850000</v>
      </c>
      <c r="I102" s="286">
        <f t="shared" si="230"/>
        <v>24850000</v>
      </c>
      <c r="J102" s="286">
        <f t="shared" si="231"/>
        <v>24850000</v>
      </c>
      <c r="K102" s="286">
        <f t="shared" si="232"/>
        <v>24850000</v>
      </c>
      <c r="L102" s="286">
        <f t="shared" si="233"/>
        <v>24850000</v>
      </c>
      <c r="M102" s="286">
        <f t="shared" si="234"/>
        <v>24850000</v>
      </c>
      <c r="N102" s="286">
        <f t="shared" si="235"/>
        <v>24850000</v>
      </c>
      <c r="O102" s="286">
        <f t="shared" si="236"/>
        <v>24850000</v>
      </c>
      <c r="P102" s="286">
        <f t="shared" si="237"/>
        <v>24850000</v>
      </c>
      <c r="Q102" s="286">
        <f t="shared" si="238"/>
        <v>24850000</v>
      </c>
      <c r="R102" s="218"/>
      <c r="S102" s="278">
        <f t="shared" si="239"/>
        <v>1</v>
      </c>
    </row>
    <row r="103" spans="2:19" ht="18" customHeight="1">
      <c r="B103" s="287" t="str">
        <f>NERACA!B103</f>
        <v>130128 | APLIKASI GO PARKIR APP MOBILE</v>
      </c>
      <c r="C103" s="284"/>
      <c r="D103" s="284" t="str">
        <f t="shared" si="225"/>
        <v>Aktiva Tetap</v>
      </c>
      <c r="E103" s="286">
        <f t="shared" si="226"/>
        <v>16150000</v>
      </c>
      <c r="F103" s="286">
        <f t="shared" si="227"/>
        <v>16150000</v>
      </c>
      <c r="G103" s="286">
        <f t="shared" si="228"/>
        <v>16150000</v>
      </c>
      <c r="H103" s="286">
        <f t="shared" si="229"/>
        <v>16150000</v>
      </c>
      <c r="I103" s="286">
        <f t="shared" si="230"/>
        <v>16150000</v>
      </c>
      <c r="J103" s="286">
        <f t="shared" si="231"/>
        <v>16150000</v>
      </c>
      <c r="K103" s="286">
        <f t="shared" si="232"/>
        <v>16150000</v>
      </c>
      <c r="L103" s="286">
        <f t="shared" si="233"/>
        <v>16150000</v>
      </c>
      <c r="M103" s="286">
        <f t="shared" si="234"/>
        <v>16150000</v>
      </c>
      <c r="N103" s="286">
        <f t="shared" si="235"/>
        <v>16150000</v>
      </c>
      <c r="O103" s="286">
        <f t="shared" si="236"/>
        <v>16150000</v>
      </c>
      <c r="P103" s="286">
        <f t="shared" si="237"/>
        <v>16150000</v>
      </c>
      <c r="Q103" s="286">
        <f t="shared" si="238"/>
        <v>16150000</v>
      </c>
      <c r="R103" s="218"/>
      <c r="S103" s="278">
        <f t="shared" si="239"/>
        <v>1</v>
      </c>
    </row>
    <row r="104" spans="2:19" ht="18" customHeight="1">
      <c r="B104" s="287" t="str">
        <f>NERACA!B104</f>
        <v>130129 | SIMKEU 2021</v>
      </c>
      <c r="C104" s="284"/>
      <c r="D104" s="284" t="str">
        <f t="shared" si="225"/>
        <v>Aktiva Tetap</v>
      </c>
      <c r="E104" s="286">
        <f t="shared" si="226"/>
        <v>176880000</v>
      </c>
      <c r="F104" s="286">
        <f t="shared" si="227"/>
        <v>176880000</v>
      </c>
      <c r="G104" s="286">
        <f t="shared" si="228"/>
        <v>176880000</v>
      </c>
      <c r="H104" s="286">
        <f t="shared" si="229"/>
        <v>176880000</v>
      </c>
      <c r="I104" s="286">
        <f t="shared" si="230"/>
        <v>176880000</v>
      </c>
      <c r="J104" s="286">
        <f t="shared" si="231"/>
        <v>176880000</v>
      </c>
      <c r="K104" s="286">
        <f t="shared" si="232"/>
        <v>176880000</v>
      </c>
      <c r="L104" s="286">
        <f t="shared" si="233"/>
        <v>176880000</v>
      </c>
      <c r="M104" s="286">
        <f t="shared" si="234"/>
        <v>176880000</v>
      </c>
      <c r="N104" s="286">
        <f t="shared" si="235"/>
        <v>176880000</v>
      </c>
      <c r="O104" s="286">
        <f t="shared" si="236"/>
        <v>176880000</v>
      </c>
      <c r="P104" s="286">
        <f t="shared" si="237"/>
        <v>176880000</v>
      </c>
      <c r="Q104" s="286">
        <f t="shared" si="238"/>
        <v>176880000</v>
      </c>
      <c r="R104" s="218"/>
      <c r="S104" s="278">
        <f t="shared" si="239"/>
        <v>1</v>
      </c>
    </row>
    <row r="105" spans="2:19" s="274" customFormat="1" ht="18" customHeight="1">
      <c r="B105" s="285" t="str">
        <f>NERACA!B107</f>
        <v>TOTAL BEBAN DITANGGUHKAN</v>
      </c>
      <c r="C105" s="380"/>
      <c r="D105" s="380" t="str">
        <f t="shared" si="225"/>
        <v/>
      </c>
      <c r="E105" s="382">
        <f t="shared" ref="E105:Q105" si="241">SUM(E86:E104)</f>
        <v>1383730000</v>
      </c>
      <c r="F105" s="382">
        <f t="shared" si="241"/>
        <v>1383730000</v>
      </c>
      <c r="G105" s="382">
        <f t="shared" si="241"/>
        <v>1383730000</v>
      </c>
      <c r="H105" s="382">
        <f t="shared" si="241"/>
        <v>1383730000</v>
      </c>
      <c r="I105" s="382">
        <f t="shared" si="241"/>
        <v>1383730000</v>
      </c>
      <c r="J105" s="382">
        <f t="shared" si="241"/>
        <v>1394930000</v>
      </c>
      <c r="K105" s="382">
        <f t="shared" si="241"/>
        <v>1394930000</v>
      </c>
      <c r="L105" s="382">
        <f t="shared" si="241"/>
        <v>1394930000</v>
      </c>
      <c r="M105" s="382">
        <f t="shared" si="241"/>
        <v>1394930000</v>
      </c>
      <c r="N105" s="382">
        <f t="shared" si="241"/>
        <v>1394930000</v>
      </c>
      <c r="O105" s="382">
        <f t="shared" si="241"/>
        <v>1394930000</v>
      </c>
      <c r="P105" s="382">
        <f t="shared" si="241"/>
        <v>1394930000</v>
      </c>
      <c r="Q105" s="382">
        <f t="shared" si="241"/>
        <v>1394930000</v>
      </c>
      <c r="R105" s="218"/>
      <c r="S105" s="383">
        <f t="shared" si="239"/>
        <v>1</v>
      </c>
    </row>
    <row r="106" spans="2:19" s="274" customFormat="1" ht="18" customHeight="1">
      <c r="B106" s="285" t="str">
        <f>NERACA!B108</f>
        <v>AKUMULASI AMORTISASI BEBAN DITANGGUHKAN</v>
      </c>
      <c r="C106" s="373"/>
      <c r="D106" s="373" t="str">
        <f t="shared" ref="D106" si="242">IFERROR(INDEX(akun_type,MATCH(B106,akun_kb,0)),"")</f>
        <v/>
      </c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18"/>
      <c r="S106" s="383">
        <f t="shared" ref="S106" si="243">IF(Q106=0,0,1)</f>
        <v>0</v>
      </c>
    </row>
    <row r="107" spans="2:19" ht="18" customHeight="1">
      <c r="B107" s="287" t="str">
        <f>NERACA!B109</f>
        <v>130201 | AKUMULASI AMORTISASI GOODWILL</v>
      </c>
      <c r="C107" s="284"/>
      <c r="D107" s="284" t="str">
        <f t="shared" ref="D107:D110" si="244">IFERROR(INDEX(akun_type,MATCH(B107,akun_kb,0)),"")</f>
        <v>Depresiasi &amp; Amortisasi</v>
      </c>
      <c r="E107" s="286">
        <f t="shared" ref="E107:E109" si="245">IF(INDEX(typ_sn,MATCH(INDEX(akun_type,MATCH(B107,akun_kb,0)),typ_ket,0))="db",SUMIF(akun_kb,B107,akun_db)-SUMIF(akun_kb,B107,akun_kr),SUMIF(akun_kb,B107,akun_kr)-SUMIF(akun_kb,B107,akun_db))</f>
        <v>-1871124750</v>
      </c>
      <c r="F107" s="286">
        <f t="shared" ref="F107:F109" si="246">IF(INDEX(typ_sn,MATCH(INDEX(akun_type,MATCH($B107,akun_kb,0)),typ_ket,0))="db",SUMIFS(ju_sld,ju_bln,TEXT(F$7,"mmmm"),ju_debet,$B107)-SUMIFS(ju_sld,ju_bln,TEXT(F$7,"mmmm"),ju_kr,$B107),SUMIFS(ju_sld,ju_bln,TEXT(F$7,"mmmm"),ju_kr,$B107)-SUMIFS(ju_sld,ju_bln,TEXT(F$7,"mmmm"),ju_debet,$B107))+E107</f>
        <v>-1888449979</v>
      </c>
      <c r="G107" s="286">
        <f t="shared" ref="G107:G109" si="247">IF(INDEX(typ_sn,MATCH(INDEX(akun_type,MATCH($B107,akun_kb,0)),typ_ket,0))="db",SUMIFS(ju_sld,ju_bln,TEXT(G$7,"mmmm"),ju_debet,$B107)-SUMIFS(ju_sld,ju_bln,TEXT(G$7,"mmmm"),ju_kr,$B107),SUMIFS(ju_sld,ju_bln,TEXT(G$7,"mmmm"),ju_kr,$B107)-SUMIFS(ju_sld,ju_bln,TEXT(G$7,"mmmm"),ju_debet,$B107))+F107</f>
        <v>-1905775208</v>
      </c>
      <c r="H107" s="286">
        <f t="shared" ref="H107:H109" si="248">IF(INDEX(typ_sn,MATCH(INDEX(akun_type,MATCH($B107,akun_kb,0)),typ_ket,0))="db",SUMIFS(ju_sld,ju_bln,TEXT(H$7,"mmmm"),ju_debet,$B107)-SUMIFS(ju_sld,ju_bln,TEXT(H$7,"mmmm"),ju_kr,$B107),SUMIFS(ju_sld,ju_bln,TEXT(H$7,"mmmm"),ju_kr,$B107)-SUMIFS(ju_sld,ju_bln,TEXT(H$7,"mmmm"),ju_debet,$B107))+G107</f>
        <v>-1923100437</v>
      </c>
      <c r="I107" s="286">
        <f t="shared" ref="I107:I109" si="249">IF(INDEX(typ_sn,MATCH(INDEX(akun_type,MATCH($B107,akun_kb,0)),typ_ket,0))="db",SUMIFS(ju_sld,ju_bln,TEXT(I$7,"mmmm"),ju_debet,$B107)-SUMIFS(ju_sld,ju_bln,TEXT(I$7,"mmmm"),ju_kr,$B107),SUMIFS(ju_sld,ju_bln,TEXT(I$7,"mmmm"),ju_kr,$B107)-SUMIFS(ju_sld,ju_bln,TEXT(I$7,"mmmm"),ju_debet,$B107))+H107</f>
        <v>-1940425666</v>
      </c>
      <c r="J107" s="286">
        <f t="shared" ref="J107:J109" si="250">IF(INDEX(typ_sn,MATCH(INDEX(akun_type,MATCH($B107,akun_kb,0)),typ_ket,0))="db",SUMIFS(ju_sld,ju_bln,TEXT(J$7,"mmmm"),ju_debet,$B107)-SUMIFS(ju_sld,ju_bln,TEXT(J$7,"mmmm"),ju_kr,$B107),SUMIFS(ju_sld,ju_bln,TEXT(J$7,"mmmm"),ju_kr,$B107)-SUMIFS(ju_sld,ju_bln,TEXT(J$7,"mmmm"),ju_debet,$B107))+I107</f>
        <v>-1957750895</v>
      </c>
      <c r="K107" s="286">
        <f t="shared" ref="K107:K109" si="251">IF(INDEX(typ_sn,MATCH(INDEX(akun_type,MATCH($B107,akun_kb,0)),typ_ket,0))="db",SUMIFS(ju_sld,ju_bln,TEXT(K$7,"mmmm"),ju_debet,$B107)-SUMIFS(ju_sld,ju_bln,TEXT(K$7,"mmmm"),ju_kr,$B107),SUMIFS(ju_sld,ju_bln,TEXT(K$7,"mmmm"),ju_kr,$B107)-SUMIFS(ju_sld,ju_bln,TEXT(K$7,"mmmm"),ju_debet,$B107))+J107</f>
        <v>-1975076124</v>
      </c>
      <c r="L107" s="286">
        <f t="shared" ref="L107:L109" si="252">IF(INDEX(typ_sn,MATCH(INDEX(akun_type,MATCH($B107,akun_kb,0)),typ_ket,0))="db",SUMIFS(ju_sld,ju_bln,TEXT(L$7,"mmmm"),ju_debet,$B107)-SUMIFS(ju_sld,ju_bln,TEXT(L$7,"mmmm"),ju_kr,$B107),SUMIFS(ju_sld,ju_bln,TEXT(L$7,"mmmm"),ju_kr,$B107)-SUMIFS(ju_sld,ju_bln,TEXT(L$7,"mmmm"),ju_debet,$B107))+K107</f>
        <v>-1992401353</v>
      </c>
      <c r="M107" s="286">
        <f t="shared" ref="M107:M109" si="253">IF(INDEX(typ_sn,MATCH(INDEX(akun_type,MATCH($B107,akun_kb,0)),typ_ket,0))="db",SUMIFS(ju_sld,ju_bln,TEXT(M$7,"mmmm"),ju_debet,$B107)-SUMIFS(ju_sld,ju_bln,TEXT(M$7,"mmmm"),ju_kr,$B107),SUMIFS(ju_sld,ju_bln,TEXT(M$7,"mmmm"),ju_kr,$B107)-SUMIFS(ju_sld,ju_bln,TEXT(M$7,"mmmm"),ju_debet,$B107))+L107</f>
        <v>-2009726582</v>
      </c>
      <c r="N107" s="286">
        <f t="shared" ref="N107:N109" si="254">IF(INDEX(typ_sn,MATCH(INDEX(akun_type,MATCH($B107,akun_kb,0)),typ_ket,0))="db",SUMIFS(ju_sld,ju_bln,TEXT(N$7,"mmmm"),ju_debet,$B107)-SUMIFS(ju_sld,ju_bln,TEXT(N$7,"mmmm"),ju_kr,$B107),SUMIFS(ju_sld,ju_bln,TEXT(N$7,"mmmm"),ju_kr,$B107)-SUMIFS(ju_sld,ju_bln,TEXT(N$7,"mmmm"),ju_debet,$B107))+M107</f>
        <v>-2027051811</v>
      </c>
      <c r="O107" s="286">
        <f t="shared" ref="O107:O109" si="255">IF(INDEX(typ_sn,MATCH(INDEX(akun_type,MATCH($B107,akun_kb,0)),typ_ket,0))="db",SUMIFS(ju_sld,ju_bln,TEXT(O$7,"mmmm"),ju_debet,$B107)-SUMIFS(ju_sld,ju_bln,TEXT(O$7,"mmmm"),ju_kr,$B107),SUMIFS(ju_sld,ju_bln,TEXT(O$7,"mmmm"),ju_kr,$B107)-SUMIFS(ju_sld,ju_bln,TEXT(O$7,"mmmm"),ju_debet,$B107))+N107</f>
        <v>-2044377040</v>
      </c>
      <c r="P107" s="286">
        <f t="shared" ref="P107:P109" si="256">IF(INDEX(typ_sn,MATCH(INDEX(akun_type,MATCH($B107,akun_kb,0)),typ_ket,0))="db",SUMIFS(ju_sld,ju_bln,TEXT(P$7,"mmmm"),ju_debet,$B107)-SUMIFS(ju_sld,ju_bln,TEXT(P$7,"mmmm"),ju_kr,$B107),SUMIFS(ju_sld,ju_bln,TEXT(P$7,"mmmm"),ju_kr,$B107)-SUMIFS(ju_sld,ju_bln,TEXT(P$7,"mmmm"),ju_debet,$B107))+O107</f>
        <v>-2061702269</v>
      </c>
      <c r="Q107" s="286">
        <f t="shared" ref="Q107:Q109" si="257">IF(INDEX(typ_sn,MATCH(INDEX(akun_type,MATCH($B107,akun_kb,0)),typ_ket,0))="db",SUMIFS(ju_sld,ju_bln,TEXT(Q$7,"mmmm"),ju_debet,$B107)-SUMIFS(ju_sld,ju_bln,TEXT(Q$7,"mmmm"),ju_kr,$B107),SUMIFS(ju_sld,ju_bln,TEXT(Q$7,"mmmm"),ju_kr,$B107)-SUMIFS(ju_sld,ju_bln,TEXT(Q$7,"mmmm"),ju_debet,$B107))+P107</f>
        <v>-2079027500</v>
      </c>
      <c r="R107" s="218"/>
      <c r="S107" s="278">
        <f t="shared" ref="S107:S110" si="258">IF(Q107=0,0,1)</f>
        <v>1</v>
      </c>
    </row>
    <row r="108" spans="2:19" ht="18" customHeight="1">
      <c r="B108" s="287" t="str">
        <f>NERACA!B110</f>
        <v>130202 | AKUMULASI AMORTISASI BEBAN DITANGGUHKAN</v>
      </c>
      <c r="C108" s="284"/>
      <c r="D108" s="284" t="str">
        <f t="shared" si="244"/>
        <v>Depresiasi &amp; Amortisasi</v>
      </c>
      <c r="E108" s="286">
        <f t="shared" si="245"/>
        <v>-1202189167</v>
      </c>
      <c r="F108" s="286">
        <f t="shared" si="246"/>
        <v>-1207454167</v>
      </c>
      <c r="G108" s="286">
        <f t="shared" si="247"/>
        <v>-1212719167</v>
      </c>
      <c r="H108" s="286">
        <f t="shared" si="248"/>
        <v>-1217984167</v>
      </c>
      <c r="I108" s="286">
        <f t="shared" si="249"/>
        <v>-1223249167</v>
      </c>
      <c r="J108" s="286">
        <f t="shared" si="250"/>
        <v>-1228700833.6666667</v>
      </c>
      <c r="K108" s="286">
        <f t="shared" si="251"/>
        <v>-1234152500.3333335</v>
      </c>
      <c r="L108" s="286">
        <f t="shared" si="252"/>
        <v>-1239604167.0000002</v>
      </c>
      <c r="M108" s="286">
        <f t="shared" si="253"/>
        <v>-1245055833.666667</v>
      </c>
      <c r="N108" s="286">
        <f t="shared" si="254"/>
        <v>-1250507500.3333337</v>
      </c>
      <c r="O108" s="286">
        <f t="shared" si="255"/>
        <v>-1255959167.0000005</v>
      </c>
      <c r="P108" s="286">
        <f t="shared" si="256"/>
        <v>-1261410833.6666672</v>
      </c>
      <c r="Q108" s="286">
        <f t="shared" si="257"/>
        <v>-1266862500.333334</v>
      </c>
      <c r="R108" s="218"/>
      <c r="S108" s="278">
        <f t="shared" si="258"/>
        <v>1</v>
      </c>
    </row>
    <row r="109" spans="2:19" ht="18" customHeight="1">
      <c r="B109" s="287" t="str">
        <f>NERACA!B111</f>
        <v>130203 | AKUMULASI AMORTISASI LAINNYA</v>
      </c>
      <c r="C109" s="284"/>
      <c r="D109" s="284" t="str">
        <f t="shared" si="244"/>
        <v>Depresiasi &amp; Amortisasi</v>
      </c>
      <c r="E109" s="286">
        <f t="shared" si="245"/>
        <v>0</v>
      </c>
      <c r="F109" s="286">
        <f t="shared" si="246"/>
        <v>0</v>
      </c>
      <c r="G109" s="286">
        <f t="shared" si="247"/>
        <v>0</v>
      </c>
      <c r="H109" s="286">
        <f t="shared" si="248"/>
        <v>0</v>
      </c>
      <c r="I109" s="286">
        <f t="shared" si="249"/>
        <v>0</v>
      </c>
      <c r="J109" s="286">
        <f t="shared" si="250"/>
        <v>0</v>
      </c>
      <c r="K109" s="286">
        <f t="shared" si="251"/>
        <v>0</v>
      </c>
      <c r="L109" s="286">
        <f t="shared" si="252"/>
        <v>0</v>
      </c>
      <c r="M109" s="286">
        <f t="shared" si="253"/>
        <v>0</v>
      </c>
      <c r="N109" s="286">
        <f t="shared" si="254"/>
        <v>0</v>
      </c>
      <c r="O109" s="286">
        <f t="shared" si="255"/>
        <v>0</v>
      </c>
      <c r="P109" s="286">
        <f t="shared" si="256"/>
        <v>0</v>
      </c>
      <c r="Q109" s="286">
        <f t="shared" si="257"/>
        <v>0</v>
      </c>
      <c r="R109" s="218"/>
      <c r="S109" s="278">
        <f t="shared" si="258"/>
        <v>0</v>
      </c>
    </row>
    <row r="110" spans="2:19" s="274" customFormat="1" ht="18" customHeight="1">
      <c r="B110" s="285" t="str">
        <f>NERACA!B112</f>
        <v>TOTAL AKUMULASI AMORTISASI BEBAN DITANGGUHKAN</v>
      </c>
      <c r="C110" s="380"/>
      <c r="D110" s="380" t="str">
        <f t="shared" si="244"/>
        <v/>
      </c>
      <c r="E110" s="382">
        <f>SUM(E107:E109)</f>
        <v>-3073313917</v>
      </c>
      <c r="F110" s="382">
        <f t="shared" ref="F110:Q110" si="259">SUM(F107:F109)</f>
        <v>-3095904146</v>
      </c>
      <c r="G110" s="382">
        <f t="shared" si="259"/>
        <v>-3118494375</v>
      </c>
      <c r="H110" s="382">
        <f t="shared" si="259"/>
        <v>-3141084604</v>
      </c>
      <c r="I110" s="382">
        <f t="shared" si="259"/>
        <v>-3163674833</v>
      </c>
      <c r="J110" s="382">
        <f t="shared" si="259"/>
        <v>-3186451728.666667</v>
      </c>
      <c r="K110" s="382">
        <f t="shared" si="259"/>
        <v>-3209228624.3333335</v>
      </c>
      <c r="L110" s="382">
        <f t="shared" si="259"/>
        <v>-3232005520</v>
      </c>
      <c r="M110" s="382">
        <f t="shared" si="259"/>
        <v>-3254782415.666667</v>
      </c>
      <c r="N110" s="382">
        <f t="shared" si="259"/>
        <v>-3277559311.333334</v>
      </c>
      <c r="O110" s="382">
        <f t="shared" si="259"/>
        <v>-3300336207.0000005</v>
      </c>
      <c r="P110" s="382">
        <f t="shared" si="259"/>
        <v>-3323113102.666667</v>
      </c>
      <c r="Q110" s="382">
        <f t="shared" si="259"/>
        <v>-3345890000.333334</v>
      </c>
      <c r="R110" s="218"/>
      <c r="S110" s="383">
        <f t="shared" si="258"/>
        <v>1</v>
      </c>
    </row>
    <row r="111" spans="2:19" s="274" customFormat="1" ht="18" customHeight="1">
      <c r="B111" s="285" t="str">
        <f>NERACA!B113</f>
        <v>ASET LAINNYA</v>
      </c>
      <c r="C111" s="373"/>
      <c r="D111" s="37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18"/>
      <c r="S111" s="383">
        <f t="shared" ref="S111:S112" si="260">IF(Q111=0,0,1)</f>
        <v>0</v>
      </c>
    </row>
    <row r="112" spans="2:19" ht="18" customHeight="1">
      <c r="B112" s="287" t="str">
        <f>NERACA!B114</f>
        <v>130301 | CADANGAN DANA PENSIUN (DPLK) PEGAWAI</v>
      </c>
      <c r="C112" s="284"/>
      <c r="D112" s="284" t="str">
        <f t="shared" ref="D112" si="261">IFERROR(INDEX(akun_type,MATCH(B112,akun_kb,0)),"")</f>
        <v>Aktiva Lainnya</v>
      </c>
      <c r="E112" s="286">
        <f t="shared" ref="E112" si="262">IF(INDEX(typ_sn,MATCH(INDEX(akun_type,MATCH(B112,akun_kb,0)),typ_ket,0))="db",SUMIF(akun_kb,B112,akun_db)-SUMIF(akun_kb,B112,akun_kr),SUMIF(akun_kb,B112,akun_kr)-SUMIF(akun_kb,B112,akun_db))</f>
        <v>421400000</v>
      </c>
      <c r="F112" s="286">
        <f t="shared" ref="F112" si="263">IF(INDEX(typ_sn,MATCH(INDEX(akun_type,MATCH($B112,akun_kb,0)),typ_ket,0))="db",SUMIFS(ju_sld,ju_bln,TEXT(F$7,"mmmm"),ju_debet,$B112)-SUMIFS(ju_sld,ju_bln,TEXT(F$7,"mmmm"),ju_kr,$B112),SUMIFS(ju_sld,ju_bln,TEXT(F$7,"mmmm"),ju_kr,$B112)-SUMIFS(ju_sld,ju_bln,TEXT(F$7,"mmmm"),ju_debet,$B112))+E112</f>
        <v>428700000</v>
      </c>
      <c r="G112" s="286">
        <f t="shared" ref="G112" si="264">IF(INDEX(typ_sn,MATCH(INDEX(akun_type,MATCH($B112,akun_kb,0)),typ_ket,0))="db",SUMIFS(ju_sld,ju_bln,TEXT(G$7,"mmmm"),ju_debet,$B112)-SUMIFS(ju_sld,ju_bln,TEXT(G$7,"mmmm"),ju_kr,$B112),SUMIFS(ju_sld,ju_bln,TEXT(G$7,"mmmm"),ju_kr,$B112)-SUMIFS(ju_sld,ju_bln,TEXT(G$7,"mmmm"),ju_debet,$B112))+F112</f>
        <v>435900000</v>
      </c>
      <c r="H112" s="286">
        <f t="shared" ref="H112" si="265">IF(INDEX(typ_sn,MATCH(INDEX(akun_type,MATCH($B112,akun_kb,0)),typ_ket,0))="db",SUMIFS(ju_sld,ju_bln,TEXT(H$7,"mmmm"),ju_debet,$B112)-SUMIFS(ju_sld,ju_bln,TEXT(H$7,"mmmm"),ju_kr,$B112),SUMIFS(ju_sld,ju_bln,TEXT(H$7,"mmmm"),ju_kr,$B112)-SUMIFS(ju_sld,ju_bln,TEXT(H$7,"mmmm"),ju_debet,$B112))+G112</f>
        <v>443100000</v>
      </c>
      <c r="I112" s="286">
        <f t="shared" ref="I112" si="266">IF(INDEX(typ_sn,MATCH(INDEX(akun_type,MATCH($B112,akun_kb,0)),typ_ket,0))="db",SUMIFS(ju_sld,ju_bln,TEXT(I$7,"mmmm"),ju_debet,$B112)-SUMIFS(ju_sld,ju_bln,TEXT(I$7,"mmmm"),ju_kr,$B112),SUMIFS(ju_sld,ju_bln,TEXT(I$7,"mmmm"),ju_kr,$B112)-SUMIFS(ju_sld,ju_bln,TEXT(I$7,"mmmm"),ju_debet,$B112))+H112</f>
        <v>443100000</v>
      </c>
      <c r="J112" s="286">
        <f t="shared" ref="J112" si="267">IF(INDEX(typ_sn,MATCH(INDEX(akun_type,MATCH($B112,akun_kb,0)),typ_ket,0))="db",SUMIFS(ju_sld,ju_bln,TEXT(J$7,"mmmm"),ju_debet,$B112)-SUMIFS(ju_sld,ju_bln,TEXT(J$7,"mmmm"),ju_kr,$B112),SUMIFS(ju_sld,ju_bln,TEXT(J$7,"mmmm"),ju_kr,$B112)-SUMIFS(ju_sld,ju_bln,TEXT(J$7,"mmmm"),ju_debet,$B112))+I112</f>
        <v>443100000</v>
      </c>
      <c r="K112" s="286">
        <f t="shared" ref="K112" si="268">IF(INDEX(typ_sn,MATCH(INDEX(akun_type,MATCH($B112,akun_kb,0)),typ_ket,0))="db",SUMIFS(ju_sld,ju_bln,TEXT(K$7,"mmmm"),ju_debet,$B112)-SUMIFS(ju_sld,ju_bln,TEXT(K$7,"mmmm"),ju_kr,$B112),SUMIFS(ju_sld,ju_bln,TEXT(K$7,"mmmm"),ju_kr,$B112)-SUMIFS(ju_sld,ju_bln,TEXT(K$7,"mmmm"),ju_debet,$B112))+J112</f>
        <v>443100000</v>
      </c>
      <c r="L112" s="286">
        <f t="shared" ref="L112" si="269">IF(INDEX(typ_sn,MATCH(INDEX(akun_type,MATCH($B112,akun_kb,0)),typ_ket,0))="db",SUMIFS(ju_sld,ju_bln,TEXT(L$7,"mmmm"),ju_debet,$B112)-SUMIFS(ju_sld,ju_bln,TEXT(L$7,"mmmm"),ju_kr,$B112),SUMIFS(ju_sld,ju_bln,TEXT(L$7,"mmmm"),ju_kr,$B112)-SUMIFS(ju_sld,ju_bln,TEXT(L$7,"mmmm"),ju_debet,$B112))+K112</f>
        <v>443100000</v>
      </c>
      <c r="M112" s="286">
        <f t="shared" ref="M112" si="270">IF(INDEX(typ_sn,MATCH(INDEX(akun_type,MATCH($B112,akun_kb,0)),typ_ket,0))="db",SUMIFS(ju_sld,ju_bln,TEXT(M$7,"mmmm"),ju_debet,$B112)-SUMIFS(ju_sld,ju_bln,TEXT(M$7,"mmmm"),ju_kr,$B112),SUMIFS(ju_sld,ju_bln,TEXT(M$7,"mmmm"),ju_kr,$B112)-SUMIFS(ju_sld,ju_bln,TEXT(M$7,"mmmm"),ju_debet,$B112))+L112</f>
        <v>443100000</v>
      </c>
      <c r="N112" s="286">
        <f t="shared" ref="N112" si="271">IF(INDEX(typ_sn,MATCH(INDEX(akun_type,MATCH($B112,akun_kb,0)),typ_ket,0))="db",SUMIFS(ju_sld,ju_bln,TEXT(N$7,"mmmm"),ju_debet,$B112)-SUMIFS(ju_sld,ju_bln,TEXT(N$7,"mmmm"),ju_kr,$B112),SUMIFS(ju_sld,ju_bln,TEXT(N$7,"mmmm"),ju_kr,$B112)-SUMIFS(ju_sld,ju_bln,TEXT(N$7,"mmmm"),ju_debet,$B112))+M112</f>
        <v>443100000</v>
      </c>
      <c r="O112" s="286">
        <f t="shared" ref="O112" si="272">IF(INDEX(typ_sn,MATCH(INDEX(akun_type,MATCH($B112,akun_kb,0)),typ_ket,0))="db",SUMIFS(ju_sld,ju_bln,TEXT(O$7,"mmmm"),ju_debet,$B112)-SUMIFS(ju_sld,ju_bln,TEXT(O$7,"mmmm"),ju_kr,$B112),SUMIFS(ju_sld,ju_bln,TEXT(O$7,"mmmm"),ju_kr,$B112)-SUMIFS(ju_sld,ju_bln,TEXT(O$7,"mmmm"),ju_debet,$B112))+N112</f>
        <v>443100000</v>
      </c>
      <c r="P112" s="286">
        <f t="shared" ref="P112" si="273">IF(INDEX(typ_sn,MATCH(INDEX(akun_type,MATCH($B112,akun_kb,0)),typ_ket,0))="db",SUMIFS(ju_sld,ju_bln,TEXT(P$7,"mmmm"),ju_debet,$B112)-SUMIFS(ju_sld,ju_bln,TEXT(P$7,"mmmm"),ju_kr,$B112),SUMIFS(ju_sld,ju_bln,TEXT(P$7,"mmmm"),ju_kr,$B112)-SUMIFS(ju_sld,ju_bln,TEXT(P$7,"mmmm"),ju_debet,$B112))+O112</f>
        <v>443100000</v>
      </c>
      <c r="Q112" s="286">
        <f t="shared" ref="Q112" si="274">IF(INDEX(typ_sn,MATCH(INDEX(akun_type,MATCH($B112,akun_kb,0)),typ_ket,0))="db",SUMIFS(ju_sld,ju_bln,TEXT(Q$7,"mmmm"),ju_debet,$B112)-SUMIFS(ju_sld,ju_bln,TEXT(Q$7,"mmmm"),ju_kr,$B112),SUMIFS(ju_sld,ju_bln,TEXT(Q$7,"mmmm"),ju_kr,$B112)-SUMIFS(ju_sld,ju_bln,TEXT(Q$7,"mmmm"),ju_debet,$B112))+P112</f>
        <v>443100000</v>
      </c>
      <c r="R112" s="218"/>
      <c r="S112" s="278">
        <f t="shared" si="260"/>
        <v>1</v>
      </c>
    </row>
    <row r="113" spans="2:19" ht="18" customHeight="1">
      <c r="B113" s="287" t="str">
        <f>NERACA!B115</f>
        <v>130302 | CADANGAN DANA PENSIUN (DPLK) DIREKSI</v>
      </c>
      <c r="C113" s="284"/>
      <c r="D113" s="284" t="str">
        <f t="shared" ref="D113:D115" si="275">IFERROR(INDEX(akun_type,MATCH(B113,akun_kb,0)),"")</f>
        <v>Aktiva Lainnya</v>
      </c>
      <c r="E113" s="286">
        <f t="shared" ref="E113" si="276">IF(INDEX(typ_sn,MATCH(INDEX(akun_type,MATCH(B113,akun_kb,0)),typ_ket,0))="db",SUMIF(akun_kb,B113,akun_db)-SUMIF(akun_kb,B113,akun_kr),SUMIF(akun_kb,B113,akun_kr)-SUMIF(akun_kb,B113,akun_db))</f>
        <v>510000000</v>
      </c>
      <c r="F113" s="286">
        <f t="shared" ref="F113" si="277">IF(INDEX(typ_sn,MATCH(INDEX(akun_type,MATCH($B113,akun_kb,0)),typ_ket,0))="db",SUMIFS(ju_sld,ju_bln,TEXT(F$7,"mmmm"),ju_debet,$B113)-SUMIFS(ju_sld,ju_bln,TEXT(F$7,"mmmm"),ju_kr,$B113),SUMIFS(ju_sld,ju_bln,TEXT(F$7,"mmmm"),ju_kr,$B113)-SUMIFS(ju_sld,ju_bln,TEXT(F$7,"mmmm"),ju_debet,$B113))+E113</f>
        <v>510000000</v>
      </c>
      <c r="G113" s="286">
        <f t="shared" ref="G113" si="278">IF(INDEX(typ_sn,MATCH(INDEX(akun_type,MATCH($B113,akun_kb,0)),typ_ket,0))="db",SUMIFS(ju_sld,ju_bln,TEXT(G$7,"mmmm"),ju_debet,$B113)-SUMIFS(ju_sld,ju_bln,TEXT(G$7,"mmmm"),ju_kr,$B113),SUMIFS(ju_sld,ju_bln,TEXT(G$7,"mmmm"),ju_kr,$B113)-SUMIFS(ju_sld,ju_bln,TEXT(G$7,"mmmm"),ju_debet,$B113))+F113</f>
        <v>510000000</v>
      </c>
      <c r="H113" s="286">
        <f t="shared" ref="H113" si="279">IF(INDEX(typ_sn,MATCH(INDEX(akun_type,MATCH($B113,akun_kb,0)),typ_ket,0))="db",SUMIFS(ju_sld,ju_bln,TEXT(H$7,"mmmm"),ju_debet,$B113)-SUMIFS(ju_sld,ju_bln,TEXT(H$7,"mmmm"),ju_kr,$B113),SUMIFS(ju_sld,ju_bln,TEXT(H$7,"mmmm"),ju_kr,$B113)-SUMIFS(ju_sld,ju_bln,TEXT(H$7,"mmmm"),ju_debet,$B113))+G113</f>
        <v>510000000</v>
      </c>
      <c r="I113" s="286">
        <f t="shared" ref="I113" si="280">IF(INDEX(typ_sn,MATCH(INDEX(akun_type,MATCH($B113,akun_kb,0)),typ_ket,0))="db",SUMIFS(ju_sld,ju_bln,TEXT(I$7,"mmmm"),ju_debet,$B113)-SUMIFS(ju_sld,ju_bln,TEXT(I$7,"mmmm"),ju_kr,$B113),SUMIFS(ju_sld,ju_bln,TEXT(I$7,"mmmm"),ju_kr,$B113)-SUMIFS(ju_sld,ju_bln,TEXT(I$7,"mmmm"),ju_debet,$B113))+H113</f>
        <v>510000000</v>
      </c>
      <c r="J113" s="286">
        <f t="shared" ref="J113" si="281">IF(INDEX(typ_sn,MATCH(INDEX(akun_type,MATCH($B113,akun_kb,0)),typ_ket,0))="db",SUMIFS(ju_sld,ju_bln,TEXT(J$7,"mmmm"),ju_debet,$B113)-SUMIFS(ju_sld,ju_bln,TEXT(J$7,"mmmm"),ju_kr,$B113),SUMIFS(ju_sld,ju_bln,TEXT(J$7,"mmmm"),ju_kr,$B113)-SUMIFS(ju_sld,ju_bln,TEXT(J$7,"mmmm"),ju_debet,$B113))+I113</f>
        <v>510000000</v>
      </c>
      <c r="K113" s="286">
        <f t="shared" ref="K113" si="282">IF(INDEX(typ_sn,MATCH(INDEX(akun_type,MATCH($B113,akun_kb,0)),typ_ket,0))="db",SUMIFS(ju_sld,ju_bln,TEXT(K$7,"mmmm"),ju_debet,$B113)-SUMIFS(ju_sld,ju_bln,TEXT(K$7,"mmmm"),ju_kr,$B113),SUMIFS(ju_sld,ju_bln,TEXT(K$7,"mmmm"),ju_kr,$B113)-SUMIFS(ju_sld,ju_bln,TEXT(K$7,"mmmm"),ju_debet,$B113))+J113</f>
        <v>510000000</v>
      </c>
      <c r="L113" s="286">
        <f t="shared" ref="L113" si="283">IF(INDEX(typ_sn,MATCH(INDEX(akun_type,MATCH($B113,akun_kb,0)),typ_ket,0))="db",SUMIFS(ju_sld,ju_bln,TEXT(L$7,"mmmm"),ju_debet,$B113)-SUMIFS(ju_sld,ju_bln,TEXT(L$7,"mmmm"),ju_kr,$B113),SUMIFS(ju_sld,ju_bln,TEXT(L$7,"mmmm"),ju_kr,$B113)-SUMIFS(ju_sld,ju_bln,TEXT(L$7,"mmmm"),ju_debet,$B113))+K113</f>
        <v>510000000</v>
      </c>
      <c r="M113" s="286">
        <f t="shared" ref="M113" si="284">IF(INDEX(typ_sn,MATCH(INDEX(akun_type,MATCH($B113,akun_kb,0)),typ_ket,0))="db",SUMIFS(ju_sld,ju_bln,TEXT(M$7,"mmmm"),ju_debet,$B113)-SUMIFS(ju_sld,ju_bln,TEXT(M$7,"mmmm"),ju_kr,$B113),SUMIFS(ju_sld,ju_bln,TEXT(M$7,"mmmm"),ju_kr,$B113)-SUMIFS(ju_sld,ju_bln,TEXT(M$7,"mmmm"),ju_debet,$B113))+L113</f>
        <v>510000000</v>
      </c>
      <c r="N113" s="286">
        <f t="shared" ref="N113" si="285">IF(INDEX(typ_sn,MATCH(INDEX(akun_type,MATCH($B113,akun_kb,0)),typ_ket,0))="db",SUMIFS(ju_sld,ju_bln,TEXT(N$7,"mmmm"),ju_debet,$B113)-SUMIFS(ju_sld,ju_bln,TEXT(N$7,"mmmm"),ju_kr,$B113),SUMIFS(ju_sld,ju_bln,TEXT(N$7,"mmmm"),ju_kr,$B113)-SUMIFS(ju_sld,ju_bln,TEXT(N$7,"mmmm"),ju_debet,$B113))+M113</f>
        <v>510000000</v>
      </c>
      <c r="O113" s="286">
        <f t="shared" ref="O113" si="286">IF(INDEX(typ_sn,MATCH(INDEX(akun_type,MATCH($B113,akun_kb,0)),typ_ket,0))="db",SUMIFS(ju_sld,ju_bln,TEXT(O$7,"mmmm"),ju_debet,$B113)-SUMIFS(ju_sld,ju_bln,TEXT(O$7,"mmmm"),ju_kr,$B113),SUMIFS(ju_sld,ju_bln,TEXT(O$7,"mmmm"),ju_kr,$B113)-SUMIFS(ju_sld,ju_bln,TEXT(O$7,"mmmm"),ju_debet,$B113))+N113</f>
        <v>510000000</v>
      </c>
      <c r="P113" s="286">
        <f t="shared" ref="P113" si="287">IF(INDEX(typ_sn,MATCH(INDEX(akun_type,MATCH($B113,akun_kb,0)),typ_ket,0))="db",SUMIFS(ju_sld,ju_bln,TEXT(P$7,"mmmm"),ju_debet,$B113)-SUMIFS(ju_sld,ju_bln,TEXT(P$7,"mmmm"),ju_kr,$B113),SUMIFS(ju_sld,ju_bln,TEXT(P$7,"mmmm"),ju_kr,$B113)-SUMIFS(ju_sld,ju_bln,TEXT(P$7,"mmmm"),ju_debet,$B113))+O113</f>
        <v>510000000</v>
      </c>
      <c r="Q113" s="286">
        <f t="shared" ref="Q113" si="288">IF(INDEX(typ_sn,MATCH(INDEX(akun_type,MATCH($B113,akun_kb,0)),typ_ket,0))="db",SUMIFS(ju_sld,ju_bln,TEXT(Q$7,"mmmm"),ju_debet,$B113)-SUMIFS(ju_sld,ju_bln,TEXT(Q$7,"mmmm"),ju_kr,$B113),SUMIFS(ju_sld,ju_bln,TEXT(Q$7,"mmmm"),ju_kr,$B113)-SUMIFS(ju_sld,ju_bln,TEXT(Q$7,"mmmm"),ju_debet,$B113))+P113</f>
        <v>0</v>
      </c>
      <c r="R113" s="218"/>
      <c r="S113" s="278">
        <f t="shared" ref="S113:S115" si="289">IF(Q113=0,0,1)</f>
        <v>0</v>
      </c>
    </row>
    <row r="114" spans="2:19" s="274" customFormat="1" ht="18" customHeight="1">
      <c r="B114" s="374" t="str">
        <f>NERACA!B116</f>
        <v>TOTAL ASET LAINNYA</v>
      </c>
      <c r="C114" s="380"/>
      <c r="D114" s="380" t="str">
        <f t="shared" si="275"/>
        <v/>
      </c>
      <c r="E114" s="382">
        <f>SUM(E112:E113)</f>
        <v>931400000</v>
      </c>
      <c r="F114" s="382">
        <f t="shared" ref="F114:Q114" si="290">SUM(F112:F113)</f>
        <v>938700000</v>
      </c>
      <c r="G114" s="382">
        <f t="shared" si="290"/>
        <v>945900000</v>
      </c>
      <c r="H114" s="382">
        <f t="shared" si="290"/>
        <v>953100000</v>
      </c>
      <c r="I114" s="382">
        <f t="shared" si="290"/>
        <v>953100000</v>
      </c>
      <c r="J114" s="382">
        <f t="shared" si="290"/>
        <v>953100000</v>
      </c>
      <c r="K114" s="382">
        <f t="shared" si="290"/>
        <v>953100000</v>
      </c>
      <c r="L114" s="382">
        <f t="shared" si="290"/>
        <v>953100000</v>
      </c>
      <c r="M114" s="382">
        <f t="shared" si="290"/>
        <v>953100000</v>
      </c>
      <c r="N114" s="382">
        <f t="shared" si="290"/>
        <v>953100000</v>
      </c>
      <c r="O114" s="382">
        <f t="shared" si="290"/>
        <v>953100000</v>
      </c>
      <c r="P114" s="382">
        <f t="shared" si="290"/>
        <v>953100000</v>
      </c>
      <c r="Q114" s="382">
        <f t="shared" si="290"/>
        <v>443100000</v>
      </c>
      <c r="R114" s="218"/>
      <c r="S114" s="383">
        <f t="shared" si="289"/>
        <v>1</v>
      </c>
    </row>
    <row r="115" spans="2:19" ht="18" customHeight="1">
      <c r="B115" s="285" t="str">
        <f>NERACA!B117</f>
        <v>TOTAL ASET TETAP LAINNYA DAN ASET LAINNYA</v>
      </c>
      <c r="C115" s="284"/>
      <c r="D115" s="284" t="str">
        <f t="shared" si="275"/>
        <v/>
      </c>
      <c r="E115" s="293">
        <f t="shared" ref="E115:Q115" si="291">E83+E85+E105+E110+E114</f>
        <v>2536382153</v>
      </c>
      <c r="F115" s="293">
        <f t="shared" si="291"/>
        <v>2483557356</v>
      </c>
      <c r="G115" s="293">
        <f t="shared" si="291"/>
        <v>2430632559</v>
      </c>
      <c r="H115" s="293">
        <f t="shared" si="291"/>
        <v>2378657762</v>
      </c>
      <c r="I115" s="293">
        <f t="shared" si="291"/>
        <v>2320926298.3366661</v>
      </c>
      <c r="J115" s="293">
        <f t="shared" si="291"/>
        <v>2271758168.0066662</v>
      </c>
      <c r="K115" s="293">
        <f t="shared" si="291"/>
        <v>2211390037.6766667</v>
      </c>
      <c r="L115" s="293">
        <f t="shared" si="291"/>
        <v>2151021907.3466663</v>
      </c>
      <c r="M115" s="293">
        <f t="shared" si="291"/>
        <v>2091253677.0166664</v>
      </c>
      <c r="N115" s="293">
        <f t="shared" si="291"/>
        <v>2049556916.3499994</v>
      </c>
      <c r="O115" s="293">
        <f t="shared" si="291"/>
        <v>2043087286.6833329</v>
      </c>
      <c r="P115" s="293">
        <f t="shared" si="291"/>
        <v>1981476507.0166664</v>
      </c>
      <c r="Q115" s="293">
        <f t="shared" si="291"/>
        <v>1627728725.3499994</v>
      </c>
      <c r="R115" s="218"/>
      <c r="S115" s="278">
        <f t="shared" si="289"/>
        <v>1</v>
      </c>
    </row>
    <row r="116" spans="2:19" s="274" customFormat="1" ht="18" customHeight="1">
      <c r="B116" s="384" t="str">
        <f>NERACA!B118</f>
        <v>TOTAL AKTIVA</v>
      </c>
      <c r="C116" s="379"/>
      <c r="D116" s="379" t="str">
        <f t="shared" ref="D116:D127" si="292">IFERROR(INDEX(akun_type,MATCH(B116,akun_kb,0)),"")</f>
        <v/>
      </c>
      <c r="E116" s="376">
        <f t="shared" ref="E116:Q116" si="293">E66+E115</f>
        <v>8306503191</v>
      </c>
      <c r="F116" s="376">
        <f t="shared" si="293"/>
        <v>8981428284.1399994</v>
      </c>
      <c r="G116" s="376">
        <f t="shared" si="293"/>
        <v>9626225507.1199989</v>
      </c>
      <c r="H116" s="376">
        <f t="shared" si="293"/>
        <v>10603032689.24</v>
      </c>
      <c r="I116" s="376">
        <f t="shared" si="293"/>
        <v>10061837996.076666</v>
      </c>
      <c r="J116" s="376">
        <f t="shared" si="293"/>
        <v>10749566357.926666</v>
      </c>
      <c r="K116" s="376">
        <f t="shared" si="293"/>
        <v>11710066819.616665</v>
      </c>
      <c r="L116" s="376">
        <f t="shared" si="293"/>
        <v>12628294231.266665</v>
      </c>
      <c r="M116" s="376">
        <f t="shared" si="293"/>
        <v>13163673089.396666</v>
      </c>
      <c r="N116" s="376">
        <f t="shared" si="293"/>
        <v>13308091915.469997</v>
      </c>
      <c r="O116" s="376">
        <f t="shared" si="293"/>
        <v>13847454184.763334</v>
      </c>
      <c r="P116" s="376">
        <f t="shared" si="293"/>
        <v>14098818697.036669</v>
      </c>
      <c r="Q116" s="376">
        <f t="shared" si="293"/>
        <v>13453591372.530003</v>
      </c>
      <c r="R116" s="218"/>
      <c r="S116" s="383">
        <f t="shared" ref="S116:S127" si="294">IF(Q116=0,0,1)</f>
        <v>1</v>
      </c>
    </row>
    <row r="117" spans="2:19" ht="18" customHeight="1">
      <c r="B117" s="287"/>
      <c r="C117" s="284"/>
      <c r="D117" s="284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18"/>
      <c r="S117" s="278">
        <f t="shared" si="294"/>
        <v>0</v>
      </c>
    </row>
    <row r="118" spans="2:19" s="274" customFormat="1" ht="18" customHeight="1">
      <c r="B118" s="285" t="str">
        <f>NERACA!B120</f>
        <v>LIABILITY</v>
      </c>
      <c r="C118" s="373"/>
      <c r="D118" s="373" t="str">
        <f t="shared" si="292"/>
        <v/>
      </c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18"/>
      <c r="S118" s="383">
        <f t="shared" si="294"/>
        <v>0</v>
      </c>
    </row>
    <row r="119" spans="2:19" s="274" customFormat="1" ht="18" customHeight="1">
      <c r="B119" s="285" t="str">
        <f>NERACA!B121</f>
        <v>HUTANG LANCAR</v>
      </c>
      <c r="C119" s="373"/>
      <c r="D119" s="373" t="str">
        <f t="shared" si="292"/>
        <v/>
      </c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18"/>
      <c r="S119" s="383">
        <f t="shared" si="294"/>
        <v>0</v>
      </c>
    </row>
    <row r="120" spans="2:19" s="274" customFormat="1" ht="18" customHeight="1">
      <c r="B120" s="285" t="str">
        <f>NERACA!B122</f>
        <v>HUTANG USAHA</v>
      </c>
      <c r="C120" s="373"/>
      <c r="D120" s="373" t="str">
        <f t="shared" si="292"/>
        <v/>
      </c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18"/>
      <c r="S120" s="383">
        <f t="shared" si="294"/>
        <v>0</v>
      </c>
    </row>
    <row r="121" spans="2:19" ht="18" customHeight="1">
      <c r="B121" s="287" t="str">
        <f>NERACA!B123</f>
        <v>210101 | HUTANG BIAYA</v>
      </c>
      <c r="C121" s="284"/>
      <c r="D121" s="284" t="str">
        <f t="shared" si="292"/>
        <v>Akun Hutang</v>
      </c>
      <c r="E121" s="286">
        <f t="shared" ref="E121:E127" si="295">IF(INDEX(typ_sn,MATCH(INDEX(akun_type,MATCH(B121,akun_kb,0)),typ_ket,0))="db",SUMIF(akun_kb,B121,akun_db)-SUMIF(akun_kb,B121,akun_kr),SUMIF(akun_kb,B121,akun_kr)-SUMIF(akun_kb,B121,akun_db))</f>
        <v>0</v>
      </c>
      <c r="F121" s="286">
        <f t="shared" ref="F121:F127" si="296">IF(INDEX(typ_sn,MATCH(INDEX(akun_type,MATCH($B121,akun_kb,0)),typ_ket,0))="db",SUMIFS(ju_sld,ju_bln,TEXT(F$7,"mmmm"),ju_debet,$B121)-SUMIFS(ju_sld,ju_bln,TEXT(F$7,"mmmm"),ju_kr,$B121),SUMIFS(ju_sld,ju_bln,TEXT(F$7,"mmmm"),ju_kr,$B121)-SUMIFS(ju_sld,ju_bln,TEXT(F$7,"mmmm"),ju_debet,$B121))+E121</f>
        <v>0</v>
      </c>
      <c r="G121" s="286">
        <f t="shared" ref="G121:G127" si="297">IF(INDEX(typ_sn,MATCH(INDEX(akun_type,MATCH($B121,akun_kb,0)),typ_ket,0))="db",SUMIFS(ju_sld,ju_bln,TEXT(G$7,"mmmm"),ju_debet,$B121)-SUMIFS(ju_sld,ju_bln,TEXT(G$7,"mmmm"),ju_kr,$B121),SUMIFS(ju_sld,ju_bln,TEXT(G$7,"mmmm"),ju_kr,$B121)-SUMIFS(ju_sld,ju_bln,TEXT(G$7,"mmmm"),ju_debet,$B121))+F121</f>
        <v>0</v>
      </c>
      <c r="H121" s="286">
        <f t="shared" ref="H121:H127" si="298">IF(INDEX(typ_sn,MATCH(INDEX(akun_type,MATCH($B121,akun_kb,0)),typ_ket,0))="db",SUMIFS(ju_sld,ju_bln,TEXT(H$7,"mmmm"),ju_debet,$B121)-SUMIFS(ju_sld,ju_bln,TEXT(H$7,"mmmm"),ju_kr,$B121),SUMIFS(ju_sld,ju_bln,TEXT(H$7,"mmmm"),ju_kr,$B121)-SUMIFS(ju_sld,ju_bln,TEXT(H$7,"mmmm"),ju_debet,$B121))+G121</f>
        <v>0</v>
      </c>
      <c r="I121" s="286">
        <f t="shared" ref="I121:I127" si="299">IF(INDEX(typ_sn,MATCH(INDEX(akun_type,MATCH($B121,akun_kb,0)),typ_ket,0))="db",SUMIFS(ju_sld,ju_bln,TEXT(I$7,"mmmm"),ju_debet,$B121)-SUMIFS(ju_sld,ju_bln,TEXT(I$7,"mmmm"),ju_kr,$B121),SUMIFS(ju_sld,ju_bln,TEXT(I$7,"mmmm"),ju_kr,$B121)-SUMIFS(ju_sld,ju_bln,TEXT(I$7,"mmmm"),ju_debet,$B121))+H121</f>
        <v>0</v>
      </c>
      <c r="J121" s="286">
        <f t="shared" ref="J121:J127" si="300">IF(INDEX(typ_sn,MATCH(INDEX(akun_type,MATCH($B121,akun_kb,0)),typ_ket,0))="db",SUMIFS(ju_sld,ju_bln,TEXT(J$7,"mmmm"),ju_debet,$B121)-SUMIFS(ju_sld,ju_bln,TEXT(J$7,"mmmm"),ju_kr,$B121),SUMIFS(ju_sld,ju_bln,TEXT(J$7,"mmmm"),ju_kr,$B121)-SUMIFS(ju_sld,ju_bln,TEXT(J$7,"mmmm"),ju_debet,$B121))+I121</f>
        <v>0</v>
      </c>
      <c r="K121" s="286">
        <f t="shared" ref="K121:K127" si="301">IF(INDEX(typ_sn,MATCH(INDEX(akun_type,MATCH($B121,akun_kb,0)),typ_ket,0))="db",SUMIFS(ju_sld,ju_bln,TEXT(K$7,"mmmm"),ju_debet,$B121)-SUMIFS(ju_sld,ju_bln,TEXT(K$7,"mmmm"),ju_kr,$B121),SUMIFS(ju_sld,ju_bln,TEXT(K$7,"mmmm"),ju_kr,$B121)-SUMIFS(ju_sld,ju_bln,TEXT(K$7,"mmmm"),ju_debet,$B121))+J121</f>
        <v>0</v>
      </c>
      <c r="L121" s="286">
        <f t="shared" ref="L121:L127" si="302">IF(INDEX(typ_sn,MATCH(INDEX(akun_type,MATCH($B121,akun_kb,0)),typ_ket,0))="db",SUMIFS(ju_sld,ju_bln,TEXT(L$7,"mmmm"),ju_debet,$B121)-SUMIFS(ju_sld,ju_bln,TEXT(L$7,"mmmm"),ju_kr,$B121),SUMIFS(ju_sld,ju_bln,TEXT(L$7,"mmmm"),ju_kr,$B121)-SUMIFS(ju_sld,ju_bln,TEXT(L$7,"mmmm"),ju_debet,$B121))+K121</f>
        <v>0</v>
      </c>
      <c r="M121" s="286">
        <f t="shared" ref="M121:M127" si="303">IF(INDEX(typ_sn,MATCH(INDEX(akun_type,MATCH($B121,akun_kb,0)),typ_ket,0))="db",SUMIFS(ju_sld,ju_bln,TEXT(M$7,"mmmm"),ju_debet,$B121)-SUMIFS(ju_sld,ju_bln,TEXT(M$7,"mmmm"),ju_kr,$B121),SUMIFS(ju_sld,ju_bln,TEXT(M$7,"mmmm"),ju_kr,$B121)-SUMIFS(ju_sld,ju_bln,TEXT(M$7,"mmmm"),ju_debet,$B121))+L121</f>
        <v>0</v>
      </c>
      <c r="N121" s="286">
        <f t="shared" ref="N121:N127" si="304">IF(INDEX(typ_sn,MATCH(INDEX(akun_type,MATCH($B121,akun_kb,0)),typ_ket,0))="db",SUMIFS(ju_sld,ju_bln,TEXT(N$7,"mmmm"),ju_debet,$B121)-SUMIFS(ju_sld,ju_bln,TEXT(N$7,"mmmm"),ju_kr,$B121),SUMIFS(ju_sld,ju_bln,TEXT(N$7,"mmmm"),ju_kr,$B121)-SUMIFS(ju_sld,ju_bln,TEXT(N$7,"mmmm"),ju_debet,$B121))+M121</f>
        <v>0</v>
      </c>
      <c r="O121" s="286">
        <f t="shared" ref="O121:O127" si="305">IF(INDEX(typ_sn,MATCH(INDEX(akun_type,MATCH($B121,akun_kb,0)),typ_ket,0))="db",SUMIFS(ju_sld,ju_bln,TEXT(O$7,"mmmm"),ju_debet,$B121)-SUMIFS(ju_sld,ju_bln,TEXT(O$7,"mmmm"),ju_kr,$B121),SUMIFS(ju_sld,ju_bln,TEXT(O$7,"mmmm"),ju_kr,$B121)-SUMIFS(ju_sld,ju_bln,TEXT(O$7,"mmmm"),ju_debet,$B121))+N121</f>
        <v>0</v>
      </c>
      <c r="P121" s="286">
        <f t="shared" ref="P121:P127" si="306">IF(INDEX(typ_sn,MATCH(INDEX(akun_type,MATCH($B121,akun_kb,0)),typ_ket,0))="db",SUMIFS(ju_sld,ju_bln,TEXT(P$7,"mmmm"),ju_debet,$B121)-SUMIFS(ju_sld,ju_bln,TEXT(P$7,"mmmm"),ju_kr,$B121),SUMIFS(ju_sld,ju_bln,TEXT(P$7,"mmmm"),ju_kr,$B121)-SUMIFS(ju_sld,ju_bln,TEXT(P$7,"mmmm"),ju_debet,$B121))+O121</f>
        <v>0</v>
      </c>
      <c r="Q121" s="286">
        <f t="shared" ref="Q121:Q127" si="307">IF(INDEX(typ_sn,MATCH(INDEX(akun_type,MATCH($B121,akun_kb,0)),typ_ket,0))="db",SUMIFS(ju_sld,ju_bln,TEXT(Q$7,"mmmm"),ju_debet,$B121)-SUMIFS(ju_sld,ju_bln,TEXT(Q$7,"mmmm"),ju_kr,$B121),SUMIFS(ju_sld,ju_bln,TEXT(Q$7,"mmmm"),ju_kr,$B121)-SUMIFS(ju_sld,ju_bln,TEXT(Q$7,"mmmm"),ju_debet,$B121))+P121</f>
        <v>0</v>
      </c>
      <c r="R121" s="218"/>
      <c r="S121" s="278">
        <f t="shared" si="294"/>
        <v>0</v>
      </c>
    </row>
    <row r="122" spans="2:19" ht="18" customHeight="1">
      <c r="B122" s="287" t="str">
        <f>NERACA!B124</f>
        <v>210102 | DEPOSIT KOLEKTOR</v>
      </c>
      <c r="C122" s="284"/>
      <c r="D122" s="284" t="str">
        <f t="shared" si="292"/>
        <v>Akun Hutang</v>
      </c>
      <c r="E122" s="286">
        <f t="shared" si="295"/>
        <v>1254293</v>
      </c>
      <c r="F122" s="286">
        <f t="shared" si="296"/>
        <v>1254293</v>
      </c>
      <c r="G122" s="286">
        <f t="shared" si="297"/>
        <v>1254293</v>
      </c>
      <c r="H122" s="286">
        <f t="shared" si="298"/>
        <v>1254293</v>
      </c>
      <c r="I122" s="286">
        <f t="shared" si="299"/>
        <v>1254293</v>
      </c>
      <c r="J122" s="286">
        <f t="shared" si="300"/>
        <v>1254293</v>
      </c>
      <c r="K122" s="286">
        <f t="shared" si="301"/>
        <v>1254293</v>
      </c>
      <c r="L122" s="286">
        <f t="shared" si="302"/>
        <v>1254293</v>
      </c>
      <c r="M122" s="286">
        <f t="shared" si="303"/>
        <v>1254293</v>
      </c>
      <c r="N122" s="286">
        <f t="shared" si="304"/>
        <v>1254293</v>
      </c>
      <c r="O122" s="286">
        <f t="shared" si="305"/>
        <v>1254293</v>
      </c>
      <c r="P122" s="286">
        <f t="shared" si="306"/>
        <v>1254293</v>
      </c>
      <c r="Q122" s="286">
        <f t="shared" si="307"/>
        <v>1254293</v>
      </c>
      <c r="R122" s="218"/>
      <c r="S122" s="278">
        <f t="shared" si="294"/>
        <v>1</v>
      </c>
    </row>
    <row r="123" spans="2:19" ht="18" customHeight="1">
      <c r="B123" s="287" t="str">
        <f>NERACA!B125</f>
        <v>210103 | HUTANG GAJI</v>
      </c>
      <c r="C123" s="284"/>
      <c r="D123" s="284" t="str">
        <f t="shared" si="292"/>
        <v>Akun Hutang</v>
      </c>
      <c r="E123" s="286">
        <f t="shared" si="295"/>
        <v>0</v>
      </c>
      <c r="F123" s="286">
        <f t="shared" si="296"/>
        <v>0</v>
      </c>
      <c r="G123" s="286">
        <f t="shared" si="297"/>
        <v>0</v>
      </c>
      <c r="H123" s="286">
        <f t="shared" si="298"/>
        <v>0</v>
      </c>
      <c r="I123" s="286">
        <f t="shared" si="299"/>
        <v>0</v>
      </c>
      <c r="J123" s="286">
        <f t="shared" si="300"/>
        <v>0</v>
      </c>
      <c r="K123" s="286">
        <f t="shared" si="301"/>
        <v>0</v>
      </c>
      <c r="L123" s="286">
        <f t="shared" si="302"/>
        <v>0</v>
      </c>
      <c r="M123" s="286">
        <f t="shared" si="303"/>
        <v>0</v>
      </c>
      <c r="N123" s="286">
        <f t="shared" si="304"/>
        <v>0</v>
      </c>
      <c r="O123" s="286">
        <f t="shared" si="305"/>
        <v>0</v>
      </c>
      <c r="P123" s="286">
        <f t="shared" si="306"/>
        <v>0</v>
      </c>
      <c r="Q123" s="286">
        <f t="shared" si="307"/>
        <v>0</v>
      </c>
      <c r="R123" s="218"/>
      <c r="S123" s="278">
        <f t="shared" si="294"/>
        <v>0</v>
      </c>
    </row>
    <row r="124" spans="2:19" ht="18" customHeight="1">
      <c r="B124" s="287" t="str">
        <f>NERACA!B126</f>
        <v>210204 | HUTANG ACC ANGSURAN MOBIL OPERASIONAL</v>
      </c>
      <c r="C124" s="284"/>
      <c r="D124" s="284" t="str">
        <f t="shared" si="292"/>
        <v>Akun Hutang</v>
      </c>
      <c r="E124" s="286">
        <f t="shared" si="295"/>
        <v>125810000</v>
      </c>
      <c r="F124" s="286">
        <f t="shared" si="296"/>
        <v>120760000</v>
      </c>
      <c r="G124" s="286">
        <f t="shared" si="297"/>
        <v>115710000</v>
      </c>
      <c r="H124" s="286">
        <f t="shared" si="298"/>
        <v>110660000</v>
      </c>
      <c r="I124" s="286">
        <f t="shared" si="299"/>
        <v>105610000</v>
      </c>
      <c r="J124" s="286">
        <f t="shared" si="300"/>
        <v>100560000</v>
      </c>
      <c r="K124" s="286">
        <f t="shared" si="301"/>
        <v>95510000</v>
      </c>
      <c r="L124" s="286">
        <f t="shared" si="302"/>
        <v>90460000</v>
      </c>
      <c r="M124" s="286">
        <f t="shared" si="303"/>
        <v>85410000</v>
      </c>
      <c r="N124" s="286">
        <f t="shared" si="304"/>
        <v>80360000</v>
      </c>
      <c r="O124" s="286">
        <f t="shared" si="305"/>
        <v>75310000</v>
      </c>
      <c r="P124" s="286">
        <f t="shared" si="306"/>
        <v>70260000</v>
      </c>
      <c r="Q124" s="286">
        <f t="shared" si="307"/>
        <v>65210000</v>
      </c>
      <c r="R124" s="218"/>
      <c r="S124" s="278">
        <f t="shared" si="294"/>
        <v>1</v>
      </c>
    </row>
    <row r="125" spans="2:19" ht="18" customHeight="1">
      <c r="B125" s="287" t="str">
        <f>NERACA!B127</f>
        <v>210205 | HUTANG DEVIDEN</v>
      </c>
      <c r="C125" s="284"/>
      <c r="D125" s="284" t="str">
        <f t="shared" si="292"/>
        <v>Akun Hutang</v>
      </c>
      <c r="E125" s="286">
        <f t="shared" si="295"/>
        <v>0</v>
      </c>
      <c r="F125" s="286">
        <f t="shared" si="296"/>
        <v>0</v>
      </c>
      <c r="G125" s="286">
        <f t="shared" si="297"/>
        <v>0</v>
      </c>
      <c r="H125" s="286">
        <f t="shared" si="298"/>
        <v>470964078</v>
      </c>
      <c r="I125" s="286">
        <f t="shared" si="299"/>
        <v>470964078</v>
      </c>
      <c r="J125" s="286">
        <f t="shared" si="300"/>
        <v>470964078</v>
      </c>
      <c r="K125" s="286">
        <f t="shared" si="301"/>
        <v>470964078</v>
      </c>
      <c r="L125" s="286">
        <f t="shared" si="302"/>
        <v>470964078</v>
      </c>
      <c r="M125" s="286">
        <f t="shared" si="303"/>
        <v>470964078</v>
      </c>
      <c r="N125" s="286">
        <f t="shared" si="304"/>
        <v>370964078</v>
      </c>
      <c r="O125" s="286">
        <f t="shared" si="305"/>
        <v>370964078</v>
      </c>
      <c r="P125" s="286">
        <f t="shared" si="306"/>
        <v>185482039</v>
      </c>
      <c r="Q125" s="286">
        <f t="shared" si="307"/>
        <v>0</v>
      </c>
      <c r="R125" s="218"/>
      <c r="S125" s="278">
        <f t="shared" si="294"/>
        <v>0</v>
      </c>
    </row>
    <row r="126" spans="2:19" ht="18" customHeight="1">
      <c r="B126" s="287" t="str">
        <f>NERACA!B128</f>
        <v>210201 | HUTANG BANK JANGKA PENDEK</v>
      </c>
      <c r="C126" s="284"/>
      <c r="D126" s="284" t="str">
        <f t="shared" si="292"/>
        <v>Akun Hutang</v>
      </c>
      <c r="E126" s="286">
        <f t="shared" si="295"/>
        <v>0</v>
      </c>
      <c r="F126" s="286">
        <f t="shared" si="296"/>
        <v>0</v>
      </c>
      <c r="G126" s="286">
        <f t="shared" si="297"/>
        <v>0</v>
      </c>
      <c r="H126" s="286">
        <f t="shared" si="298"/>
        <v>0</v>
      </c>
      <c r="I126" s="286">
        <f t="shared" si="299"/>
        <v>0</v>
      </c>
      <c r="J126" s="286">
        <f t="shared" si="300"/>
        <v>0</v>
      </c>
      <c r="K126" s="286">
        <f t="shared" si="301"/>
        <v>0</v>
      </c>
      <c r="L126" s="286">
        <f t="shared" si="302"/>
        <v>0</v>
      </c>
      <c r="M126" s="286">
        <f t="shared" si="303"/>
        <v>0</v>
      </c>
      <c r="N126" s="286">
        <f t="shared" si="304"/>
        <v>0</v>
      </c>
      <c r="O126" s="286">
        <f t="shared" si="305"/>
        <v>0</v>
      </c>
      <c r="P126" s="286">
        <f t="shared" si="306"/>
        <v>0</v>
      </c>
      <c r="Q126" s="286">
        <f t="shared" si="307"/>
        <v>0</v>
      </c>
      <c r="R126" s="218"/>
      <c r="S126" s="278">
        <f t="shared" si="294"/>
        <v>0</v>
      </c>
    </row>
    <row r="127" spans="2:19" ht="18" customHeight="1">
      <c r="B127" s="287" t="str">
        <f>NERACA!B129</f>
        <v>210215 | HUTANG JASPRO DIREKSI</v>
      </c>
      <c r="C127" s="284"/>
      <c r="D127" s="284" t="str">
        <f t="shared" si="292"/>
        <v>Akun Hutang</v>
      </c>
      <c r="E127" s="286">
        <f t="shared" si="295"/>
        <v>0</v>
      </c>
      <c r="F127" s="286">
        <f t="shared" si="296"/>
        <v>0</v>
      </c>
      <c r="G127" s="286">
        <f t="shared" si="297"/>
        <v>0</v>
      </c>
      <c r="H127" s="286">
        <f t="shared" si="298"/>
        <v>25688950</v>
      </c>
      <c r="I127" s="286">
        <f t="shared" si="299"/>
        <v>25688950</v>
      </c>
      <c r="J127" s="286">
        <f t="shared" si="300"/>
        <v>25688950</v>
      </c>
      <c r="K127" s="286">
        <f t="shared" si="301"/>
        <v>25688950</v>
      </c>
      <c r="L127" s="286">
        <f t="shared" si="302"/>
        <v>25688950</v>
      </c>
      <c r="M127" s="286">
        <f t="shared" si="303"/>
        <v>25688950</v>
      </c>
      <c r="N127" s="286">
        <f t="shared" si="304"/>
        <v>25688950</v>
      </c>
      <c r="O127" s="286">
        <f t="shared" si="305"/>
        <v>0</v>
      </c>
      <c r="P127" s="286">
        <f t="shared" si="306"/>
        <v>0</v>
      </c>
      <c r="Q127" s="286">
        <f t="shared" si="307"/>
        <v>0</v>
      </c>
      <c r="R127" s="218"/>
      <c r="S127" s="278">
        <f t="shared" si="294"/>
        <v>0</v>
      </c>
    </row>
    <row r="128" spans="2:19" ht="18" customHeight="1">
      <c r="B128" s="287" t="str">
        <f>NERACA!B130</f>
        <v>210216 | HUTANG JASPRO KARYAWAN</v>
      </c>
      <c r="C128" s="284"/>
      <c r="D128" s="284" t="str">
        <f t="shared" ref="D128" si="308">IFERROR(INDEX(akun_type,MATCH(B128,akun_kb,0)),"")</f>
        <v>Akun Hutang</v>
      </c>
      <c r="E128" s="286">
        <f t="shared" ref="E128" si="309">IF(INDEX(typ_sn,MATCH(INDEX(akun_type,MATCH(B128,akun_kb,0)),typ_ket,0))="db",SUMIF(akun_kb,B128,akun_db)-SUMIF(akun_kb,B128,akun_kr),SUMIF(akun_kb,B128,akun_kr)-SUMIF(akun_kb,B128,akun_db))</f>
        <v>0</v>
      </c>
      <c r="F128" s="286">
        <f t="shared" ref="F128" si="310">IF(INDEX(typ_sn,MATCH(INDEX(akun_type,MATCH($B128,akun_kb,0)),typ_ket,0))="db",SUMIFS(ju_sld,ju_bln,TEXT(F$7,"mmmm"),ju_debet,$B128)-SUMIFS(ju_sld,ju_bln,TEXT(F$7,"mmmm"),ju_kr,$B128),SUMIFS(ju_sld,ju_bln,TEXT(F$7,"mmmm"),ju_kr,$B128)-SUMIFS(ju_sld,ju_bln,TEXT(F$7,"mmmm"),ju_debet,$B128))+E128</f>
        <v>0</v>
      </c>
      <c r="G128" s="286">
        <f t="shared" ref="G128" si="311">IF(INDEX(typ_sn,MATCH(INDEX(akun_type,MATCH($B128,akun_kb,0)),typ_ket,0))="db",SUMIFS(ju_sld,ju_bln,TEXT(G$7,"mmmm"),ju_debet,$B128)-SUMIFS(ju_sld,ju_bln,TEXT(G$7,"mmmm"),ju_kr,$B128),SUMIFS(ju_sld,ju_bln,TEXT(G$7,"mmmm"),ju_kr,$B128)-SUMIFS(ju_sld,ju_bln,TEXT(G$7,"mmmm"),ju_debet,$B128))+F128</f>
        <v>0</v>
      </c>
      <c r="H128" s="286">
        <f t="shared" ref="H128" si="312">IF(INDEX(typ_sn,MATCH(INDEX(akun_type,MATCH($B128,akun_kb,0)),typ_ket,0))="db",SUMIFS(ju_sld,ju_bln,TEXT(H$7,"mmmm"),ju_debet,$B128)-SUMIFS(ju_sld,ju_bln,TEXT(H$7,"mmmm"),ju_kr,$B128),SUMIFS(ju_sld,ju_bln,TEXT(H$7,"mmmm"),ju_kr,$B128)-SUMIFS(ju_sld,ju_bln,TEXT(H$7,"mmmm"),ju_debet,$B128))+G128</f>
        <v>107037290</v>
      </c>
      <c r="I128" s="286">
        <f t="shared" ref="I128" si="313">IF(INDEX(typ_sn,MATCH(INDEX(akun_type,MATCH($B128,akun_kb,0)),typ_ket,0))="db",SUMIFS(ju_sld,ju_bln,TEXT(I$7,"mmmm"),ju_debet,$B128)-SUMIFS(ju_sld,ju_bln,TEXT(I$7,"mmmm"),ju_kr,$B128),SUMIFS(ju_sld,ju_bln,TEXT(I$7,"mmmm"),ju_kr,$B128)-SUMIFS(ju_sld,ju_bln,TEXT(I$7,"mmmm"),ju_debet,$B128))+H128</f>
        <v>107037290</v>
      </c>
      <c r="J128" s="286">
        <f t="shared" ref="J128" si="314">IF(INDEX(typ_sn,MATCH(INDEX(akun_type,MATCH($B128,akun_kb,0)),typ_ket,0))="db",SUMIFS(ju_sld,ju_bln,TEXT(J$7,"mmmm"),ju_debet,$B128)-SUMIFS(ju_sld,ju_bln,TEXT(J$7,"mmmm"),ju_kr,$B128),SUMIFS(ju_sld,ju_bln,TEXT(J$7,"mmmm"),ju_kr,$B128)-SUMIFS(ju_sld,ju_bln,TEXT(J$7,"mmmm"),ju_debet,$B128))+I128</f>
        <v>107037290</v>
      </c>
      <c r="K128" s="286">
        <f t="shared" ref="K128" si="315">IF(INDEX(typ_sn,MATCH(INDEX(akun_type,MATCH($B128,akun_kb,0)),typ_ket,0))="db",SUMIFS(ju_sld,ju_bln,TEXT(K$7,"mmmm"),ju_debet,$B128)-SUMIFS(ju_sld,ju_bln,TEXT(K$7,"mmmm"),ju_kr,$B128),SUMIFS(ju_sld,ju_bln,TEXT(K$7,"mmmm"),ju_kr,$B128)-SUMIFS(ju_sld,ju_bln,TEXT(K$7,"mmmm"),ju_debet,$B128))+J128</f>
        <v>107037290</v>
      </c>
      <c r="L128" s="286">
        <f t="shared" ref="L128" si="316">IF(INDEX(typ_sn,MATCH(INDEX(akun_type,MATCH($B128,akun_kb,0)),typ_ket,0))="db",SUMIFS(ju_sld,ju_bln,TEXT(L$7,"mmmm"),ju_debet,$B128)-SUMIFS(ju_sld,ju_bln,TEXT(L$7,"mmmm"),ju_kr,$B128),SUMIFS(ju_sld,ju_bln,TEXT(L$7,"mmmm"),ju_kr,$B128)-SUMIFS(ju_sld,ju_bln,TEXT(L$7,"mmmm"),ju_debet,$B128))+K128</f>
        <v>107037290</v>
      </c>
      <c r="M128" s="286">
        <f t="shared" ref="M128" si="317">IF(INDEX(typ_sn,MATCH(INDEX(akun_type,MATCH($B128,akun_kb,0)),typ_ket,0))="db",SUMIFS(ju_sld,ju_bln,TEXT(M$7,"mmmm"),ju_debet,$B128)-SUMIFS(ju_sld,ju_bln,TEXT(M$7,"mmmm"),ju_kr,$B128),SUMIFS(ju_sld,ju_bln,TEXT(M$7,"mmmm"),ju_kr,$B128)-SUMIFS(ju_sld,ju_bln,TEXT(M$7,"mmmm"),ju_debet,$B128))+L128</f>
        <v>107037290</v>
      </c>
      <c r="N128" s="286">
        <f t="shared" ref="N128" si="318">IF(INDEX(typ_sn,MATCH(INDEX(akun_type,MATCH($B128,akun_kb,0)),typ_ket,0))="db",SUMIFS(ju_sld,ju_bln,TEXT(N$7,"mmmm"),ju_debet,$B128)-SUMIFS(ju_sld,ju_bln,TEXT(N$7,"mmmm"),ju_kr,$B128),SUMIFS(ju_sld,ju_bln,TEXT(N$7,"mmmm"),ju_kr,$B128)-SUMIFS(ju_sld,ju_bln,TEXT(N$7,"mmmm"),ju_debet,$B128))+M128</f>
        <v>107037290</v>
      </c>
      <c r="O128" s="286">
        <f t="shared" ref="O128" si="319">IF(INDEX(typ_sn,MATCH(INDEX(akun_type,MATCH($B128,akun_kb,0)),typ_ket,0))="db",SUMIFS(ju_sld,ju_bln,TEXT(O$7,"mmmm"),ju_debet,$B128)-SUMIFS(ju_sld,ju_bln,TEXT(O$7,"mmmm"),ju_kr,$B128),SUMIFS(ju_sld,ju_bln,TEXT(O$7,"mmmm"),ju_kr,$B128)-SUMIFS(ju_sld,ju_bln,TEXT(O$7,"mmmm"),ju_debet,$B128))+N128</f>
        <v>0</v>
      </c>
      <c r="P128" s="286">
        <f t="shared" ref="P128" si="320">IF(INDEX(typ_sn,MATCH(INDEX(akun_type,MATCH($B128,akun_kb,0)),typ_ket,0))="db",SUMIFS(ju_sld,ju_bln,TEXT(P$7,"mmmm"),ju_debet,$B128)-SUMIFS(ju_sld,ju_bln,TEXT(P$7,"mmmm"),ju_kr,$B128),SUMIFS(ju_sld,ju_bln,TEXT(P$7,"mmmm"),ju_kr,$B128)-SUMIFS(ju_sld,ju_bln,TEXT(P$7,"mmmm"),ju_debet,$B128))+O128</f>
        <v>0</v>
      </c>
      <c r="Q128" s="286">
        <f t="shared" ref="Q128" si="321">IF(INDEX(typ_sn,MATCH(INDEX(akun_type,MATCH($B128,akun_kb,0)),typ_ket,0))="db",SUMIFS(ju_sld,ju_bln,TEXT(Q$7,"mmmm"),ju_debet,$B128)-SUMIFS(ju_sld,ju_bln,TEXT(Q$7,"mmmm"),ju_kr,$B128),SUMIFS(ju_sld,ju_bln,TEXT(Q$7,"mmmm"),ju_kr,$B128)-SUMIFS(ju_sld,ju_bln,TEXT(Q$7,"mmmm"),ju_debet,$B128))+P128</f>
        <v>0</v>
      </c>
      <c r="R128" s="218"/>
      <c r="S128" s="278">
        <f t="shared" ref="S128" si="322">IF(Q128=0,0,1)</f>
        <v>0</v>
      </c>
    </row>
    <row r="129" spans="2:19" s="274" customFormat="1" ht="18" customHeight="1">
      <c r="B129" s="374" t="str">
        <f>NERACA!B131</f>
        <v>TOTAL KEWAJIBAN LANCAR</v>
      </c>
      <c r="C129" s="385"/>
      <c r="D129" s="385" t="str">
        <f t="shared" ref="D129:D154" si="323">IFERROR(INDEX(akun_type,MATCH(B129,akun_kb,0)),"")</f>
        <v/>
      </c>
      <c r="E129" s="386">
        <f>SUM(E121:E128)</f>
        <v>127064293</v>
      </c>
      <c r="F129" s="386">
        <f t="shared" ref="F129:Q129" si="324">SUM(F121:F128)</f>
        <v>122014293</v>
      </c>
      <c r="G129" s="386">
        <f t="shared" si="324"/>
        <v>116964293</v>
      </c>
      <c r="H129" s="386">
        <f t="shared" si="324"/>
        <v>715604611</v>
      </c>
      <c r="I129" s="386">
        <f t="shared" si="324"/>
        <v>710554611</v>
      </c>
      <c r="J129" s="386">
        <f t="shared" si="324"/>
        <v>705504611</v>
      </c>
      <c r="K129" s="386">
        <f t="shared" si="324"/>
        <v>700454611</v>
      </c>
      <c r="L129" s="386">
        <f t="shared" si="324"/>
        <v>695404611</v>
      </c>
      <c r="M129" s="386">
        <f t="shared" si="324"/>
        <v>690354611</v>
      </c>
      <c r="N129" s="386">
        <f t="shared" si="324"/>
        <v>585304611</v>
      </c>
      <c r="O129" s="386">
        <f t="shared" si="324"/>
        <v>447528371</v>
      </c>
      <c r="P129" s="386">
        <f t="shared" si="324"/>
        <v>256996332</v>
      </c>
      <c r="Q129" s="386">
        <f t="shared" si="324"/>
        <v>66464293</v>
      </c>
      <c r="R129" s="218"/>
      <c r="S129" s="383">
        <f t="shared" ref="S129:S154" si="325">IF(Q129=0,0,1)</f>
        <v>1</v>
      </c>
    </row>
    <row r="130" spans="2:19" ht="18" customHeight="1">
      <c r="B130" s="287" t="str">
        <f>NERACA!B132</f>
        <v>HUTANG PAJAK</v>
      </c>
      <c r="C130" s="284"/>
      <c r="D130" s="284" t="str">
        <f t="shared" si="323"/>
        <v/>
      </c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18"/>
      <c r="S130" s="278">
        <f t="shared" si="325"/>
        <v>0</v>
      </c>
    </row>
    <row r="131" spans="2:19" ht="18" customHeight="1">
      <c r="B131" s="287" t="str">
        <f>NERACA!B133</f>
        <v>210206 | HUTANG PAJAK (PPH BADAN)</v>
      </c>
      <c r="C131" s="284"/>
      <c r="D131" s="284" t="str">
        <f t="shared" si="323"/>
        <v>Kewajiban Lancar Lainnya</v>
      </c>
      <c r="E131" s="286">
        <f t="shared" ref="E131:E152" si="326">IF(INDEX(typ_sn,MATCH(INDEX(akun_type,MATCH(B131,akun_kb,0)),typ_ket,0))="db",SUMIF(akun_kb,B131,akun_db)-SUMIF(akun_kb,B131,akun_kr),SUMIF(akun_kb,B131,akun_kr)-SUMIF(akun_kb,B131,akun_db))</f>
        <v>282850702</v>
      </c>
      <c r="F131" s="286">
        <f t="shared" ref="F131:F151" si="327">IF(INDEX(typ_sn,MATCH(INDEX(akun_type,MATCH($B131,akun_kb,0)),typ_ket,0))="db",SUMIFS(ju_sld,ju_bln,TEXT(F$7,"mmmm"),ju_debet,$B131)-SUMIFS(ju_sld,ju_bln,TEXT(F$7,"mmmm"),ju_kr,$B131),SUMIFS(ju_sld,ju_bln,TEXT(F$7,"mmmm"),ju_kr,$B131)-SUMIFS(ju_sld,ju_bln,TEXT(F$7,"mmmm"),ju_debet,$B131))+E131</f>
        <v>282850702</v>
      </c>
      <c r="G131" s="286">
        <f t="shared" ref="G131:G151" si="328">IF(INDEX(typ_sn,MATCH(INDEX(akun_type,MATCH($B131,akun_kb,0)),typ_ket,0))="db",SUMIFS(ju_sld,ju_bln,TEXT(G$7,"mmmm"),ju_debet,$B131)-SUMIFS(ju_sld,ju_bln,TEXT(G$7,"mmmm"),ju_kr,$B131),SUMIFS(ju_sld,ju_bln,TEXT(G$7,"mmmm"),ju_kr,$B131)-SUMIFS(ju_sld,ju_bln,TEXT(G$7,"mmmm"),ju_debet,$B131))+F131</f>
        <v>282850702</v>
      </c>
      <c r="H131" s="286">
        <f t="shared" ref="H131:H151" si="329">IF(INDEX(typ_sn,MATCH(INDEX(akun_type,MATCH($B131,akun_kb,0)),typ_ket,0))="db",SUMIFS(ju_sld,ju_bln,TEXT(H$7,"mmmm"),ju_debet,$B131)-SUMIFS(ju_sld,ju_bln,TEXT(H$7,"mmmm"),ju_kr,$B131),SUMIFS(ju_sld,ju_bln,TEXT(H$7,"mmmm"),ju_kr,$B131)-SUMIFS(ju_sld,ju_bln,TEXT(H$7,"mmmm"),ju_debet,$B131))+G131</f>
        <v>282850702</v>
      </c>
      <c r="I131" s="286">
        <f t="shared" ref="I131:I151" si="330">IF(INDEX(typ_sn,MATCH(INDEX(akun_type,MATCH($B131,akun_kb,0)),typ_ket,0))="db",SUMIFS(ju_sld,ju_bln,TEXT(I$7,"mmmm"),ju_debet,$B131)-SUMIFS(ju_sld,ju_bln,TEXT(I$7,"mmmm"),ju_kr,$B131),SUMIFS(ju_sld,ju_bln,TEXT(I$7,"mmmm"),ju_kr,$B131)-SUMIFS(ju_sld,ju_bln,TEXT(I$7,"mmmm"),ju_debet,$B131))+H131</f>
        <v>282850702</v>
      </c>
      <c r="J131" s="286">
        <f t="shared" ref="J131:J151" si="331">IF(INDEX(typ_sn,MATCH(INDEX(akun_type,MATCH($B131,akun_kb,0)),typ_ket,0))="db",SUMIFS(ju_sld,ju_bln,TEXT(J$7,"mmmm"),ju_debet,$B131)-SUMIFS(ju_sld,ju_bln,TEXT(J$7,"mmmm"),ju_kr,$B131),SUMIFS(ju_sld,ju_bln,TEXT(J$7,"mmmm"),ju_kr,$B131)-SUMIFS(ju_sld,ju_bln,TEXT(J$7,"mmmm"),ju_debet,$B131))+I131</f>
        <v>282850702</v>
      </c>
      <c r="K131" s="286">
        <f t="shared" ref="K131:K151" si="332">IF(INDEX(typ_sn,MATCH(INDEX(akun_type,MATCH($B131,akun_kb,0)),typ_ket,0))="db",SUMIFS(ju_sld,ju_bln,TEXT(K$7,"mmmm"),ju_debet,$B131)-SUMIFS(ju_sld,ju_bln,TEXT(K$7,"mmmm"),ju_kr,$B131),SUMIFS(ju_sld,ju_bln,TEXT(K$7,"mmmm"),ju_kr,$B131)-SUMIFS(ju_sld,ju_bln,TEXT(K$7,"mmmm"),ju_debet,$B131))+J131</f>
        <v>282850702</v>
      </c>
      <c r="L131" s="286">
        <f t="shared" ref="L131:L151" si="333">IF(INDEX(typ_sn,MATCH(INDEX(akun_type,MATCH($B131,akun_kb,0)),typ_ket,0))="db",SUMIFS(ju_sld,ju_bln,TEXT(L$7,"mmmm"),ju_debet,$B131)-SUMIFS(ju_sld,ju_bln,TEXT(L$7,"mmmm"),ju_kr,$B131),SUMIFS(ju_sld,ju_bln,TEXT(L$7,"mmmm"),ju_kr,$B131)-SUMIFS(ju_sld,ju_bln,TEXT(L$7,"mmmm"),ju_debet,$B131))+K131</f>
        <v>282850702</v>
      </c>
      <c r="M131" s="286">
        <f t="shared" ref="M131:M151" si="334">IF(INDEX(typ_sn,MATCH(INDEX(akun_type,MATCH($B131,akun_kb,0)),typ_ket,0))="db",SUMIFS(ju_sld,ju_bln,TEXT(M$7,"mmmm"),ju_debet,$B131)-SUMIFS(ju_sld,ju_bln,TEXT(M$7,"mmmm"),ju_kr,$B131),SUMIFS(ju_sld,ju_bln,TEXT(M$7,"mmmm"),ju_kr,$B131)-SUMIFS(ju_sld,ju_bln,TEXT(M$7,"mmmm"),ju_debet,$B131))+L131</f>
        <v>79053446</v>
      </c>
      <c r="N131" s="286">
        <f t="shared" ref="N131:N151" si="335">IF(INDEX(typ_sn,MATCH(INDEX(akun_type,MATCH($B131,akun_kb,0)),typ_ket,0))="db",SUMIFS(ju_sld,ju_bln,TEXT(N$7,"mmmm"),ju_debet,$B131)-SUMIFS(ju_sld,ju_bln,TEXT(N$7,"mmmm"),ju_kr,$B131),SUMIFS(ju_sld,ju_bln,TEXT(N$7,"mmmm"),ju_kr,$B131)-SUMIFS(ju_sld,ju_bln,TEXT(N$7,"mmmm"),ju_debet,$B131))+M131</f>
        <v>79053446</v>
      </c>
      <c r="O131" s="286">
        <f t="shared" ref="O131:O151" si="336">IF(INDEX(typ_sn,MATCH(INDEX(akun_type,MATCH($B131,akun_kb,0)),typ_ket,0))="db",SUMIFS(ju_sld,ju_bln,TEXT(O$7,"mmmm"),ju_debet,$B131)-SUMIFS(ju_sld,ju_bln,TEXT(O$7,"mmmm"),ju_kr,$B131),SUMIFS(ju_sld,ju_bln,TEXT(O$7,"mmmm"),ju_kr,$B131)-SUMIFS(ju_sld,ju_bln,TEXT(O$7,"mmmm"),ju_debet,$B131))+N131</f>
        <v>79053446</v>
      </c>
      <c r="P131" s="286">
        <f t="shared" ref="P131:P151" si="337">IF(INDEX(typ_sn,MATCH(INDEX(akun_type,MATCH($B131,akun_kb,0)),typ_ket,0))="db",SUMIFS(ju_sld,ju_bln,TEXT(P$7,"mmmm"),ju_debet,$B131)-SUMIFS(ju_sld,ju_bln,TEXT(P$7,"mmmm"),ju_kr,$B131),SUMIFS(ju_sld,ju_bln,TEXT(P$7,"mmmm"),ju_kr,$B131)-SUMIFS(ju_sld,ju_bln,TEXT(P$7,"mmmm"),ju_debet,$B131))+O131</f>
        <v>79053446</v>
      </c>
      <c r="Q131" s="286">
        <f t="shared" ref="Q131:Q151" si="338">IF(INDEX(typ_sn,MATCH(INDEX(akun_type,MATCH($B131,akun_kb,0)),typ_ket,0))="db",SUMIFS(ju_sld,ju_bln,TEXT(Q$7,"mmmm"),ju_debet,$B131)-SUMIFS(ju_sld,ju_bln,TEXT(Q$7,"mmmm"),ju_kr,$B131),SUMIFS(ju_sld,ju_bln,TEXT(Q$7,"mmmm"),ju_kr,$B131)-SUMIFS(ju_sld,ju_bln,TEXT(Q$7,"mmmm"),ju_debet,$B131))+P131</f>
        <v>0</v>
      </c>
      <c r="R131" s="218"/>
      <c r="S131" s="278">
        <f t="shared" si="325"/>
        <v>0</v>
      </c>
    </row>
    <row r="132" spans="2:19" ht="18" customHeight="1">
      <c r="B132" s="287" t="str">
        <f>NERACA!B134</f>
        <v>210207 | HUTANG PAJAK PARKIR PLB</v>
      </c>
      <c r="C132" s="284"/>
      <c r="D132" s="284" t="str">
        <f t="shared" si="323"/>
        <v>Kewajiban Lancar Lainnya</v>
      </c>
      <c r="E132" s="286">
        <f t="shared" si="326"/>
        <v>508871680</v>
      </c>
      <c r="F132" s="286">
        <f t="shared" si="327"/>
        <v>487938880</v>
      </c>
      <c r="G132" s="286">
        <f t="shared" si="328"/>
        <v>467672230</v>
      </c>
      <c r="H132" s="286">
        <f t="shared" si="329"/>
        <v>467672230</v>
      </c>
      <c r="I132" s="286">
        <f t="shared" si="330"/>
        <v>438572230</v>
      </c>
      <c r="J132" s="286">
        <f t="shared" si="331"/>
        <v>412681930</v>
      </c>
      <c r="K132" s="286">
        <f t="shared" si="332"/>
        <v>402511930</v>
      </c>
      <c r="L132" s="286">
        <f t="shared" si="333"/>
        <v>327671440</v>
      </c>
      <c r="M132" s="286">
        <f t="shared" si="334"/>
        <v>327671440</v>
      </c>
      <c r="N132" s="286">
        <f t="shared" si="335"/>
        <v>327671440</v>
      </c>
      <c r="O132" s="286">
        <f t="shared" si="336"/>
        <v>327671440</v>
      </c>
      <c r="P132" s="286">
        <f t="shared" si="337"/>
        <v>327671440</v>
      </c>
      <c r="Q132" s="286">
        <f t="shared" si="338"/>
        <v>326009440</v>
      </c>
      <c r="R132" s="218"/>
      <c r="S132" s="278">
        <f t="shared" si="325"/>
        <v>1</v>
      </c>
    </row>
    <row r="133" spans="2:19" ht="18" customHeight="1">
      <c r="B133" s="287" t="str">
        <f>NERACA!B135</f>
        <v>210208 | HUTANG PAJAK PPH 21</v>
      </c>
      <c r="C133" s="284"/>
      <c r="D133" s="284" t="str">
        <f t="shared" si="323"/>
        <v>Kewajiban Lancar Lainnya</v>
      </c>
      <c r="E133" s="286">
        <f t="shared" si="326"/>
        <v>0</v>
      </c>
      <c r="F133" s="286">
        <f t="shared" si="327"/>
        <v>0</v>
      </c>
      <c r="G133" s="286">
        <f t="shared" si="328"/>
        <v>0</v>
      </c>
      <c r="H133" s="286">
        <f t="shared" si="329"/>
        <v>0</v>
      </c>
      <c r="I133" s="286">
        <f t="shared" si="330"/>
        <v>0</v>
      </c>
      <c r="J133" s="286">
        <f t="shared" si="331"/>
        <v>0</v>
      </c>
      <c r="K133" s="286">
        <f t="shared" si="332"/>
        <v>0</v>
      </c>
      <c r="L133" s="286">
        <f t="shared" si="333"/>
        <v>0</v>
      </c>
      <c r="M133" s="286">
        <f t="shared" si="334"/>
        <v>0</v>
      </c>
      <c r="N133" s="286">
        <f t="shared" si="335"/>
        <v>0</v>
      </c>
      <c r="O133" s="286">
        <f t="shared" si="336"/>
        <v>0</v>
      </c>
      <c r="P133" s="286">
        <f t="shared" si="337"/>
        <v>0</v>
      </c>
      <c r="Q133" s="286">
        <f t="shared" si="338"/>
        <v>0</v>
      </c>
      <c r="R133" s="218"/>
      <c r="S133" s="278">
        <f t="shared" si="325"/>
        <v>0</v>
      </c>
    </row>
    <row r="134" spans="2:19" ht="18" customHeight="1">
      <c r="B134" s="287" t="str">
        <f>NERACA!B136</f>
        <v>210209 | HUTANG PAJAK PPH 25</v>
      </c>
      <c r="C134" s="284"/>
      <c r="D134" s="284" t="str">
        <f t="shared" si="323"/>
        <v>Kewajiban Lancar Lainnya</v>
      </c>
      <c r="E134" s="286">
        <f t="shared" si="326"/>
        <v>0</v>
      </c>
      <c r="F134" s="286">
        <f t="shared" si="327"/>
        <v>0</v>
      </c>
      <c r="G134" s="286">
        <f t="shared" si="328"/>
        <v>0</v>
      </c>
      <c r="H134" s="286">
        <f t="shared" si="329"/>
        <v>0</v>
      </c>
      <c r="I134" s="286">
        <f t="shared" si="330"/>
        <v>0</v>
      </c>
      <c r="J134" s="286">
        <f t="shared" si="331"/>
        <v>0</v>
      </c>
      <c r="K134" s="286">
        <f t="shared" si="332"/>
        <v>0</v>
      </c>
      <c r="L134" s="286">
        <f t="shared" si="333"/>
        <v>0</v>
      </c>
      <c r="M134" s="286">
        <f t="shared" si="334"/>
        <v>0</v>
      </c>
      <c r="N134" s="286">
        <f t="shared" si="335"/>
        <v>0</v>
      </c>
      <c r="O134" s="286">
        <f t="shared" si="336"/>
        <v>0</v>
      </c>
      <c r="P134" s="286">
        <f t="shared" si="337"/>
        <v>0</v>
      </c>
      <c r="Q134" s="286">
        <f t="shared" si="338"/>
        <v>0</v>
      </c>
      <c r="R134" s="218"/>
      <c r="S134" s="278">
        <f t="shared" si="325"/>
        <v>0</v>
      </c>
    </row>
    <row r="135" spans="2:19" ht="18" customHeight="1">
      <c r="B135" s="287" t="str">
        <f>NERACA!B137</f>
        <v>210210 | HUTANG PAJAK PPH 23</v>
      </c>
      <c r="C135" s="284"/>
      <c r="D135" s="284" t="str">
        <f t="shared" si="323"/>
        <v>Kewajiban Lancar Lainnya</v>
      </c>
      <c r="E135" s="286">
        <f t="shared" si="326"/>
        <v>0</v>
      </c>
      <c r="F135" s="286">
        <f t="shared" si="327"/>
        <v>0</v>
      </c>
      <c r="G135" s="286">
        <f t="shared" si="328"/>
        <v>0</v>
      </c>
      <c r="H135" s="286">
        <f t="shared" si="329"/>
        <v>0</v>
      </c>
      <c r="I135" s="286">
        <f t="shared" si="330"/>
        <v>0</v>
      </c>
      <c r="J135" s="286">
        <f t="shared" si="331"/>
        <v>0</v>
      </c>
      <c r="K135" s="286">
        <f t="shared" si="332"/>
        <v>0</v>
      </c>
      <c r="L135" s="286">
        <f t="shared" si="333"/>
        <v>0</v>
      </c>
      <c r="M135" s="286">
        <f t="shared" si="334"/>
        <v>0</v>
      </c>
      <c r="N135" s="286">
        <f t="shared" si="335"/>
        <v>0</v>
      </c>
      <c r="O135" s="286">
        <f t="shared" si="336"/>
        <v>0</v>
      </c>
      <c r="P135" s="286">
        <f t="shared" si="337"/>
        <v>0</v>
      </c>
      <c r="Q135" s="286">
        <f t="shared" si="338"/>
        <v>0</v>
      </c>
      <c r="R135" s="218"/>
      <c r="S135" s="278">
        <f t="shared" si="325"/>
        <v>0</v>
      </c>
    </row>
    <row r="136" spans="2:19" ht="18" customHeight="1">
      <c r="B136" s="287" t="str">
        <f>NERACA!B138</f>
        <v>210211 | PPN KELUARAN</v>
      </c>
      <c r="C136" s="284"/>
      <c r="D136" s="284" t="str">
        <f t="shared" si="323"/>
        <v>Kewajiban Lancar Lainnya</v>
      </c>
      <c r="E136" s="286">
        <f t="shared" si="326"/>
        <v>0</v>
      </c>
      <c r="F136" s="286">
        <f t="shared" si="327"/>
        <v>0</v>
      </c>
      <c r="G136" s="286">
        <f t="shared" si="328"/>
        <v>0</v>
      </c>
      <c r="H136" s="286">
        <f t="shared" si="329"/>
        <v>0</v>
      </c>
      <c r="I136" s="286">
        <f t="shared" si="330"/>
        <v>0</v>
      </c>
      <c r="J136" s="286">
        <f t="shared" si="331"/>
        <v>0</v>
      </c>
      <c r="K136" s="286">
        <f t="shared" si="332"/>
        <v>0</v>
      </c>
      <c r="L136" s="286">
        <f t="shared" si="333"/>
        <v>0</v>
      </c>
      <c r="M136" s="286">
        <f t="shared" si="334"/>
        <v>0</v>
      </c>
      <c r="N136" s="286">
        <f t="shared" si="335"/>
        <v>0</v>
      </c>
      <c r="O136" s="286">
        <f t="shared" si="336"/>
        <v>0</v>
      </c>
      <c r="P136" s="286">
        <f t="shared" si="337"/>
        <v>0</v>
      </c>
      <c r="Q136" s="286">
        <f t="shared" si="338"/>
        <v>0</v>
      </c>
      <c r="R136" s="218"/>
      <c r="S136" s="278">
        <f t="shared" si="325"/>
        <v>0</v>
      </c>
    </row>
    <row r="137" spans="2:19" s="274" customFormat="1" ht="18" customHeight="1">
      <c r="B137" s="285" t="str">
        <f>NERACA!B139</f>
        <v>TOTAL KEWAJIBAN LANCAR LAINNYA</v>
      </c>
      <c r="C137" s="385"/>
      <c r="D137" s="385" t="str">
        <f t="shared" si="323"/>
        <v/>
      </c>
      <c r="E137" s="386">
        <f>SUM(E131:E136)</f>
        <v>791722382</v>
      </c>
      <c r="F137" s="386">
        <f t="shared" ref="F137:Q137" si="339">SUM(F131:F136)</f>
        <v>770789582</v>
      </c>
      <c r="G137" s="386">
        <f t="shared" si="339"/>
        <v>750522932</v>
      </c>
      <c r="H137" s="386">
        <f t="shared" si="339"/>
        <v>750522932</v>
      </c>
      <c r="I137" s="386">
        <f t="shared" si="339"/>
        <v>721422932</v>
      </c>
      <c r="J137" s="386">
        <f t="shared" si="339"/>
        <v>695532632</v>
      </c>
      <c r="K137" s="386">
        <f t="shared" si="339"/>
        <v>685362632</v>
      </c>
      <c r="L137" s="386">
        <f t="shared" si="339"/>
        <v>610522142</v>
      </c>
      <c r="M137" s="386">
        <f t="shared" si="339"/>
        <v>406724886</v>
      </c>
      <c r="N137" s="386">
        <f t="shared" si="339"/>
        <v>406724886</v>
      </c>
      <c r="O137" s="386">
        <f t="shared" si="339"/>
        <v>406724886</v>
      </c>
      <c r="P137" s="386">
        <f t="shared" si="339"/>
        <v>406724886</v>
      </c>
      <c r="Q137" s="386">
        <f t="shared" si="339"/>
        <v>326009440</v>
      </c>
      <c r="R137" s="218"/>
      <c r="S137" s="383">
        <f t="shared" si="325"/>
        <v>1</v>
      </c>
    </row>
    <row r="138" spans="2:19" s="274" customFormat="1" ht="18" customHeight="1">
      <c r="B138" s="285" t="str">
        <f>NERACA!B140</f>
        <v>KEWAJIBAN JANGKA PANJANG</v>
      </c>
      <c r="C138" s="373"/>
      <c r="D138" s="373" t="str">
        <f t="shared" si="323"/>
        <v/>
      </c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18"/>
      <c r="S138" s="383">
        <f t="shared" si="325"/>
        <v>0</v>
      </c>
    </row>
    <row r="139" spans="2:19" ht="18" customHeight="1">
      <c r="B139" s="287" t="str">
        <f>NERACA!B141</f>
        <v>220101 | HUTANG JK JANGKA PANJANG - KMK</v>
      </c>
      <c r="C139" s="284"/>
      <c r="D139" s="284" t="str">
        <f t="shared" si="323"/>
        <v>Kewajiban Jangka Panjang</v>
      </c>
      <c r="E139" s="286">
        <f t="shared" si="326"/>
        <v>0</v>
      </c>
      <c r="F139" s="286">
        <f t="shared" si="327"/>
        <v>0</v>
      </c>
      <c r="G139" s="286">
        <f t="shared" si="328"/>
        <v>0</v>
      </c>
      <c r="H139" s="286">
        <f t="shared" si="329"/>
        <v>0</v>
      </c>
      <c r="I139" s="286">
        <f t="shared" si="330"/>
        <v>0</v>
      </c>
      <c r="J139" s="286">
        <f t="shared" si="331"/>
        <v>0</v>
      </c>
      <c r="K139" s="286">
        <f t="shared" si="332"/>
        <v>0</v>
      </c>
      <c r="L139" s="286">
        <f t="shared" si="333"/>
        <v>0</v>
      </c>
      <c r="M139" s="286">
        <f t="shared" si="334"/>
        <v>0</v>
      </c>
      <c r="N139" s="286">
        <f t="shared" si="335"/>
        <v>0</v>
      </c>
      <c r="O139" s="286">
        <f t="shared" si="336"/>
        <v>0</v>
      </c>
      <c r="P139" s="286">
        <f t="shared" si="337"/>
        <v>0</v>
      </c>
      <c r="Q139" s="286">
        <f t="shared" si="338"/>
        <v>0</v>
      </c>
      <c r="R139" s="218"/>
      <c r="S139" s="278">
        <f t="shared" si="325"/>
        <v>0</v>
      </c>
    </row>
    <row r="140" spans="2:19" ht="18" customHeight="1">
      <c r="B140" s="287" t="str">
        <f>NERACA!B142</f>
        <v>220102 | HUTANG JK JANGKA PANJANG - KI</v>
      </c>
      <c r="C140" s="284"/>
      <c r="D140" s="284" t="str">
        <f t="shared" si="323"/>
        <v>Kewajiban Jangka Panjang</v>
      </c>
      <c r="E140" s="286">
        <f t="shared" si="326"/>
        <v>0</v>
      </c>
      <c r="F140" s="286">
        <f t="shared" si="327"/>
        <v>0</v>
      </c>
      <c r="G140" s="286">
        <f t="shared" si="328"/>
        <v>0</v>
      </c>
      <c r="H140" s="286">
        <f t="shared" si="329"/>
        <v>0</v>
      </c>
      <c r="I140" s="286">
        <f t="shared" si="330"/>
        <v>0</v>
      </c>
      <c r="J140" s="286">
        <f t="shared" si="331"/>
        <v>0</v>
      </c>
      <c r="K140" s="286">
        <f t="shared" si="332"/>
        <v>0</v>
      </c>
      <c r="L140" s="286">
        <f t="shared" si="333"/>
        <v>0</v>
      </c>
      <c r="M140" s="286">
        <f t="shared" si="334"/>
        <v>0</v>
      </c>
      <c r="N140" s="286">
        <f t="shared" si="335"/>
        <v>0</v>
      </c>
      <c r="O140" s="286">
        <f t="shared" si="336"/>
        <v>0</v>
      </c>
      <c r="P140" s="286">
        <f t="shared" si="337"/>
        <v>0</v>
      </c>
      <c r="Q140" s="286">
        <f t="shared" si="338"/>
        <v>0</v>
      </c>
      <c r="R140" s="218"/>
      <c r="S140" s="278">
        <f t="shared" si="325"/>
        <v>0</v>
      </c>
    </row>
    <row r="141" spans="2:19" s="274" customFormat="1" ht="18" customHeight="1">
      <c r="B141" s="285" t="str">
        <f>NERACA!B143</f>
        <v>TOTAL KEWAJIBAN JANGKA PANJANG</v>
      </c>
      <c r="C141" s="373"/>
      <c r="D141" s="373" t="str">
        <f t="shared" si="323"/>
        <v/>
      </c>
      <c r="E141" s="293">
        <f>SUM(E139:E140)</f>
        <v>0</v>
      </c>
      <c r="F141" s="293">
        <f t="shared" ref="F141:Q141" si="340">SUM(F139:F140)</f>
        <v>0</v>
      </c>
      <c r="G141" s="293">
        <f t="shared" si="340"/>
        <v>0</v>
      </c>
      <c r="H141" s="293">
        <f t="shared" si="340"/>
        <v>0</v>
      </c>
      <c r="I141" s="293">
        <f t="shared" si="340"/>
        <v>0</v>
      </c>
      <c r="J141" s="293">
        <f t="shared" si="340"/>
        <v>0</v>
      </c>
      <c r="K141" s="293">
        <f t="shared" si="340"/>
        <v>0</v>
      </c>
      <c r="L141" s="293">
        <f t="shared" si="340"/>
        <v>0</v>
      </c>
      <c r="M141" s="293">
        <f t="shared" si="340"/>
        <v>0</v>
      </c>
      <c r="N141" s="293">
        <f t="shared" si="340"/>
        <v>0</v>
      </c>
      <c r="O141" s="293">
        <f t="shared" si="340"/>
        <v>0</v>
      </c>
      <c r="P141" s="293">
        <f t="shared" si="340"/>
        <v>0</v>
      </c>
      <c r="Q141" s="293">
        <f t="shared" si="340"/>
        <v>0</v>
      </c>
      <c r="R141" s="218"/>
      <c r="S141" s="383">
        <f t="shared" si="325"/>
        <v>0</v>
      </c>
    </row>
    <row r="142" spans="2:19" s="274" customFormat="1" ht="18" customHeight="1">
      <c r="B142" s="387" t="str">
        <f>NERACA!B144</f>
        <v>TOTAL KEWAJIBAN</v>
      </c>
      <c r="C142" s="385"/>
      <c r="D142" s="385" t="str">
        <f t="shared" si="323"/>
        <v/>
      </c>
      <c r="E142" s="386">
        <f>E129+E137+E141</f>
        <v>918786675</v>
      </c>
      <c r="F142" s="386">
        <f t="shared" ref="F142:Q142" si="341">F129+F137+F141</f>
        <v>892803875</v>
      </c>
      <c r="G142" s="386">
        <f t="shared" si="341"/>
        <v>867487225</v>
      </c>
      <c r="H142" s="386">
        <f t="shared" si="341"/>
        <v>1466127543</v>
      </c>
      <c r="I142" s="386">
        <f t="shared" si="341"/>
        <v>1431977543</v>
      </c>
      <c r="J142" s="386">
        <f t="shared" si="341"/>
        <v>1401037243</v>
      </c>
      <c r="K142" s="386">
        <f t="shared" si="341"/>
        <v>1385817243</v>
      </c>
      <c r="L142" s="386">
        <f t="shared" si="341"/>
        <v>1305926753</v>
      </c>
      <c r="M142" s="386">
        <f t="shared" si="341"/>
        <v>1097079497</v>
      </c>
      <c r="N142" s="386">
        <f t="shared" si="341"/>
        <v>992029497</v>
      </c>
      <c r="O142" s="386">
        <f t="shared" si="341"/>
        <v>854253257</v>
      </c>
      <c r="P142" s="386">
        <f t="shared" si="341"/>
        <v>663721218</v>
      </c>
      <c r="Q142" s="386">
        <f t="shared" si="341"/>
        <v>392473733</v>
      </c>
      <c r="R142" s="218"/>
      <c r="S142" s="383">
        <f t="shared" si="325"/>
        <v>1</v>
      </c>
    </row>
    <row r="143" spans="2:19" s="274" customFormat="1" ht="18" customHeight="1">
      <c r="B143" s="285" t="str">
        <f>NERACA!B145</f>
        <v>MODAL</v>
      </c>
      <c r="C143" s="373"/>
      <c r="D143" s="373" t="str">
        <f t="shared" si="323"/>
        <v/>
      </c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18"/>
      <c r="S143" s="383">
        <f t="shared" si="325"/>
        <v>0</v>
      </c>
    </row>
    <row r="144" spans="2:19" ht="18" customHeight="1">
      <c r="B144" s="287" t="str">
        <f>NERACA!B146</f>
        <v>310101 | MODAL SAHAM</v>
      </c>
      <c r="C144" s="284"/>
      <c r="D144" s="284" t="str">
        <f t="shared" si="323"/>
        <v>Ekuitas</v>
      </c>
      <c r="E144" s="286">
        <f t="shared" si="326"/>
        <v>2079027500</v>
      </c>
      <c r="F144" s="286">
        <f t="shared" si="327"/>
        <v>2079027500</v>
      </c>
      <c r="G144" s="286">
        <f t="shared" si="328"/>
        <v>2079027500</v>
      </c>
      <c r="H144" s="286">
        <f t="shared" si="329"/>
        <v>2079027500</v>
      </c>
      <c r="I144" s="286">
        <f t="shared" si="330"/>
        <v>2079027500</v>
      </c>
      <c r="J144" s="286">
        <f t="shared" si="331"/>
        <v>2079027500</v>
      </c>
      <c r="K144" s="286">
        <f t="shared" si="332"/>
        <v>2079027500</v>
      </c>
      <c r="L144" s="286">
        <f t="shared" si="333"/>
        <v>2079027500</v>
      </c>
      <c r="M144" s="286">
        <f t="shared" si="334"/>
        <v>2079027500</v>
      </c>
      <c r="N144" s="286">
        <f t="shared" si="335"/>
        <v>2079027500</v>
      </c>
      <c r="O144" s="286">
        <f t="shared" si="336"/>
        <v>2079027500</v>
      </c>
      <c r="P144" s="286">
        <f t="shared" si="337"/>
        <v>2079027500</v>
      </c>
      <c r="Q144" s="286">
        <f t="shared" si="338"/>
        <v>2079027500</v>
      </c>
      <c r="R144" s="218"/>
      <c r="S144" s="278">
        <f t="shared" si="325"/>
        <v>1</v>
      </c>
    </row>
    <row r="145" spans="2:19" ht="18" customHeight="1">
      <c r="B145" s="287" t="str">
        <f>NERACA!B147</f>
        <v>310102 | ASET PEMKOT DIPISAHKAN</v>
      </c>
      <c r="C145" s="284"/>
      <c r="D145" s="284" t="str">
        <f t="shared" si="323"/>
        <v>Ekuitas</v>
      </c>
      <c r="E145" s="286">
        <f t="shared" si="326"/>
        <v>1258945600</v>
      </c>
      <c r="F145" s="286">
        <f t="shared" si="327"/>
        <v>1258945600</v>
      </c>
      <c r="G145" s="286">
        <f t="shared" si="328"/>
        <v>1258945600</v>
      </c>
      <c r="H145" s="286">
        <f t="shared" si="329"/>
        <v>1258945600</v>
      </c>
      <c r="I145" s="286">
        <f t="shared" si="330"/>
        <v>1258945600</v>
      </c>
      <c r="J145" s="286">
        <f t="shared" si="331"/>
        <v>1258945600</v>
      </c>
      <c r="K145" s="286">
        <f t="shared" si="332"/>
        <v>1258945600</v>
      </c>
      <c r="L145" s="286">
        <f t="shared" si="333"/>
        <v>1258945600</v>
      </c>
      <c r="M145" s="286">
        <f t="shared" si="334"/>
        <v>1258945600</v>
      </c>
      <c r="N145" s="286">
        <f t="shared" si="335"/>
        <v>1258945600</v>
      </c>
      <c r="O145" s="286">
        <f t="shared" si="336"/>
        <v>1258945600</v>
      </c>
      <c r="P145" s="286">
        <f t="shared" si="337"/>
        <v>1258945600</v>
      </c>
      <c r="Q145" s="286">
        <f t="shared" si="338"/>
        <v>1258945600</v>
      </c>
      <c r="R145" s="218"/>
      <c r="S145" s="278">
        <f t="shared" si="325"/>
        <v>1</v>
      </c>
    </row>
    <row r="146" spans="2:19" ht="18" customHeight="1">
      <c r="B146" s="287" t="str">
        <f>NERACA!B148</f>
        <v>310201 | DIVIDEN</v>
      </c>
      <c r="C146" s="284"/>
      <c r="D146" s="284" t="str">
        <f t="shared" si="323"/>
        <v>Ekuitas</v>
      </c>
      <c r="E146" s="286">
        <f t="shared" si="326"/>
        <v>470964078</v>
      </c>
      <c r="F146" s="286">
        <f t="shared" si="327"/>
        <v>470964078</v>
      </c>
      <c r="G146" s="286">
        <f t="shared" si="328"/>
        <v>470964078</v>
      </c>
      <c r="H146" s="286">
        <f t="shared" si="329"/>
        <v>0</v>
      </c>
      <c r="I146" s="286">
        <f t="shared" si="330"/>
        <v>0</v>
      </c>
      <c r="J146" s="286">
        <f t="shared" si="331"/>
        <v>0</v>
      </c>
      <c r="K146" s="286">
        <f t="shared" si="332"/>
        <v>0</v>
      </c>
      <c r="L146" s="286">
        <f t="shared" si="333"/>
        <v>0</v>
      </c>
      <c r="M146" s="286">
        <f t="shared" si="334"/>
        <v>0</v>
      </c>
      <c r="N146" s="286">
        <f t="shared" si="335"/>
        <v>0</v>
      </c>
      <c r="O146" s="286">
        <f t="shared" si="336"/>
        <v>0</v>
      </c>
      <c r="P146" s="286">
        <f t="shared" si="337"/>
        <v>0</v>
      </c>
      <c r="Q146" s="286">
        <f t="shared" si="338"/>
        <v>0</v>
      </c>
      <c r="R146" s="218"/>
      <c r="S146" s="278">
        <f t="shared" si="325"/>
        <v>0</v>
      </c>
    </row>
    <row r="147" spans="2:19" ht="18" customHeight="1">
      <c r="B147" s="287" t="str">
        <f>NERACA!B149</f>
        <v>310202 | LABA DITAHAN - DANA CSR</v>
      </c>
      <c r="C147" s="284"/>
      <c r="D147" s="284" t="str">
        <f t="shared" si="323"/>
        <v>Ekuitas</v>
      </c>
      <c r="E147" s="286">
        <f t="shared" si="326"/>
        <v>184187754</v>
      </c>
      <c r="F147" s="286">
        <f t="shared" si="327"/>
        <v>184187754</v>
      </c>
      <c r="G147" s="286">
        <f t="shared" si="328"/>
        <v>184187754</v>
      </c>
      <c r="H147" s="286">
        <f t="shared" si="329"/>
        <v>184187754</v>
      </c>
      <c r="I147" s="286">
        <f t="shared" si="330"/>
        <v>184187754</v>
      </c>
      <c r="J147" s="286">
        <f t="shared" si="331"/>
        <v>184187754</v>
      </c>
      <c r="K147" s="286">
        <f t="shared" si="332"/>
        <v>184187754</v>
      </c>
      <c r="L147" s="286">
        <f t="shared" si="333"/>
        <v>184187754</v>
      </c>
      <c r="M147" s="286">
        <f t="shared" si="334"/>
        <v>184187754</v>
      </c>
      <c r="N147" s="286">
        <f t="shared" si="335"/>
        <v>184187754</v>
      </c>
      <c r="O147" s="286">
        <f t="shared" si="336"/>
        <v>184187754</v>
      </c>
      <c r="P147" s="286">
        <f t="shared" si="337"/>
        <v>184187754</v>
      </c>
      <c r="Q147" s="286">
        <f t="shared" si="338"/>
        <v>184187754</v>
      </c>
      <c r="R147" s="218"/>
      <c r="S147" s="278">
        <f t="shared" si="325"/>
        <v>1</v>
      </c>
    </row>
    <row r="148" spans="2:19" ht="18" customHeight="1">
      <c r="B148" s="287" t="str">
        <f>NERACA!B150</f>
        <v>310203 | LABA DITAHAN - DANA SOSIAL</v>
      </c>
      <c r="C148" s="284"/>
      <c r="D148" s="284" t="str">
        <f t="shared" si="323"/>
        <v>Ekuitas</v>
      </c>
      <c r="E148" s="286">
        <f t="shared" si="326"/>
        <v>471384847</v>
      </c>
      <c r="F148" s="286">
        <f t="shared" si="327"/>
        <v>471384847</v>
      </c>
      <c r="G148" s="286">
        <f t="shared" si="328"/>
        <v>471384847</v>
      </c>
      <c r="H148" s="286">
        <f t="shared" si="329"/>
        <v>471384847</v>
      </c>
      <c r="I148" s="286">
        <f t="shared" si="330"/>
        <v>471384847</v>
      </c>
      <c r="J148" s="286">
        <f t="shared" si="331"/>
        <v>471384847</v>
      </c>
      <c r="K148" s="286">
        <f t="shared" si="332"/>
        <v>471384847</v>
      </c>
      <c r="L148" s="286">
        <f t="shared" si="333"/>
        <v>471384847</v>
      </c>
      <c r="M148" s="286">
        <f t="shared" si="334"/>
        <v>471384847</v>
      </c>
      <c r="N148" s="286">
        <f t="shared" si="335"/>
        <v>471384847</v>
      </c>
      <c r="O148" s="286">
        <f t="shared" si="336"/>
        <v>471384847</v>
      </c>
      <c r="P148" s="286">
        <f t="shared" si="337"/>
        <v>471384847</v>
      </c>
      <c r="Q148" s="286">
        <f t="shared" si="338"/>
        <v>471384847</v>
      </c>
      <c r="R148" s="218"/>
      <c r="S148" s="278">
        <f t="shared" si="325"/>
        <v>1</v>
      </c>
    </row>
    <row r="149" spans="2:19" ht="18" customHeight="1">
      <c r="B149" s="287" t="str">
        <f>NERACA!B151</f>
        <v>310204 | LABA DITAHAN - DANA PENSIUN DAN SOKONGAN</v>
      </c>
      <c r="C149" s="284"/>
      <c r="D149" s="284" t="str">
        <f t="shared" si="323"/>
        <v>Ekuitas</v>
      </c>
      <c r="E149" s="286">
        <f t="shared" si="326"/>
        <v>487257279</v>
      </c>
      <c r="F149" s="286">
        <f t="shared" si="327"/>
        <v>487257279</v>
      </c>
      <c r="G149" s="286">
        <f t="shared" si="328"/>
        <v>487257279</v>
      </c>
      <c r="H149" s="286">
        <f t="shared" si="329"/>
        <v>487257279</v>
      </c>
      <c r="I149" s="286">
        <f t="shared" si="330"/>
        <v>487257279</v>
      </c>
      <c r="J149" s="286">
        <f t="shared" si="331"/>
        <v>487257279</v>
      </c>
      <c r="K149" s="286">
        <f t="shared" si="332"/>
        <v>487257279</v>
      </c>
      <c r="L149" s="286">
        <f t="shared" si="333"/>
        <v>487257279</v>
      </c>
      <c r="M149" s="286">
        <f t="shared" si="334"/>
        <v>487257279</v>
      </c>
      <c r="N149" s="286">
        <f t="shared" si="335"/>
        <v>487257279</v>
      </c>
      <c r="O149" s="286">
        <f t="shared" si="336"/>
        <v>487257279</v>
      </c>
      <c r="P149" s="286">
        <f t="shared" si="337"/>
        <v>487257279</v>
      </c>
      <c r="Q149" s="286">
        <f t="shared" si="338"/>
        <v>487257279</v>
      </c>
      <c r="S149" s="278">
        <f t="shared" si="325"/>
        <v>1</v>
      </c>
    </row>
    <row r="150" spans="2:19" ht="18" customHeight="1">
      <c r="B150" s="287" t="str">
        <f>NERACA!B152</f>
        <v>310205 | LABA DITAHAN - CADANGAN</v>
      </c>
      <c r="C150" s="284"/>
      <c r="D150" s="284" t="str">
        <f t="shared" si="323"/>
        <v>Ekuitas</v>
      </c>
      <c r="E150" s="286">
        <f t="shared" si="326"/>
        <v>1766218871</v>
      </c>
      <c r="F150" s="286">
        <f t="shared" si="327"/>
        <v>1766218871</v>
      </c>
      <c r="G150" s="286">
        <f t="shared" si="328"/>
        <v>1766218871</v>
      </c>
      <c r="H150" s="286">
        <f t="shared" si="329"/>
        <v>1633492631</v>
      </c>
      <c r="I150" s="286">
        <f t="shared" si="330"/>
        <v>1633492631</v>
      </c>
      <c r="J150" s="286">
        <f t="shared" si="331"/>
        <v>1633492631</v>
      </c>
      <c r="K150" s="286">
        <f t="shared" si="332"/>
        <v>1633492631</v>
      </c>
      <c r="L150" s="286">
        <f t="shared" si="333"/>
        <v>1633492631</v>
      </c>
      <c r="M150" s="286">
        <f t="shared" si="334"/>
        <v>1633492631</v>
      </c>
      <c r="N150" s="286">
        <f t="shared" si="335"/>
        <v>1633492631</v>
      </c>
      <c r="O150" s="286">
        <f t="shared" si="336"/>
        <v>1633492631</v>
      </c>
      <c r="P150" s="286">
        <f t="shared" si="337"/>
        <v>1633492631</v>
      </c>
      <c r="Q150" s="286">
        <f t="shared" si="338"/>
        <v>2217978244</v>
      </c>
      <c r="S150" s="278">
        <f t="shared" si="325"/>
        <v>1</v>
      </c>
    </row>
    <row r="151" spans="2:19" ht="18" customHeight="1">
      <c r="B151" s="287" t="str">
        <f>NERACA!B153</f>
        <v>310206 | LABA TAHUN SEBELUMNYA</v>
      </c>
      <c r="C151" s="284"/>
      <c r="D151" s="284" t="str">
        <f t="shared" si="323"/>
        <v>Ekuitas</v>
      </c>
      <c r="E151" s="286">
        <f t="shared" si="326"/>
        <v>492031167</v>
      </c>
      <c r="F151" s="286">
        <f t="shared" si="327"/>
        <v>492031167</v>
      </c>
      <c r="G151" s="286">
        <f t="shared" si="328"/>
        <v>492031167</v>
      </c>
      <c r="H151" s="286">
        <f t="shared" si="329"/>
        <v>492031167</v>
      </c>
      <c r="I151" s="286">
        <f t="shared" si="330"/>
        <v>492031167</v>
      </c>
      <c r="J151" s="286">
        <f t="shared" si="331"/>
        <v>492031167</v>
      </c>
      <c r="K151" s="286">
        <f t="shared" si="332"/>
        <v>492031167</v>
      </c>
      <c r="L151" s="286">
        <f t="shared" si="333"/>
        <v>492031167</v>
      </c>
      <c r="M151" s="286">
        <f t="shared" si="334"/>
        <v>492031167</v>
      </c>
      <c r="N151" s="286">
        <f t="shared" si="335"/>
        <v>492031167</v>
      </c>
      <c r="O151" s="286">
        <f t="shared" si="336"/>
        <v>492031167</v>
      </c>
      <c r="P151" s="286">
        <f t="shared" si="337"/>
        <v>492031167</v>
      </c>
      <c r="Q151" s="286">
        <f t="shared" si="338"/>
        <v>0</v>
      </c>
      <c r="S151" s="278">
        <f t="shared" si="325"/>
        <v>0</v>
      </c>
    </row>
    <row r="152" spans="2:19" ht="18" customHeight="1">
      <c r="B152" s="287" t="str">
        <f>NERACA!B154</f>
        <v>310207 | LABA TAHUN BERJALAN</v>
      </c>
      <c r="C152" s="284"/>
      <c r="D152" s="284" t="str">
        <f t="shared" si="323"/>
        <v>Ekuitas</v>
      </c>
      <c r="E152" s="286">
        <f t="shared" si="326"/>
        <v>0</v>
      </c>
      <c r="F152" s="286">
        <f>'LR12'!E164</f>
        <v>400008011.06999999</v>
      </c>
      <c r="G152" s="286">
        <f>F152+'LR12'!F164</f>
        <v>774692155.55999994</v>
      </c>
      <c r="H152" s="286">
        <f>'LR12'!G164</f>
        <v>445726974.06</v>
      </c>
      <c r="I152" s="286">
        <f>'LR12'!H164</f>
        <v>-274806296.91333342</v>
      </c>
      <c r="J152" s="286">
        <f>'LR12'!I164</f>
        <v>379181197.25999993</v>
      </c>
      <c r="K152" s="286">
        <f>'LR12'!J164</f>
        <v>475007447.17999995</v>
      </c>
      <c r="L152" s="286">
        <f>'LR12'!K164</f>
        <v>537828912.15999997</v>
      </c>
      <c r="M152" s="286">
        <f>'LR12'!L164</f>
        <v>409403351.39999998</v>
      </c>
      <c r="N152" s="286">
        <f>'LR12'!M164</f>
        <v>170756549.70333326</v>
      </c>
      <c r="O152" s="286">
        <f>'LR12'!N164</f>
        <v>407492076.81333339</v>
      </c>
      <c r="P152" s="286">
        <f>'LR12'!O164</f>
        <v>328391922.3033334</v>
      </c>
      <c r="Q152" s="286">
        <f>'LR12'!P164</f>
        <v>-161940497.08666673</v>
      </c>
      <c r="S152" s="278">
        <f t="shared" si="325"/>
        <v>1</v>
      </c>
    </row>
    <row r="153" spans="2:19" s="274" customFormat="1" ht="18" customHeight="1">
      <c r="B153" s="285" t="str">
        <f>NERACA!B156</f>
        <v>TOTAL MODAL</v>
      </c>
      <c r="C153" s="373"/>
      <c r="D153" s="373" t="str">
        <f t="shared" si="323"/>
        <v/>
      </c>
      <c r="E153" s="293">
        <f>SUM(E144:E152)</f>
        <v>7210017096</v>
      </c>
      <c r="F153" s="293">
        <f t="shared" ref="F153:Q153" si="342">SUM(F144:F152)</f>
        <v>7610025107.0699997</v>
      </c>
      <c r="G153" s="293">
        <f t="shared" si="342"/>
        <v>7984709251.5599995</v>
      </c>
      <c r="H153" s="293">
        <f t="shared" si="342"/>
        <v>7052053752.0600004</v>
      </c>
      <c r="I153" s="293">
        <f t="shared" si="342"/>
        <v>6331520481.0866661</v>
      </c>
      <c r="J153" s="293">
        <f t="shared" si="342"/>
        <v>6985507975.2600002</v>
      </c>
      <c r="K153" s="293">
        <f t="shared" si="342"/>
        <v>7081334225.1800003</v>
      </c>
      <c r="L153" s="293">
        <f t="shared" si="342"/>
        <v>7144155690.1599998</v>
      </c>
      <c r="M153" s="293">
        <f t="shared" si="342"/>
        <v>7015730129.3999996</v>
      </c>
      <c r="N153" s="293">
        <f t="shared" si="342"/>
        <v>6777083327.7033329</v>
      </c>
      <c r="O153" s="293">
        <f t="shared" si="342"/>
        <v>7013818854.8133335</v>
      </c>
      <c r="P153" s="293">
        <f t="shared" si="342"/>
        <v>6934718700.3033333</v>
      </c>
      <c r="Q153" s="293">
        <f t="shared" si="342"/>
        <v>6536840726.9133329</v>
      </c>
      <c r="S153" s="383">
        <f t="shared" si="325"/>
        <v>1</v>
      </c>
    </row>
    <row r="154" spans="2:19" s="274" customFormat="1" ht="18" customHeight="1">
      <c r="B154" s="387" t="str">
        <f>NERACA!B157</f>
        <v>TOTAL KEWAJIBAN DAN MODAL</v>
      </c>
      <c r="C154" s="385"/>
      <c r="D154" s="385" t="str">
        <f t="shared" si="323"/>
        <v/>
      </c>
      <c r="E154" s="386">
        <f>E153+E142</f>
        <v>8128803771</v>
      </c>
      <c r="F154" s="386">
        <f t="shared" ref="F154:Q154" si="343">F153+F142</f>
        <v>8502828982.0699997</v>
      </c>
      <c r="G154" s="386">
        <f t="shared" si="343"/>
        <v>8852196476.5599995</v>
      </c>
      <c r="H154" s="386">
        <f t="shared" si="343"/>
        <v>8518181295.0600004</v>
      </c>
      <c r="I154" s="386">
        <f t="shared" si="343"/>
        <v>7763498024.0866661</v>
      </c>
      <c r="J154" s="386">
        <f t="shared" si="343"/>
        <v>8386545218.2600002</v>
      </c>
      <c r="K154" s="386">
        <f t="shared" si="343"/>
        <v>8467151468.1800003</v>
      </c>
      <c r="L154" s="386">
        <f t="shared" si="343"/>
        <v>8450082443.1599998</v>
      </c>
      <c r="M154" s="386">
        <f t="shared" si="343"/>
        <v>8112809626.3999996</v>
      </c>
      <c r="N154" s="386">
        <f t="shared" si="343"/>
        <v>7769112824.7033329</v>
      </c>
      <c r="O154" s="386">
        <f t="shared" si="343"/>
        <v>7868072111.8133335</v>
      </c>
      <c r="P154" s="386">
        <f t="shared" si="343"/>
        <v>7598439918.3033333</v>
      </c>
      <c r="Q154" s="386">
        <f t="shared" si="343"/>
        <v>6929314459.9133329</v>
      </c>
      <c r="S154" s="383">
        <f t="shared" si="325"/>
        <v>1</v>
      </c>
    </row>
    <row r="155" spans="2:19" ht="23.1" customHeight="1">
      <c r="B155" s="206"/>
    </row>
    <row r="156" spans="2:19" ht="23.1" customHeight="1">
      <c r="B156" s="206"/>
    </row>
    <row r="157" spans="2:19" ht="23.1" customHeight="1">
      <c r="B157" s="206"/>
    </row>
    <row r="158" spans="2:19" ht="23.1" customHeight="1">
      <c r="B158" s="248"/>
      <c r="C158" s="261"/>
      <c r="D158" s="261"/>
      <c r="E158" s="261"/>
      <c r="F158" s="261"/>
      <c r="G158" s="261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</row>
  </sheetData>
  <autoFilter ref="S6:S158" xr:uid="{BEC2AE5C-FC76-2A43-92F0-B5602BFD7700}">
    <filterColumn colId="0">
      <filters blank="1">
        <filter val="1"/>
      </filters>
    </filterColumn>
  </autoFilter>
  <mergeCells count="3">
    <mergeCell ref="B4:Q4"/>
    <mergeCell ref="B5:Q5"/>
    <mergeCell ref="B6:Q6"/>
  </mergeCells>
  <phoneticPr fontId="7" type="noConversion"/>
  <hyperlinks>
    <hyperlink ref="B2" location="MENU!D8" display="MENU" xr:uid="{378A10A1-9169-4240-A95F-2AFD672C502D}"/>
  </hyperlinks>
  <pageMargins left="0.7" right="0.7" top="0.75" bottom="0.75" header="0.3" footer="0.3"/>
  <pageSetup paperSize="9" scale="35" fitToHeight="5" orientation="portrait" r:id="rId1"/>
  <ignoredErrors>
    <ignoredError sqref="E16 G16:Q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2484-EDBD-E543-B9F7-3C5F3862E877}">
  <sheetPr codeName="Sheet4">
    <pageSetUpPr fitToPage="1"/>
  </sheetPr>
  <dimension ref="B1:P250"/>
  <sheetViews>
    <sheetView showGridLines="0" zoomScale="90" zoomScaleNormal="90" workbookViewId="0">
      <pane ySplit="7" topLeftCell="A8" activePane="bottomLeft" state="frozen"/>
      <selection pane="bottomLeft" activeCell="E47" sqref="E47"/>
    </sheetView>
  </sheetViews>
  <sheetFormatPr defaultColWidth="10.875" defaultRowHeight="23.1" customHeight="1" outlineLevelCol="1"/>
  <cols>
    <col min="1" max="1" width="2.875" style="1" customWidth="1"/>
    <col min="2" max="2" width="10.875" style="3"/>
    <col min="3" max="3" width="29.5" style="3" customWidth="1"/>
    <col min="4" max="4" width="14.625" style="3" customWidth="1"/>
    <col min="5" max="5" width="15.375" style="3" hidden="1" customWidth="1" outlineLevel="1"/>
    <col min="6" max="6" width="16.625" style="3" customWidth="1" collapsed="1"/>
    <col min="7" max="8" width="16.625" style="3" customWidth="1"/>
    <col min="9" max="9" width="18.375" style="3" customWidth="1"/>
    <col min="10" max="10" width="10.875" style="1"/>
    <col min="11" max="11" width="22.5" style="1" hidden="1" customWidth="1" outlineLevel="1"/>
    <col min="12" max="12" width="17.125" style="1" hidden="1" customWidth="1" outlineLevel="1"/>
    <col min="13" max="13" width="9.5" style="5" hidden="1" customWidth="1" outlineLevel="1"/>
    <col min="14" max="14" width="14.5" style="13" hidden="1" customWidth="1" outlineLevel="1"/>
    <col min="15" max="15" width="10.875" style="1" hidden="1" customWidth="1" outlineLevel="1"/>
    <col min="16" max="16" width="10.875" style="1" collapsed="1"/>
    <col min="17" max="16384" width="10.875" style="1"/>
  </cols>
  <sheetData>
    <row r="1" spans="2:15" ht="9.9499999999999993" customHeight="1"/>
    <row r="2" spans="2:15" ht="23.1" customHeight="1" thickBot="1">
      <c r="B2" s="90" t="s">
        <v>58</v>
      </c>
      <c r="C2" s="129" t="str">
        <f>AKUN!C2</f>
        <v>Kahfizul13@gmail.com</v>
      </c>
      <c r="H2" s="1"/>
      <c r="I2" s="1"/>
      <c r="O2" s="35" t="str">
        <f ca="1">CELL("address")</f>
        <v>'[laporan keuangan perumda parkir.xlsx]AKUN'!$B$26</v>
      </c>
    </row>
    <row r="3" spans="2:15" ht="15" customHeight="1"/>
    <row r="4" spans="2:15" ht="30" customHeight="1" thickBot="1">
      <c r="B4" s="399" t="s">
        <v>46</v>
      </c>
      <c r="C4" s="399"/>
      <c r="D4" s="399"/>
      <c r="E4" s="399"/>
      <c r="F4" s="399"/>
      <c r="G4" s="399"/>
      <c r="H4" s="399"/>
      <c r="I4" s="399"/>
    </row>
    <row r="5" spans="2:15" ht="9.9499999999999993" customHeight="1"/>
    <row r="6" spans="2:15" ht="23.1" customHeight="1" thickBot="1">
      <c r="B6" s="17" t="s">
        <v>3</v>
      </c>
      <c r="C6" s="17" t="s">
        <v>9</v>
      </c>
      <c r="D6" s="17" t="s">
        <v>53</v>
      </c>
      <c r="E6" s="17" t="s">
        <v>36</v>
      </c>
      <c r="F6" s="17" t="s">
        <v>36</v>
      </c>
      <c r="G6" s="17" t="s">
        <v>51</v>
      </c>
      <c r="H6" s="17" t="s">
        <v>52</v>
      </c>
      <c r="I6" s="17" t="s">
        <v>39</v>
      </c>
      <c r="K6" s="17" t="s">
        <v>3</v>
      </c>
      <c r="L6" s="32" t="s">
        <v>86</v>
      </c>
      <c r="M6" s="32" t="s">
        <v>87</v>
      </c>
      <c r="N6" s="33" t="s">
        <v>88</v>
      </c>
    </row>
    <row r="7" spans="2:15" ht="9.9499999999999993" customHeight="1">
      <c r="B7" s="10"/>
      <c r="C7" s="10"/>
      <c r="D7" s="10"/>
      <c r="E7" s="10"/>
      <c r="F7" s="10"/>
      <c r="G7" s="10"/>
      <c r="H7" s="10"/>
      <c r="I7" s="10"/>
      <c r="L7" s="5"/>
    </row>
    <row r="8" spans="2:15" ht="23.1" customHeight="1">
      <c r="B8" s="7" t="s">
        <v>47</v>
      </c>
      <c r="C8" s="7" t="s">
        <v>49</v>
      </c>
      <c r="D8" s="7" t="s">
        <v>12</v>
      </c>
      <c r="E8" s="8"/>
      <c r="F8" s="8">
        <f t="shared" ref="F8:F18" si="0">IF(B8="","",E8+SUMIFS(ju_sld,ju_tgl,"&lt;"&amp;awal,ju_typdb,"Akun Piutang",ju_kb,B8&amp;" | "&amp;C8)-SUMIFS(ju_sld,ju_tgl,"&lt;"&amp;awal,ju_typkr,"Akun Piutang",ju_kb,B8&amp;" | "&amp;C8))</f>
        <v>0</v>
      </c>
      <c r="G8" s="8">
        <f t="shared" ref="G8:G18" si="1">IF(B8="","",SUMIFS(ju_sld,ju_tgl,"&gt;="&amp;awal,ju_tgl,"&lt;="&amp;akhir,ju_typdb,"Akun Piutang",ju_kb,B8&amp;" | "&amp;C8))</f>
        <v>0</v>
      </c>
      <c r="H8" s="8">
        <f t="shared" ref="H8:H19" si="2">IF(B8="","",SUMIFS(ju_sld,ju_tgl,"&gt;="&amp;awal,ju_tgl,"&lt;="&amp;akhir,ju_typkr,"Akun Piutang",ju_kb,B8&amp;" | "&amp;C8))</f>
        <v>0</v>
      </c>
      <c r="I8" s="8">
        <f>IF(B8="","",F8+G8-H8)</f>
        <v>0</v>
      </c>
      <c r="K8" s="1" t="str">
        <f t="shared" ref="K8:K86" si="3">IF(OR(D8="Piutang",D8="Hutang"),B8&amp;" | "&amp;C8,"")</f>
        <v>C1 | Customer 1</v>
      </c>
      <c r="L8" s="5">
        <f ca="1">VALUE(IFERROR(SEARCH(INDIRECT(CELL("address")),K8),0))</f>
        <v>0</v>
      </c>
      <c r="M8" s="5" t="str">
        <f ca="1">IF(L8=0,"",COUNTIF($L$8:L8,"&gt;0"))</f>
        <v/>
      </c>
      <c r="N8" s="13" t="str">
        <f t="shared" ref="N8:N20" ca="1" si="4">IFERROR(INDEX(K:K,MATCH(ROW(L1),M:M,0)),"")</f>
        <v/>
      </c>
    </row>
    <row r="9" spans="2:15" ht="23.1" customHeight="1">
      <c r="B9" s="7" t="s">
        <v>48</v>
      </c>
      <c r="C9" s="7" t="s">
        <v>50</v>
      </c>
      <c r="D9" s="7" t="s">
        <v>12</v>
      </c>
      <c r="E9" s="8"/>
      <c r="F9" s="8">
        <f t="shared" si="0"/>
        <v>0</v>
      </c>
      <c r="G9" s="8">
        <f t="shared" si="1"/>
        <v>0</v>
      </c>
      <c r="H9" s="8">
        <f t="shared" si="2"/>
        <v>0</v>
      </c>
      <c r="I9" s="8">
        <f t="shared" ref="I9:I18" si="5">IF(B9="","",F9+G9-H9)</f>
        <v>0</v>
      </c>
      <c r="K9" s="1" t="str">
        <f t="shared" si="3"/>
        <v>C2 | Customer 2</v>
      </c>
      <c r="L9" s="5">
        <f t="shared" ref="L9:L86" ca="1" si="6">VALUE(IFERROR(SEARCH(INDIRECT(CELL("address")),K9),0))</f>
        <v>0</v>
      </c>
      <c r="M9" s="5" t="str">
        <f ca="1">IF(L9=0,"",COUNTIF($L$8:L9,"&gt;0"))</f>
        <v/>
      </c>
      <c r="N9" s="13" t="str">
        <f t="shared" ca="1" si="4"/>
        <v/>
      </c>
    </row>
    <row r="10" spans="2:15" ht="23.1" customHeight="1">
      <c r="B10" s="7"/>
      <c r="C10" s="7"/>
      <c r="D10" s="7"/>
      <c r="E10" s="8"/>
      <c r="F10" s="8" t="str">
        <f t="shared" si="0"/>
        <v/>
      </c>
      <c r="G10" s="8" t="str">
        <f t="shared" si="1"/>
        <v/>
      </c>
      <c r="H10" s="8" t="str">
        <f t="shared" si="2"/>
        <v/>
      </c>
      <c r="I10" s="8" t="str">
        <f>IF(B10="","",F10+G10-H10)</f>
        <v/>
      </c>
      <c r="K10" s="1" t="str">
        <f t="shared" si="3"/>
        <v/>
      </c>
      <c r="L10" s="5">
        <f t="shared" ca="1" si="6"/>
        <v>0</v>
      </c>
      <c r="M10" s="5" t="str">
        <f ca="1">IF(L10=0,"",COUNTIF($L$8:L10,"&gt;0"))</f>
        <v/>
      </c>
      <c r="N10" s="13" t="str">
        <f t="shared" ca="1" si="4"/>
        <v/>
      </c>
    </row>
    <row r="11" spans="2:15" ht="23.1" customHeight="1">
      <c r="B11" s="7"/>
      <c r="C11" s="7"/>
      <c r="D11" s="7"/>
      <c r="E11" s="8"/>
      <c r="F11" s="8" t="str">
        <f t="shared" si="0"/>
        <v/>
      </c>
      <c r="G11" s="8" t="str">
        <f t="shared" si="1"/>
        <v/>
      </c>
      <c r="H11" s="8" t="str">
        <f t="shared" si="2"/>
        <v/>
      </c>
      <c r="I11" s="8" t="str">
        <f t="shared" si="5"/>
        <v/>
      </c>
      <c r="K11" s="1" t="str">
        <f t="shared" si="3"/>
        <v/>
      </c>
      <c r="L11" s="5">
        <f t="shared" ca="1" si="6"/>
        <v>0</v>
      </c>
      <c r="M11" s="5" t="str">
        <f ca="1">IF(L11=0,"",COUNTIF($L$8:L11,"&gt;0"))</f>
        <v/>
      </c>
      <c r="N11" s="13" t="str">
        <f t="shared" ca="1" si="4"/>
        <v/>
      </c>
    </row>
    <row r="12" spans="2:15" ht="23.1" customHeight="1">
      <c r="B12" s="7"/>
      <c r="C12" s="7"/>
      <c r="D12" s="7"/>
      <c r="E12" s="8"/>
      <c r="F12" s="8" t="str">
        <f t="shared" si="0"/>
        <v/>
      </c>
      <c r="G12" s="8" t="str">
        <f t="shared" si="1"/>
        <v/>
      </c>
      <c r="H12" s="8" t="str">
        <f t="shared" si="2"/>
        <v/>
      </c>
      <c r="I12" s="8" t="str">
        <f t="shared" si="5"/>
        <v/>
      </c>
      <c r="K12" s="1" t="str">
        <f t="shared" si="3"/>
        <v/>
      </c>
      <c r="L12" s="5">
        <f t="shared" ca="1" si="6"/>
        <v>0</v>
      </c>
      <c r="M12" s="5" t="str">
        <f ca="1">IF(L12=0,"",COUNTIF($L$8:L12,"&gt;0"))</f>
        <v/>
      </c>
      <c r="N12" s="13" t="str">
        <f t="shared" ca="1" si="4"/>
        <v/>
      </c>
    </row>
    <row r="13" spans="2:15" ht="23.1" customHeight="1">
      <c r="B13" s="7"/>
      <c r="C13" s="7"/>
      <c r="D13" s="7"/>
      <c r="E13" s="8"/>
      <c r="F13" s="8" t="str">
        <f t="shared" si="0"/>
        <v/>
      </c>
      <c r="G13" s="8" t="str">
        <f t="shared" si="1"/>
        <v/>
      </c>
      <c r="H13" s="8" t="str">
        <f t="shared" si="2"/>
        <v/>
      </c>
      <c r="I13" s="8" t="str">
        <f t="shared" si="5"/>
        <v/>
      </c>
      <c r="K13" s="1" t="str">
        <f t="shared" si="3"/>
        <v/>
      </c>
      <c r="L13" s="5">
        <f t="shared" ca="1" si="6"/>
        <v>0</v>
      </c>
      <c r="M13" s="5" t="str">
        <f ca="1">IF(L13=0,"",COUNTIF($L$8:L13,"&gt;0"))</f>
        <v/>
      </c>
      <c r="N13" s="13" t="str">
        <f t="shared" ca="1" si="4"/>
        <v/>
      </c>
    </row>
    <row r="14" spans="2:15" ht="23.1" customHeight="1">
      <c r="B14" s="7"/>
      <c r="C14" s="7"/>
      <c r="D14" s="7"/>
      <c r="E14" s="8"/>
      <c r="F14" s="8" t="str">
        <f t="shared" si="0"/>
        <v/>
      </c>
      <c r="G14" s="8" t="str">
        <f t="shared" si="1"/>
        <v/>
      </c>
      <c r="H14" s="8" t="str">
        <f t="shared" si="2"/>
        <v/>
      </c>
      <c r="I14" s="8" t="str">
        <f t="shared" si="5"/>
        <v/>
      </c>
      <c r="K14" s="1" t="str">
        <f t="shared" si="3"/>
        <v/>
      </c>
      <c r="L14" s="5">
        <f t="shared" ca="1" si="6"/>
        <v>0</v>
      </c>
      <c r="M14" s="5" t="str">
        <f ca="1">IF(L14=0,"",COUNTIF($L$8:L14,"&gt;0"))</f>
        <v/>
      </c>
      <c r="N14" s="13" t="str">
        <f t="shared" ca="1" si="4"/>
        <v/>
      </c>
    </row>
    <row r="15" spans="2:15" ht="23.1" customHeight="1">
      <c r="B15" s="7"/>
      <c r="C15" s="7"/>
      <c r="D15" s="7"/>
      <c r="E15" s="8"/>
      <c r="F15" s="8" t="str">
        <f t="shared" si="0"/>
        <v/>
      </c>
      <c r="G15" s="8" t="str">
        <f t="shared" si="1"/>
        <v/>
      </c>
      <c r="H15" s="8" t="str">
        <f t="shared" si="2"/>
        <v/>
      </c>
      <c r="I15" s="8" t="str">
        <f t="shared" si="5"/>
        <v/>
      </c>
      <c r="K15" s="1" t="str">
        <f t="shared" si="3"/>
        <v/>
      </c>
      <c r="L15" s="5">
        <f t="shared" ca="1" si="6"/>
        <v>0</v>
      </c>
      <c r="M15" s="5" t="str">
        <f ca="1">IF(L15=0,"",COUNTIF($L$8:L15,"&gt;0"))</f>
        <v/>
      </c>
      <c r="N15" s="13" t="str">
        <f t="shared" ca="1" si="4"/>
        <v/>
      </c>
    </row>
    <row r="16" spans="2:15" ht="23.1" customHeight="1">
      <c r="B16" s="7"/>
      <c r="C16" s="7"/>
      <c r="D16" s="7"/>
      <c r="E16" s="8"/>
      <c r="F16" s="8" t="str">
        <f t="shared" si="0"/>
        <v/>
      </c>
      <c r="G16" s="8" t="str">
        <f t="shared" si="1"/>
        <v/>
      </c>
      <c r="H16" s="8" t="str">
        <f t="shared" si="2"/>
        <v/>
      </c>
      <c r="I16" s="8" t="str">
        <f t="shared" si="5"/>
        <v/>
      </c>
      <c r="K16" s="1" t="str">
        <f t="shared" si="3"/>
        <v/>
      </c>
      <c r="L16" s="5">
        <f t="shared" ca="1" si="6"/>
        <v>0</v>
      </c>
      <c r="M16" s="5" t="str">
        <f ca="1">IF(L16=0,"",COUNTIF($L$8:L16,"&gt;0"))</f>
        <v/>
      </c>
      <c r="N16" s="13" t="str">
        <f t="shared" ca="1" si="4"/>
        <v/>
      </c>
    </row>
    <row r="17" spans="2:14" ht="23.1" customHeight="1">
      <c r="B17" s="7"/>
      <c r="C17" s="7"/>
      <c r="D17" s="7"/>
      <c r="E17" s="8"/>
      <c r="F17" s="8" t="str">
        <f t="shared" si="0"/>
        <v/>
      </c>
      <c r="G17" s="8" t="str">
        <f t="shared" si="1"/>
        <v/>
      </c>
      <c r="H17" s="8" t="str">
        <f t="shared" si="2"/>
        <v/>
      </c>
      <c r="I17" s="8" t="str">
        <f t="shared" si="5"/>
        <v/>
      </c>
      <c r="K17" s="1" t="str">
        <f t="shared" si="3"/>
        <v/>
      </c>
      <c r="L17" s="5">
        <f t="shared" ca="1" si="6"/>
        <v>0</v>
      </c>
      <c r="M17" s="5" t="str">
        <f ca="1">IF(L17=0,"",COUNTIF($L$8:L17,"&gt;0"))</f>
        <v/>
      </c>
      <c r="N17" s="13" t="str">
        <f t="shared" ca="1" si="4"/>
        <v/>
      </c>
    </row>
    <row r="18" spans="2:14" ht="23.1" customHeight="1">
      <c r="B18" s="7"/>
      <c r="C18" s="7"/>
      <c r="D18" s="7"/>
      <c r="E18" s="8"/>
      <c r="F18" s="8" t="str">
        <f t="shared" si="0"/>
        <v/>
      </c>
      <c r="G18" s="8" t="str">
        <f t="shared" si="1"/>
        <v/>
      </c>
      <c r="H18" s="8" t="str">
        <f t="shared" si="2"/>
        <v/>
      </c>
      <c r="I18" s="8" t="str">
        <f t="shared" si="5"/>
        <v/>
      </c>
      <c r="K18" s="1" t="str">
        <f t="shared" si="3"/>
        <v/>
      </c>
      <c r="L18" s="5">
        <f t="shared" ca="1" si="6"/>
        <v>0</v>
      </c>
      <c r="M18" s="5" t="str">
        <f ca="1">IF(L18=0,"",COUNTIF($L$8:L18,"&gt;0"))</f>
        <v/>
      </c>
      <c r="N18" s="13" t="str">
        <f t="shared" ca="1" si="4"/>
        <v/>
      </c>
    </row>
    <row r="19" spans="2:14" ht="9.9499999999999993" customHeight="1" thickBot="1">
      <c r="B19" s="23"/>
      <c r="C19" s="23"/>
      <c r="D19" s="23"/>
      <c r="E19" s="23"/>
      <c r="F19" s="23"/>
      <c r="G19" s="23"/>
      <c r="H19" s="91" t="str">
        <f t="shared" si="2"/>
        <v/>
      </c>
      <c r="I19" s="23"/>
      <c r="K19" s="1" t="str">
        <f t="shared" si="3"/>
        <v/>
      </c>
      <c r="L19" s="5">
        <f t="shared" ca="1" si="6"/>
        <v>0</v>
      </c>
      <c r="M19" s="5" t="str">
        <f ca="1">IF(L19=0,"",COUNTIF($L$8:L19,"&gt;0"))</f>
        <v/>
      </c>
      <c r="N19" s="13" t="str">
        <f t="shared" ca="1" si="4"/>
        <v/>
      </c>
    </row>
    <row r="20" spans="2:14" ht="23.1" customHeight="1" thickBot="1">
      <c r="B20" s="24" t="s">
        <v>72</v>
      </c>
      <c r="C20" s="21"/>
      <c r="D20" s="22"/>
      <c r="E20" s="92">
        <f>SUM(E8:E18)</f>
        <v>0</v>
      </c>
      <c r="F20" s="92">
        <f>SUM(F8:F18)</f>
        <v>0</v>
      </c>
      <c r="G20" s="92">
        <f>SUM(G8:G18)</f>
        <v>0</v>
      </c>
      <c r="H20" s="92">
        <f>SUM(H8:H18)</f>
        <v>0</v>
      </c>
      <c r="I20" s="92">
        <f>SUM(I8:I18)</f>
        <v>0</v>
      </c>
      <c r="K20" s="1" t="str">
        <f t="shared" si="3"/>
        <v/>
      </c>
      <c r="L20" s="5">
        <f t="shared" ca="1" si="6"/>
        <v>0</v>
      </c>
      <c r="M20" s="5" t="str">
        <f ca="1">IF(L20=0,"",COUNTIF($L$8:L20,"&gt;0"))</f>
        <v/>
      </c>
      <c r="N20" s="13" t="str">
        <f t="shared" ca="1" si="4"/>
        <v/>
      </c>
    </row>
    <row r="21" spans="2:14" ht="23.1" customHeight="1">
      <c r="B21" s="4"/>
      <c r="C21" s="1"/>
      <c r="D21" s="1"/>
      <c r="E21" s="314"/>
      <c r="F21" s="314"/>
      <c r="G21" s="314"/>
      <c r="H21" s="314"/>
      <c r="I21" s="314"/>
      <c r="L21" s="5"/>
    </row>
    <row r="22" spans="2:14" ht="23.1" customHeight="1">
      <c r="B22" s="4"/>
      <c r="C22" s="1"/>
      <c r="D22" s="1"/>
      <c r="E22" s="314"/>
      <c r="F22" s="314"/>
      <c r="G22" s="314"/>
      <c r="H22" s="314"/>
      <c r="I22" s="314"/>
      <c r="L22" s="5"/>
    </row>
    <row r="23" spans="2:14" ht="23.1" customHeight="1" thickBot="1">
      <c r="B23" s="17" t="s">
        <v>3</v>
      </c>
      <c r="C23" s="17" t="s">
        <v>9</v>
      </c>
      <c r="D23" s="17" t="s">
        <v>53</v>
      </c>
      <c r="E23" s="17" t="s">
        <v>36</v>
      </c>
      <c r="F23" s="17" t="s">
        <v>36</v>
      </c>
      <c r="G23" s="17" t="s">
        <v>51</v>
      </c>
      <c r="H23" s="17" t="s">
        <v>52</v>
      </c>
      <c r="I23" s="17" t="s">
        <v>39</v>
      </c>
      <c r="K23" s="17" t="s">
        <v>3</v>
      </c>
      <c r="L23" s="32" t="s">
        <v>86</v>
      </c>
      <c r="M23" s="32" t="s">
        <v>87</v>
      </c>
      <c r="N23" s="33" t="s">
        <v>88</v>
      </c>
    </row>
    <row r="24" spans="2:14" ht="9.9499999999999993" customHeight="1">
      <c r="B24" s="10"/>
      <c r="C24" s="10"/>
      <c r="D24" s="10"/>
      <c r="E24" s="10"/>
      <c r="F24" s="10"/>
      <c r="G24" s="10"/>
      <c r="H24" s="10"/>
      <c r="I24" s="10"/>
      <c r="L24" s="5"/>
    </row>
    <row r="25" spans="2:14" ht="23.1" customHeight="1">
      <c r="B25" s="7" t="s">
        <v>516</v>
      </c>
      <c r="C25" s="7" t="s">
        <v>526</v>
      </c>
      <c r="D25" s="7" t="s">
        <v>12</v>
      </c>
      <c r="E25" s="8">
        <v>1740921194</v>
      </c>
      <c r="F25" s="8">
        <f t="shared" ref="F25:F35" si="7">IF(B25="","",E25+SUMIFS(ju_sld,ju_tgl,"&lt;"&amp;awal,ju_typdb,"Akun Piutang",ju_kb,B25&amp;" | "&amp;C25)-SUMIFS(ju_sld,ju_tgl,"&lt;"&amp;awal,ju_typkr,"Akun Piutang",ju_kb,B25&amp;" | "&amp;C25))</f>
        <v>1740921194</v>
      </c>
      <c r="G25" s="8">
        <f t="shared" ref="G25:G35" si="8">IF(B25="","",SUMIFS(ju_sld,ju_tgl,"&gt;="&amp;awal,ju_tgl,"&lt;="&amp;akhir,ju_typdb,"Akun Piutang",ju_kb,B25&amp;" | "&amp;C25))</f>
        <v>0</v>
      </c>
      <c r="H25" s="8">
        <f t="shared" ref="H25:H36" si="9">IF(B25="","",SUMIFS(ju_sld,ju_tgl,"&gt;="&amp;awal,ju_tgl,"&lt;="&amp;akhir,ju_typkr,"Akun Piutang",ju_kb,B25&amp;" | "&amp;C25))</f>
        <v>0</v>
      </c>
      <c r="I25" s="8">
        <f>IF(B25="","",F25+G25-H25)</f>
        <v>1740921194</v>
      </c>
      <c r="K25" s="1" t="str">
        <f t="shared" ref="K25:K37" si="10">IF(OR(D25="Piutang",D25="Hutang"),B25&amp;" | "&amp;C25,"")</f>
        <v>PD1 | Drs. Aryanto Dammar, MM</v>
      </c>
      <c r="L25" s="5">
        <f ca="1">VALUE(IFERROR(SEARCH(INDIRECT(CELL("address")),K25),0))</f>
        <v>0</v>
      </c>
      <c r="M25" s="5" t="str">
        <f ca="1">IF(L25=0,"",COUNTIF($L$8:L25,"&gt;0"))</f>
        <v/>
      </c>
      <c r="N25" s="13" t="str">
        <f ca="1">IFERROR(INDEX(K:K,MATCH(ROW(L17),M:M,0)),"")</f>
        <v/>
      </c>
    </row>
    <row r="26" spans="2:14" ht="23.1" customHeight="1">
      <c r="B26" s="7" t="s">
        <v>517</v>
      </c>
      <c r="C26" s="7" t="s">
        <v>527</v>
      </c>
      <c r="D26" s="7" t="s">
        <v>12</v>
      </c>
      <c r="E26" s="8">
        <v>194119665</v>
      </c>
      <c r="F26" s="8">
        <f t="shared" si="7"/>
        <v>194119665</v>
      </c>
      <c r="G26" s="8">
        <f t="shared" si="8"/>
        <v>0</v>
      </c>
      <c r="H26" s="8">
        <f t="shared" si="9"/>
        <v>0</v>
      </c>
      <c r="I26" s="8">
        <f t="shared" ref="I26" si="11">IF(B26="","",F26+G26-H26)</f>
        <v>194119665</v>
      </c>
      <c r="K26" s="1" t="str">
        <f t="shared" si="10"/>
        <v>PD2 | Ir. H. Muh. Irianto Ahmad, MM</v>
      </c>
      <c r="L26" s="5">
        <f t="shared" ref="L26:L37" ca="1" si="12">VALUE(IFERROR(SEARCH(INDIRECT(CELL("address")),K26),0))</f>
        <v>0</v>
      </c>
      <c r="M26" s="5" t="str">
        <f ca="1">IF(L26=0,"",COUNTIF($L$8:L26,"&gt;0"))</f>
        <v/>
      </c>
      <c r="N26" s="13" t="str">
        <f ca="1">IFERROR(INDEX(K:K,MATCH(ROW(L18),M:M,0)),"")</f>
        <v/>
      </c>
    </row>
    <row r="27" spans="2:14" ht="23.1" customHeight="1">
      <c r="B27" s="7" t="s">
        <v>525</v>
      </c>
      <c r="C27" s="7" t="s">
        <v>528</v>
      </c>
      <c r="D27" s="7" t="s">
        <v>12</v>
      </c>
      <c r="E27" s="8">
        <v>441494137</v>
      </c>
      <c r="F27" s="8">
        <f t="shared" si="7"/>
        <v>441494137</v>
      </c>
      <c r="G27" s="8">
        <f t="shared" si="8"/>
        <v>0</v>
      </c>
      <c r="H27" s="8">
        <f t="shared" si="9"/>
        <v>0</v>
      </c>
      <c r="I27" s="8">
        <f>IF(B27="","",F27+G27-H27)</f>
        <v>441494137</v>
      </c>
      <c r="K27" s="1" t="str">
        <f t="shared" si="10"/>
        <v>PD3 | Ir. Rusdi Muhadir</v>
      </c>
      <c r="L27" s="5">
        <f t="shared" ca="1" si="12"/>
        <v>0</v>
      </c>
      <c r="M27" s="5" t="str">
        <f ca="1">IF(L27=0,"",COUNTIF($L$8:L27,"&gt;0"))</f>
        <v/>
      </c>
      <c r="N27" s="13" t="str">
        <f ca="1">IFERROR(INDEX(K:K,MATCH(ROW(L19),M:M,0)),"")</f>
        <v/>
      </c>
    </row>
    <row r="28" spans="2:14" ht="23.1" customHeight="1">
      <c r="B28" s="7"/>
      <c r="C28" s="7"/>
      <c r="D28" s="7"/>
      <c r="E28" s="8"/>
      <c r="F28" s="8" t="str">
        <f t="shared" si="7"/>
        <v/>
      </c>
      <c r="G28" s="8" t="str">
        <f t="shared" si="8"/>
        <v/>
      </c>
      <c r="H28" s="8" t="str">
        <f t="shared" si="9"/>
        <v/>
      </c>
      <c r="I28" s="8" t="str">
        <f t="shared" ref="I28:I35" si="13">IF(B28="","",F28+G28-H28)</f>
        <v/>
      </c>
      <c r="K28" s="1" t="str">
        <f t="shared" si="10"/>
        <v/>
      </c>
      <c r="L28" s="5">
        <f t="shared" ca="1" si="12"/>
        <v>0</v>
      </c>
      <c r="M28" s="5" t="str">
        <f ca="1">IF(L28=0,"",COUNTIF($L$8:L28,"&gt;0"))</f>
        <v/>
      </c>
      <c r="N28" s="13" t="str">
        <f ca="1">IFERROR(INDEX(K:K,MATCH(ROW(L20),M:M,0)),"")</f>
        <v/>
      </c>
    </row>
    <row r="29" spans="2:14" ht="23.1" customHeight="1">
      <c r="B29" s="7"/>
      <c r="C29" s="7"/>
      <c r="D29" s="7"/>
      <c r="E29" s="8"/>
      <c r="F29" s="8" t="str">
        <f t="shared" si="7"/>
        <v/>
      </c>
      <c r="G29" s="8" t="str">
        <f t="shared" si="8"/>
        <v/>
      </c>
      <c r="H29" s="8" t="str">
        <f t="shared" si="9"/>
        <v/>
      </c>
      <c r="I29" s="8" t="str">
        <f t="shared" si="13"/>
        <v/>
      </c>
      <c r="K29" s="1" t="str">
        <f t="shared" si="10"/>
        <v/>
      </c>
      <c r="L29" s="5">
        <f t="shared" ca="1" si="12"/>
        <v>0</v>
      </c>
      <c r="M29" s="5" t="str">
        <f ca="1">IF(L29=0,"",COUNTIF($L$8:L29,"&gt;0"))</f>
        <v/>
      </c>
      <c r="N29" s="13" t="str">
        <f t="shared" ref="N29:N37" ca="1" si="14">IFERROR(INDEX(K:K,MATCH(ROW(L22),M:M,0)),"")</f>
        <v/>
      </c>
    </row>
    <row r="30" spans="2:14" ht="23.1" customHeight="1">
      <c r="B30" s="7"/>
      <c r="C30" s="7"/>
      <c r="D30" s="7"/>
      <c r="E30" s="8"/>
      <c r="F30" s="8" t="str">
        <f t="shared" si="7"/>
        <v/>
      </c>
      <c r="G30" s="8" t="str">
        <f t="shared" si="8"/>
        <v/>
      </c>
      <c r="H30" s="8" t="str">
        <f t="shared" si="9"/>
        <v/>
      </c>
      <c r="I30" s="8" t="str">
        <f t="shared" si="13"/>
        <v/>
      </c>
      <c r="K30" s="1" t="str">
        <f t="shared" si="10"/>
        <v/>
      </c>
      <c r="L30" s="5">
        <f t="shared" ca="1" si="12"/>
        <v>0</v>
      </c>
      <c r="M30" s="5" t="str">
        <f ca="1">IF(L30=0,"",COUNTIF($L$8:L30,"&gt;0"))</f>
        <v/>
      </c>
      <c r="N30" s="13" t="str">
        <f t="shared" ca="1" si="14"/>
        <v/>
      </c>
    </row>
    <row r="31" spans="2:14" ht="23.1" customHeight="1">
      <c r="B31" s="7"/>
      <c r="C31" s="7"/>
      <c r="D31" s="7"/>
      <c r="E31" s="8"/>
      <c r="F31" s="8" t="str">
        <f t="shared" si="7"/>
        <v/>
      </c>
      <c r="G31" s="8" t="str">
        <f t="shared" si="8"/>
        <v/>
      </c>
      <c r="H31" s="8" t="str">
        <f t="shared" si="9"/>
        <v/>
      </c>
      <c r="I31" s="8" t="str">
        <f t="shared" si="13"/>
        <v/>
      </c>
      <c r="K31" s="1" t="str">
        <f t="shared" si="10"/>
        <v/>
      </c>
      <c r="L31" s="5">
        <f t="shared" ca="1" si="12"/>
        <v>0</v>
      </c>
      <c r="M31" s="5" t="str">
        <f ca="1">IF(L31=0,"",COUNTIF($L$8:L31,"&gt;0"))</f>
        <v/>
      </c>
      <c r="N31" s="13" t="str">
        <f t="shared" ca="1" si="14"/>
        <v/>
      </c>
    </row>
    <row r="32" spans="2:14" ht="23.1" customHeight="1">
      <c r="B32" s="7"/>
      <c r="C32" s="7"/>
      <c r="D32" s="7"/>
      <c r="E32" s="8"/>
      <c r="F32" s="8" t="str">
        <f t="shared" si="7"/>
        <v/>
      </c>
      <c r="G32" s="8" t="str">
        <f t="shared" si="8"/>
        <v/>
      </c>
      <c r="H32" s="8" t="str">
        <f t="shared" si="9"/>
        <v/>
      </c>
      <c r="I32" s="8" t="str">
        <f t="shared" si="13"/>
        <v/>
      </c>
      <c r="K32" s="1" t="str">
        <f t="shared" si="10"/>
        <v/>
      </c>
      <c r="L32" s="5">
        <f t="shared" ca="1" si="12"/>
        <v>0</v>
      </c>
      <c r="M32" s="5" t="str">
        <f ca="1">IF(L32=0,"",COUNTIF($L$8:L32,"&gt;0"))</f>
        <v/>
      </c>
      <c r="N32" s="13" t="str">
        <f t="shared" ca="1" si="14"/>
        <v/>
      </c>
    </row>
    <row r="33" spans="2:14" ht="23.1" customHeight="1">
      <c r="B33" s="7"/>
      <c r="C33" s="7"/>
      <c r="D33" s="7"/>
      <c r="E33" s="8"/>
      <c r="F33" s="8" t="str">
        <f t="shared" si="7"/>
        <v/>
      </c>
      <c r="G33" s="8" t="str">
        <f t="shared" si="8"/>
        <v/>
      </c>
      <c r="H33" s="8" t="str">
        <f t="shared" si="9"/>
        <v/>
      </c>
      <c r="I33" s="8" t="str">
        <f t="shared" si="13"/>
        <v/>
      </c>
      <c r="K33" s="1" t="str">
        <f t="shared" si="10"/>
        <v/>
      </c>
      <c r="L33" s="5">
        <f t="shared" ca="1" si="12"/>
        <v>0</v>
      </c>
      <c r="M33" s="5" t="str">
        <f ca="1">IF(L33=0,"",COUNTIF($L$8:L33,"&gt;0"))</f>
        <v/>
      </c>
      <c r="N33" s="13" t="str">
        <f t="shared" ca="1" si="14"/>
        <v/>
      </c>
    </row>
    <row r="34" spans="2:14" ht="23.1" customHeight="1">
      <c r="B34" s="7"/>
      <c r="C34" s="7"/>
      <c r="D34" s="7"/>
      <c r="E34" s="8"/>
      <c r="F34" s="8" t="str">
        <f t="shared" si="7"/>
        <v/>
      </c>
      <c r="G34" s="8" t="str">
        <f t="shared" si="8"/>
        <v/>
      </c>
      <c r="H34" s="8" t="str">
        <f t="shared" si="9"/>
        <v/>
      </c>
      <c r="I34" s="8" t="str">
        <f t="shared" si="13"/>
        <v/>
      </c>
      <c r="K34" s="1" t="str">
        <f t="shared" si="10"/>
        <v/>
      </c>
      <c r="L34" s="5">
        <f t="shared" ca="1" si="12"/>
        <v>0</v>
      </c>
      <c r="M34" s="5" t="str">
        <f ca="1">IF(L34=0,"",COUNTIF($L$8:L34,"&gt;0"))</f>
        <v/>
      </c>
      <c r="N34" s="13" t="str">
        <f t="shared" ca="1" si="14"/>
        <v/>
      </c>
    </row>
    <row r="35" spans="2:14" ht="23.1" customHeight="1">
      <c r="B35" s="7"/>
      <c r="C35" s="7"/>
      <c r="D35" s="7"/>
      <c r="E35" s="8"/>
      <c r="F35" s="8" t="str">
        <f t="shared" si="7"/>
        <v/>
      </c>
      <c r="G35" s="8" t="str">
        <f t="shared" si="8"/>
        <v/>
      </c>
      <c r="H35" s="8" t="str">
        <f t="shared" si="9"/>
        <v/>
      </c>
      <c r="I35" s="8" t="str">
        <f t="shared" si="13"/>
        <v/>
      </c>
      <c r="K35" s="1" t="str">
        <f t="shared" si="10"/>
        <v/>
      </c>
      <c r="L35" s="5">
        <f t="shared" ca="1" si="12"/>
        <v>0</v>
      </c>
      <c r="M35" s="5" t="str">
        <f ca="1">IF(L35=0,"",COUNTIF($L$8:L35,"&gt;0"))</f>
        <v/>
      </c>
      <c r="N35" s="13" t="str">
        <f t="shared" ca="1" si="14"/>
        <v/>
      </c>
    </row>
    <row r="36" spans="2:14" ht="9.9499999999999993" customHeight="1" thickBot="1">
      <c r="B36" s="23"/>
      <c r="C36" s="23"/>
      <c r="D36" s="23"/>
      <c r="E36" s="23"/>
      <c r="F36" s="23"/>
      <c r="G36" s="23"/>
      <c r="H36" s="91" t="str">
        <f t="shared" si="9"/>
        <v/>
      </c>
      <c r="I36" s="23"/>
      <c r="K36" s="1" t="str">
        <f t="shared" si="10"/>
        <v/>
      </c>
      <c r="L36" s="5">
        <f t="shared" ca="1" si="12"/>
        <v>0</v>
      </c>
      <c r="M36" s="5" t="str">
        <f ca="1">IF(L36=0,"",COUNTIF($L$8:L36,"&gt;0"))</f>
        <v/>
      </c>
      <c r="N36" s="13" t="str">
        <f t="shared" ca="1" si="14"/>
        <v/>
      </c>
    </row>
    <row r="37" spans="2:14" ht="23.1" customHeight="1" thickBot="1">
      <c r="B37" s="24" t="s">
        <v>72</v>
      </c>
      <c r="C37" s="21"/>
      <c r="D37" s="22"/>
      <c r="E37" s="92">
        <f>SUM(E25:E35)</f>
        <v>2376534996</v>
      </c>
      <c r="F37" s="92">
        <f>SUM(F25:F35)</f>
        <v>2376534996</v>
      </c>
      <c r="G37" s="92">
        <f>SUM(G25:G35)</f>
        <v>0</v>
      </c>
      <c r="H37" s="92">
        <f>SUM(H25:H35)</f>
        <v>0</v>
      </c>
      <c r="I37" s="92">
        <f>SUM(I25:I35)</f>
        <v>2376534996</v>
      </c>
      <c r="K37" s="1" t="str">
        <f t="shared" si="10"/>
        <v/>
      </c>
      <c r="L37" s="5">
        <f t="shared" ca="1" si="12"/>
        <v>0</v>
      </c>
      <c r="M37" s="5" t="str">
        <f ca="1">IF(L37=0,"",COUNTIF($L$8:L37,"&gt;0"))</f>
        <v/>
      </c>
      <c r="N37" s="13" t="str">
        <f t="shared" ca="1" si="14"/>
        <v/>
      </c>
    </row>
    <row r="38" spans="2:14" ht="23.1" customHeight="1">
      <c r="B38" s="4"/>
      <c r="C38" s="1"/>
      <c r="D38" s="1"/>
      <c r="E38" s="314"/>
      <c r="F38" s="314"/>
      <c r="G38" s="314"/>
      <c r="H38" s="314"/>
      <c r="I38" s="314"/>
      <c r="L38" s="5"/>
    </row>
    <row r="39" spans="2:14" ht="23.1" customHeight="1" thickBot="1">
      <c r="B39" s="17" t="s">
        <v>3</v>
      </c>
      <c r="C39" s="17" t="s">
        <v>9</v>
      </c>
      <c r="D39" s="17" t="s">
        <v>53</v>
      </c>
      <c r="E39" s="17" t="s">
        <v>36</v>
      </c>
      <c r="F39" s="17" t="s">
        <v>36</v>
      </c>
      <c r="G39" s="17" t="s">
        <v>51</v>
      </c>
      <c r="H39" s="17" t="s">
        <v>52</v>
      </c>
      <c r="I39" s="17" t="s">
        <v>39</v>
      </c>
      <c r="K39" s="17" t="s">
        <v>3</v>
      </c>
      <c r="L39" s="32" t="s">
        <v>86</v>
      </c>
      <c r="M39" s="32" t="s">
        <v>87</v>
      </c>
      <c r="N39" s="33" t="s">
        <v>88</v>
      </c>
    </row>
    <row r="40" spans="2:14" ht="9.9499999999999993" customHeight="1">
      <c r="B40" s="10"/>
      <c r="C40" s="10"/>
      <c r="D40" s="10"/>
      <c r="E40" s="10"/>
      <c r="F40" s="10"/>
      <c r="G40" s="10"/>
      <c r="H40" s="10"/>
      <c r="I40" s="10"/>
      <c r="L40" s="5"/>
    </row>
    <row r="41" spans="2:14" ht="23.1" customHeight="1">
      <c r="B41" s="7" t="s">
        <v>521</v>
      </c>
      <c r="C41" s="7" t="s">
        <v>523</v>
      </c>
      <c r="D41" s="7" t="s">
        <v>12</v>
      </c>
      <c r="E41" s="8">
        <v>15000000</v>
      </c>
      <c r="F41" s="8">
        <f t="shared" ref="F41:F51" si="15">IF(B41="","",E41+SUMIFS(ju_sld,ju_tgl,"&lt;"&amp;awal,ju_typdb,"Akun Piutang",ju_kb,B41&amp;" | "&amp;C41)-SUMIFS(ju_sld,ju_tgl,"&lt;"&amp;awal,ju_typkr,"Akun Piutang",ju_kb,B41&amp;" | "&amp;C41))</f>
        <v>15000000</v>
      </c>
      <c r="G41" s="8">
        <f t="shared" ref="G41:G51" si="16">IF(B41="","",SUMIFS(ju_sld,ju_tgl,"&gt;="&amp;awal,ju_tgl,"&lt;="&amp;akhir,ju_typdb,"Akun Piutang",ju_kb,B41&amp;" | "&amp;C41))</f>
        <v>0</v>
      </c>
      <c r="H41" s="8">
        <f t="shared" ref="H41:H52" si="17">IF(B41="","",SUMIFS(ju_sld,ju_tgl,"&gt;="&amp;awal,ju_tgl,"&lt;="&amp;akhir,ju_typkr,"Akun Piutang",ju_kb,B41&amp;" | "&amp;C41))</f>
        <v>5000000</v>
      </c>
      <c r="I41" s="8">
        <f>IF(B41="","",F41+G41-H41)</f>
        <v>10000000</v>
      </c>
      <c r="K41" s="1" t="str">
        <f t="shared" ref="K41:K53" si="18">IF(OR(D41="Piutang",D41="Hutang"),B41&amp;" | "&amp;C41,"")</f>
        <v>PBP1 | Ir. H. A. Mappincara</v>
      </c>
      <c r="L41" s="5">
        <f ca="1">VALUE(IFERROR(SEARCH(INDIRECT(CELL("address")),K41),0))</f>
        <v>0</v>
      </c>
      <c r="M41" s="5" t="str">
        <f ca="1">IF(L41=0,"",COUNTIF($L$8:L41,"&gt;0"))</f>
        <v/>
      </c>
      <c r="N41" s="13" t="str">
        <f ca="1">IFERROR(INDEX(K:K,MATCH(ROW(L33),M:M,0)),"")</f>
        <v/>
      </c>
    </row>
    <row r="42" spans="2:14" ht="23.1" customHeight="1">
      <c r="B42" s="7" t="s">
        <v>522</v>
      </c>
      <c r="C42" s="7" t="s">
        <v>524</v>
      </c>
      <c r="D42" s="7" t="s">
        <v>12</v>
      </c>
      <c r="E42" s="8">
        <v>29500000</v>
      </c>
      <c r="F42" s="8">
        <f t="shared" si="15"/>
        <v>29500000</v>
      </c>
      <c r="G42" s="8">
        <f t="shared" si="16"/>
        <v>0</v>
      </c>
      <c r="H42" s="8">
        <f t="shared" si="17"/>
        <v>0</v>
      </c>
      <c r="I42" s="8">
        <f t="shared" ref="I42" si="19">IF(B42="","",F42+G42-H42)</f>
        <v>29500000</v>
      </c>
      <c r="K42" s="1" t="str">
        <f t="shared" si="18"/>
        <v>PBP2 | Ir. Haeruddin Hafied</v>
      </c>
      <c r="L42" s="5">
        <f t="shared" ref="L42:L53" ca="1" si="20">VALUE(IFERROR(SEARCH(INDIRECT(CELL("address")),K42),0))</f>
        <v>0</v>
      </c>
      <c r="M42" s="5" t="str">
        <f ca="1">IF(L42=0,"",COUNTIF($L$8:L42,"&gt;0"))</f>
        <v/>
      </c>
      <c r="N42" s="13" t="str">
        <f ca="1">IFERROR(INDEX(K:K,MATCH(ROW(L34),M:M,0)),"")</f>
        <v/>
      </c>
    </row>
    <row r="43" spans="2:14" ht="23.1" customHeight="1">
      <c r="B43" s="7"/>
      <c r="C43" s="7"/>
      <c r="D43" s="7"/>
      <c r="E43" s="8"/>
      <c r="F43" s="8" t="str">
        <f t="shared" si="15"/>
        <v/>
      </c>
      <c r="G43" s="8" t="str">
        <f t="shared" si="16"/>
        <v/>
      </c>
      <c r="H43" s="8" t="str">
        <f t="shared" si="17"/>
        <v/>
      </c>
      <c r="I43" s="8" t="str">
        <f>IF(B43="","",F43+G43-H43)</f>
        <v/>
      </c>
      <c r="K43" s="1" t="str">
        <f t="shared" si="18"/>
        <v/>
      </c>
      <c r="L43" s="5">
        <f t="shared" ca="1" si="20"/>
        <v>0</v>
      </c>
      <c r="M43" s="5" t="str">
        <f ca="1">IF(L43=0,"",COUNTIF($L$8:L43,"&gt;0"))</f>
        <v/>
      </c>
      <c r="N43" s="13" t="str">
        <f ca="1">IFERROR(INDEX(K:K,MATCH(ROW(L35),M:M,0)),"")</f>
        <v/>
      </c>
    </row>
    <row r="44" spans="2:14" ht="23.1" customHeight="1">
      <c r="B44" s="7"/>
      <c r="C44" s="7"/>
      <c r="D44" s="7"/>
      <c r="E44" s="8"/>
      <c r="F44" s="8" t="str">
        <f t="shared" si="15"/>
        <v/>
      </c>
      <c r="G44" s="8" t="str">
        <f t="shared" si="16"/>
        <v/>
      </c>
      <c r="H44" s="8" t="str">
        <f t="shared" si="17"/>
        <v/>
      </c>
      <c r="I44" s="8" t="str">
        <f t="shared" ref="I44:I51" si="21">IF(B44="","",F44+G44-H44)</f>
        <v/>
      </c>
      <c r="K44" s="1" t="str">
        <f t="shared" si="18"/>
        <v/>
      </c>
      <c r="L44" s="5">
        <f t="shared" ca="1" si="20"/>
        <v>0</v>
      </c>
      <c r="M44" s="5" t="str">
        <f ca="1">IF(L44=0,"",COUNTIF($L$8:L44,"&gt;0"))</f>
        <v/>
      </c>
      <c r="N44" s="13" t="str">
        <f ca="1">IFERROR(INDEX(K:K,MATCH(ROW(L36),M:M,0)),"")</f>
        <v/>
      </c>
    </row>
    <row r="45" spans="2:14" ht="23.1" customHeight="1">
      <c r="B45" s="7"/>
      <c r="C45" s="7"/>
      <c r="D45" s="7"/>
      <c r="E45" s="8"/>
      <c r="F45" s="8" t="str">
        <f t="shared" si="15"/>
        <v/>
      </c>
      <c r="G45" s="8" t="str">
        <f t="shared" si="16"/>
        <v/>
      </c>
      <c r="H45" s="8" t="str">
        <f t="shared" si="17"/>
        <v/>
      </c>
      <c r="I45" s="8" t="str">
        <f t="shared" si="21"/>
        <v/>
      </c>
      <c r="K45" s="1" t="str">
        <f t="shared" si="18"/>
        <v/>
      </c>
      <c r="L45" s="5">
        <f t="shared" ca="1" si="20"/>
        <v>0</v>
      </c>
      <c r="M45" s="5" t="str">
        <f ca="1">IF(L45=0,"",COUNTIF($L$8:L45,"&gt;0"))</f>
        <v/>
      </c>
      <c r="N45" s="13" t="str">
        <f t="shared" ref="N45:N53" ca="1" si="22">IFERROR(INDEX(K:K,MATCH(ROW(L38),M:M,0)),"")</f>
        <v/>
      </c>
    </row>
    <row r="46" spans="2:14" ht="23.1" customHeight="1">
      <c r="B46" s="7"/>
      <c r="C46" s="7"/>
      <c r="D46" s="7"/>
      <c r="E46" s="8"/>
      <c r="F46" s="8" t="str">
        <f t="shared" si="15"/>
        <v/>
      </c>
      <c r="G46" s="8" t="str">
        <f t="shared" si="16"/>
        <v/>
      </c>
      <c r="H46" s="8" t="str">
        <f t="shared" si="17"/>
        <v/>
      </c>
      <c r="I46" s="8" t="str">
        <f t="shared" si="21"/>
        <v/>
      </c>
      <c r="K46" s="1" t="str">
        <f t="shared" si="18"/>
        <v/>
      </c>
      <c r="L46" s="5">
        <f t="shared" ca="1" si="20"/>
        <v>0</v>
      </c>
      <c r="M46" s="5" t="str">
        <f ca="1">IF(L46=0,"",COUNTIF($L$8:L46,"&gt;0"))</f>
        <v/>
      </c>
      <c r="N46" s="13" t="str">
        <f t="shared" ca="1" si="22"/>
        <v/>
      </c>
    </row>
    <row r="47" spans="2:14" ht="23.1" customHeight="1">
      <c r="B47" s="7"/>
      <c r="C47" s="7"/>
      <c r="D47" s="7"/>
      <c r="E47" s="8"/>
      <c r="F47" s="8" t="str">
        <f t="shared" si="15"/>
        <v/>
      </c>
      <c r="G47" s="8" t="str">
        <f t="shared" si="16"/>
        <v/>
      </c>
      <c r="H47" s="8" t="str">
        <f t="shared" si="17"/>
        <v/>
      </c>
      <c r="I47" s="8" t="str">
        <f t="shared" si="21"/>
        <v/>
      </c>
      <c r="K47" s="1" t="str">
        <f t="shared" si="18"/>
        <v/>
      </c>
      <c r="L47" s="5">
        <f t="shared" ca="1" si="20"/>
        <v>0</v>
      </c>
      <c r="M47" s="5" t="str">
        <f ca="1">IF(L47=0,"",COUNTIF($L$8:L47,"&gt;0"))</f>
        <v/>
      </c>
      <c r="N47" s="13" t="str">
        <f t="shared" ca="1" si="22"/>
        <v/>
      </c>
    </row>
    <row r="48" spans="2:14" ht="23.1" customHeight="1">
      <c r="B48" s="7"/>
      <c r="C48" s="7"/>
      <c r="D48" s="7"/>
      <c r="E48" s="8"/>
      <c r="F48" s="8" t="str">
        <f t="shared" si="15"/>
        <v/>
      </c>
      <c r="G48" s="8" t="str">
        <f t="shared" si="16"/>
        <v/>
      </c>
      <c r="H48" s="8" t="str">
        <f t="shared" si="17"/>
        <v/>
      </c>
      <c r="I48" s="8" t="str">
        <f t="shared" si="21"/>
        <v/>
      </c>
      <c r="K48" s="1" t="str">
        <f t="shared" si="18"/>
        <v/>
      </c>
      <c r="L48" s="5">
        <f t="shared" ca="1" si="20"/>
        <v>0</v>
      </c>
      <c r="M48" s="5" t="str">
        <f ca="1">IF(L48=0,"",COUNTIF($L$8:L48,"&gt;0"))</f>
        <v/>
      </c>
      <c r="N48" s="13" t="str">
        <f t="shared" ca="1" si="22"/>
        <v/>
      </c>
    </row>
    <row r="49" spans="2:14" ht="23.1" customHeight="1">
      <c r="B49" s="7"/>
      <c r="C49" s="7"/>
      <c r="D49" s="7"/>
      <c r="E49" s="8"/>
      <c r="F49" s="8" t="str">
        <f t="shared" si="15"/>
        <v/>
      </c>
      <c r="G49" s="8" t="str">
        <f t="shared" si="16"/>
        <v/>
      </c>
      <c r="H49" s="8" t="str">
        <f t="shared" si="17"/>
        <v/>
      </c>
      <c r="I49" s="8" t="str">
        <f t="shared" si="21"/>
        <v/>
      </c>
      <c r="K49" s="1" t="str">
        <f t="shared" si="18"/>
        <v/>
      </c>
      <c r="L49" s="5">
        <f t="shared" ca="1" si="20"/>
        <v>0</v>
      </c>
      <c r="M49" s="5" t="str">
        <f ca="1">IF(L49=0,"",COUNTIF($L$8:L49,"&gt;0"))</f>
        <v/>
      </c>
      <c r="N49" s="13" t="str">
        <f t="shared" ca="1" si="22"/>
        <v/>
      </c>
    </row>
    <row r="50" spans="2:14" ht="23.1" customHeight="1">
      <c r="B50" s="7"/>
      <c r="C50" s="7"/>
      <c r="D50" s="7"/>
      <c r="E50" s="8"/>
      <c r="F50" s="8" t="str">
        <f t="shared" si="15"/>
        <v/>
      </c>
      <c r="G50" s="8" t="str">
        <f t="shared" si="16"/>
        <v/>
      </c>
      <c r="H50" s="8" t="str">
        <f t="shared" si="17"/>
        <v/>
      </c>
      <c r="I50" s="8" t="str">
        <f t="shared" si="21"/>
        <v/>
      </c>
      <c r="K50" s="1" t="str">
        <f t="shared" si="18"/>
        <v/>
      </c>
      <c r="L50" s="5">
        <f t="shared" ca="1" si="20"/>
        <v>0</v>
      </c>
      <c r="M50" s="5" t="str">
        <f ca="1">IF(L50=0,"",COUNTIF($L$8:L50,"&gt;0"))</f>
        <v/>
      </c>
      <c r="N50" s="13" t="str">
        <f t="shared" ca="1" si="22"/>
        <v/>
      </c>
    </row>
    <row r="51" spans="2:14" ht="23.1" customHeight="1">
      <c r="B51" s="7"/>
      <c r="C51" s="7"/>
      <c r="D51" s="7"/>
      <c r="E51" s="8"/>
      <c r="F51" s="8" t="str">
        <f t="shared" si="15"/>
        <v/>
      </c>
      <c r="G51" s="8" t="str">
        <f t="shared" si="16"/>
        <v/>
      </c>
      <c r="H51" s="8" t="str">
        <f t="shared" si="17"/>
        <v/>
      </c>
      <c r="I51" s="8" t="str">
        <f t="shared" si="21"/>
        <v/>
      </c>
      <c r="K51" s="1" t="str">
        <f t="shared" si="18"/>
        <v/>
      </c>
      <c r="L51" s="5">
        <f t="shared" ca="1" si="20"/>
        <v>0</v>
      </c>
      <c r="M51" s="5" t="str">
        <f ca="1">IF(L51=0,"",COUNTIF($L$8:L51,"&gt;0"))</f>
        <v/>
      </c>
      <c r="N51" s="13" t="str">
        <f t="shared" ca="1" si="22"/>
        <v/>
      </c>
    </row>
    <row r="52" spans="2:14" ht="9.9499999999999993" customHeight="1" thickBot="1">
      <c r="B52" s="23"/>
      <c r="C52" s="23"/>
      <c r="D52" s="23"/>
      <c r="E52" s="23"/>
      <c r="F52" s="23"/>
      <c r="G52" s="23"/>
      <c r="H52" s="91" t="str">
        <f t="shared" si="17"/>
        <v/>
      </c>
      <c r="I52" s="23"/>
      <c r="K52" s="1" t="str">
        <f t="shared" si="18"/>
        <v/>
      </c>
      <c r="L52" s="5">
        <f t="shared" ca="1" si="20"/>
        <v>0</v>
      </c>
      <c r="M52" s="5" t="str">
        <f ca="1">IF(L52=0,"",COUNTIF($L$8:L52,"&gt;0"))</f>
        <v/>
      </c>
      <c r="N52" s="13" t="str">
        <f t="shared" ca="1" si="22"/>
        <v/>
      </c>
    </row>
    <row r="53" spans="2:14" ht="23.1" customHeight="1" thickBot="1">
      <c r="B53" s="24" t="s">
        <v>72</v>
      </c>
      <c r="C53" s="21"/>
      <c r="D53" s="22"/>
      <c r="E53" s="92">
        <f>SUM(E41:E51)</f>
        <v>44500000</v>
      </c>
      <c r="F53" s="92">
        <f>SUM(F41:F51)</f>
        <v>44500000</v>
      </c>
      <c r="G53" s="92">
        <f>SUM(G41:G51)</f>
        <v>0</v>
      </c>
      <c r="H53" s="92">
        <f>SUM(H41:H51)</f>
        <v>5000000</v>
      </c>
      <c r="I53" s="92">
        <f>SUM(I41:I51)</f>
        <v>39500000</v>
      </c>
      <c r="K53" s="1" t="str">
        <f t="shared" si="18"/>
        <v/>
      </c>
      <c r="L53" s="5">
        <f t="shared" ca="1" si="20"/>
        <v>0</v>
      </c>
      <c r="M53" s="5" t="str">
        <f ca="1">IF(L53=0,"",COUNTIF($L$8:L53,"&gt;0"))</f>
        <v/>
      </c>
      <c r="N53" s="13" t="str">
        <f t="shared" ca="1" si="22"/>
        <v/>
      </c>
    </row>
    <row r="54" spans="2:14" ht="23.1" customHeight="1">
      <c r="B54" s="4"/>
      <c r="C54" s="1"/>
      <c r="D54" s="1"/>
      <c r="E54" s="314"/>
      <c r="F54" s="314"/>
      <c r="G54" s="314"/>
      <c r="H54" s="314"/>
      <c r="I54" s="314"/>
      <c r="L54" s="5"/>
    </row>
    <row r="55" spans="2:14" ht="23.1" customHeight="1" thickBot="1">
      <c r="B55" s="17" t="s">
        <v>3</v>
      </c>
      <c r="C55" s="17" t="s">
        <v>9</v>
      </c>
      <c r="D55" s="17" t="s">
        <v>53</v>
      </c>
      <c r="E55" s="17" t="s">
        <v>36</v>
      </c>
      <c r="F55" s="17" t="s">
        <v>36</v>
      </c>
      <c r="G55" s="17" t="s">
        <v>51</v>
      </c>
      <c r="H55" s="17" t="s">
        <v>52</v>
      </c>
      <c r="I55" s="17" t="s">
        <v>39</v>
      </c>
      <c r="K55" s="17" t="s">
        <v>3</v>
      </c>
      <c r="L55" s="32" t="s">
        <v>86</v>
      </c>
      <c r="M55" s="32" t="s">
        <v>87</v>
      </c>
      <c r="N55" s="33" t="s">
        <v>88</v>
      </c>
    </row>
    <row r="56" spans="2:14" ht="9.9499999999999993" customHeight="1">
      <c r="B56" s="10"/>
      <c r="C56" s="10"/>
      <c r="D56" s="10"/>
      <c r="E56" s="10"/>
      <c r="F56" s="10"/>
      <c r="G56" s="10"/>
      <c r="H56" s="10"/>
      <c r="I56" s="10"/>
      <c r="L56" s="5"/>
    </row>
    <row r="57" spans="2:14" ht="23.1" customHeight="1">
      <c r="B57" s="7" t="s">
        <v>529</v>
      </c>
      <c r="C57" s="7" t="s">
        <v>530</v>
      </c>
      <c r="D57" s="7" t="s">
        <v>12</v>
      </c>
      <c r="E57" s="8">
        <v>87908574</v>
      </c>
      <c r="F57" s="8">
        <f t="shared" ref="F57:F67" si="23">IF(B57="","",E57+SUMIFS(ju_sld,ju_tgl,"&lt;"&amp;awal,ju_typdb,"Akun Piutang",ju_kb,B57&amp;" | "&amp;C57)-SUMIFS(ju_sld,ju_tgl,"&lt;"&amp;awal,ju_typkr,"Akun Piutang",ju_kb,B57&amp;" | "&amp;C57))</f>
        <v>87908574</v>
      </c>
      <c r="G57" s="8">
        <f t="shared" ref="G57:G67" si="24">IF(B57="","",SUMIFS(ju_sld,ju_tgl,"&gt;="&amp;awal,ju_tgl,"&lt;="&amp;akhir,ju_typdb,"Akun Piutang",ju_kb,B57&amp;" | "&amp;C57))</f>
        <v>0</v>
      </c>
      <c r="H57" s="8">
        <f t="shared" ref="H57:H68" si="25">IF(B57="","",SUMIFS(ju_sld,ju_tgl,"&gt;="&amp;awal,ju_tgl,"&lt;="&amp;akhir,ju_typkr,"Akun Piutang",ju_kb,B57&amp;" | "&amp;C57))</f>
        <v>0</v>
      </c>
      <c r="I57" s="8">
        <f>IF(B57="","",F57+G57-H57)</f>
        <v>87908574</v>
      </c>
      <c r="K57" s="1" t="str">
        <f t="shared" ref="K57:K69" si="26">IF(OR(D57="Piutang",D57="Hutang"),B57&amp;" | "&amp;C57,"")</f>
        <v>PK1 | Karyawan</v>
      </c>
      <c r="L57" s="5">
        <f ca="1">VALUE(IFERROR(SEARCH(INDIRECT(CELL("address")),K57),0))</f>
        <v>0</v>
      </c>
      <c r="M57" s="5" t="str">
        <f ca="1">IF(L57=0,"",COUNTIF($L$8:L57,"&gt;0"))</f>
        <v/>
      </c>
      <c r="N57" s="13" t="str">
        <f ca="1">IFERROR(INDEX(K:K,MATCH(ROW(L49),M:M,0)),"")</f>
        <v/>
      </c>
    </row>
    <row r="58" spans="2:14" ht="23.1" customHeight="1">
      <c r="B58" s="7"/>
      <c r="C58" s="7"/>
      <c r="D58" s="7"/>
      <c r="E58" s="8"/>
      <c r="F58" s="8" t="str">
        <f t="shared" si="23"/>
        <v/>
      </c>
      <c r="G58" s="8" t="str">
        <f t="shared" si="24"/>
        <v/>
      </c>
      <c r="H58" s="8" t="str">
        <f t="shared" si="25"/>
        <v/>
      </c>
      <c r="I58" s="8" t="str">
        <f t="shared" ref="I58" si="27">IF(B58="","",F58+G58-H58)</f>
        <v/>
      </c>
      <c r="K58" s="1" t="str">
        <f t="shared" si="26"/>
        <v/>
      </c>
      <c r="L58" s="5">
        <f t="shared" ref="L58:L69" ca="1" si="28">VALUE(IFERROR(SEARCH(INDIRECT(CELL("address")),K58),0))</f>
        <v>0</v>
      </c>
      <c r="M58" s="5" t="str">
        <f ca="1">IF(L58=0,"",COUNTIF($L$8:L58,"&gt;0"))</f>
        <v/>
      </c>
      <c r="N58" s="13" t="str">
        <f ca="1">IFERROR(INDEX(K:K,MATCH(ROW(L50),M:M,0)),"")</f>
        <v/>
      </c>
    </row>
    <row r="59" spans="2:14" ht="23.1" customHeight="1">
      <c r="B59" s="7"/>
      <c r="C59" s="7"/>
      <c r="D59" s="7"/>
      <c r="E59" s="8"/>
      <c r="F59" s="8" t="str">
        <f t="shared" si="23"/>
        <v/>
      </c>
      <c r="G59" s="8" t="str">
        <f t="shared" si="24"/>
        <v/>
      </c>
      <c r="H59" s="8" t="str">
        <f t="shared" si="25"/>
        <v/>
      </c>
      <c r="I59" s="8" t="str">
        <f>IF(B59="","",F59+G59-H59)</f>
        <v/>
      </c>
      <c r="K59" s="1" t="str">
        <f t="shared" si="26"/>
        <v/>
      </c>
      <c r="L59" s="5">
        <f t="shared" ca="1" si="28"/>
        <v>0</v>
      </c>
      <c r="M59" s="5" t="str">
        <f ca="1">IF(L59=0,"",COUNTIF($L$8:L59,"&gt;0"))</f>
        <v/>
      </c>
      <c r="N59" s="13" t="str">
        <f ca="1">IFERROR(INDEX(K:K,MATCH(ROW(L51),M:M,0)),"")</f>
        <v/>
      </c>
    </row>
    <row r="60" spans="2:14" ht="23.1" customHeight="1">
      <c r="B60" s="7"/>
      <c r="C60" s="7"/>
      <c r="D60" s="7"/>
      <c r="E60" s="8"/>
      <c r="F60" s="8" t="str">
        <f t="shared" si="23"/>
        <v/>
      </c>
      <c r="G60" s="8" t="str">
        <f t="shared" si="24"/>
        <v/>
      </c>
      <c r="H60" s="8" t="str">
        <f t="shared" si="25"/>
        <v/>
      </c>
      <c r="I60" s="8" t="str">
        <f t="shared" ref="I60:I67" si="29">IF(B60="","",F60+G60-H60)</f>
        <v/>
      </c>
      <c r="K60" s="1" t="str">
        <f t="shared" si="26"/>
        <v/>
      </c>
      <c r="L60" s="5">
        <f t="shared" ca="1" si="28"/>
        <v>0</v>
      </c>
      <c r="M60" s="5" t="str">
        <f ca="1">IF(L60=0,"",COUNTIF($L$8:L60,"&gt;0"))</f>
        <v/>
      </c>
      <c r="N60" s="13" t="str">
        <f ca="1">IFERROR(INDEX(K:K,MATCH(ROW(L52),M:M,0)),"")</f>
        <v/>
      </c>
    </row>
    <row r="61" spans="2:14" ht="23.1" customHeight="1">
      <c r="B61" s="7"/>
      <c r="C61" s="7"/>
      <c r="D61" s="7"/>
      <c r="E61" s="8"/>
      <c r="F61" s="8" t="str">
        <f t="shared" si="23"/>
        <v/>
      </c>
      <c r="G61" s="8" t="str">
        <f t="shared" si="24"/>
        <v/>
      </c>
      <c r="H61" s="8" t="str">
        <f t="shared" si="25"/>
        <v/>
      </c>
      <c r="I61" s="8" t="str">
        <f t="shared" si="29"/>
        <v/>
      </c>
      <c r="K61" s="1" t="str">
        <f t="shared" si="26"/>
        <v/>
      </c>
      <c r="L61" s="5">
        <f t="shared" ca="1" si="28"/>
        <v>0</v>
      </c>
      <c r="M61" s="5" t="str">
        <f ca="1">IF(L61=0,"",COUNTIF($L$8:L61,"&gt;0"))</f>
        <v/>
      </c>
      <c r="N61" s="13" t="str">
        <f t="shared" ref="N61:N69" ca="1" si="30">IFERROR(INDEX(K:K,MATCH(ROW(L54),M:M,0)),"")</f>
        <v/>
      </c>
    </row>
    <row r="62" spans="2:14" ht="23.1" customHeight="1">
      <c r="B62" s="7"/>
      <c r="C62" s="7"/>
      <c r="D62" s="7"/>
      <c r="E62" s="8"/>
      <c r="F62" s="8" t="str">
        <f t="shared" si="23"/>
        <v/>
      </c>
      <c r="G62" s="8" t="str">
        <f t="shared" si="24"/>
        <v/>
      </c>
      <c r="H62" s="8" t="str">
        <f t="shared" si="25"/>
        <v/>
      </c>
      <c r="I62" s="8" t="str">
        <f t="shared" si="29"/>
        <v/>
      </c>
      <c r="K62" s="1" t="str">
        <f t="shared" si="26"/>
        <v/>
      </c>
      <c r="L62" s="5">
        <f t="shared" ca="1" si="28"/>
        <v>0</v>
      </c>
      <c r="M62" s="5" t="str">
        <f ca="1">IF(L62=0,"",COUNTIF($L$8:L62,"&gt;0"))</f>
        <v/>
      </c>
      <c r="N62" s="13" t="str">
        <f t="shared" ca="1" si="30"/>
        <v/>
      </c>
    </row>
    <row r="63" spans="2:14" ht="23.1" customHeight="1">
      <c r="B63" s="7"/>
      <c r="C63" s="7"/>
      <c r="D63" s="7"/>
      <c r="E63" s="8"/>
      <c r="F63" s="8" t="str">
        <f t="shared" si="23"/>
        <v/>
      </c>
      <c r="G63" s="8" t="str">
        <f t="shared" si="24"/>
        <v/>
      </c>
      <c r="H63" s="8" t="str">
        <f t="shared" si="25"/>
        <v/>
      </c>
      <c r="I63" s="8" t="str">
        <f t="shared" si="29"/>
        <v/>
      </c>
      <c r="K63" s="1" t="str">
        <f t="shared" si="26"/>
        <v/>
      </c>
      <c r="L63" s="5">
        <f t="shared" ca="1" si="28"/>
        <v>0</v>
      </c>
      <c r="M63" s="5" t="str">
        <f ca="1">IF(L63=0,"",COUNTIF($L$8:L63,"&gt;0"))</f>
        <v/>
      </c>
      <c r="N63" s="13" t="str">
        <f t="shared" ca="1" si="30"/>
        <v/>
      </c>
    </row>
    <row r="64" spans="2:14" ht="23.1" customHeight="1">
      <c r="B64" s="7"/>
      <c r="C64" s="7"/>
      <c r="D64" s="7"/>
      <c r="E64" s="8"/>
      <c r="F64" s="8" t="str">
        <f t="shared" si="23"/>
        <v/>
      </c>
      <c r="G64" s="8" t="str">
        <f t="shared" si="24"/>
        <v/>
      </c>
      <c r="H64" s="8" t="str">
        <f t="shared" si="25"/>
        <v/>
      </c>
      <c r="I64" s="8" t="str">
        <f t="shared" si="29"/>
        <v/>
      </c>
      <c r="K64" s="1" t="str">
        <f t="shared" si="26"/>
        <v/>
      </c>
      <c r="L64" s="5">
        <f t="shared" ca="1" si="28"/>
        <v>0</v>
      </c>
      <c r="M64" s="5" t="str">
        <f ca="1">IF(L64=0,"",COUNTIF($L$8:L64,"&gt;0"))</f>
        <v/>
      </c>
      <c r="N64" s="13" t="str">
        <f t="shared" ca="1" si="30"/>
        <v/>
      </c>
    </row>
    <row r="65" spans="2:14" ht="23.1" customHeight="1">
      <c r="B65" s="7"/>
      <c r="C65" s="7"/>
      <c r="D65" s="7"/>
      <c r="E65" s="8"/>
      <c r="F65" s="8" t="str">
        <f t="shared" si="23"/>
        <v/>
      </c>
      <c r="G65" s="8" t="str">
        <f t="shared" si="24"/>
        <v/>
      </c>
      <c r="H65" s="8" t="str">
        <f t="shared" si="25"/>
        <v/>
      </c>
      <c r="I65" s="8" t="str">
        <f t="shared" si="29"/>
        <v/>
      </c>
      <c r="K65" s="1" t="str">
        <f t="shared" si="26"/>
        <v/>
      </c>
      <c r="L65" s="5">
        <f t="shared" ca="1" si="28"/>
        <v>0</v>
      </c>
      <c r="M65" s="5" t="str">
        <f ca="1">IF(L65=0,"",COUNTIF($L$8:L65,"&gt;0"))</f>
        <v/>
      </c>
      <c r="N65" s="13" t="str">
        <f t="shared" ca="1" si="30"/>
        <v/>
      </c>
    </row>
    <row r="66" spans="2:14" ht="23.1" customHeight="1">
      <c r="B66" s="7"/>
      <c r="C66" s="7"/>
      <c r="D66" s="7"/>
      <c r="E66" s="8"/>
      <c r="F66" s="8" t="str">
        <f t="shared" si="23"/>
        <v/>
      </c>
      <c r="G66" s="8" t="str">
        <f t="shared" si="24"/>
        <v/>
      </c>
      <c r="H66" s="8" t="str">
        <f t="shared" si="25"/>
        <v/>
      </c>
      <c r="I66" s="8" t="str">
        <f t="shared" si="29"/>
        <v/>
      </c>
      <c r="K66" s="1" t="str">
        <f t="shared" si="26"/>
        <v/>
      </c>
      <c r="L66" s="5">
        <f t="shared" ca="1" si="28"/>
        <v>0</v>
      </c>
      <c r="M66" s="5" t="str">
        <f ca="1">IF(L66=0,"",COUNTIF($L$8:L66,"&gt;0"))</f>
        <v/>
      </c>
      <c r="N66" s="13" t="str">
        <f t="shared" ca="1" si="30"/>
        <v/>
      </c>
    </row>
    <row r="67" spans="2:14" ht="23.1" customHeight="1">
      <c r="B67" s="7"/>
      <c r="C67" s="7"/>
      <c r="D67" s="7"/>
      <c r="E67" s="8"/>
      <c r="F67" s="8" t="str">
        <f t="shared" si="23"/>
        <v/>
      </c>
      <c r="G67" s="8" t="str">
        <f t="shared" si="24"/>
        <v/>
      </c>
      <c r="H67" s="8" t="str">
        <f t="shared" si="25"/>
        <v/>
      </c>
      <c r="I67" s="8" t="str">
        <f t="shared" si="29"/>
        <v/>
      </c>
      <c r="K67" s="1" t="str">
        <f t="shared" si="26"/>
        <v/>
      </c>
      <c r="L67" s="5">
        <f t="shared" ca="1" si="28"/>
        <v>0</v>
      </c>
      <c r="M67" s="5" t="str">
        <f ca="1">IF(L67=0,"",COUNTIF($L$8:L67,"&gt;0"))</f>
        <v/>
      </c>
      <c r="N67" s="13" t="str">
        <f t="shared" ca="1" si="30"/>
        <v/>
      </c>
    </row>
    <row r="68" spans="2:14" ht="9.9499999999999993" customHeight="1" thickBot="1">
      <c r="B68" s="23"/>
      <c r="C68" s="23"/>
      <c r="D68" s="23"/>
      <c r="E68" s="23"/>
      <c r="F68" s="23"/>
      <c r="G68" s="23"/>
      <c r="H68" s="91" t="str">
        <f t="shared" si="25"/>
        <v/>
      </c>
      <c r="I68" s="23"/>
      <c r="K68" s="1" t="str">
        <f t="shared" si="26"/>
        <v/>
      </c>
      <c r="L68" s="5">
        <f t="shared" ca="1" si="28"/>
        <v>0</v>
      </c>
      <c r="M68" s="5" t="str">
        <f ca="1">IF(L68=0,"",COUNTIF($L$8:L68,"&gt;0"))</f>
        <v/>
      </c>
      <c r="N68" s="13" t="str">
        <f t="shared" ca="1" si="30"/>
        <v/>
      </c>
    </row>
    <row r="69" spans="2:14" ht="23.1" customHeight="1" thickBot="1">
      <c r="B69" s="24" t="s">
        <v>72</v>
      </c>
      <c r="C69" s="21"/>
      <c r="D69" s="22"/>
      <c r="E69" s="92">
        <f>SUM(E57:E67)</f>
        <v>87908574</v>
      </c>
      <c r="F69" s="92">
        <f>SUM(F57:F67)</f>
        <v>87908574</v>
      </c>
      <c r="G69" s="92">
        <f>SUM(G57:G67)</f>
        <v>0</v>
      </c>
      <c r="H69" s="92">
        <f>SUM(H57:H67)</f>
        <v>0</v>
      </c>
      <c r="I69" s="92">
        <f>SUM(I57:I67)</f>
        <v>87908574</v>
      </c>
      <c r="K69" s="1" t="str">
        <f t="shared" si="26"/>
        <v/>
      </c>
      <c r="L69" s="5">
        <f t="shared" ca="1" si="28"/>
        <v>0</v>
      </c>
      <c r="M69" s="5" t="str">
        <f ca="1">IF(L69=0,"",COUNTIF($L$8:L69,"&gt;0"))</f>
        <v/>
      </c>
      <c r="N69" s="13" t="str">
        <f t="shared" ca="1" si="30"/>
        <v/>
      </c>
    </row>
    <row r="70" spans="2:14" ht="23.1" customHeight="1">
      <c r="B70" s="4"/>
      <c r="C70" s="1"/>
      <c r="D70" s="1"/>
      <c r="E70" s="314"/>
      <c r="F70" s="314"/>
      <c r="G70" s="314"/>
      <c r="H70" s="314"/>
      <c r="I70" s="314"/>
      <c r="L70" s="5"/>
    </row>
    <row r="71" spans="2:14" ht="23.1" customHeight="1">
      <c r="K71" s="1" t="str">
        <f t="shared" si="3"/>
        <v/>
      </c>
      <c r="L71" s="5">
        <f t="shared" ca="1" si="6"/>
        <v>0</v>
      </c>
      <c r="M71" s="5" t="str">
        <f ca="1">IF(L71=0,"",COUNTIF($L$8:L71,"&gt;0"))</f>
        <v/>
      </c>
      <c r="N71" s="13" t="str">
        <f t="shared" ref="N71:N77" ca="1" si="31">IFERROR(INDEX(K:K,MATCH(ROW(L14),M:M,0)),"")</f>
        <v/>
      </c>
    </row>
    <row r="72" spans="2:14" ht="23.1" customHeight="1" thickBot="1">
      <c r="B72" s="17" t="s">
        <v>3</v>
      </c>
      <c r="C72" s="17" t="s">
        <v>9</v>
      </c>
      <c r="D72" s="17" t="s">
        <v>53</v>
      </c>
      <c r="E72" s="17" t="s">
        <v>36</v>
      </c>
      <c r="F72" s="17" t="s">
        <v>36</v>
      </c>
      <c r="G72" s="17" t="s">
        <v>51</v>
      </c>
      <c r="H72" s="17" t="s">
        <v>52</v>
      </c>
      <c r="I72" s="17" t="s">
        <v>39</v>
      </c>
      <c r="K72" s="1" t="str">
        <f t="shared" si="3"/>
        <v/>
      </c>
      <c r="L72" s="5">
        <f t="shared" ca="1" si="6"/>
        <v>0</v>
      </c>
      <c r="M72" s="5" t="str">
        <f ca="1">IF(L72=0,"",COUNTIF($L$8:L72,"&gt;0"))</f>
        <v/>
      </c>
      <c r="N72" s="13" t="str">
        <f t="shared" ca="1" si="31"/>
        <v/>
      </c>
    </row>
    <row r="73" spans="2:14" ht="9.9499999999999993" customHeight="1">
      <c r="B73" s="10"/>
      <c r="C73" s="10"/>
      <c r="D73" s="10"/>
      <c r="E73" s="10"/>
      <c r="F73" s="10"/>
      <c r="G73" s="10"/>
      <c r="H73" s="10"/>
      <c r="I73" s="10"/>
      <c r="K73" s="1" t="str">
        <f t="shared" si="3"/>
        <v/>
      </c>
      <c r="L73" s="5">
        <f t="shared" ca="1" si="6"/>
        <v>0</v>
      </c>
      <c r="M73" s="5" t="str">
        <f ca="1">IF(L73=0,"",COUNTIF($L$8:L73,"&gt;0"))</f>
        <v/>
      </c>
      <c r="N73" s="13" t="str">
        <f t="shared" ca="1" si="31"/>
        <v/>
      </c>
    </row>
    <row r="74" spans="2:14" ht="23.1" customHeight="1">
      <c r="B74" s="7" t="s">
        <v>74</v>
      </c>
      <c r="C74" s="7" t="s">
        <v>76</v>
      </c>
      <c r="D74" s="7" t="s">
        <v>73</v>
      </c>
      <c r="E74" s="8"/>
      <c r="F74" s="8">
        <f t="shared" ref="F74:F84" si="32">IF(B74="","",E74+SUMIFS(ju_sld,ju_tgl,"&lt;"&amp;awal,ju_typkr,"Akun hutang",ju_kb,B74&amp;" | "&amp;C74)-SUMIFS(ju_sld,ju_tgl,"&lt;"&amp;awal,ju_typdb,"Akun hutang",ju_kb,B74&amp;" | "&amp;C74))</f>
        <v>0</v>
      </c>
      <c r="G74" s="8">
        <f t="shared" ref="G74:G84" si="33">IF(B74="","",SUMIFS(ju_sld,ju_tgl,"&gt;="&amp;awal,ju_tgl,"&lt;="&amp;akhir,ju_typkr,"Akun hutang",ju_kb,B74&amp;" | "&amp;C74))</f>
        <v>0</v>
      </c>
      <c r="H74" s="8">
        <f t="shared" ref="H74:H84" si="34">IF(B74="","",SUMIFS(ju_sld,ju_tgl,"&gt;="&amp;awal,ju_tgl,"&lt;="&amp;akhir,ju_typdb,"Akun hutang",ju_kb,B74&amp;" | "&amp;C74))</f>
        <v>0</v>
      </c>
      <c r="I74" s="8">
        <f>IF(B74="","",F74+G74-H74)</f>
        <v>0</v>
      </c>
      <c r="K74" s="1" t="str">
        <f t="shared" si="3"/>
        <v>S1 | Supplier 1</v>
      </c>
      <c r="L74" s="5">
        <f t="shared" ca="1" si="6"/>
        <v>0</v>
      </c>
      <c r="M74" s="5" t="str">
        <f ca="1">IF(L74=0,"",COUNTIF($L$8:L74,"&gt;0"))</f>
        <v/>
      </c>
      <c r="N74" s="13" t="str">
        <f t="shared" ca="1" si="31"/>
        <v/>
      </c>
    </row>
    <row r="75" spans="2:14" ht="23.1" customHeight="1">
      <c r="B75" s="7" t="s">
        <v>75</v>
      </c>
      <c r="C75" s="7" t="s">
        <v>77</v>
      </c>
      <c r="D75" s="7" t="s">
        <v>73</v>
      </c>
      <c r="E75" s="8"/>
      <c r="F75" s="8">
        <f t="shared" si="32"/>
        <v>0</v>
      </c>
      <c r="G75" s="8">
        <f t="shared" si="33"/>
        <v>0</v>
      </c>
      <c r="H75" s="8">
        <f t="shared" si="34"/>
        <v>0</v>
      </c>
      <c r="I75" s="8">
        <f t="shared" ref="I75:I84" si="35">IF(B75="","",F75+G75-H75)</f>
        <v>0</v>
      </c>
      <c r="K75" s="1" t="str">
        <f t="shared" si="3"/>
        <v>S2 | Supplier 2</v>
      </c>
      <c r="L75" s="5">
        <f t="shared" ca="1" si="6"/>
        <v>0</v>
      </c>
      <c r="M75" s="5" t="str">
        <f ca="1">IF(L75=0,"",COUNTIF($L$8:L75,"&gt;0"))</f>
        <v/>
      </c>
      <c r="N75" s="13" t="str">
        <f t="shared" ca="1" si="31"/>
        <v/>
      </c>
    </row>
    <row r="76" spans="2:14" ht="23.1" customHeight="1">
      <c r="B76" s="7"/>
      <c r="C76" s="7"/>
      <c r="D76" s="7"/>
      <c r="E76" s="8"/>
      <c r="F76" s="8" t="str">
        <f t="shared" si="32"/>
        <v/>
      </c>
      <c r="G76" s="8" t="str">
        <f t="shared" si="33"/>
        <v/>
      </c>
      <c r="H76" s="8" t="str">
        <f t="shared" si="34"/>
        <v/>
      </c>
      <c r="I76" s="8" t="str">
        <f t="shared" si="35"/>
        <v/>
      </c>
      <c r="K76" s="1" t="str">
        <f t="shared" si="3"/>
        <v/>
      </c>
      <c r="L76" s="5">
        <f t="shared" ca="1" si="6"/>
        <v>0</v>
      </c>
      <c r="M76" s="5" t="str">
        <f ca="1">IF(L76=0,"",COUNTIF($L$8:L76,"&gt;0"))</f>
        <v/>
      </c>
      <c r="N76" s="13" t="str">
        <f t="shared" ca="1" si="31"/>
        <v/>
      </c>
    </row>
    <row r="77" spans="2:14" ht="23.1" customHeight="1">
      <c r="B77" s="7"/>
      <c r="C77" s="7"/>
      <c r="D77" s="7"/>
      <c r="E77" s="8"/>
      <c r="F77" s="8" t="str">
        <f t="shared" si="32"/>
        <v/>
      </c>
      <c r="G77" s="8" t="str">
        <f t="shared" si="33"/>
        <v/>
      </c>
      <c r="H77" s="8" t="str">
        <f t="shared" si="34"/>
        <v/>
      </c>
      <c r="I77" s="8" t="str">
        <f t="shared" si="35"/>
        <v/>
      </c>
      <c r="K77" s="1" t="str">
        <f t="shared" si="3"/>
        <v/>
      </c>
      <c r="L77" s="5">
        <f t="shared" ca="1" si="6"/>
        <v>0</v>
      </c>
      <c r="M77" s="5" t="str">
        <f ca="1">IF(L77=0,"",COUNTIF($L$8:L77,"&gt;0"))</f>
        <v/>
      </c>
      <c r="N77" s="13" t="str">
        <f t="shared" ca="1" si="31"/>
        <v/>
      </c>
    </row>
    <row r="78" spans="2:14" ht="23.1" customHeight="1">
      <c r="B78" s="7"/>
      <c r="C78" s="7"/>
      <c r="D78" s="7"/>
      <c r="E78" s="8"/>
      <c r="F78" s="8" t="str">
        <f t="shared" si="32"/>
        <v/>
      </c>
      <c r="G78" s="8" t="str">
        <f t="shared" si="33"/>
        <v/>
      </c>
      <c r="H78" s="8" t="str">
        <f t="shared" si="34"/>
        <v/>
      </c>
      <c r="I78" s="8" t="str">
        <f t="shared" si="35"/>
        <v/>
      </c>
      <c r="K78" s="1" t="str">
        <f t="shared" si="3"/>
        <v/>
      </c>
      <c r="L78" s="5">
        <f t="shared" ca="1" si="6"/>
        <v>0</v>
      </c>
      <c r="M78" s="5" t="str">
        <f ca="1">IF(L78=0,"",COUNTIF($L$8:L78,"&gt;0"))</f>
        <v/>
      </c>
      <c r="N78" s="13" t="str">
        <f t="shared" ref="N78:N109" ca="1" si="36">IFERROR(INDEX(K:K,MATCH(ROW(L71),M:M,0)),"")</f>
        <v/>
      </c>
    </row>
    <row r="79" spans="2:14" ht="23.1" customHeight="1">
      <c r="B79" s="7"/>
      <c r="C79" s="7"/>
      <c r="D79" s="7"/>
      <c r="E79" s="8"/>
      <c r="F79" s="8" t="str">
        <f t="shared" si="32"/>
        <v/>
      </c>
      <c r="G79" s="8" t="str">
        <f t="shared" si="33"/>
        <v/>
      </c>
      <c r="H79" s="8" t="str">
        <f t="shared" si="34"/>
        <v/>
      </c>
      <c r="I79" s="8" t="str">
        <f t="shared" si="35"/>
        <v/>
      </c>
      <c r="K79" s="1" t="str">
        <f t="shared" si="3"/>
        <v/>
      </c>
      <c r="L79" s="5">
        <f t="shared" ca="1" si="6"/>
        <v>0</v>
      </c>
      <c r="M79" s="5" t="str">
        <f ca="1">IF(L79=0,"",COUNTIF($L$8:L79,"&gt;0"))</f>
        <v/>
      </c>
      <c r="N79" s="13" t="str">
        <f t="shared" ca="1" si="36"/>
        <v/>
      </c>
    </row>
    <row r="80" spans="2:14" ht="23.1" customHeight="1">
      <c r="B80" s="7"/>
      <c r="C80" s="7"/>
      <c r="D80" s="7"/>
      <c r="E80" s="8"/>
      <c r="F80" s="8" t="str">
        <f t="shared" si="32"/>
        <v/>
      </c>
      <c r="G80" s="8" t="str">
        <f t="shared" si="33"/>
        <v/>
      </c>
      <c r="H80" s="8" t="str">
        <f t="shared" si="34"/>
        <v/>
      </c>
      <c r="I80" s="8" t="str">
        <f t="shared" si="35"/>
        <v/>
      </c>
      <c r="K80" s="1" t="str">
        <f t="shared" si="3"/>
        <v/>
      </c>
      <c r="L80" s="5">
        <f t="shared" ca="1" si="6"/>
        <v>0</v>
      </c>
      <c r="M80" s="5" t="str">
        <f ca="1">IF(L80=0,"",COUNTIF($L$8:L80,"&gt;0"))</f>
        <v/>
      </c>
      <c r="N80" s="13" t="str">
        <f t="shared" ca="1" si="36"/>
        <v/>
      </c>
    </row>
    <row r="81" spans="2:14" ht="23.1" customHeight="1">
      <c r="B81" s="7"/>
      <c r="C81" s="7"/>
      <c r="D81" s="7"/>
      <c r="E81" s="8"/>
      <c r="F81" s="8" t="str">
        <f t="shared" si="32"/>
        <v/>
      </c>
      <c r="G81" s="8" t="str">
        <f t="shared" si="33"/>
        <v/>
      </c>
      <c r="H81" s="8" t="str">
        <f t="shared" si="34"/>
        <v/>
      </c>
      <c r="I81" s="8" t="str">
        <f t="shared" si="35"/>
        <v/>
      </c>
      <c r="K81" s="1" t="str">
        <f t="shared" si="3"/>
        <v/>
      </c>
      <c r="L81" s="5">
        <f t="shared" ca="1" si="6"/>
        <v>0</v>
      </c>
      <c r="M81" s="5" t="str">
        <f ca="1">IF(L81=0,"",COUNTIF($L$8:L81,"&gt;0"))</f>
        <v/>
      </c>
      <c r="N81" s="13" t="str">
        <f t="shared" ca="1" si="36"/>
        <v/>
      </c>
    </row>
    <row r="82" spans="2:14" ht="23.1" customHeight="1">
      <c r="B82" s="7"/>
      <c r="C82" s="7"/>
      <c r="D82" s="7"/>
      <c r="E82" s="8"/>
      <c r="F82" s="8" t="str">
        <f t="shared" si="32"/>
        <v/>
      </c>
      <c r="G82" s="8" t="str">
        <f t="shared" si="33"/>
        <v/>
      </c>
      <c r="H82" s="8" t="str">
        <f t="shared" si="34"/>
        <v/>
      </c>
      <c r="I82" s="8" t="str">
        <f t="shared" si="35"/>
        <v/>
      </c>
      <c r="K82" s="1" t="str">
        <f t="shared" si="3"/>
        <v/>
      </c>
      <c r="L82" s="5">
        <f t="shared" ca="1" si="6"/>
        <v>0</v>
      </c>
      <c r="M82" s="5" t="str">
        <f ca="1">IF(L82=0,"",COUNTIF($L$8:L82,"&gt;0"))</f>
        <v/>
      </c>
      <c r="N82" s="13" t="str">
        <f t="shared" ca="1" si="36"/>
        <v/>
      </c>
    </row>
    <row r="83" spans="2:14" ht="23.1" customHeight="1">
      <c r="B83" s="7"/>
      <c r="C83" s="7"/>
      <c r="D83" s="7"/>
      <c r="E83" s="8"/>
      <c r="F83" s="8" t="str">
        <f t="shared" si="32"/>
        <v/>
      </c>
      <c r="G83" s="8" t="str">
        <f t="shared" si="33"/>
        <v/>
      </c>
      <c r="H83" s="8" t="str">
        <f t="shared" si="34"/>
        <v/>
      </c>
      <c r="I83" s="8" t="str">
        <f t="shared" si="35"/>
        <v/>
      </c>
      <c r="K83" s="1" t="str">
        <f t="shared" si="3"/>
        <v/>
      </c>
      <c r="L83" s="5">
        <f t="shared" ca="1" si="6"/>
        <v>0</v>
      </c>
      <c r="M83" s="5" t="str">
        <f ca="1">IF(L83=0,"",COUNTIF($L$8:L83,"&gt;0"))</f>
        <v/>
      </c>
      <c r="N83" s="13" t="str">
        <f t="shared" ca="1" si="36"/>
        <v/>
      </c>
    </row>
    <row r="84" spans="2:14" ht="23.1" customHeight="1">
      <c r="B84" s="7"/>
      <c r="C84" s="7"/>
      <c r="D84" s="7"/>
      <c r="E84" s="8"/>
      <c r="F84" s="8" t="str">
        <f t="shared" si="32"/>
        <v/>
      </c>
      <c r="G84" s="8" t="str">
        <f t="shared" si="33"/>
        <v/>
      </c>
      <c r="H84" s="8" t="str">
        <f t="shared" si="34"/>
        <v/>
      </c>
      <c r="I84" s="8" t="str">
        <f t="shared" si="35"/>
        <v/>
      </c>
      <c r="K84" s="1" t="str">
        <f t="shared" si="3"/>
        <v/>
      </c>
      <c r="L84" s="5">
        <f t="shared" ca="1" si="6"/>
        <v>0</v>
      </c>
      <c r="M84" s="5" t="str">
        <f ca="1">IF(L84=0,"",COUNTIF($L$8:L84,"&gt;0"))</f>
        <v/>
      </c>
      <c r="N84" s="13" t="str">
        <f t="shared" ca="1" si="36"/>
        <v/>
      </c>
    </row>
    <row r="85" spans="2:14" ht="9.9499999999999993" customHeight="1" thickBot="1">
      <c r="B85" s="23"/>
      <c r="C85" s="23"/>
      <c r="D85" s="23"/>
      <c r="E85" s="23"/>
      <c r="F85" s="23"/>
      <c r="G85" s="23"/>
      <c r="H85" s="23"/>
      <c r="I85" s="23"/>
      <c r="K85" s="1" t="str">
        <f t="shared" si="3"/>
        <v/>
      </c>
      <c r="L85" s="5">
        <f t="shared" ca="1" si="6"/>
        <v>0</v>
      </c>
      <c r="M85" s="5" t="str">
        <f ca="1">IF(L85=0,"",COUNTIF($L$8:L85,"&gt;0"))</f>
        <v/>
      </c>
      <c r="N85" s="13" t="str">
        <f t="shared" ca="1" si="36"/>
        <v/>
      </c>
    </row>
    <row r="86" spans="2:14" ht="23.1" customHeight="1" thickBot="1">
      <c r="B86" s="24" t="s">
        <v>72</v>
      </c>
      <c r="C86" s="21"/>
      <c r="D86" s="22"/>
      <c r="E86" s="92">
        <f>SUM(E74:E84)</f>
        <v>0</v>
      </c>
      <c r="F86" s="92">
        <f>SUM(F74:F84)</f>
        <v>0</v>
      </c>
      <c r="G86" s="92">
        <f>SUM(G74:G84)</f>
        <v>0</v>
      </c>
      <c r="H86" s="92">
        <f>SUM(H74:H84)</f>
        <v>0</v>
      </c>
      <c r="I86" s="92">
        <f>SUM(I74:I84)</f>
        <v>0</v>
      </c>
      <c r="K86" s="1" t="str">
        <f t="shared" si="3"/>
        <v/>
      </c>
      <c r="L86" s="5">
        <f t="shared" ca="1" si="6"/>
        <v>0</v>
      </c>
      <c r="M86" s="5" t="str">
        <f ca="1">IF(L86=0,"",COUNTIF($L$8:L86,"&gt;0"))</f>
        <v/>
      </c>
      <c r="N86" s="13" t="str">
        <f t="shared" ca="1" si="36"/>
        <v/>
      </c>
    </row>
    <row r="87" spans="2:14" ht="23.1" customHeight="1">
      <c r="N87" s="13" t="str">
        <f t="shared" ca="1" si="36"/>
        <v/>
      </c>
    </row>
    <row r="88" spans="2:14" ht="23.1" customHeight="1">
      <c r="N88" s="13" t="str">
        <f t="shared" ca="1" si="36"/>
        <v/>
      </c>
    </row>
    <row r="89" spans="2:14" ht="23.1" customHeight="1">
      <c r="N89" s="13" t="str">
        <f t="shared" ca="1" si="36"/>
        <v/>
      </c>
    </row>
    <row r="90" spans="2:14" ht="23.1" customHeight="1">
      <c r="N90" s="13" t="str">
        <f t="shared" ca="1" si="36"/>
        <v/>
      </c>
    </row>
    <row r="91" spans="2:14" ht="23.1" customHeight="1">
      <c r="N91" s="13" t="str">
        <f t="shared" ca="1" si="36"/>
        <v/>
      </c>
    </row>
    <row r="92" spans="2:14" ht="23.1" customHeight="1">
      <c r="N92" s="13" t="str">
        <f t="shared" ca="1" si="36"/>
        <v/>
      </c>
    </row>
    <row r="93" spans="2:14" ht="23.1" customHeight="1">
      <c r="N93" s="13" t="str">
        <f t="shared" ca="1" si="36"/>
        <v/>
      </c>
    </row>
    <row r="94" spans="2:14" ht="23.1" customHeight="1">
      <c r="N94" s="13" t="str">
        <f t="shared" ca="1" si="36"/>
        <v/>
      </c>
    </row>
    <row r="95" spans="2:14" ht="23.1" customHeight="1">
      <c r="N95" s="13" t="str">
        <f t="shared" ca="1" si="36"/>
        <v/>
      </c>
    </row>
    <row r="96" spans="2:14" ht="23.1" customHeight="1">
      <c r="N96" s="13" t="str">
        <f t="shared" ca="1" si="36"/>
        <v/>
      </c>
    </row>
    <row r="97" spans="14:14" ht="23.1" customHeight="1">
      <c r="N97" s="13" t="str">
        <f t="shared" ca="1" si="36"/>
        <v/>
      </c>
    </row>
    <row r="98" spans="14:14" ht="23.1" customHeight="1">
      <c r="N98" s="13" t="str">
        <f t="shared" ca="1" si="36"/>
        <v/>
      </c>
    </row>
    <row r="99" spans="14:14" ht="23.1" customHeight="1">
      <c r="N99" s="13" t="str">
        <f t="shared" ca="1" si="36"/>
        <v/>
      </c>
    </row>
    <row r="100" spans="14:14" ht="23.1" customHeight="1">
      <c r="N100" s="13" t="str">
        <f t="shared" ca="1" si="36"/>
        <v/>
      </c>
    </row>
    <row r="101" spans="14:14" ht="23.1" customHeight="1">
      <c r="N101" s="13" t="str">
        <f t="shared" ca="1" si="36"/>
        <v/>
      </c>
    </row>
    <row r="102" spans="14:14" ht="23.1" customHeight="1">
      <c r="N102" s="13" t="str">
        <f t="shared" ca="1" si="36"/>
        <v/>
      </c>
    </row>
    <row r="103" spans="14:14" ht="23.1" customHeight="1">
      <c r="N103" s="13" t="str">
        <f t="shared" ca="1" si="36"/>
        <v/>
      </c>
    </row>
    <row r="104" spans="14:14" ht="23.1" customHeight="1">
      <c r="N104" s="13" t="str">
        <f t="shared" ca="1" si="36"/>
        <v/>
      </c>
    </row>
    <row r="105" spans="14:14" ht="23.1" customHeight="1">
      <c r="N105" s="13" t="str">
        <f t="shared" ca="1" si="36"/>
        <v/>
      </c>
    </row>
    <row r="106" spans="14:14" ht="23.1" customHeight="1">
      <c r="N106" s="13" t="str">
        <f t="shared" ca="1" si="36"/>
        <v/>
      </c>
    </row>
    <row r="107" spans="14:14" ht="23.1" customHeight="1">
      <c r="N107" s="13" t="str">
        <f t="shared" ca="1" si="36"/>
        <v/>
      </c>
    </row>
    <row r="108" spans="14:14" ht="23.1" customHeight="1">
      <c r="N108" s="13" t="str">
        <f t="shared" ca="1" si="36"/>
        <v/>
      </c>
    </row>
    <row r="109" spans="14:14" ht="23.1" customHeight="1">
      <c r="N109" s="13" t="str">
        <f t="shared" ca="1" si="36"/>
        <v/>
      </c>
    </row>
    <row r="110" spans="14:14" ht="23.1" customHeight="1">
      <c r="N110" s="13" t="str">
        <f t="shared" ref="N110:N141" ca="1" si="37">IFERROR(INDEX(K:K,MATCH(ROW(L103),M:M,0)),"")</f>
        <v/>
      </c>
    </row>
    <row r="111" spans="14:14" ht="23.1" customHeight="1">
      <c r="N111" s="13" t="str">
        <f t="shared" ca="1" si="37"/>
        <v/>
      </c>
    </row>
    <row r="112" spans="14:14" ht="23.1" customHeight="1">
      <c r="N112" s="13" t="str">
        <f t="shared" ca="1" si="37"/>
        <v/>
      </c>
    </row>
    <row r="113" spans="14:14" ht="23.1" customHeight="1">
      <c r="N113" s="13" t="str">
        <f t="shared" ca="1" si="37"/>
        <v/>
      </c>
    </row>
    <row r="114" spans="14:14" ht="23.1" customHeight="1">
      <c r="N114" s="13" t="str">
        <f t="shared" ca="1" si="37"/>
        <v/>
      </c>
    </row>
    <row r="115" spans="14:14" ht="23.1" customHeight="1">
      <c r="N115" s="13" t="str">
        <f t="shared" ca="1" si="37"/>
        <v/>
      </c>
    </row>
    <row r="116" spans="14:14" ht="23.1" customHeight="1">
      <c r="N116" s="13" t="str">
        <f t="shared" ca="1" si="37"/>
        <v/>
      </c>
    </row>
    <row r="117" spans="14:14" ht="23.1" customHeight="1">
      <c r="N117" s="13" t="str">
        <f t="shared" ca="1" si="37"/>
        <v/>
      </c>
    </row>
    <row r="118" spans="14:14" ht="23.1" customHeight="1">
      <c r="N118" s="13" t="str">
        <f t="shared" ca="1" si="37"/>
        <v/>
      </c>
    </row>
    <row r="119" spans="14:14" ht="23.1" customHeight="1">
      <c r="N119" s="13" t="str">
        <f t="shared" ca="1" si="37"/>
        <v/>
      </c>
    </row>
    <row r="120" spans="14:14" ht="23.1" customHeight="1">
      <c r="N120" s="13" t="str">
        <f t="shared" ca="1" si="37"/>
        <v/>
      </c>
    </row>
    <row r="121" spans="14:14" ht="23.1" customHeight="1">
      <c r="N121" s="13" t="str">
        <f t="shared" ca="1" si="37"/>
        <v/>
      </c>
    </row>
    <row r="122" spans="14:14" ht="23.1" customHeight="1">
      <c r="N122" s="13" t="str">
        <f t="shared" ca="1" si="37"/>
        <v/>
      </c>
    </row>
    <row r="123" spans="14:14" ht="23.1" customHeight="1">
      <c r="N123" s="13" t="str">
        <f t="shared" ca="1" si="37"/>
        <v/>
      </c>
    </row>
    <row r="124" spans="14:14" ht="23.1" customHeight="1">
      <c r="N124" s="13" t="str">
        <f t="shared" ca="1" si="37"/>
        <v/>
      </c>
    </row>
    <row r="125" spans="14:14" ht="23.1" customHeight="1">
      <c r="N125" s="13" t="str">
        <f t="shared" ca="1" si="37"/>
        <v/>
      </c>
    </row>
    <row r="126" spans="14:14" ht="23.1" customHeight="1">
      <c r="N126" s="13" t="str">
        <f t="shared" ca="1" si="37"/>
        <v/>
      </c>
    </row>
    <row r="127" spans="14:14" ht="23.1" customHeight="1">
      <c r="N127" s="13" t="str">
        <f t="shared" ca="1" si="37"/>
        <v/>
      </c>
    </row>
    <row r="128" spans="14:14" ht="23.1" customHeight="1">
      <c r="N128" s="13" t="str">
        <f t="shared" ca="1" si="37"/>
        <v/>
      </c>
    </row>
    <row r="129" spans="14:14" ht="23.1" customHeight="1">
      <c r="N129" s="13" t="str">
        <f t="shared" ca="1" si="37"/>
        <v/>
      </c>
    </row>
    <row r="130" spans="14:14" ht="23.1" customHeight="1">
      <c r="N130" s="13" t="str">
        <f t="shared" ca="1" si="37"/>
        <v/>
      </c>
    </row>
    <row r="131" spans="14:14" ht="23.1" customHeight="1">
      <c r="N131" s="13" t="str">
        <f t="shared" ca="1" si="37"/>
        <v/>
      </c>
    </row>
    <row r="132" spans="14:14" ht="23.1" customHeight="1">
      <c r="N132" s="13" t="str">
        <f t="shared" ca="1" si="37"/>
        <v/>
      </c>
    </row>
    <row r="133" spans="14:14" ht="23.1" customHeight="1">
      <c r="N133" s="13" t="str">
        <f t="shared" ca="1" si="37"/>
        <v/>
      </c>
    </row>
    <row r="134" spans="14:14" ht="23.1" customHeight="1">
      <c r="N134" s="13" t="str">
        <f t="shared" ca="1" si="37"/>
        <v/>
      </c>
    </row>
    <row r="135" spans="14:14" ht="23.1" customHeight="1">
      <c r="N135" s="13" t="str">
        <f t="shared" ca="1" si="37"/>
        <v/>
      </c>
    </row>
    <row r="136" spans="14:14" ht="23.1" customHeight="1">
      <c r="N136" s="13" t="str">
        <f t="shared" ca="1" si="37"/>
        <v/>
      </c>
    </row>
    <row r="137" spans="14:14" ht="23.1" customHeight="1">
      <c r="N137" s="13" t="str">
        <f t="shared" ca="1" si="37"/>
        <v/>
      </c>
    </row>
    <row r="138" spans="14:14" ht="23.1" customHeight="1">
      <c r="N138" s="13" t="str">
        <f t="shared" ca="1" si="37"/>
        <v/>
      </c>
    </row>
    <row r="139" spans="14:14" ht="23.1" customHeight="1">
      <c r="N139" s="13" t="str">
        <f t="shared" ca="1" si="37"/>
        <v/>
      </c>
    </row>
    <row r="140" spans="14:14" ht="23.1" customHeight="1">
      <c r="N140" s="13" t="str">
        <f t="shared" ca="1" si="37"/>
        <v/>
      </c>
    </row>
    <row r="141" spans="14:14" ht="23.1" customHeight="1">
      <c r="N141" s="13" t="str">
        <f t="shared" ca="1" si="37"/>
        <v/>
      </c>
    </row>
    <row r="142" spans="14:14" ht="23.1" customHeight="1">
      <c r="N142" s="13" t="str">
        <f t="shared" ref="N142:N173" ca="1" si="38">IFERROR(INDEX(K:K,MATCH(ROW(L135),M:M,0)),"")</f>
        <v/>
      </c>
    </row>
    <row r="143" spans="14:14" ht="23.1" customHeight="1">
      <c r="N143" s="13" t="str">
        <f t="shared" ca="1" si="38"/>
        <v/>
      </c>
    </row>
    <row r="144" spans="14:14" ht="23.1" customHeight="1">
      <c r="N144" s="13" t="str">
        <f t="shared" ca="1" si="38"/>
        <v/>
      </c>
    </row>
    <row r="145" spans="14:14" ht="23.1" customHeight="1">
      <c r="N145" s="13" t="str">
        <f t="shared" ca="1" si="38"/>
        <v/>
      </c>
    </row>
    <row r="146" spans="14:14" ht="23.1" customHeight="1">
      <c r="N146" s="13" t="str">
        <f t="shared" ca="1" si="38"/>
        <v/>
      </c>
    </row>
    <row r="147" spans="14:14" ht="23.1" customHeight="1">
      <c r="N147" s="13" t="str">
        <f t="shared" ca="1" si="38"/>
        <v/>
      </c>
    </row>
    <row r="148" spans="14:14" ht="23.1" customHeight="1">
      <c r="N148" s="13" t="str">
        <f t="shared" ca="1" si="38"/>
        <v/>
      </c>
    </row>
    <row r="149" spans="14:14" ht="23.1" customHeight="1">
      <c r="N149" s="13" t="str">
        <f t="shared" ca="1" si="38"/>
        <v/>
      </c>
    </row>
    <row r="150" spans="14:14" ht="23.1" customHeight="1">
      <c r="N150" s="13" t="str">
        <f t="shared" ca="1" si="38"/>
        <v/>
      </c>
    </row>
    <row r="151" spans="14:14" ht="23.1" customHeight="1">
      <c r="N151" s="13" t="str">
        <f t="shared" ca="1" si="38"/>
        <v/>
      </c>
    </row>
    <row r="152" spans="14:14" ht="23.1" customHeight="1">
      <c r="N152" s="13" t="str">
        <f t="shared" ca="1" si="38"/>
        <v/>
      </c>
    </row>
    <row r="153" spans="14:14" ht="23.1" customHeight="1">
      <c r="N153" s="13" t="str">
        <f t="shared" ca="1" si="38"/>
        <v/>
      </c>
    </row>
    <row r="154" spans="14:14" ht="23.1" customHeight="1">
      <c r="N154" s="13" t="str">
        <f t="shared" ca="1" si="38"/>
        <v/>
      </c>
    </row>
    <row r="155" spans="14:14" ht="23.1" customHeight="1">
      <c r="N155" s="13" t="str">
        <f t="shared" ca="1" si="38"/>
        <v/>
      </c>
    </row>
    <row r="156" spans="14:14" ht="23.1" customHeight="1">
      <c r="N156" s="13" t="str">
        <f t="shared" ca="1" si="38"/>
        <v/>
      </c>
    </row>
    <row r="157" spans="14:14" ht="23.1" customHeight="1">
      <c r="N157" s="13" t="str">
        <f t="shared" ca="1" si="38"/>
        <v/>
      </c>
    </row>
    <row r="158" spans="14:14" ht="23.1" customHeight="1">
      <c r="N158" s="13" t="str">
        <f t="shared" ca="1" si="38"/>
        <v/>
      </c>
    </row>
    <row r="159" spans="14:14" ht="23.1" customHeight="1">
      <c r="N159" s="13" t="str">
        <f t="shared" ca="1" si="38"/>
        <v/>
      </c>
    </row>
    <row r="160" spans="14:14" ht="23.1" customHeight="1">
      <c r="N160" s="13" t="str">
        <f t="shared" ca="1" si="38"/>
        <v/>
      </c>
    </row>
    <row r="161" spans="14:14" ht="23.1" customHeight="1">
      <c r="N161" s="13" t="str">
        <f t="shared" ca="1" si="38"/>
        <v/>
      </c>
    </row>
    <row r="162" spans="14:14" ht="23.1" customHeight="1">
      <c r="N162" s="13" t="str">
        <f t="shared" ca="1" si="38"/>
        <v/>
      </c>
    </row>
    <row r="163" spans="14:14" ht="23.1" customHeight="1">
      <c r="N163" s="13" t="str">
        <f t="shared" ca="1" si="38"/>
        <v/>
      </c>
    </row>
    <row r="164" spans="14:14" ht="23.1" customHeight="1">
      <c r="N164" s="13" t="str">
        <f t="shared" ca="1" si="38"/>
        <v/>
      </c>
    </row>
    <row r="165" spans="14:14" ht="23.1" customHeight="1">
      <c r="N165" s="13" t="str">
        <f t="shared" ca="1" si="38"/>
        <v/>
      </c>
    </row>
    <row r="166" spans="14:14" ht="23.1" customHeight="1">
      <c r="N166" s="13" t="str">
        <f t="shared" ca="1" si="38"/>
        <v/>
      </c>
    </row>
    <row r="167" spans="14:14" ht="23.1" customHeight="1">
      <c r="N167" s="13" t="str">
        <f t="shared" ca="1" si="38"/>
        <v/>
      </c>
    </row>
    <row r="168" spans="14:14" ht="23.1" customHeight="1">
      <c r="N168" s="13" t="str">
        <f t="shared" ca="1" si="38"/>
        <v/>
      </c>
    </row>
    <row r="169" spans="14:14" ht="23.1" customHeight="1">
      <c r="N169" s="13" t="str">
        <f t="shared" ca="1" si="38"/>
        <v/>
      </c>
    </row>
    <row r="170" spans="14:14" ht="23.1" customHeight="1">
      <c r="N170" s="13" t="str">
        <f t="shared" ca="1" si="38"/>
        <v/>
      </c>
    </row>
    <row r="171" spans="14:14" ht="23.1" customHeight="1">
      <c r="N171" s="13" t="str">
        <f t="shared" ca="1" si="38"/>
        <v/>
      </c>
    </row>
    <row r="172" spans="14:14" ht="23.1" customHeight="1">
      <c r="N172" s="13" t="str">
        <f t="shared" ca="1" si="38"/>
        <v/>
      </c>
    </row>
    <row r="173" spans="14:14" ht="23.1" customHeight="1">
      <c r="N173" s="13" t="str">
        <f t="shared" ca="1" si="38"/>
        <v/>
      </c>
    </row>
    <row r="174" spans="14:14" ht="23.1" customHeight="1">
      <c r="N174" s="13" t="str">
        <f t="shared" ref="N174:N205" ca="1" si="39">IFERROR(INDEX(K:K,MATCH(ROW(L167),M:M,0)),"")</f>
        <v/>
      </c>
    </row>
    <row r="175" spans="14:14" ht="23.1" customHeight="1">
      <c r="N175" s="13" t="str">
        <f t="shared" ca="1" si="39"/>
        <v/>
      </c>
    </row>
    <row r="176" spans="14:14" ht="23.1" customHeight="1">
      <c r="N176" s="13" t="str">
        <f t="shared" ca="1" si="39"/>
        <v/>
      </c>
    </row>
    <row r="177" spans="14:14" ht="23.1" customHeight="1">
      <c r="N177" s="13" t="str">
        <f t="shared" ca="1" si="39"/>
        <v/>
      </c>
    </row>
    <row r="178" spans="14:14" ht="23.1" customHeight="1">
      <c r="N178" s="13" t="str">
        <f t="shared" ca="1" si="39"/>
        <v/>
      </c>
    </row>
    <row r="179" spans="14:14" ht="23.1" customHeight="1">
      <c r="N179" s="13" t="str">
        <f t="shared" ca="1" si="39"/>
        <v/>
      </c>
    </row>
    <row r="180" spans="14:14" ht="23.1" customHeight="1">
      <c r="N180" s="13" t="str">
        <f t="shared" ca="1" si="39"/>
        <v/>
      </c>
    </row>
    <row r="181" spans="14:14" ht="23.1" customHeight="1">
      <c r="N181" s="13" t="str">
        <f t="shared" ca="1" si="39"/>
        <v/>
      </c>
    </row>
    <row r="182" spans="14:14" ht="23.1" customHeight="1">
      <c r="N182" s="13" t="str">
        <f t="shared" ca="1" si="39"/>
        <v/>
      </c>
    </row>
    <row r="183" spans="14:14" ht="23.1" customHeight="1">
      <c r="N183" s="13" t="str">
        <f t="shared" ca="1" si="39"/>
        <v/>
      </c>
    </row>
    <row r="184" spans="14:14" ht="23.1" customHeight="1">
      <c r="N184" s="13" t="str">
        <f t="shared" ca="1" si="39"/>
        <v/>
      </c>
    </row>
    <row r="185" spans="14:14" ht="23.1" customHeight="1">
      <c r="N185" s="13" t="str">
        <f t="shared" ca="1" si="39"/>
        <v/>
      </c>
    </row>
    <row r="186" spans="14:14" ht="23.1" customHeight="1">
      <c r="N186" s="13" t="str">
        <f t="shared" ca="1" si="39"/>
        <v/>
      </c>
    </row>
    <row r="187" spans="14:14" ht="23.1" customHeight="1">
      <c r="N187" s="13" t="str">
        <f t="shared" ca="1" si="39"/>
        <v/>
      </c>
    </row>
    <row r="188" spans="14:14" ht="23.1" customHeight="1">
      <c r="N188" s="13" t="str">
        <f t="shared" ca="1" si="39"/>
        <v/>
      </c>
    </row>
    <row r="189" spans="14:14" ht="23.1" customHeight="1">
      <c r="N189" s="13" t="str">
        <f t="shared" ca="1" si="39"/>
        <v/>
      </c>
    </row>
    <row r="190" spans="14:14" ht="23.1" customHeight="1">
      <c r="N190" s="13" t="str">
        <f t="shared" ca="1" si="39"/>
        <v/>
      </c>
    </row>
    <row r="191" spans="14:14" ht="23.1" customHeight="1">
      <c r="N191" s="13" t="str">
        <f t="shared" ca="1" si="39"/>
        <v/>
      </c>
    </row>
    <row r="192" spans="14:14" ht="23.1" customHeight="1">
      <c r="N192" s="13" t="str">
        <f t="shared" ca="1" si="39"/>
        <v/>
      </c>
    </row>
    <row r="193" spans="14:14" ht="23.1" customHeight="1">
      <c r="N193" s="13" t="str">
        <f t="shared" ca="1" si="39"/>
        <v/>
      </c>
    </row>
    <row r="194" spans="14:14" ht="23.1" customHeight="1">
      <c r="N194" s="13" t="str">
        <f t="shared" ca="1" si="39"/>
        <v/>
      </c>
    </row>
    <row r="195" spans="14:14" ht="23.1" customHeight="1">
      <c r="N195" s="13" t="str">
        <f t="shared" ca="1" si="39"/>
        <v/>
      </c>
    </row>
    <row r="196" spans="14:14" ht="23.1" customHeight="1">
      <c r="N196" s="13" t="str">
        <f t="shared" ca="1" si="39"/>
        <v/>
      </c>
    </row>
    <row r="197" spans="14:14" ht="23.1" customHeight="1">
      <c r="N197" s="13" t="str">
        <f t="shared" ca="1" si="39"/>
        <v/>
      </c>
    </row>
    <row r="198" spans="14:14" ht="23.1" customHeight="1">
      <c r="N198" s="13" t="str">
        <f t="shared" ca="1" si="39"/>
        <v/>
      </c>
    </row>
    <row r="199" spans="14:14" ht="23.1" customHeight="1">
      <c r="N199" s="13" t="str">
        <f t="shared" ca="1" si="39"/>
        <v/>
      </c>
    </row>
    <row r="200" spans="14:14" ht="23.1" customHeight="1">
      <c r="N200" s="13" t="str">
        <f t="shared" ca="1" si="39"/>
        <v/>
      </c>
    </row>
    <row r="201" spans="14:14" ht="23.1" customHeight="1">
      <c r="N201" s="13" t="str">
        <f t="shared" ca="1" si="39"/>
        <v/>
      </c>
    </row>
    <row r="202" spans="14:14" ht="23.1" customHeight="1">
      <c r="N202" s="13" t="str">
        <f t="shared" ca="1" si="39"/>
        <v/>
      </c>
    </row>
    <row r="203" spans="14:14" ht="23.1" customHeight="1">
      <c r="N203" s="13" t="str">
        <f t="shared" ca="1" si="39"/>
        <v/>
      </c>
    </row>
    <row r="204" spans="14:14" ht="23.1" customHeight="1">
      <c r="N204" s="13" t="str">
        <f t="shared" ca="1" si="39"/>
        <v/>
      </c>
    </row>
    <row r="205" spans="14:14" ht="23.1" customHeight="1">
      <c r="N205" s="13" t="str">
        <f t="shared" ca="1" si="39"/>
        <v/>
      </c>
    </row>
    <row r="206" spans="14:14" ht="23.1" customHeight="1">
      <c r="N206" s="13" t="str">
        <f t="shared" ref="N206:N237" ca="1" si="40">IFERROR(INDEX(K:K,MATCH(ROW(L199),M:M,0)),"")</f>
        <v/>
      </c>
    </row>
    <row r="207" spans="14:14" ht="23.1" customHeight="1">
      <c r="N207" s="13" t="str">
        <f t="shared" ca="1" si="40"/>
        <v/>
      </c>
    </row>
    <row r="208" spans="14:14" ht="23.1" customHeight="1">
      <c r="N208" s="13" t="str">
        <f t="shared" ca="1" si="40"/>
        <v/>
      </c>
    </row>
    <row r="209" spans="14:14" ht="23.1" customHeight="1">
      <c r="N209" s="13" t="str">
        <f t="shared" ca="1" si="40"/>
        <v/>
      </c>
    </row>
    <row r="210" spans="14:14" ht="23.1" customHeight="1">
      <c r="N210" s="13" t="str">
        <f t="shared" ca="1" si="40"/>
        <v/>
      </c>
    </row>
    <row r="211" spans="14:14" ht="23.1" customHeight="1">
      <c r="N211" s="13" t="str">
        <f t="shared" ca="1" si="40"/>
        <v/>
      </c>
    </row>
    <row r="212" spans="14:14" ht="23.1" customHeight="1">
      <c r="N212" s="13" t="str">
        <f t="shared" ca="1" si="40"/>
        <v/>
      </c>
    </row>
    <row r="213" spans="14:14" ht="23.1" customHeight="1">
      <c r="N213" s="13" t="str">
        <f t="shared" ca="1" si="40"/>
        <v/>
      </c>
    </row>
    <row r="214" spans="14:14" ht="23.1" customHeight="1">
      <c r="N214" s="13" t="str">
        <f t="shared" ca="1" si="40"/>
        <v/>
      </c>
    </row>
    <row r="215" spans="14:14" ht="23.1" customHeight="1">
      <c r="N215" s="13" t="str">
        <f t="shared" ca="1" si="40"/>
        <v/>
      </c>
    </row>
    <row r="216" spans="14:14" ht="23.1" customHeight="1">
      <c r="N216" s="13" t="str">
        <f t="shared" ca="1" si="40"/>
        <v/>
      </c>
    </row>
    <row r="217" spans="14:14" ht="23.1" customHeight="1">
      <c r="N217" s="13" t="str">
        <f t="shared" ca="1" si="40"/>
        <v/>
      </c>
    </row>
    <row r="218" spans="14:14" ht="23.1" customHeight="1">
      <c r="N218" s="13" t="str">
        <f t="shared" ca="1" si="40"/>
        <v/>
      </c>
    </row>
    <row r="219" spans="14:14" ht="23.1" customHeight="1">
      <c r="N219" s="13" t="str">
        <f t="shared" ca="1" si="40"/>
        <v/>
      </c>
    </row>
    <row r="220" spans="14:14" ht="23.1" customHeight="1">
      <c r="N220" s="13" t="str">
        <f t="shared" ca="1" si="40"/>
        <v/>
      </c>
    </row>
    <row r="221" spans="14:14" ht="23.1" customHeight="1">
      <c r="N221" s="13" t="str">
        <f t="shared" ca="1" si="40"/>
        <v/>
      </c>
    </row>
    <row r="222" spans="14:14" ht="23.1" customHeight="1">
      <c r="N222" s="13" t="str">
        <f t="shared" ca="1" si="40"/>
        <v/>
      </c>
    </row>
    <row r="223" spans="14:14" ht="23.1" customHeight="1">
      <c r="N223" s="13" t="str">
        <f t="shared" ca="1" si="40"/>
        <v/>
      </c>
    </row>
    <row r="224" spans="14:14" ht="23.1" customHeight="1">
      <c r="N224" s="13" t="str">
        <f t="shared" ca="1" si="40"/>
        <v/>
      </c>
    </row>
    <row r="225" spans="14:14" ht="23.1" customHeight="1">
      <c r="N225" s="13" t="str">
        <f t="shared" ca="1" si="40"/>
        <v/>
      </c>
    </row>
    <row r="226" spans="14:14" ht="23.1" customHeight="1">
      <c r="N226" s="13" t="str">
        <f t="shared" ca="1" si="40"/>
        <v/>
      </c>
    </row>
    <row r="227" spans="14:14" ht="23.1" customHeight="1">
      <c r="N227" s="13" t="str">
        <f t="shared" ca="1" si="40"/>
        <v/>
      </c>
    </row>
    <row r="228" spans="14:14" ht="23.1" customHeight="1">
      <c r="N228" s="13" t="str">
        <f t="shared" ca="1" si="40"/>
        <v/>
      </c>
    </row>
    <row r="229" spans="14:14" ht="23.1" customHeight="1">
      <c r="N229" s="13" t="str">
        <f t="shared" ca="1" si="40"/>
        <v/>
      </c>
    </row>
    <row r="230" spans="14:14" ht="23.1" customHeight="1">
      <c r="N230" s="13" t="str">
        <f t="shared" ca="1" si="40"/>
        <v/>
      </c>
    </row>
    <row r="231" spans="14:14" ht="23.1" customHeight="1">
      <c r="N231" s="13" t="str">
        <f t="shared" ca="1" si="40"/>
        <v/>
      </c>
    </row>
    <row r="232" spans="14:14" ht="23.1" customHeight="1">
      <c r="N232" s="13" t="str">
        <f t="shared" ca="1" si="40"/>
        <v/>
      </c>
    </row>
    <row r="233" spans="14:14" ht="23.1" customHeight="1">
      <c r="N233" s="13" t="str">
        <f t="shared" ca="1" si="40"/>
        <v/>
      </c>
    </row>
    <row r="234" spans="14:14" ht="23.1" customHeight="1">
      <c r="N234" s="13" t="str">
        <f t="shared" ca="1" si="40"/>
        <v/>
      </c>
    </row>
    <row r="235" spans="14:14" ht="23.1" customHeight="1">
      <c r="N235" s="13" t="str">
        <f t="shared" ca="1" si="40"/>
        <v/>
      </c>
    </row>
    <row r="236" spans="14:14" ht="23.1" customHeight="1">
      <c r="N236" s="13" t="str">
        <f t="shared" ca="1" si="40"/>
        <v/>
      </c>
    </row>
    <row r="237" spans="14:14" ht="23.1" customHeight="1">
      <c r="N237" s="13" t="str">
        <f t="shared" ca="1" si="40"/>
        <v/>
      </c>
    </row>
    <row r="238" spans="14:14" ht="23.1" customHeight="1">
      <c r="N238" s="13" t="str">
        <f t="shared" ref="N238:N250" ca="1" si="41">IFERROR(INDEX(K:K,MATCH(ROW(L231),M:M,0)),"")</f>
        <v/>
      </c>
    </row>
    <row r="239" spans="14:14" ht="23.1" customHeight="1">
      <c r="N239" s="13" t="str">
        <f t="shared" ca="1" si="41"/>
        <v/>
      </c>
    </row>
    <row r="240" spans="14:14" ht="23.1" customHeight="1">
      <c r="N240" s="13" t="str">
        <f t="shared" ca="1" si="41"/>
        <v/>
      </c>
    </row>
    <row r="241" spans="14:14" ht="23.1" customHeight="1">
      <c r="N241" s="13" t="str">
        <f t="shared" ca="1" si="41"/>
        <v/>
      </c>
    </row>
    <row r="242" spans="14:14" ht="23.1" customHeight="1">
      <c r="N242" s="13" t="str">
        <f t="shared" ca="1" si="41"/>
        <v/>
      </c>
    </row>
    <row r="243" spans="14:14" ht="23.1" customHeight="1">
      <c r="N243" s="13" t="str">
        <f t="shared" ca="1" si="41"/>
        <v/>
      </c>
    </row>
    <row r="244" spans="14:14" ht="23.1" customHeight="1">
      <c r="N244" s="13" t="str">
        <f t="shared" ca="1" si="41"/>
        <v/>
      </c>
    </row>
    <row r="245" spans="14:14" ht="23.1" customHeight="1">
      <c r="N245" s="13" t="str">
        <f t="shared" ca="1" si="41"/>
        <v/>
      </c>
    </row>
    <row r="246" spans="14:14" ht="23.1" customHeight="1">
      <c r="N246" s="13" t="str">
        <f t="shared" ca="1" si="41"/>
        <v/>
      </c>
    </row>
    <row r="247" spans="14:14" ht="23.1" customHeight="1">
      <c r="N247" s="13" t="str">
        <f t="shared" ca="1" si="41"/>
        <v/>
      </c>
    </row>
    <row r="248" spans="14:14" ht="23.1" customHeight="1">
      <c r="N248" s="13" t="str">
        <f t="shared" ca="1" si="41"/>
        <v/>
      </c>
    </row>
    <row r="249" spans="14:14" ht="23.1" customHeight="1">
      <c r="N249" s="13" t="str">
        <f t="shared" ca="1" si="41"/>
        <v/>
      </c>
    </row>
    <row r="250" spans="14:14" ht="23.1" customHeight="1">
      <c r="N250" s="13" t="str">
        <f t="shared" ca="1" si="41"/>
        <v/>
      </c>
    </row>
  </sheetData>
  <mergeCells count="1">
    <mergeCell ref="B4:I4"/>
  </mergeCells>
  <phoneticPr fontId="7" type="noConversion"/>
  <dataValidations count="1">
    <dataValidation type="list" allowBlank="1" showInputMessage="1" showErrorMessage="1" sqref="D8:D19 D74:D85 D25:D36 D41:D52 D57:D68" xr:uid="{7877BFC0-6778-C94C-9ED2-59367257E2CC}">
      <formula1>"Piutang,Hutang"</formula1>
    </dataValidation>
  </dataValidations>
  <hyperlinks>
    <hyperlink ref="B2" location="MENU!D8" display="MENU" xr:uid="{D64F9E01-61BE-C540-BA1F-CBC38BDDB212}"/>
  </hyperlinks>
  <pageMargins left="0.7" right="0.7" top="0.75" bottom="0.75" header="0.3" footer="0.3"/>
  <pageSetup paperSize="9" scale="59" fitToHeight="6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503A-87B6-B847-BC8F-B27EE11F6D42}">
  <sheetPr codeName="Sheet25">
    <pageSetUpPr fitToPage="1"/>
  </sheetPr>
  <dimension ref="B2:S171"/>
  <sheetViews>
    <sheetView showGridLines="0" zoomScale="80" zoomScaleNormal="80" workbookViewId="0">
      <selection activeCell="D26" sqref="D26:P26"/>
    </sheetView>
  </sheetViews>
  <sheetFormatPr defaultColWidth="10.875" defaultRowHeight="23.1" customHeight="1"/>
  <cols>
    <col min="1" max="1" width="3.375" style="1" customWidth="1"/>
    <col min="2" max="2" width="15.125" style="1" customWidth="1"/>
    <col min="3" max="3" width="27" style="1" customWidth="1"/>
    <col min="4" max="15" width="15.125" style="37" customWidth="1"/>
    <col min="16" max="16" width="15.125" style="1" customWidth="1"/>
    <col min="17" max="17" width="4.125" style="1" customWidth="1"/>
    <col min="18" max="18" width="14.125" style="1" customWidth="1"/>
    <col min="19" max="19" width="21.875" style="1" customWidth="1"/>
    <col min="20" max="16384" width="10.875" style="1"/>
  </cols>
  <sheetData>
    <row r="2" spans="2:19" ht="23.1" customHeight="1" thickBot="1">
      <c r="B2" s="90" t="s">
        <v>58</v>
      </c>
      <c r="C2" s="83" t="str">
        <f>ARUSKAS!C2</f>
        <v>Kahfizul13@gmail.com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4" spans="2:19" ht="23.1" customHeight="1">
      <c r="B4" s="435" t="str">
        <f>UPPER(BB!B4)</f>
        <v>PERUMDA PARKIR MAKASSAR RAYA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7"/>
      <c r="R4" s="95" t="s">
        <v>81</v>
      </c>
      <c r="S4" s="7" t="s">
        <v>92</v>
      </c>
    </row>
    <row r="5" spans="2:19" ht="23.1" customHeight="1">
      <c r="B5" s="412" t="s">
        <v>186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4"/>
    </row>
    <row r="6" spans="2:19" ht="23.1" customHeight="1" thickBot="1">
      <c r="B6" s="438" t="str">
        <f>"Periode "&amp;TEXT(awal,"dd-mmm-yyy")&amp;" s/d "&amp;TEXT(akhir,"dd-mmm-yyy")</f>
        <v>Periode 01-Jan-2022 s/d 31-Dec-2022</v>
      </c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40"/>
      <c r="R6" s="57" t="s">
        <v>142</v>
      </c>
    </row>
    <row r="7" spans="2:19" ht="9.9499999999999993" customHeight="1">
      <c r="R7" s="35">
        <f>IF(OR(P7&gt;0,P7&lt;0,P7=""),1,0)</f>
        <v>1</v>
      </c>
    </row>
    <row r="8" spans="2:19" ht="23.1" customHeight="1" thickBot="1">
      <c r="B8" s="294" t="s">
        <v>144</v>
      </c>
      <c r="C8" s="295"/>
      <c r="D8" s="296" t="str">
        <f>NERACA_12!F8</f>
        <v>JANUARY</v>
      </c>
      <c r="E8" s="297" t="str">
        <f>NERACA_12!G8</f>
        <v>FEBRUARY</v>
      </c>
      <c r="F8" s="297" t="str">
        <f>NERACA_12!H8</f>
        <v>MARCH</v>
      </c>
      <c r="G8" s="297" t="str">
        <f>NERACA_12!I8</f>
        <v>APRIL</v>
      </c>
      <c r="H8" s="297" t="str">
        <f>NERACA_12!J8</f>
        <v>MAY</v>
      </c>
      <c r="I8" s="297" t="str">
        <f>NERACA_12!K8</f>
        <v>JUNE</v>
      </c>
      <c r="J8" s="297" t="str">
        <f>NERACA_12!L8</f>
        <v>JULY</v>
      </c>
      <c r="K8" s="297" t="str">
        <f>NERACA_12!M8</f>
        <v>AUGUST</v>
      </c>
      <c r="L8" s="297" t="str">
        <f>NERACA_12!N8</f>
        <v>SEPTEMBER</v>
      </c>
      <c r="M8" s="297" t="str">
        <f>NERACA_12!O8</f>
        <v>OCTOBER</v>
      </c>
      <c r="N8" s="297" t="str">
        <f>NERACA_12!P8</f>
        <v>NOVEMBER</v>
      </c>
      <c r="O8" s="297" t="str">
        <f>NERACA_12!Q8</f>
        <v>DECEMBER</v>
      </c>
      <c r="P8" s="298" t="s">
        <v>72</v>
      </c>
      <c r="R8" s="35">
        <f t="shared" ref="R8:R12" si="0">IF(OR(P8&gt;0,P8&lt;0,P8=""),1,0)</f>
        <v>1</v>
      </c>
    </row>
    <row r="9" spans="2:19" ht="23.1" hidden="1" customHeight="1">
      <c r="B9" s="299" t="str">
        <f>LR!B9</f>
        <v>PENDAPATAN</v>
      </c>
      <c r="C9" s="284"/>
      <c r="D9" s="300" t="e">
        <f t="shared" ref="D9:O21" si="1">IF(INDEX(typ_sn,MATCH(INDEX(akun_type,MATCH($B9,akun_kb,0)),typ_ket,0))="db",SUMIFS(ju_sld,ju_bln,TEXT(D$8,"mmmm"),ju_kr,$B9,ju_div2,"kr"&amp;$S$4)-SUMIFS(ju_sld,ju_bln,TEXT(D$8,"mmmm"),ju_debet,$B9,ju_div2,"db"&amp;$S$4),SUMIFS(ju_sld,ju_bln,TEXT(D$8,"mmmm"),ju_kr,$B9,ju_div2,"kr"&amp;$S$4)-SUMIFS(ju_sld,ju_bln,TEXT(D$8,"mmmm"),ju_debet,$B9,ju_div2,"db"&amp;$S$4))</f>
        <v>#N/A</v>
      </c>
      <c r="E9" s="300" t="e">
        <f t="shared" si="1"/>
        <v>#N/A</v>
      </c>
      <c r="F9" s="300" t="e">
        <f t="shared" si="1"/>
        <v>#N/A</v>
      </c>
      <c r="G9" s="300" t="e">
        <f t="shared" si="1"/>
        <v>#N/A</v>
      </c>
      <c r="H9" s="300" t="e">
        <f t="shared" si="1"/>
        <v>#N/A</v>
      </c>
      <c r="I9" s="300" t="e">
        <f t="shared" si="1"/>
        <v>#N/A</v>
      </c>
      <c r="J9" s="300" t="e">
        <f t="shared" si="1"/>
        <v>#N/A</v>
      </c>
      <c r="K9" s="300" t="e">
        <f t="shared" si="1"/>
        <v>#N/A</v>
      </c>
      <c r="L9" s="300" t="e">
        <f t="shared" si="1"/>
        <v>#N/A</v>
      </c>
      <c r="M9" s="300" t="e">
        <f t="shared" si="1"/>
        <v>#N/A</v>
      </c>
      <c r="N9" s="300" t="e">
        <f t="shared" si="1"/>
        <v>#N/A</v>
      </c>
      <c r="O9" s="300" t="e">
        <f t="shared" si="1"/>
        <v>#N/A</v>
      </c>
      <c r="P9" s="301" t="e">
        <f t="shared" ref="P9:P10" si="2">SUM(D9:O9)</f>
        <v>#N/A</v>
      </c>
      <c r="R9" s="35" t="e">
        <f t="shared" ref="R9:R10" si="3">IF(OR(P9&gt;0,P9&lt;0,P9=""),1,0)</f>
        <v>#N/A</v>
      </c>
    </row>
    <row r="10" spans="2:19" ht="23.1" customHeight="1">
      <c r="B10" s="299" t="str">
        <f>LR!B10</f>
        <v>410101 | PENDAPATAN PARKIR TEPI JALAN UMUM (TJU)</v>
      </c>
      <c r="C10" s="284"/>
      <c r="D10" s="300">
        <f t="shared" si="1"/>
        <v>0</v>
      </c>
      <c r="E10" s="300">
        <f t="shared" si="1"/>
        <v>0</v>
      </c>
      <c r="F10" s="300">
        <f t="shared" si="1"/>
        <v>0</v>
      </c>
      <c r="G10" s="300">
        <f t="shared" si="1"/>
        <v>0</v>
      </c>
      <c r="H10" s="300">
        <f t="shared" si="1"/>
        <v>0</v>
      </c>
      <c r="I10" s="300">
        <f t="shared" si="1"/>
        <v>0</v>
      </c>
      <c r="J10" s="300">
        <f t="shared" si="1"/>
        <v>0</v>
      </c>
      <c r="K10" s="300">
        <f t="shared" si="1"/>
        <v>0</v>
      </c>
      <c r="L10" s="300">
        <f t="shared" si="1"/>
        <v>0</v>
      </c>
      <c r="M10" s="300">
        <f t="shared" si="1"/>
        <v>0</v>
      </c>
      <c r="N10" s="300">
        <f t="shared" si="1"/>
        <v>0</v>
      </c>
      <c r="O10" s="300">
        <f t="shared" si="1"/>
        <v>0</v>
      </c>
      <c r="P10" s="301">
        <f t="shared" si="2"/>
        <v>0</v>
      </c>
      <c r="R10" s="35">
        <f t="shared" si="3"/>
        <v>0</v>
      </c>
    </row>
    <row r="11" spans="2:19" ht="23.1" customHeight="1">
      <c r="B11" s="299" t="str">
        <f>LR!B11</f>
        <v>410102 | PENDAPATAN PARKIR INSIDENTIL</v>
      </c>
      <c r="C11" s="284"/>
      <c r="D11" s="300">
        <f t="shared" si="1"/>
        <v>0</v>
      </c>
      <c r="E11" s="300">
        <f t="shared" si="1"/>
        <v>0</v>
      </c>
      <c r="F11" s="300">
        <f t="shared" si="1"/>
        <v>0</v>
      </c>
      <c r="G11" s="300">
        <f t="shared" si="1"/>
        <v>0</v>
      </c>
      <c r="H11" s="300">
        <f t="shared" si="1"/>
        <v>0</v>
      </c>
      <c r="I11" s="300">
        <f t="shared" si="1"/>
        <v>0</v>
      </c>
      <c r="J11" s="300">
        <f t="shared" si="1"/>
        <v>0</v>
      </c>
      <c r="K11" s="300">
        <f t="shared" si="1"/>
        <v>0</v>
      </c>
      <c r="L11" s="300">
        <f t="shared" si="1"/>
        <v>0</v>
      </c>
      <c r="M11" s="300">
        <f t="shared" si="1"/>
        <v>0</v>
      </c>
      <c r="N11" s="300">
        <f t="shared" si="1"/>
        <v>0</v>
      </c>
      <c r="O11" s="300">
        <f t="shared" si="1"/>
        <v>0</v>
      </c>
      <c r="P11" s="301">
        <f t="shared" ref="P11:P12" si="4">SUM(D11:O11)</f>
        <v>0</v>
      </c>
      <c r="R11" s="35">
        <f t="shared" si="0"/>
        <v>0</v>
      </c>
    </row>
    <row r="12" spans="2:19" ht="23.1" customHeight="1">
      <c r="B12" s="299" t="str">
        <f>LR!B12</f>
        <v>410103 | PENDAPATAN PARKIR KOMERSIL</v>
      </c>
      <c r="C12" s="284"/>
      <c r="D12" s="300">
        <f t="shared" si="1"/>
        <v>0</v>
      </c>
      <c r="E12" s="300">
        <f t="shared" si="1"/>
        <v>0</v>
      </c>
      <c r="F12" s="300">
        <f t="shared" si="1"/>
        <v>0</v>
      </c>
      <c r="G12" s="300">
        <f t="shared" si="1"/>
        <v>0</v>
      </c>
      <c r="H12" s="300">
        <f t="shared" si="1"/>
        <v>0</v>
      </c>
      <c r="I12" s="300">
        <f t="shared" si="1"/>
        <v>0</v>
      </c>
      <c r="J12" s="300">
        <f t="shared" si="1"/>
        <v>0</v>
      </c>
      <c r="K12" s="300">
        <f t="shared" si="1"/>
        <v>0</v>
      </c>
      <c r="L12" s="300">
        <f t="shared" si="1"/>
        <v>0</v>
      </c>
      <c r="M12" s="300">
        <f t="shared" si="1"/>
        <v>0</v>
      </c>
      <c r="N12" s="300">
        <f t="shared" si="1"/>
        <v>0</v>
      </c>
      <c r="O12" s="300">
        <f t="shared" si="1"/>
        <v>0</v>
      </c>
      <c r="P12" s="301">
        <f t="shared" si="4"/>
        <v>0</v>
      </c>
      <c r="R12" s="35">
        <f t="shared" si="0"/>
        <v>0</v>
      </c>
    </row>
    <row r="13" spans="2:19" ht="23.1" customHeight="1">
      <c r="B13" s="299" t="str">
        <f>LR!B13</f>
        <v>410104 | PENDAPATAN PARKIR LANGGANAN BULANAN</v>
      </c>
      <c r="C13" s="284"/>
      <c r="D13" s="300">
        <f t="shared" si="1"/>
        <v>0</v>
      </c>
      <c r="E13" s="300">
        <f t="shared" si="1"/>
        <v>0</v>
      </c>
      <c r="F13" s="300">
        <f t="shared" si="1"/>
        <v>0</v>
      </c>
      <c r="G13" s="300">
        <f t="shared" si="1"/>
        <v>0</v>
      </c>
      <c r="H13" s="300">
        <f t="shared" si="1"/>
        <v>0</v>
      </c>
      <c r="I13" s="300">
        <f t="shared" si="1"/>
        <v>0</v>
      </c>
      <c r="J13" s="300">
        <f t="shared" si="1"/>
        <v>0</v>
      </c>
      <c r="K13" s="300">
        <f t="shared" si="1"/>
        <v>0</v>
      </c>
      <c r="L13" s="300">
        <f t="shared" si="1"/>
        <v>0</v>
      </c>
      <c r="M13" s="300">
        <f t="shared" si="1"/>
        <v>0</v>
      </c>
      <c r="N13" s="300">
        <f t="shared" si="1"/>
        <v>0</v>
      </c>
      <c r="O13" s="300">
        <f t="shared" si="1"/>
        <v>0</v>
      </c>
      <c r="P13" s="301">
        <f t="shared" ref="P13:P25" si="5">SUM(D13:O13)</f>
        <v>0</v>
      </c>
      <c r="R13" s="35">
        <f t="shared" ref="R13:R25" si="6">IF(OR(P13&gt;0,P13&lt;0,P13=""),1,0)</f>
        <v>0</v>
      </c>
    </row>
    <row r="14" spans="2:19" ht="23.1" customHeight="1">
      <c r="B14" s="299" t="str">
        <f>LR!B14</f>
        <v>410105 | PENDAPATAN SEWA LAHAN PARKIR</v>
      </c>
      <c r="C14" s="284"/>
      <c r="D14" s="300">
        <f t="shared" si="1"/>
        <v>0</v>
      </c>
      <c r="E14" s="300">
        <f t="shared" si="1"/>
        <v>0</v>
      </c>
      <c r="F14" s="300">
        <f t="shared" si="1"/>
        <v>0</v>
      </c>
      <c r="G14" s="300">
        <f t="shared" si="1"/>
        <v>0</v>
      </c>
      <c r="H14" s="300">
        <f t="shared" si="1"/>
        <v>0</v>
      </c>
      <c r="I14" s="300">
        <f t="shared" si="1"/>
        <v>0</v>
      </c>
      <c r="J14" s="300">
        <f t="shared" si="1"/>
        <v>0</v>
      </c>
      <c r="K14" s="300">
        <f t="shared" si="1"/>
        <v>0</v>
      </c>
      <c r="L14" s="300">
        <f t="shared" si="1"/>
        <v>0</v>
      </c>
      <c r="M14" s="300">
        <f t="shared" si="1"/>
        <v>0</v>
      </c>
      <c r="N14" s="300">
        <f t="shared" si="1"/>
        <v>0</v>
      </c>
      <c r="O14" s="300">
        <f t="shared" si="1"/>
        <v>0</v>
      </c>
      <c r="P14" s="301">
        <f t="shared" si="5"/>
        <v>0</v>
      </c>
      <c r="R14" s="35">
        <f t="shared" si="6"/>
        <v>0</v>
      </c>
    </row>
    <row r="15" spans="2:19" ht="23.1" customHeight="1">
      <c r="B15" s="299" t="str">
        <f>LR!B15</f>
        <v xml:space="preserve">410106 | PENDAPATAN PARKIR </v>
      </c>
      <c r="C15" s="284"/>
      <c r="D15" s="300">
        <f t="shared" si="1"/>
        <v>0</v>
      </c>
      <c r="E15" s="300">
        <f t="shared" si="1"/>
        <v>0</v>
      </c>
      <c r="F15" s="300">
        <f t="shared" si="1"/>
        <v>0</v>
      </c>
      <c r="G15" s="300">
        <f t="shared" si="1"/>
        <v>0</v>
      </c>
      <c r="H15" s="300">
        <f t="shared" si="1"/>
        <v>0</v>
      </c>
      <c r="I15" s="300">
        <f t="shared" si="1"/>
        <v>0</v>
      </c>
      <c r="J15" s="300">
        <f t="shared" si="1"/>
        <v>0</v>
      </c>
      <c r="K15" s="300">
        <f t="shared" si="1"/>
        <v>0</v>
      </c>
      <c r="L15" s="300">
        <f t="shared" si="1"/>
        <v>0</v>
      </c>
      <c r="M15" s="300">
        <f t="shared" si="1"/>
        <v>0</v>
      </c>
      <c r="N15" s="300">
        <f t="shared" si="1"/>
        <v>0</v>
      </c>
      <c r="O15" s="300">
        <f t="shared" si="1"/>
        <v>0</v>
      </c>
      <c r="P15" s="301">
        <f t="shared" si="5"/>
        <v>0</v>
      </c>
      <c r="R15" s="35">
        <f t="shared" si="6"/>
        <v>0</v>
      </c>
    </row>
    <row r="16" spans="2:19" ht="23.1" customHeight="1">
      <c r="B16" s="299" t="str">
        <f>LR!B16</f>
        <v>410107 | PENDAPATAN PARKIR TEKHNOLOGI / ONLINE</v>
      </c>
      <c r="C16" s="284"/>
      <c r="D16" s="300">
        <f t="shared" si="1"/>
        <v>0</v>
      </c>
      <c r="E16" s="300">
        <f t="shared" si="1"/>
        <v>0</v>
      </c>
      <c r="F16" s="300">
        <f t="shared" si="1"/>
        <v>0</v>
      </c>
      <c r="G16" s="300">
        <f t="shared" si="1"/>
        <v>0</v>
      </c>
      <c r="H16" s="300">
        <f t="shared" si="1"/>
        <v>0</v>
      </c>
      <c r="I16" s="300">
        <f t="shared" si="1"/>
        <v>0</v>
      </c>
      <c r="J16" s="300">
        <f t="shared" si="1"/>
        <v>0</v>
      </c>
      <c r="K16" s="300">
        <f t="shared" si="1"/>
        <v>0</v>
      </c>
      <c r="L16" s="300">
        <f t="shared" si="1"/>
        <v>0</v>
      </c>
      <c r="M16" s="300">
        <f t="shared" si="1"/>
        <v>0</v>
      </c>
      <c r="N16" s="300">
        <f t="shared" si="1"/>
        <v>0</v>
      </c>
      <c r="O16" s="300">
        <f t="shared" si="1"/>
        <v>0</v>
      </c>
      <c r="P16" s="301">
        <f t="shared" si="5"/>
        <v>0</v>
      </c>
      <c r="R16" s="35">
        <f t="shared" si="6"/>
        <v>0</v>
      </c>
    </row>
    <row r="17" spans="2:18" ht="23.1" customHeight="1">
      <c r="B17" s="299" t="str">
        <f>LR!B17</f>
        <v>TOTAL PENDAPATAN</v>
      </c>
      <c r="C17" s="284"/>
      <c r="D17" s="300">
        <f>SUM(D10:D16)</f>
        <v>0</v>
      </c>
      <c r="E17" s="300">
        <f t="shared" ref="E17:P17" si="7">SUM(E10:E16)</f>
        <v>0</v>
      </c>
      <c r="F17" s="300">
        <f t="shared" si="7"/>
        <v>0</v>
      </c>
      <c r="G17" s="300">
        <f t="shared" si="7"/>
        <v>0</v>
      </c>
      <c r="H17" s="300">
        <f t="shared" si="7"/>
        <v>0</v>
      </c>
      <c r="I17" s="300">
        <f t="shared" si="7"/>
        <v>0</v>
      </c>
      <c r="J17" s="300">
        <f t="shared" si="7"/>
        <v>0</v>
      </c>
      <c r="K17" s="300">
        <f t="shared" si="7"/>
        <v>0</v>
      </c>
      <c r="L17" s="300">
        <f t="shared" si="7"/>
        <v>0</v>
      </c>
      <c r="M17" s="300">
        <f t="shared" si="7"/>
        <v>0</v>
      </c>
      <c r="N17" s="300">
        <f t="shared" si="7"/>
        <v>0</v>
      </c>
      <c r="O17" s="300">
        <f t="shared" si="7"/>
        <v>0</v>
      </c>
      <c r="P17" s="300">
        <f t="shared" si="7"/>
        <v>0</v>
      </c>
      <c r="R17" s="35">
        <f t="shared" si="6"/>
        <v>0</v>
      </c>
    </row>
    <row r="18" spans="2:18" ht="23.1" customHeight="1">
      <c r="B18" s="299" t="str">
        <f>LR!B18</f>
        <v>POTONGAN/PENGURANG PENDAPATAN</v>
      </c>
      <c r="C18" s="284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  <c r="P18" s="301"/>
      <c r="R18" s="35">
        <f t="shared" si="6"/>
        <v>1</v>
      </c>
    </row>
    <row r="19" spans="2:18" ht="23.1" customHeight="1">
      <c r="B19" s="299" t="str">
        <f>LR!B19</f>
        <v>420101 | POTONGAN / PENGURANG PENDAPATAN - TJU</v>
      </c>
      <c r="C19" s="284"/>
      <c r="D19" s="300">
        <f t="shared" si="1"/>
        <v>0</v>
      </c>
      <c r="E19" s="300">
        <f t="shared" si="1"/>
        <v>0</v>
      </c>
      <c r="F19" s="300">
        <f t="shared" si="1"/>
        <v>0</v>
      </c>
      <c r="G19" s="300">
        <f t="shared" si="1"/>
        <v>0</v>
      </c>
      <c r="H19" s="300">
        <f t="shared" si="1"/>
        <v>0</v>
      </c>
      <c r="I19" s="300">
        <f t="shared" si="1"/>
        <v>0</v>
      </c>
      <c r="J19" s="300">
        <f t="shared" si="1"/>
        <v>0</v>
      </c>
      <c r="K19" s="300">
        <f t="shared" si="1"/>
        <v>0</v>
      </c>
      <c r="L19" s="300">
        <f t="shared" si="1"/>
        <v>0</v>
      </c>
      <c r="M19" s="300">
        <f t="shared" si="1"/>
        <v>0</v>
      </c>
      <c r="N19" s="300">
        <f t="shared" si="1"/>
        <v>0</v>
      </c>
      <c r="O19" s="300">
        <f t="shared" si="1"/>
        <v>0</v>
      </c>
      <c r="P19" s="301">
        <f t="shared" si="5"/>
        <v>0</v>
      </c>
      <c r="R19" s="35">
        <f t="shared" si="6"/>
        <v>0</v>
      </c>
    </row>
    <row r="20" spans="2:18" ht="23.1" customHeight="1">
      <c r="B20" s="299" t="str">
        <f>LR!B20</f>
        <v>420102 | POTONGAN / PENGURANG PENDAPATAN - INSIDENTIL</v>
      </c>
      <c r="C20" s="284"/>
      <c r="D20" s="300">
        <f t="shared" si="1"/>
        <v>0</v>
      </c>
      <c r="E20" s="300">
        <f t="shared" si="1"/>
        <v>0</v>
      </c>
      <c r="F20" s="300">
        <f t="shared" si="1"/>
        <v>0</v>
      </c>
      <c r="G20" s="300">
        <f t="shared" si="1"/>
        <v>0</v>
      </c>
      <c r="H20" s="300">
        <f t="shared" si="1"/>
        <v>0</v>
      </c>
      <c r="I20" s="300">
        <f t="shared" si="1"/>
        <v>0</v>
      </c>
      <c r="J20" s="300">
        <f t="shared" si="1"/>
        <v>0</v>
      </c>
      <c r="K20" s="300">
        <f t="shared" si="1"/>
        <v>0</v>
      </c>
      <c r="L20" s="300">
        <f t="shared" si="1"/>
        <v>0</v>
      </c>
      <c r="M20" s="300">
        <f t="shared" si="1"/>
        <v>0</v>
      </c>
      <c r="N20" s="300">
        <f t="shared" si="1"/>
        <v>0</v>
      </c>
      <c r="O20" s="300">
        <f t="shared" si="1"/>
        <v>0</v>
      </c>
      <c r="P20" s="301">
        <f t="shared" si="5"/>
        <v>0</v>
      </c>
      <c r="R20" s="35">
        <f t="shared" si="6"/>
        <v>0</v>
      </c>
    </row>
    <row r="21" spans="2:18" ht="23.1" customHeight="1">
      <c r="B21" s="299" t="str">
        <f>LR!B21</f>
        <v>420103 | POTONGAN / PENGURANG PENDAPATAN - KOMERSIAL</v>
      </c>
      <c r="C21" s="284"/>
      <c r="D21" s="300">
        <f t="shared" si="1"/>
        <v>0</v>
      </c>
      <c r="E21" s="300">
        <f t="shared" si="1"/>
        <v>0</v>
      </c>
      <c r="F21" s="300">
        <f t="shared" si="1"/>
        <v>0</v>
      </c>
      <c r="G21" s="300">
        <f t="shared" ref="G21:R21" si="8">IF(INDEX(typ_sn,MATCH(INDEX(akun_type,MATCH($B21,akun_kb,0)),typ_ket,0))="db",SUMIFS(ju_sld,ju_bln,TEXT(G$8,"mmmm"),ju_kr,$B21,ju_div2,"kr"&amp;$S$4)-SUMIFS(ju_sld,ju_bln,TEXT(G$8,"mmmm"),ju_debet,$B21,ju_div2,"db"&amp;$S$4),SUMIFS(ju_sld,ju_bln,TEXT(G$8,"mmmm"),ju_kr,$B21,ju_div2,"kr"&amp;$S$4)-SUMIFS(ju_sld,ju_bln,TEXT(G$8,"mmmm"),ju_debet,$B21,ju_div2,"db"&amp;$S$4))</f>
        <v>0</v>
      </c>
      <c r="H21" s="300">
        <f t="shared" si="8"/>
        <v>0</v>
      </c>
      <c r="I21" s="300">
        <f t="shared" si="8"/>
        <v>0</v>
      </c>
      <c r="J21" s="300">
        <f t="shared" si="8"/>
        <v>0</v>
      </c>
      <c r="K21" s="300">
        <f t="shared" si="8"/>
        <v>0</v>
      </c>
      <c r="L21" s="300">
        <f t="shared" si="8"/>
        <v>0</v>
      </c>
      <c r="M21" s="300">
        <f t="shared" si="8"/>
        <v>0</v>
      </c>
      <c r="N21" s="300">
        <f t="shared" si="8"/>
        <v>0</v>
      </c>
      <c r="O21" s="300">
        <f t="shared" si="8"/>
        <v>0</v>
      </c>
      <c r="P21" s="301">
        <f t="shared" si="5"/>
        <v>0</v>
      </c>
      <c r="R21" s="35">
        <f t="shared" si="6"/>
        <v>0</v>
      </c>
    </row>
    <row r="22" spans="2:18" ht="23.1" customHeight="1">
      <c r="B22" s="299" t="str">
        <f>LR!B22</f>
        <v>420104 | POTONGAN / PENGURANG PENDAPATAN - PLB</v>
      </c>
      <c r="C22" s="284"/>
      <c r="D22" s="300">
        <f t="shared" ref="D22:O37" si="9">IF(INDEX(typ_sn,MATCH(INDEX(akun_type,MATCH($B22,akun_kb,0)),typ_ket,0))="db",SUMIFS(ju_sld,ju_bln,TEXT(D$8,"mmmm"),ju_kr,$B22,ju_div2,"kr"&amp;$S$4)-SUMIFS(ju_sld,ju_bln,TEXT(D$8,"mmmm"),ju_debet,$B22,ju_div2,"db"&amp;$S$4),SUMIFS(ju_sld,ju_bln,TEXT(D$8,"mmmm"),ju_kr,$B22,ju_div2,"kr"&amp;$S$4)-SUMIFS(ju_sld,ju_bln,TEXT(D$8,"mmmm"),ju_debet,$B22,ju_div2,"db"&amp;$S$4))</f>
        <v>0</v>
      </c>
      <c r="E22" s="300">
        <f t="shared" si="9"/>
        <v>0</v>
      </c>
      <c r="F22" s="300">
        <f t="shared" si="9"/>
        <v>0</v>
      </c>
      <c r="G22" s="300">
        <f t="shared" si="9"/>
        <v>0</v>
      </c>
      <c r="H22" s="300">
        <f t="shared" si="9"/>
        <v>0</v>
      </c>
      <c r="I22" s="300">
        <f t="shared" si="9"/>
        <v>0</v>
      </c>
      <c r="J22" s="300">
        <f t="shared" si="9"/>
        <v>0</v>
      </c>
      <c r="K22" s="300">
        <f t="shared" si="9"/>
        <v>0</v>
      </c>
      <c r="L22" s="300">
        <f t="shared" si="9"/>
        <v>0</v>
      </c>
      <c r="M22" s="300">
        <f t="shared" si="9"/>
        <v>0</v>
      </c>
      <c r="N22" s="300">
        <f t="shared" si="9"/>
        <v>0</v>
      </c>
      <c r="O22" s="300">
        <f t="shared" si="9"/>
        <v>0</v>
      </c>
      <c r="P22" s="301">
        <f t="shared" si="5"/>
        <v>0</v>
      </c>
      <c r="R22" s="35">
        <f t="shared" si="6"/>
        <v>0</v>
      </c>
    </row>
    <row r="23" spans="2:18" ht="23.1" customHeight="1">
      <c r="B23" s="299" t="str">
        <f>LR!B23</f>
        <v>420105 | POTONGAN / PENGURANG PENDAPATAN - INSIDENTIL ONLIN</v>
      </c>
      <c r="C23" s="284"/>
      <c r="D23" s="300">
        <f t="shared" si="9"/>
        <v>0</v>
      </c>
      <c r="E23" s="300">
        <f t="shared" si="9"/>
        <v>0</v>
      </c>
      <c r="F23" s="300">
        <f t="shared" si="9"/>
        <v>0</v>
      </c>
      <c r="G23" s="300">
        <f t="shared" si="9"/>
        <v>0</v>
      </c>
      <c r="H23" s="300">
        <f t="shared" si="9"/>
        <v>0</v>
      </c>
      <c r="I23" s="300">
        <f t="shared" si="9"/>
        <v>0</v>
      </c>
      <c r="J23" s="300">
        <f t="shared" si="9"/>
        <v>0</v>
      </c>
      <c r="K23" s="300">
        <f t="shared" si="9"/>
        <v>0</v>
      </c>
      <c r="L23" s="300">
        <f t="shared" si="9"/>
        <v>0</v>
      </c>
      <c r="M23" s="300">
        <f t="shared" si="9"/>
        <v>0</v>
      </c>
      <c r="N23" s="300">
        <f t="shared" si="9"/>
        <v>0</v>
      </c>
      <c r="O23" s="300">
        <f t="shared" si="9"/>
        <v>0</v>
      </c>
      <c r="P23" s="301">
        <f t="shared" si="5"/>
        <v>0</v>
      </c>
      <c r="R23" s="35">
        <f t="shared" si="6"/>
        <v>0</v>
      </c>
    </row>
    <row r="24" spans="2:18" ht="23.1" customHeight="1">
      <c r="B24" s="299" t="str">
        <f>LR!B24</f>
        <v>420106 | POTONGAN / PENGURANG PENDAPATAN - KHUSUS BADAN USA</v>
      </c>
      <c r="C24" s="284"/>
      <c r="D24" s="300">
        <f t="shared" si="9"/>
        <v>0</v>
      </c>
      <c r="E24" s="300">
        <f t="shared" si="9"/>
        <v>0</v>
      </c>
      <c r="F24" s="300">
        <f t="shared" si="9"/>
        <v>0</v>
      </c>
      <c r="G24" s="300">
        <f t="shared" si="9"/>
        <v>0</v>
      </c>
      <c r="H24" s="300">
        <f t="shared" si="9"/>
        <v>0</v>
      </c>
      <c r="I24" s="300">
        <f t="shared" si="9"/>
        <v>0</v>
      </c>
      <c r="J24" s="300">
        <f t="shared" si="9"/>
        <v>0</v>
      </c>
      <c r="K24" s="300">
        <f t="shared" si="9"/>
        <v>0</v>
      </c>
      <c r="L24" s="300">
        <f t="shared" si="9"/>
        <v>0</v>
      </c>
      <c r="M24" s="300">
        <f t="shared" si="9"/>
        <v>0</v>
      </c>
      <c r="N24" s="300">
        <f t="shared" si="9"/>
        <v>0</v>
      </c>
      <c r="O24" s="300">
        <f t="shared" si="9"/>
        <v>0</v>
      </c>
      <c r="P24" s="301">
        <f t="shared" si="5"/>
        <v>0</v>
      </c>
      <c r="R24" s="35">
        <f t="shared" si="6"/>
        <v>0</v>
      </c>
    </row>
    <row r="25" spans="2:18" ht="23.1" customHeight="1">
      <c r="B25" s="299" t="str">
        <f>LR!B25</f>
        <v>420107 | POTONGAN / PENGURANG PENDAPATAN - TEKNOLOGI / ONLI</v>
      </c>
      <c r="C25" s="284"/>
      <c r="D25" s="300">
        <f t="shared" si="9"/>
        <v>0</v>
      </c>
      <c r="E25" s="300">
        <f t="shared" si="9"/>
        <v>0</v>
      </c>
      <c r="F25" s="300">
        <f t="shared" si="9"/>
        <v>0</v>
      </c>
      <c r="G25" s="300">
        <f t="shared" si="9"/>
        <v>0</v>
      </c>
      <c r="H25" s="300">
        <f t="shared" si="9"/>
        <v>0</v>
      </c>
      <c r="I25" s="300">
        <f t="shared" si="9"/>
        <v>0</v>
      </c>
      <c r="J25" s="300">
        <f t="shared" si="9"/>
        <v>0</v>
      </c>
      <c r="K25" s="300">
        <f t="shared" si="9"/>
        <v>0</v>
      </c>
      <c r="L25" s="300">
        <f t="shared" si="9"/>
        <v>0</v>
      </c>
      <c r="M25" s="300">
        <f t="shared" si="9"/>
        <v>0</v>
      </c>
      <c r="N25" s="300">
        <f t="shared" si="9"/>
        <v>0</v>
      </c>
      <c r="O25" s="300">
        <f t="shared" si="9"/>
        <v>0</v>
      </c>
      <c r="P25" s="301">
        <f t="shared" si="5"/>
        <v>0</v>
      </c>
      <c r="R25" s="35">
        <f t="shared" si="6"/>
        <v>0</v>
      </c>
    </row>
    <row r="26" spans="2:18" ht="23.1" customHeight="1">
      <c r="B26" s="299" t="str">
        <f>LR!B26</f>
        <v>TOTAL POTONGAN/PENGURANG PENDAPATAN</v>
      </c>
      <c r="C26" s="284"/>
      <c r="D26" s="300">
        <f>SUM(D19:D25)</f>
        <v>0</v>
      </c>
      <c r="E26" s="300">
        <f t="shared" ref="E26:P26" si="10">SUM(E19:E25)</f>
        <v>0</v>
      </c>
      <c r="F26" s="300">
        <f t="shared" si="10"/>
        <v>0</v>
      </c>
      <c r="G26" s="300">
        <f t="shared" si="10"/>
        <v>0</v>
      </c>
      <c r="H26" s="300">
        <f t="shared" si="10"/>
        <v>0</v>
      </c>
      <c r="I26" s="300">
        <f t="shared" si="10"/>
        <v>0</v>
      </c>
      <c r="J26" s="300">
        <f t="shared" si="10"/>
        <v>0</v>
      </c>
      <c r="K26" s="300">
        <f t="shared" si="10"/>
        <v>0</v>
      </c>
      <c r="L26" s="300">
        <f t="shared" si="10"/>
        <v>0</v>
      </c>
      <c r="M26" s="300">
        <f t="shared" si="10"/>
        <v>0</v>
      </c>
      <c r="N26" s="300">
        <f t="shared" si="10"/>
        <v>0</v>
      </c>
      <c r="O26" s="300">
        <f t="shared" si="10"/>
        <v>0</v>
      </c>
      <c r="P26" s="300">
        <f t="shared" si="10"/>
        <v>0</v>
      </c>
      <c r="R26" s="35">
        <f t="shared" ref="R26:R89" si="11">IF(OR(P26&gt;0,P26&lt;0,P26=""),1,0)</f>
        <v>0</v>
      </c>
    </row>
    <row r="27" spans="2:18" ht="23.1" customHeight="1">
      <c r="B27" s="299" t="str">
        <f>LR!B27</f>
        <v>TOTAL PENDAPATAN</v>
      </c>
      <c r="C27" s="284"/>
      <c r="D27" s="300" t="e">
        <f t="shared" si="9"/>
        <v>#N/A</v>
      </c>
      <c r="E27" s="300" t="e">
        <f t="shared" si="9"/>
        <v>#N/A</v>
      </c>
      <c r="F27" s="300" t="e">
        <f t="shared" si="9"/>
        <v>#N/A</v>
      </c>
      <c r="G27" s="300" t="e">
        <f t="shared" si="9"/>
        <v>#N/A</v>
      </c>
      <c r="H27" s="300" t="e">
        <f t="shared" si="9"/>
        <v>#N/A</v>
      </c>
      <c r="I27" s="300" t="e">
        <f t="shared" si="9"/>
        <v>#N/A</v>
      </c>
      <c r="J27" s="300" t="e">
        <f t="shared" si="9"/>
        <v>#N/A</v>
      </c>
      <c r="K27" s="300" t="e">
        <f t="shared" si="9"/>
        <v>#N/A</v>
      </c>
      <c r="L27" s="300" t="e">
        <f t="shared" si="9"/>
        <v>#N/A</v>
      </c>
      <c r="M27" s="300" t="e">
        <f t="shared" si="9"/>
        <v>#N/A</v>
      </c>
      <c r="N27" s="300" t="e">
        <f t="shared" si="9"/>
        <v>#N/A</v>
      </c>
      <c r="O27" s="300" t="e">
        <f t="shared" si="9"/>
        <v>#N/A</v>
      </c>
      <c r="P27" s="301" t="e">
        <f t="shared" ref="P26:P89" si="12">SUM(D27:O27)</f>
        <v>#N/A</v>
      </c>
      <c r="R27" s="35" t="e">
        <f t="shared" si="11"/>
        <v>#N/A</v>
      </c>
    </row>
    <row r="28" spans="2:18" ht="23.1" customHeight="1">
      <c r="B28" s="299" t="str">
        <f>LR!B28</f>
        <v>BIAYA OPERASI</v>
      </c>
      <c r="C28" s="284"/>
      <c r="D28" s="300" t="e">
        <f t="shared" si="9"/>
        <v>#N/A</v>
      </c>
      <c r="E28" s="300" t="e">
        <f t="shared" si="9"/>
        <v>#N/A</v>
      </c>
      <c r="F28" s="300" t="e">
        <f t="shared" si="9"/>
        <v>#N/A</v>
      </c>
      <c r="G28" s="300" t="e">
        <f t="shared" si="9"/>
        <v>#N/A</v>
      </c>
      <c r="H28" s="300" t="e">
        <f t="shared" si="9"/>
        <v>#N/A</v>
      </c>
      <c r="I28" s="300" t="e">
        <f t="shared" si="9"/>
        <v>#N/A</v>
      </c>
      <c r="J28" s="300" t="e">
        <f t="shared" si="9"/>
        <v>#N/A</v>
      </c>
      <c r="K28" s="300" t="e">
        <f t="shared" si="9"/>
        <v>#N/A</v>
      </c>
      <c r="L28" s="300" t="e">
        <f t="shared" si="9"/>
        <v>#N/A</v>
      </c>
      <c r="M28" s="300" t="e">
        <f t="shared" si="9"/>
        <v>#N/A</v>
      </c>
      <c r="N28" s="300" t="e">
        <f t="shared" si="9"/>
        <v>#N/A</v>
      </c>
      <c r="O28" s="300" t="e">
        <f t="shared" si="9"/>
        <v>#N/A</v>
      </c>
      <c r="P28" s="301" t="e">
        <f t="shared" si="12"/>
        <v>#N/A</v>
      </c>
      <c r="R28" s="35" t="e">
        <f t="shared" si="11"/>
        <v>#N/A</v>
      </c>
    </row>
    <row r="29" spans="2:18" ht="23.1" customHeight="1">
      <c r="B29" s="299" t="str">
        <f>LR!B29</f>
        <v>BIAYA OPERASIONAL</v>
      </c>
      <c r="C29" s="284"/>
      <c r="D29" s="300" t="e">
        <f t="shared" si="9"/>
        <v>#N/A</v>
      </c>
      <c r="E29" s="300" t="e">
        <f t="shared" si="9"/>
        <v>#N/A</v>
      </c>
      <c r="F29" s="300" t="e">
        <f t="shared" si="9"/>
        <v>#N/A</v>
      </c>
      <c r="G29" s="300" t="e">
        <f t="shared" si="9"/>
        <v>#N/A</v>
      </c>
      <c r="H29" s="300" t="e">
        <f t="shared" si="9"/>
        <v>#N/A</v>
      </c>
      <c r="I29" s="300" t="e">
        <f t="shared" si="9"/>
        <v>#N/A</v>
      </c>
      <c r="J29" s="300" t="e">
        <f t="shared" si="9"/>
        <v>#N/A</v>
      </c>
      <c r="K29" s="300" t="e">
        <f t="shared" si="9"/>
        <v>#N/A</v>
      </c>
      <c r="L29" s="300" t="e">
        <f t="shared" si="9"/>
        <v>#N/A</v>
      </c>
      <c r="M29" s="300" t="e">
        <f t="shared" si="9"/>
        <v>#N/A</v>
      </c>
      <c r="N29" s="300" t="e">
        <f t="shared" si="9"/>
        <v>#N/A</v>
      </c>
      <c r="O29" s="300" t="e">
        <f t="shared" si="9"/>
        <v>#N/A</v>
      </c>
      <c r="P29" s="301" t="e">
        <f t="shared" si="12"/>
        <v>#N/A</v>
      </c>
      <c r="R29" s="35" t="e">
        <f t="shared" si="11"/>
        <v>#N/A</v>
      </c>
    </row>
    <row r="30" spans="2:18" ht="23.1" customHeight="1">
      <c r="B30" s="299" t="str">
        <f>LR!B30</f>
        <v>510101 | BIAYA CETAKAN</v>
      </c>
      <c r="C30" s="284"/>
      <c r="D30" s="300">
        <f t="shared" si="9"/>
        <v>0</v>
      </c>
      <c r="E30" s="300">
        <f t="shared" si="9"/>
        <v>0</v>
      </c>
      <c r="F30" s="300">
        <f t="shared" si="9"/>
        <v>0</v>
      </c>
      <c r="G30" s="300">
        <f t="shared" si="9"/>
        <v>0</v>
      </c>
      <c r="H30" s="300">
        <f t="shared" si="9"/>
        <v>0</v>
      </c>
      <c r="I30" s="300">
        <f t="shared" si="9"/>
        <v>0</v>
      </c>
      <c r="J30" s="300">
        <f t="shared" si="9"/>
        <v>0</v>
      </c>
      <c r="K30" s="300">
        <f t="shared" si="9"/>
        <v>0</v>
      </c>
      <c r="L30" s="300">
        <f t="shared" si="9"/>
        <v>0</v>
      </c>
      <c r="M30" s="300">
        <f t="shared" si="9"/>
        <v>0</v>
      </c>
      <c r="N30" s="300">
        <f t="shared" si="9"/>
        <v>0</v>
      </c>
      <c r="O30" s="300">
        <f t="shared" si="9"/>
        <v>0</v>
      </c>
      <c r="P30" s="301">
        <f t="shared" si="12"/>
        <v>0</v>
      </c>
      <c r="R30" s="35">
        <f t="shared" si="11"/>
        <v>0</v>
      </c>
    </row>
    <row r="31" spans="2:18" ht="23.1" customHeight="1">
      <c r="B31" s="299" t="str">
        <f>LR!B31</f>
        <v>510102 | BIAYA SURVEY / UJI PETIK</v>
      </c>
      <c r="C31" s="284"/>
      <c r="D31" s="300">
        <f t="shared" si="9"/>
        <v>0</v>
      </c>
      <c r="E31" s="300">
        <f t="shared" si="9"/>
        <v>0</v>
      </c>
      <c r="F31" s="300">
        <f t="shared" si="9"/>
        <v>0</v>
      </c>
      <c r="G31" s="300">
        <f t="shared" si="9"/>
        <v>0</v>
      </c>
      <c r="H31" s="300">
        <f t="shared" si="9"/>
        <v>0</v>
      </c>
      <c r="I31" s="300">
        <f t="shared" si="9"/>
        <v>0</v>
      </c>
      <c r="J31" s="300">
        <f t="shared" si="9"/>
        <v>0</v>
      </c>
      <c r="K31" s="300">
        <f t="shared" si="9"/>
        <v>0</v>
      </c>
      <c r="L31" s="300">
        <f t="shared" si="9"/>
        <v>0</v>
      </c>
      <c r="M31" s="300">
        <f t="shared" si="9"/>
        <v>0</v>
      </c>
      <c r="N31" s="300">
        <f t="shared" si="9"/>
        <v>0</v>
      </c>
      <c r="O31" s="300">
        <f t="shared" si="9"/>
        <v>0</v>
      </c>
      <c r="P31" s="301">
        <f t="shared" si="12"/>
        <v>0</v>
      </c>
      <c r="R31" s="35">
        <f t="shared" si="11"/>
        <v>0</v>
      </c>
    </row>
    <row r="32" spans="2:18" ht="23.1" customHeight="1">
      <c r="B32" s="299" t="str">
        <f>LR!B32</f>
        <v>510103 | BIAYA OPERASIONAL TIM PATROLI KHUSUS</v>
      </c>
      <c r="C32" s="284"/>
      <c r="D32" s="300">
        <f t="shared" si="9"/>
        <v>0</v>
      </c>
      <c r="E32" s="300">
        <f t="shared" si="9"/>
        <v>0</v>
      </c>
      <c r="F32" s="300">
        <f t="shared" si="9"/>
        <v>0</v>
      </c>
      <c r="G32" s="300">
        <f t="shared" si="9"/>
        <v>0</v>
      </c>
      <c r="H32" s="300">
        <f t="shared" si="9"/>
        <v>0</v>
      </c>
      <c r="I32" s="300">
        <f t="shared" si="9"/>
        <v>0</v>
      </c>
      <c r="J32" s="300">
        <f t="shared" si="9"/>
        <v>0</v>
      </c>
      <c r="K32" s="300">
        <f t="shared" si="9"/>
        <v>0</v>
      </c>
      <c r="L32" s="300">
        <f t="shared" si="9"/>
        <v>0</v>
      </c>
      <c r="M32" s="300">
        <f t="shared" si="9"/>
        <v>0</v>
      </c>
      <c r="N32" s="300">
        <f t="shared" si="9"/>
        <v>0</v>
      </c>
      <c r="O32" s="300">
        <f t="shared" si="9"/>
        <v>0</v>
      </c>
      <c r="P32" s="301">
        <f t="shared" si="12"/>
        <v>0</v>
      </c>
      <c r="R32" s="35">
        <f t="shared" si="11"/>
        <v>0</v>
      </c>
    </row>
    <row r="33" spans="2:18" ht="23.1" customHeight="1">
      <c r="B33" s="299" t="str">
        <f>LR!B33</f>
        <v>510104 | BIAYA OPERASIONAL TIM PATUH PARKIR</v>
      </c>
      <c r="C33" s="284"/>
      <c r="D33" s="300">
        <f t="shared" si="9"/>
        <v>0</v>
      </c>
      <c r="E33" s="300">
        <f t="shared" si="9"/>
        <v>0</v>
      </c>
      <c r="F33" s="300">
        <f t="shared" si="9"/>
        <v>0</v>
      </c>
      <c r="G33" s="300">
        <f t="shared" si="9"/>
        <v>0</v>
      </c>
      <c r="H33" s="300">
        <f t="shared" si="9"/>
        <v>0</v>
      </c>
      <c r="I33" s="300">
        <f t="shared" si="9"/>
        <v>0</v>
      </c>
      <c r="J33" s="300">
        <f t="shared" si="9"/>
        <v>0</v>
      </c>
      <c r="K33" s="300">
        <f t="shared" si="9"/>
        <v>0</v>
      </c>
      <c r="L33" s="300">
        <f t="shared" si="9"/>
        <v>0</v>
      </c>
      <c r="M33" s="300">
        <f t="shared" si="9"/>
        <v>0</v>
      </c>
      <c r="N33" s="300">
        <f t="shared" si="9"/>
        <v>0</v>
      </c>
      <c r="O33" s="300">
        <f t="shared" si="9"/>
        <v>0</v>
      </c>
      <c r="P33" s="301">
        <f t="shared" si="12"/>
        <v>0</v>
      </c>
      <c r="R33" s="35">
        <f t="shared" si="11"/>
        <v>0</v>
      </c>
    </row>
    <row r="34" spans="2:18" ht="23.1" customHeight="1">
      <c r="B34" s="299" t="str">
        <f>LR!B34</f>
        <v>510105 | BIAYA OPERASIONAL PEGAWAI</v>
      </c>
      <c r="C34" s="284"/>
      <c r="D34" s="300">
        <f t="shared" si="9"/>
        <v>0</v>
      </c>
      <c r="E34" s="300">
        <f t="shared" si="9"/>
        <v>0</v>
      </c>
      <c r="F34" s="300">
        <f t="shared" si="9"/>
        <v>0</v>
      </c>
      <c r="G34" s="300">
        <f t="shared" si="9"/>
        <v>0</v>
      </c>
      <c r="H34" s="300">
        <f t="shared" si="9"/>
        <v>0</v>
      </c>
      <c r="I34" s="300">
        <f t="shared" si="9"/>
        <v>0</v>
      </c>
      <c r="J34" s="300">
        <f t="shared" si="9"/>
        <v>0</v>
      </c>
      <c r="K34" s="300">
        <f t="shared" si="9"/>
        <v>0</v>
      </c>
      <c r="L34" s="300">
        <f t="shared" si="9"/>
        <v>0</v>
      </c>
      <c r="M34" s="300">
        <f t="shared" si="9"/>
        <v>0</v>
      </c>
      <c r="N34" s="300">
        <f t="shared" si="9"/>
        <v>0</v>
      </c>
      <c r="O34" s="300">
        <f t="shared" si="9"/>
        <v>0</v>
      </c>
      <c r="P34" s="301">
        <f t="shared" si="12"/>
        <v>0</v>
      </c>
      <c r="R34" s="35">
        <f t="shared" si="11"/>
        <v>0</v>
      </c>
    </row>
    <row r="35" spans="2:18" ht="23.1" customHeight="1">
      <c r="B35" s="299" t="str">
        <f>LR!B35</f>
        <v>510106 | BIAYA PAKET THR</v>
      </c>
      <c r="C35" s="284"/>
      <c r="D35" s="300">
        <f t="shared" si="9"/>
        <v>0</v>
      </c>
      <c r="E35" s="300">
        <f t="shared" si="9"/>
        <v>0</v>
      </c>
      <c r="F35" s="300">
        <f t="shared" si="9"/>
        <v>0</v>
      </c>
      <c r="G35" s="300">
        <f t="shared" si="9"/>
        <v>0</v>
      </c>
      <c r="H35" s="300">
        <f t="shared" si="9"/>
        <v>0</v>
      </c>
      <c r="I35" s="300">
        <f t="shared" si="9"/>
        <v>0</v>
      </c>
      <c r="J35" s="300">
        <f t="shared" si="9"/>
        <v>0</v>
      </c>
      <c r="K35" s="300">
        <f t="shared" si="9"/>
        <v>0</v>
      </c>
      <c r="L35" s="300">
        <f t="shared" si="9"/>
        <v>0</v>
      </c>
      <c r="M35" s="300">
        <f t="shared" si="9"/>
        <v>0</v>
      </c>
      <c r="N35" s="300">
        <f t="shared" si="9"/>
        <v>0</v>
      </c>
      <c r="O35" s="300">
        <f t="shared" si="9"/>
        <v>0</v>
      </c>
      <c r="P35" s="301">
        <f t="shared" si="12"/>
        <v>0</v>
      </c>
      <c r="R35" s="35">
        <f t="shared" si="11"/>
        <v>0</v>
      </c>
    </row>
    <row r="36" spans="2:18" ht="23.1" customHeight="1">
      <c r="B36" s="299" t="str">
        <f>LR!B36</f>
        <v>510107 | BIAYA SHARING PARKIR ELEKTRONIK</v>
      </c>
      <c r="C36" s="284"/>
      <c r="D36" s="300">
        <f t="shared" si="9"/>
        <v>0</v>
      </c>
      <c r="E36" s="300">
        <f t="shared" si="9"/>
        <v>0</v>
      </c>
      <c r="F36" s="300">
        <f t="shared" si="9"/>
        <v>0</v>
      </c>
      <c r="G36" s="300">
        <f t="shared" si="9"/>
        <v>0</v>
      </c>
      <c r="H36" s="300">
        <f t="shared" si="9"/>
        <v>0</v>
      </c>
      <c r="I36" s="300">
        <f t="shared" si="9"/>
        <v>0</v>
      </c>
      <c r="J36" s="300">
        <f t="shared" si="9"/>
        <v>0</v>
      </c>
      <c r="K36" s="300">
        <f t="shared" si="9"/>
        <v>0</v>
      </c>
      <c r="L36" s="300">
        <f t="shared" si="9"/>
        <v>0</v>
      </c>
      <c r="M36" s="300">
        <f t="shared" si="9"/>
        <v>0</v>
      </c>
      <c r="N36" s="300">
        <f t="shared" si="9"/>
        <v>0</v>
      </c>
      <c r="O36" s="300">
        <f t="shared" si="9"/>
        <v>0</v>
      </c>
      <c r="P36" s="301">
        <f t="shared" si="12"/>
        <v>0</v>
      </c>
      <c r="R36" s="35">
        <f t="shared" si="11"/>
        <v>0</v>
      </c>
    </row>
    <row r="37" spans="2:18" ht="23.1" customHeight="1">
      <c r="B37" s="299" t="str">
        <f>LR!B37</f>
        <v>510108 | BIAYA ASURANSI JUKIR</v>
      </c>
      <c r="C37" s="284"/>
      <c r="D37" s="300">
        <f t="shared" si="9"/>
        <v>0</v>
      </c>
      <c r="E37" s="300">
        <f t="shared" si="9"/>
        <v>0</v>
      </c>
      <c r="F37" s="300">
        <f t="shared" si="9"/>
        <v>0</v>
      </c>
      <c r="G37" s="300">
        <f t="shared" si="9"/>
        <v>0</v>
      </c>
      <c r="H37" s="300">
        <f t="shared" si="9"/>
        <v>0</v>
      </c>
      <c r="I37" s="300">
        <f t="shared" si="9"/>
        <v>0</v>
      </c>
      <c r="J37" s="300">
        <f t="shared" si="9"/>
        <v>0</v>
      </c>
      <c r="K37" s="300">
        <f t="shared" si="9"/>
        <v>0</v>
      </c>
      <c r="L37" s="300">
        <f t="shared" si="9"/>
        <v>0</v>
      </c>
      <c r="M37" s="300">
        <f t="shared" si="9"/>
        <v>0</v>
      </c>
      <c r="N37" s="300">
        <f t="shared" si="9"/>
        <v>0</v>
      </c>
      <c r="O37" s="300">
        <f t="shared" si="9"/>
        <v>0</v>
      </c>
      <c r="P37" s="301">
        <f t="shared" si="12"/>
        <v>0</v>
      </c>
      <c r="R37" s="35">
        <f t="shared" si="11"/>
        <v>0</v>
      </c>
    </row>
    <row r="38" spans="2:18" ht="23.1" customHeight="1">
      <c r="B38" s="299" t="str">
        <f>LR!B38</f>
        <v>510109 | BIAYA PAKAIAN JUKIR</v>
      </c>
      <c r="C38" s="284"/>
      <c r="D38" s="300">
        <f t="shared" ref="D38:O53" si="13">IF(INDEX(typ_sn,MATCH(INDEX(akun_type,MATCH($B38,akun_kb,0)),typ_ket,0))="db",SUMIFS(ju_sld,ju_bln,TEXT(D$8,"mmmm"),ju_kr,$B38,ju_div2,"kr"&amp;$S$4)-SUMIFS(ju_sld,ju_bln,TEXT(D$8,"mmmm"),ju_debet,$B38,ju_div2,"db"&amp;$S$4),SUMIFS(ju_sld,ju_bln,TEXT(D$8,"mmmm"),ju_kr,$B38,ju_div2,"kr"&amp;$S$4)-SUMIFS(ju_sld,ju_bln,TEXT(D$8,"mmmm"),ju_debet,$B38,ju_div2,"db"&amp;$S$4))</f>
        <v>0</v>
      </c>
      <c r="E38" s="300">
        <f t="shared" si="13"/>
        <v>0</v>
      </c>
      <c r="F38" s="300">
        <f t="shared" si="13"/>
        <v>0</v>
      </c>
      <c r="G38" s="300">
        <f t="shared" si="13"/>
        <v>0</v>
      </c>
      <c r="H38" s="300">
        <f t="shared" si="13"/>
        <v>0</v>
      </c>
      <c r="I38" s="300">
        <f t="shared" si="13"/>
        <v>0</v>
      </c>
      <c r="J38" s="300">
        <f t="shared" si="13"/>
        <v>0</v>
      </c>
      <c r="K38" s="300">
        <f t="shared" si="13"/>
        <v>0</v>
      </c>
      <c r="L38" s="300">
        <f t="shared" si="13"/>
        <v>0</v>
      </c>
      <c r="M38" s="300">
        <f t="shared" si="13"/>
        <v>0</v>
      </c>
      <c r="N38" s="300">
        <f t="shared" si="13"/>
        <v>0</v>
      </c>
      <c r="O38" s="300">
        <f t="shared" si="13"/>
        <v>0</v>
      </c>
      <c r="P38" s="301">
        <f t="shared" si="12"/>
        <v>0</v>
      </c>
      <c r="R38" s="35">
        <f t="shared" si="11"/>
        <v>0</v>
      </c>
    </row>
    <row r="39" spans="2:18" ht="23.1" customHeight="1">
      <c r="B39" s="299" t="str">
        <f>LR!B39</f>
        <v>510110 | BIAYA TIM PENEGAK PERDA</v>
      </c>
      <c r="C39" s="284"/>
      <c r="D39" s="300">
        <f t="shared" si="13"/>
        <v>0</v>
      </c>
      <c r="E39" s="300">
        <f t="shared" si="13"/>
        <v>0</v>
      </c>
      <c r="F39" s="300">
        <f t="shared" si="13"/>
        <v>0</v>
      </c>
      <c r="G39" s="300">
        <f t="shared" si="13"/>
        <v>0</v>
      </c>
      <c r="H39" s="300">
        <f t="shared" si="13"/>
        <v>0</v>
      </c>
      <c r="I39" s="300">
        <f t="shared" si="13"/>
        <v>0</v>
      </c>
      <c r="J39" s="300">
        <f t="shared" si="13"/>
        <v>0</v>
      </c>
      <c r="K39" s="300">
        <f t="shared" si="13"/>
        <v>0</v>
      </c>
      <c r="L39" s="300">
        <f t="shared" si="13"/>
        <v>0</v>
      </c>
      <c r="M39" s="300">
        <f t="shared" si="13"/>
        <v>0</v>
      </c>
      <c r="N39" s="300">
        <f t="shared" si="13"/>
        <v>0</v>
      </c>
      <c r="O39" s="300">
        <f t="shared" si="13"/>
        <v>0</v>
      </c>
      <c r="P39" s="301">
        <f t="shared" si="12"/>
        <v>0</v>
      </c>
      <c r="R39" s="35">
        <f t="shared" si="11"/>
        <v>0</v>
      </c>
    </row>
    <row r="40" spans="2:18" ht="23.1" customHeight="1">
      <c r="B40" s="299" t="str">
        <f>LR!B40</f>
        <v>510111 | BIAYA UPAH PUNGUT KOLEKTOR</v>
      </c>
      <c r="C40" s="284"/>
      <c r="D40" s="300">
        <f t="shared" si="13"/>
        <v>0</v>
      </c>
      <c r="E40" s="300">
        <f t="shared" si="13"/>
        <v>0</v>
      </c>
      <c r="F40" s="300">
        <f t="shared" si="13"/>
        <v>0</v>
      </c>
      <c r="G40" s="300">
        <f t="shared" si="13"/>
        <v>0</v>
      </c>
      <c r="H40" s="300">
        <f t="shared" si="13"/>
        <v>0</v>
      </c>
      <c r="I40" s="300">
        <f t="shared" si="13"/>
        <v>0</v>
      </c>
      <c r="J40" s="300">
        <f t="shared" si="13"/>
        <v>0</v>
      </c>
      <c r="K40" s="300">
        <f t="shared" si="13"/>
        <v>0</v>
      </c>
      <c r="L40" s="300">
        <f t="shared" si="13"/>
        <v>0</v>
      </c>
      <c r="M40" s="300">
        <f t="shared" si="13"/>
        <v>0</v>
      </c>
      <c r="N40" s="300">
        <f t="shared" si="13"/>
        <v>0</v>
      </c>
      <c r="O40" s="300">
        <f t="shared" si="13"/>
        <v>0</v>
      </c>
      <c r="P40" s="301">
        <f t="shared" si="12"/>
        <v>0</v>
      </c>
      <c r="R40" s="35">
        <f t="shared" si="11"/>
        <v>0</v>
      </c>
    </row>
    <row r="41" spans="2:18" ht="23.1" customHeight="1">
      <c r="B41" s="299" t="str">
        <f>LR!B41</f>
        <v>510112 | BIAYA PAJAK PARKIR PLB</v>
      </c>
      <c r="C41" s="284"/>
      <c r="D41" s="300">
        <f t="shared" si="13"/>
        <v>0</v>
      </c>
      <c r="E41" s="300">
        <f t="shared" si="13"/>
        <v>0</v>
      </c>
      <c r="F41" s="300">
        <f t="shared" si="13"/>
        <v>0</v>
      </c>
      <c r="G41" s="300">
        <f t="shared" si="13"/>
        <v>0</v>
      </c>
      <c r="H41" s="300">
        <f t="shared" si="13"/>
        <v>0</v>
      </c>
      <c r="I41" s="300">
        <f t="shared" si="13"/>
        <v>0</v>
      </c>
      <c r="J41" s="300">
        <f t="shared" si="13"/>
        <v>0</v>
      </c>
      <c r="K41" s="300">
        <f t="shared" si="13"/>
        <v>0</v>
      </c>
      <c r="L41" s="300">
        <f t="shared" si="13"/>
        <v>0</v>
      </c>
      <c r="M41" s="300">
        <f t="shared" si="13"/>
        <v>0</v>
      </c>
      <c r="N41" s="300">
        <f t="shared" si="13"/>
        <v>0</v>
      </c>
      <c r="O41" s="300">
        <f t="shared" si="13"/>
        <v>0</v>
      </c>
      <c r="P41" s="301">
        <f t="shared" si="12"/>
        <v>0</v>
      </c>
      <c r="R41" s="35">
        <f t="shared" si="11"/>
        <v>0</v>
      </c>
    </row>
    <row r="42" spans="2:18" ht="23.1" customHeight="1">
      <c r="B42" s="299" t="str">
        <f>LR!B42</f>
        <v>510113 | BIAYA ID CARD</v>
      </c>
      <c r="C42" s="284"/>
      <c r="D42" s="300">
        <f t="shared" si="13"/>
        <v>0</v>
      </c>
      <c r="E42" s="300">
        <f t="shared" si="13"/>
        <v>0</v>
      </c>
      <c r="F42" s="300">
        <f t="shared" si="13"/>
        <v>0</v>
      </c>
      <c r="G42" s="300">
        <f t="shared" si="13"/>
        <v>0</v>
      </c>
      <c r="H42" s="300">
        <f t="shared" si="13"/>
        <v>0</v>
      </c>
      <c r="I42" s="300">
        <f t="shared" si="13"/>
        <v>0</v>
      </c>
      <c r="J42" s="300">
        <f t="shared" si="13"/>
        <v>0</v>
      </c>
      <c r="K42" s="300">
        <f t="shared" si="13"/>
        <v>0</v>
      </c>
      <c r="L42" s="300">
        <f t="shared" si="13"/>
        <v>0</v>
      </c>
      <c r="M42" s="300">
        <f t="shared" si="13"/>
        <v>0</v>
      </c>
      <c r="N42" s="300">
        <f t="shared" si="13"/>
        <v>0</v>
      </c>
      <c r="O42" s="300">
        <f t="shared" si="13"/>
        <v>0</v>
      </c>
      <c r="P42" s="301">
        <f t="shared" si="12"/>
        <v>0</v>
      </c>
      <c r="R42" s="35">
        <f t="shared" si="11"/>
        <v>0</v>
      </c>
    </row>
    <row r="43" spans="2:18" ht="23.1" customHeight="1">
      <c r="B43" s="299" t="str">
        <f>LR!B43</f>
        <v>510114 | BIAYA BAHAN BAKAR KENDARAAN OPERASIONAL</v>
      </c>
      <c r="C43" s="284"/>
      <c r="D43" s="300">
        <f t="shared" si="13"/>
        <v>0</v>
      </c>
      <c r="E43" s="300">
        <f t="shared" si="13"/>
        <v>0</v>
      </c>
      <c r="F43" s="300">
        <f t="shared" si="13"/>
        <v>0</v>
      </c>
      <c r="G43" s="300">
        <f t="shared" si="13"/>
        <v>0</v>
      </c>
      <c r="H43" s="300">
        <f t="shared" si="13"/>
        <v>0</v>
      </c>
      <c r="I43" s="300">
        <f t="shared" si="13"/>
        <v>0</v>
      </c>
      <c r="J43" s="300">
        <f t="shared" si="13"/>
        <v>0</v>
      </c>
      <c r="K43" s="300">
        <f t="shared" si="13"/>
        <v>0</v>
      </c>
      <c r="L43" s="300">
        <f t="shared" si="13"/>
        <v>0</v>
      </c>
      <c r="M43" s="300">
        <f t="shared" si="13"/>
        <v>0</v>
      </c>
      <c r="N43" s="300">
        <f t="shared" si="13"/>
        <v>0</v>
      </c>
      <c r="O43" s="300">
        <f t="shared" si="13"/>
        <v>0</v>
      </c>
      <c r="P43" s="301">
        <f t="shared" si="12"/>
        <v>0</v>
      </c>
      <c r="R43" s="35">
        <f t="shared" si="11"/>
        <v>0</v>
      </c>
    </row>
    <row r="44" spans="2:18" ht="23.1" customHeight="1">
      <c r="B44" s="299" t="str">
        <f>LR!B44</f>
        <v>510115 | BIAYA MAINTENANCE KENDARAAN OPERASIONAL</v>
      </c>
      <c r="C44" s="284"/>
      <c r="D44" s="300">
        <f t="shared" si="13"/>
        <v>0</v>
      </c>
      <c r="E44" s="300">
        <f t="shared" si="13"/>
        <v>0</v>
      </c>
      <c r="F44" s="300">
        <f t="shared" si="13"/>
        <v>0</v>
      </c>
      <c r="G44" s="300">
        <f t="shared" si="13"/>
        <v>0</v>
      </c>
      <c r="H44" s="300">
        <f t="shared" si="13"/>
        <v>0</v>
      </c>
      <c r="I44" s="300">
        <f t="shared" si="13"/>
        <v>0</v>
      </c>
      <c r="J44" s="300">
        <f t="shared" si="13"/>
        <v>0</v>
      </c>
      <c r="K44" s="300">
        <f t="shared" si="13"/>
        <v>0</v>
      </c>
      <c r="L44" s="300">
        <f t="shared" si="13"/>
        <v>0</v>
      </c>
      <c r="M44" s="300">
        <f t="shared" si="13"/>
        <v>0</v>
      </c>
      <c r="N44" s="300">
        <f t="shared" si="13"/>
        <v>0</v>
      </c>
      <c r="O44" s="300">
        <f t="shared" si="13"/>
        <v>0</v>
      </c>
      <c r="P44" s="301">
        <f t="shared" si="12"/>
        <v>0</v>
      </c>
      <c r="R44" s="35">
        <f t="shared" si="11"/>
        <v>0</v>
      </c>
    </row>
    <row r="45" spans="2:18" ht="23.1" customHeight="1">
      <c r="B45" s="299" t="str">
        <f>LR!B45</f>
        <v>510116 | BIAYA SURAT KENDARAAN (STNK)</v>
      </c>
      <c r="C45" s="284"/>
      <c r="D45" s="300">
        <f t="shared" si="13"/>
        <v>0</v>
      </c>
      <c r="E45" s="300">
        <f t="shared" si="13"/>
        <v>0</v>
      </c>
      <c r="F45" s="300">
        <f t="shared" si="13"/>
        <v>0</v>
      </c>
      <c r="G45" s="300">
        <f t="shared" si="13"/>
        <v>0</v>
      </c>
      <c r="H45" s="300">
        <f t="shared" si="13"/>
        <v>0</v>
      </c>
      <c r="I45" s="300">
        <f t="shared" si="13"/>
        <v>0</v>
      </c>
      <c r="J45" s="300">
        <f t="shared" si="13"/>
        <v>0</v>
      </c>
      <c r="K45" s="300">
        <f t="shared" si="13"/>
        <v>0</v>
      </c>
      <c r="L45" s="300">
        <f t="shared" si="13"/>
        <v>0</v>
      </c>
      <c r="M45" s="300">
        <f t="shared" si="13"/>
        <v>0</v>
      </c>
      <c r="N45" s="300">
        <f t="shared" si="13"/>
        <v>0</v>
      </c>
      <c r="O45" s="300">
        <f t="shared" si="13"/>
        <v>0</v>
      </c>
      <c r="P45" s="301">
        <f t="shared" si="12"/>
        <v>0</v>
      </c>
      <c r="R45" s="35">
        <f t="shared" si="11"/>
        <v>0</v>
      </c>
    </row>
    <row r="46" spans="2:18" ht="23.1" customHeight="1">
      <c r="B46" s="299" t="str">
        <f>LR!B46</f>
        <v>510117 | BIAYA SHARING PENETAPAN BARU PLB</v>
      </c>
      <c r="C46" s="284"/>
      <c r="D46" s="300">
        <f t="shared" si="13"/>
        <v>0</v>
      </c>
      <c r="E46" s="300">
        <f t="shared" si="13"/>
        <v>0</v>
      </c>
      <c r="F46" s="300">
        <f t="shared" si="13"/>
        <v>0</v>
      </c>
      <c r="G46" s="300">
        <f t="shared" si="13"/>
        <v>0</v>
      </c>
      <c r="H46" s="300">
        <f t="shared" si="13"/>
        <v>0</v>
      </c>
      <c r="I46" s="300">
        <f t="shared" si="13"/>
        <v>0</v>
      </c>
      <c r="J46" s="300">
        <f t="shared" si="13"/>
        <v>0</v>
      </c>
      <c r="K46" s="300">
        <f t="shared" si="13"/>
        <v>0</v>
      </c>
      <c r="L46" s="300">
        <f t="shared" si="13"/>
        <v>0</v>
      </c>
      <c r="M46" s="300">
        <f t="shared" si="13"/>
        <v>0</v>
      </c>
      <c r="N46" s="300">
        <f t="shared" si="13"/>
        <v>0</v>
      </c>
      <c r="O46" s="300">
        <f t="shared" si="13"/>
        <v>0</v>
      </c>
      <c r="P46" s="301">
        <f t="shared" si="12"/>
        <v>0</v>
      </c>
      <c r="R46" s="35">
        <f t="shared" si="11"/>
        <v>0</v>
      </c>
    </row>
    <row r="47" spans="2:18" ht="23.1" customHeight="1">
      <c r="B47" s="299" t="str">
        <f>LR!B47</f>
        <v>510118 | BIAYA CSR</v>
      </c>
      <c r="C47" s="284"/>
      <c r="D47" s="300">
        <f t="shared" si="13"/>
        <v>0</v>
      </c>
      <c r="E47" s="300">
        <f t="shared" si="13"/>
        <v>0</v>
      </c>
      <c r="F47" s="300">
        <f t="shared" si="13"/>
        <v>0</v>
      </c>
      <c r="G47" s="300">
        <f t="shared" si="13"/>
        <v>0</v>
      </c>
      <c r="H47" s="300">
        <f t="shared" si="13"/>
        <v>0</v>
      </c>
      <c r="I47" s="300">
        <f t="shared" si="13"/>
        <v>0</v>
      </c>
      <c r="J47" s="300">
        <f t="shared" si="13"/>
        <v>0</v>
      </c>
      <c r="K47" s="300">
        <f t="shared" si="13"/>
        <v>0</v>
      </c>
      <c r="L47" s="300">
        <f t="shared" si="13"/>
        <v>0</v>
      </c>
      <c r="M47" s="300">
        <f t="shared" si="13"/>
        <v>0</v>
      </c>
      <c r="N47" s="300">
        <f t="shared" si="13"/>
        <v>0</v>
      </c>
      <c r="O47" s="300">
        <f t="shared" si="13"/>
        <v>0</v>
      </c>
      <c r="P47" s="301">
        <f t="shared" si="12"/>
        <v>0</v>
      </c>
      <c r="R47" s="35">
        <f t="shared" si="11"/>
        <v>0</v>
      </c>
    </row>
    <row r="48" spans="2:18" ht="23.1" customHeight="1">
      <c r="B48" s="299" t="str">
        <f>LR!B48</f>
        <v>510119 | BIAYA PEMBINAAN LORONG</v>
      </c>
      <c r="C48" s="284"/>
      <c r="D48" s="300">
        <f t="shared" si="13"/>
        <v>0</v>
      </c>
      <c r="E48" s="300">
        <f t="shared" si="13"/>
        <v>0</v>
      </c>
      <c r="F48" s="300">
        <f t="shared" si="13"/>
        <v>0</v>
      </c>
      <c r="G48" s="300">
        <f t="shared" si="13"/>
        <v>0</v>
      </c>
      <c r="H48" s="300">
        <f t="shared" si="13"/>
        <v>0</v>
      </c>
      <c r="I48" s="300">
        <f t="shared" si="13"/>
        <v>0</v>
      </c>
      <c r="J48" s="300">
        <f t="shared" si="13"/>
        <v>0</v>
      </c>
      <c r="K48" s="300">
        <f t="shared" si="13"/>
        <v>0</v>
      </c>
      <c r="L48" s="300">
        <f t="shared" si="13"/>
        <v>0</v>
      </c>
      <c r="M48" s="300">
        <f t="shared" si="13"/>
        <v>0</v>
      </c>
      <c r="N48" s="300">
        <f t="shared" si="13"/>
        <v>0</v>
      </c>
      <c r="O48" s="300">
        <f t="shared" si="13"/>
        <v>0</v>
      </c>
      <c r="P48" s="301">
        <f t="shared" si="12"/>
        <v>0</v>
      </c>
      <c r="R48" s="35">
        <f t="shared" si="11"/>
        <v>0</v>
      </c>
    </row>
    <row r="49" spans="2:18" ht="23.1" customHeight="1">
      <c r="B49" s="299" t="str">
        <f>LR!B49</f>
        <v>510120 | BIAYA KARTU CASHLESS</v>
      </c>
      <c r="C49" s="284"/>
      <c r="D49" s="300">
        <f t="shared" si="13"/>
        <v>0</v>
      </c>
      <c r="E49" s="300">
        <f t="shared" si="13"/>
        <v>0</v>
      </c>
      <c r="F49" s="300">
        <f t="shared" si="13"/>
        <v>0</v>
      </c>
      <c r="G49" s="300">
        <f t="shared" si="13"/>
        <v>0</v>
      </c>
      <c r="H49" s="300">
        <f t="shared" si="13"/>
        <v>0</v>
      </c>
      <c r="I49" s="300">
        <f t="shared" si="13"/>
        <v>0</v>
      </c>
      <c r="J49" s="300">
        <f t="shared" si="13"/>
        <v>0</v>
      </c>
      <c r="K49" s="300">
        <f t="shared" si="13"/>
        <v>0</v>
      </c>
      <c r="L49" s="300">
        <f t="shared" si="13"/>
        <v>0</v>
      </c>
      <c r="M49" s="300">
        <f t="shared" si="13"/>
        <v>0</v>
      </c>
      <c r="N49" s="300">
        <f t="shared" si="13"/>
        <v>0</v>
      </c>
      <c r="O49" s="300">
        <f t="shared" si="13"/>
        <v>0</v>
      </c>
      <c r="P49" s="301">
        <f t="shared" si="12"/>
        <v>0</v>
      </c>
      <c r="R49" s="35">
        <f t="shared" si="11"/>
        <v>0</v>
      </c>
    </row>
    <row r="50" spans="2:18" ht="23.1" customHeight="1">
      <c r="B50" s="299" t="str">
        <f>LR!B50</f>
        <v>510121 | BIAYA OPERASIONAL JUKIR</v>
      </c>
      <c r="C50" s="284"/>
      <c r="D50" s="300">
        <f t="shared" si="13"/>
        <v>0</v>
      </c>
      <c r="E50" s="300">
        <f t="shared" si="13"/>
        <v>0</v>
      </c>
      <c r="F50" s="300">
        <f t="shared" si="13"/>
        <v>0</v>
      </c>
      <c r="G50" s="300">
        <f t="shared" si="13"/>
        <v>0</v>
      </c>
      <c r="H50" s="300">
        <f t="shared" si="13"/>
        <v>0</v>
      </c>
      <c r="I50" s="300">
        <f t="shared" si="13"/>
        <v>0</v>
      </c>
      <c r="J50" s="300">
        <f t="shared" si="13"/>
        <v>0</v>
      </c>
      <c r="K50" s="300">
        <f t="shared" si="13"/>
        <v>0</v>
      </c>
      <c r="L50" s="300">
        <f t="shared" si="13"/>
        <v>0</v>
      </c>
      <c r="M50" s="300">
        <f t="shared" si="13"/>
        <v>0</v>
      </c>
      <c r="N50" s="300">
        <f t="shared" si="13"/>
        <v>0</v>
      </c>
      <c r="O50" s="300">
        <f t="shared" si="13"/>
        <v>0</v>
      </c>
      <c r="P50" s="301">
        <f t="shared" si="12"/>
        <v>0</v>
      </c>
      <c r="R50" s="35">
        <f t="shared" si="11"/>
        <v>0</v>
      </c>
    </row>
    <row r="51" spans="2:18" ht="23.1" customHeight="1">
      <c r="B51" s="299" t="str">
        <f>LR!B51</f>
        <v>510122 | BIAYA PERBAIKAN LAHAN PARKIR</v>
      </c>
      <c r="C51" s="284"/>
      <c r="D51" s="300">
        <f t="shared" si="13"/>
        <v>0</v>
      </c>
      <c r="E51" s="300">
        <f t="shared" si="13"/>
        <v>0</v>
      </c>
      <c r="F51" s="300">
        <f t="shared" si="13"/>
        <v>0</v>
      </c>
      <c r="G51" s="300">
        <f t="shared" si="13"/>
        <v>0</v>
      </c>
      <c r="H51" s="300">
        <f t="shared" si="13"/>
        <v>0</v>
      </c>
      <c r="I51" s="300">
        <f t="shared" si="13"/>
        <v>0</v>
      </c>
      <c r="J51" s="300">
        <f t="shared" si="13"/>
        <v>0</v>
      </c>
      <c r="K51" s="300">
        <f t="shared" si="13"/>
        <v>0</v>
      </c>
      <c r="L51" s="300">
        <f t="shared" si="13"/>
        <v>0</v>
      </c>
      <c r="M51" s="300">
        <f t="shared" si="13"/>
        <v>0</v>
      </c>
      <c r="N51" s="300">
        <f t="shared" si="13"/>
        <v>0</v>
      </c>
      <c r="O51" s="300">
        <f t="shared" si="13"/>
        <v>0</v>
      </c>
      <c r="P51" s="301">
        <f t="shared" si="12"/>
        <v>0</v>
      </c>
      <c r="R51" s="35">
        <f t="shared" si="11"/>
        <v>0</v>
      </c>
    </row>
    <row r="52" spans="2:18" ht="23.1" customHeight="1">
      <c r="B52" s="299" t="str">
        <f>LR!B52</f>
        <v>510123 | BIAYA SHARING KTI</v>
      </c>
      <c r="C52" s="284"/>
      <c r="D52" s="300">
        <f t="shared" si="13"/>
        <v>0</v>
      </c>
      <c r="E52" s="300">
        <f t="shared" si="13"/>
        <v>0</v>
      </c>
      <c r="F52" s="300">
        <f t="shared" si="13"/>
        <v>0</v>
      </c>
      <c r="G52" s="300">
        <f t="shared" si="13"/>
        <v>0</v>
      </c>
      <c r="H52" s="300">
        <f t="shared" si="13"/>
        <v>0</v>
      </c>
      <c r="I52" s="300">
        <f t="shared" si="13"/>
        <v>0</v>
      </c>
      <c r="J52" s="300">
        <f t="shared" si="13"/>
        <v>0</v>
      </c>
      <c r="K52" s="300">
        <f t="shared" si="13"/>
        <v>0</v>
      </c>
      <c r="L52" s="300">
        <f t="shared" si="13"/>
        <v>0</v>
      </c>
      <c r="M52" s="300">
        <f t="shared" si="13"/>
        <v>0</v>
      </c>
      <c r="N52" s="300">
        <f t="shared" si="13"/>
        <v>0</v>
      </c>
      <c r="O52" s="300">
        <f t="shared" si="13"/>
        <v>0</v>
      </c>
      <c r="P52" s="301">
        <f t="shared" si="12"/>
        <v>0</v>
      </c>
      <c r="R52" s="35">
        <f t="shared" si="11"/>
        <v>0</v>
      </c>
    </row>
    <row r="53" spans="2:18" ht="23.1" customHeight="1">
      <c r="B53" s="299" t="str">
        <f>LR!B53</f>
        <v>510124 | BIAYA PENERAPAN MEMBER PARKING KENDARAAN</v>
      </c>
      <c r="C53" s="284"/>
      <c r="D53" s="300">
        <f t="shared" si="13"/>
        <v>0</v>
      </c>
      <c r="E53" s="300">
        <f t="shared" si="13"/>
        <v>0</v>
      </c>
      <c r="F53" s="300">
        <f t="shared" si="13"/>
        <v>0</v>
      </c>
      <c r="G53" s="300">
        <f t="shared" si="13"/>
        <v>0</v>
      </c>
      <c r="H53" s="300">
        <f t="shared" si="13"/>
        <v>0</v>
      </c>
      <c r="I53" s="300">
        <f t="shared" si="13"/>
        <v>0</v>
      </c>
      <c r="J53" s="300">
        <f t="shared" si="13"/>
        <v>0</v>
      </c>
      <c r="K53" s="300">
        <f t="shared" si="13"/>
        <v>0</v>
      </c>
      <c r="L53" s="300">
        <f t="shared" si="13"/>
        <v>0</v>
      </c>
      <c r="M53" s="300">
        <f t="shared" si="13"/>
        <v>0</v>
      </c>
      <c r="N53" s="300">
        <f t="shared" si="13"/>
        <v>0</v>
      </c>
      <c r="O53" s="300">
        <f t="shared" si="13"/>
        <v>0</v>
      </c>
      <c r="P53" s="301">
        <f t="shared" si="12"/>
        <v>0</v>
      </c>
      <c r="R53" s="35">
        <f t="shared" si="11"/>
        <v>0</v>
      </c>
    </row>
    <row r="54" spans="2:18" ht="23.1" customHeight="1">
      <c r="B54" s="299" t="str">
        <f>LR!B54</f>
        <v>TOTAL BIAYA OPERASIONAL</v>
      </c>
      <c r="C54" s="284"/>
      <c r="D54" s="300" t="e">
        <f t="shared" ref="D54:O69" si="14">IF(INDEX(typ_sn,MATCH(INDEX(akun_type,MATCH($B54,akun_kb,0)),typ_ket,0))="db",SUMIFS(ju_sld,ju_bln,TEXT(D$8,"mmmm"),ju_kr,$B54,ju_div2,"kr"&amp;$S$4)-SUMIFS(ju_sld,ju_bln,TEXT(D$8,"mmmm"),ju_debet,$B54,ju_div2,"db"&amp;$S$4),SUMIFS(ju_sld,ju_bln,TEXT(D$8,"mmmm"),ju_kr,$B54,ju_div2,"kr"&amp;$S$4)-SUMIFS(ju_sld,ju_bln,TEXT(D$8,"mmmm"),ju_debet,$B54,ju_div2,"db"&amp;$S$4))</f>
        <v>#N/A</v>
      </c>
      <c r="E54" s="300" t="e">
        <f t="shared" si="14"/>
        <v>#N/A</v>
      </c>
      <c r="F54" s="300" t="e">
        <f t="shared" si="14"/>
        <v>#N/A</v>
      </c>
      <c r="G54" s="300" t="e">
        <f t="shared" si="14"/>
        <v>#N/A</v>
      </c>
      <c r="H54" s="300" t="e">
        <f t="shared" si="14"/>
        <v>#N/A</v>
      </c>
      <c r="I54" s="300" t="e">
        <f t="shared" si="14"/>
        <v>#N/A</v>
      </c>
      <c r="J54" s="300" t="e">
        <f t="shared" si="14"/>
        <v>#N/A</v>
      </c>
      <c r="K54" s="300" t="e">
        <f t="shared" si="14"/>
        <v>#N/A</v>
      </c>
      <c r="L54" s="300" t="e">
        <f t="shared" si="14"/>
        <v>#N/A</v>
      </c>
      <c r="M54" s="300" t="e">
        <f t="shared" si="14"/>
        <v>#N/A</v>
      </c>
      <c r="N54" s="300" t="e">
        <f t="shared" si="14"/>
        <v>#N/A</v>
      </c>
      <c r="O54" s="300" t="e">
        <f t="shared" si="14"/>
        <v>#N/A</v>
      </c>
      <c r="P54" s="301" t="e">
        <f t="shared" si="12"/>
        <v>#N/A</v>
      </c>
      <c r="R54" s="35" t="e">
        <f t="shared" si="11"/>
        <v>#N/A</v>
      </c>
    </row>
    <row r="55" spans="2:18" ht="23.1" customHeight="1">
      <c r="B55" s="299" t="str">
        <f>LR!B55</f>
        <v>BIAYA UPAH PUNGUT KOLEKTOR</v>
      </c>
      <c r="C55" s="284"/>
      <c r="D55" s="300" t="e">
        <f t="shared" si="14"/>
        <v>#N/A</v>
      </c>
      <c r="E55" s="300" t="e">
        <f t="shared" si="14"/>
        <v>#N/A</v>
      </c>
      <c r="F55" s="300" t="e">
        <f t="shared" si="14"/>
        <v>#N/A</v>
      </c>
      <c r="G55" s="300" t="e">
        <f t="shared" si="14"/>
        <v>#N/A</v>
      </c>
      <c r="H55" s="300" t="e">
        <f t="shared" si="14"/>
        <v>#N/A</v>
      </c>
      <c r="I55" s="300" t="e">
        <f t="shared" si="14"/>
        <v>#N/A</v>
      </c>
      <c r="J55" s="300" t="e">
        <f t="shared" si="14"/>
        <v>#N/A</v>
      </c>
      <c r="K55" s="300" t="e">
        <f t="shared" si="14"/>
        <v>#N/A</v>
      </c>
      <c r="L55" s="300" t="e">
        <f t="shared" si="14"/>
        <v>#N/A</v>
      </c>
      <c r="M55" s="300" t="e">
        <f t="shared" si="14"/>
        <v>#N/A</v>
      </c>
      <c r="N55" s="300" t="e">
        <f t="shared" si="14"/>
        <v>#N/A</v>
      </c>
      <c r="O55" s="300" t="e">
        <f t="shared" si="14"/>
        <v>#N/A</v>
      </c>
      <c r="P55" s="301" t="e">
        <f t="shared" si="12"/>
        <v>#N/A</v>
      </c>
      <c r="R55" s="35" t="e">
        <f t="shared" si="11"/>
        <v>#N/A</v>
      </c>
    </row>
    <row r="56" spans="2:18" ht="23.1" customHeight="1">
      <c r="B56" s="299" t="str">
        <f>LR!B56</f>
        <v>510201 | BIAYA TRANSPORT KOLEKTOR TJU</v>
      </c>
      <c r="C56" s="284"/>
      <c r="D56" s="300">
        <f t="shared" si="14"/>
        <v>0</v>
      </c>
      <c r="E56" s="300">
        <f t="shared" si="14"/>
        <v>0</v>
      </c>
      <c r="F56" s="300">
        <f t="shared" si="14"/>
        <v>0</v>
      </c>
      <c r="G56" s="300">
        <f t="shared" si="14"/>
        <v>0</v>
      </c>
      <c r="H56" s="300">
        <f t="shared" si="14"/>
        <v>0</v>
      </c>
      <c r="I56" s="300">
        <f t="shared" si="14"/>
        <v>0</v>
      </c>
      <c r="J56" s="300">
        <f t="shared" si="14"/>
        <v>0</v>
      </c>
      <c r="K56" s="300">
        <f t="shared" si="14"/>
        <v>0</v>
      </c>
      <c r="L56" s="300">
        <f t="shared" si="14"/>
        <v>0</v>
      </c>
      <c r="M56" s="300">
        <f t="shared" si="14"/>
        <v>0</v>
      </c>
      <c r="N56" s="300">
        <f t="shared" si="14"/>
        <v>0</v>
      </c>
      <c r="O56" s="300">
        <f t="shared" si="14"/>
        <v>0</v>
      </c>
      <c r="P56" s="301">
        <f t="shared" si="12"/>
        <v>0</v>
      </c>
      <c r="R56" s="35">
        <f t="shared" si="11"/>
        <v>0</v>
      </c>
    </row>
    <row r="57" spans="2:18" ht="23.1" customHeight="1">
      <c r="B57" s="299" t="str">
        <f>LR!B57</f>
        <v>510202 | BIAYA TRANSPORT INSIDENTIL</v>
      </c>
      <c r="C57" s="284"/>
      <c r="D57" s="300">
        <f t="shared" si="14"/>
        <v>0</v>
      </c>
      <c r="E57" s="300">
        <f t="shared" si="14"/>
        <v>0</v>
      </c>
      <c r="F57" s="300">
        <f t="shared" si="14"/>
        <v>0</v>
      </c>
      <c r="G57" s="300">
        <f t="shared" si="14"/>
        <v>0</v>
      </c>
      <c r="H57" s="300">
        <f t="shared" si="14"/>
        <v>0</v>
      </c>
      <c r="I57" s="300">
        <f t="shared" si="14"/>
        <v>0</v>
      </c>
      <c r="J57" s="300">
        <f t="shared" si="14"/>
        <v>0</v>
      </c>
      <c r="K57" s="300">
        <f t="shared" si="14"/>
        <v>0</v>
      </c>
      <c r="L57" s="300">
        <f t="shared" si="14"/>
        <v>0</v>
      </c>
      <c r="M57" s="300">
        <f t="shared" si="14"/>
        <v>0</v>
      </c>
      <c r="N57" s="300">
        <f t="shared" si="14"/>
        <v>0</v>
      </c>
      <c r="O57" s="300">
        <f t="shared" si="14"/>
        <v>0</v>
      </c>
      <c r="P57" s="301">
        <f t="shared" si="12"/>
        <v>0</v>
      </c>
      <c r="R57" s="35">
        <f t="shared" si="11"/>
        <v>0</v>
      </c>
    </row>
    <row r="58" spans="2:18" ht="23.1" customHeight="1">
      <c r="B58" s="299" t="str">
        <f>LR!B58</f>
        <v>510203 | BIAYA TRANSPORT KOMERSIAL</v>
      </c>
      <c r="C58" s="284"/>
      <c r="D58" s="300">
        <f t="shared" si="14"/>
        <v>0</v>
      </c>
      <c r="E58" s="300">
        <f t="shared" si="14"/>
        <v>0</v>
      </c>
      <c r="F58" s="300">
        <f t="shared" si="14"/>
        <v>0</v>
      </c>
      <c r="G58" s="300">
        <f t="shared" si="14"/>
        <v>0</v>
      </c>
      <c r="H58" s="300">
        <f t="shared" si="14"/>
        <v>0</v>
      </c>
      <c r="I58" s="300">
        <f t="shared" si="14"/>
        <v>0</v>
      </c>
      <c r="J58" s="300">
        <f t="shared" si="14"/>
        <v>0</v>
      </c>
      <c r="K58" s="300">
        <f t="shared" si="14"/>
        <v>0</v>
      </c>
      <c r="L58" s="300">
        <f t="shared" si="14"/>
        <v>0</v>
      </c>
      <c r="M58" s="300">
        <f t="shared" si="14"/>
        <v>0</v>
      </c>
      <c r="N58" s="300">
        <f t="shared" si="14"/>
        <v>0</v>
      </c>
      <c r="O58" s="300">
        <f t="shared" si="14"/>
        <v>0</v>
      </c>
      <c r="P58" s="301">
        <f t="shared" si="12"/>
        <v>0</v>
      </c>
      <c r="R58" s="35">
        <f t="shared" si="11"/>
        <v>0</v>
      </c>
    </row>
    <row r="59" spans="2:18" ht="23.1" customHeight="1">
      <c r="B59" s="299" t="str">
        <f>LR!B59</f>
        <v>510204 | BIAYA TRANSPORT KOLEKTOR PLB</v>
      </c>
      <c r="C59" s="284"/>
      <c r="D59" s="300">
        <f t="shared" si="14"/>
        <v>0</v>
      </c>
      <c r="E59" s="300">
        <f t="shared" si="14"/>
        <v>0</v>
      </c>
      <c r="F59" s="300">
        <f t="shared" si="14"/>
        <v>0</v>
      </c>
      <c r="G59" s="300">
        <f t="shared" si="14"/>
        <v>0</v>
      </c>
      <c r="H59" s="300">
        <f t="shared" si="14"/>
        <v>0</v>
      </c>
      <c r="I59" s="300">
        <f t="shared" si="14"/>
        <v>0</v>
      </c>
      <c r="J59" s="300">
        <f t="shared" si="14"/>
        <v>0</v>
      </c>
      <c r="K59" s="300">
        <f t="shared" si="14"/>
        <v>0</v>
      </c>
      <c r="L59" s="300">
        <f t="shared" si="14"/>
        <v>0</v>
      </c>
      <c r="M59" s="300">
        <f t="shared" si="14"/>
        <v>0</v>
      </c>
      <c r="N59" s="300">
        <f t="shared" si="14"/>
        <v>0</v>
      </c>
      <c r="O59" s="300">
        <f t="shared" si="14"/>
        <v>0</v>
      </c>
      <c r="P59" s="301">
        <f t="shared" si="12"/>
        <v>0</v>
      </c>
      <c r="R59" s="35">
        <f t="shared" si="11"/>
        <v>0</v>
      </c>
    </row>
    <row r="60" spans="2:18" ht="23.1" customHeight="1">
      <c r="B60" s="299" t="str">
        <f>LR!B60</f>
        <v>510205 | BIAYA TRANSPORT PARKIR IT</v>
      </c>
      <c r="C60" s="284"/>
      <c r="D60" s="300">
        <f t="shared" si="14"/>
        <v>0</v>
      </c>
      <c r="E60" s="300">
        <f t="shared" si="14"/>
        <v>0</v>
      </c>
      <c r="F60" s="300">
        <f t="shared" si="14"/>
        <v>0</v>
      </c>
      <c r="G60" s="300">
        <f t="shared" si="14"/>
        <v>0</v>
      </c>
      <c r="H60" s="300">
        <f t="shared" si="14"/>
        <v>0</v>
      </c>
      <c r="I60" s="300">
        <f t="shared" si="14"/>
        <v>0</v>
      </c>
      <c r="J60" s="300">
        <f t="shared" si="14"/>
        <v>0</v>
      </c>
      <c r="K60" s="300">
        <f t="shared" si="14"/>
        <v>0</v>
      </c>
      <c r="L60" s="300">
        <f t="shared" si="14"/>
        <v>0</v>
      </c>
      <c r="M60" s="300">
        <f t="shared" si="14"/>
        <v>0</v>
      </c>
      <c r="N60" s="300">
        <f t="shared" si="14"/>
        <v>0</v>
      </c>
      <c r="O60" s="300">
        <f t="shared" si="14"/>
        <v>0</v>
      </c>
      <c r="P60" s="301">
        <f t="shared" si="12"/>
        <v>0</v>
      </c>
      <c r="R60" s="35">
        <f t="shared" si="11"/>
        <v>0</v>
      </c>
    </row>
    <row r="61" spans="2:18" ht="23.1" customHeight="1">
      <c r="B61" s="299" t="str">
        <f>LR!B61</f>
        <v>TOTAL BIAYA UPAH PUNGUT KOLEKTOR</v>
      </c>
      <c r="C61" s="284"/>
      <c r="D61" s="300" t="e">
        <f t="shared" si="14"/>
        <v>#N/A</v>
      </c>
      <c r="E61" s="300" t="e">
        <f t="shared" si="14"/>
        <v>#N/A</v>
      </c>
      <c r="F61" s="300" t="e">
        <f t="shared" si="14"/>
        <v>#N/A</v>
      </c>
      <c r="G61" s="300" t="e">
        <f t="shared" si="14"/>
        <v>#N/A</v>
      </c>
      <c r="H61" s="300" t="e">
        <f t="shared" si="14"/>
        <v>#N/A</v>
      </c>
      <c r="I61" s="300" t="e">
        <f t="shared" si="14"/>
        <v>#N/A</v>
      </c>
      <c r="J61" s="300" t="e">
        <f t="shared" si="14"/>
        <v>#N/A</v>
      </c>
      <c r="K61" s="300" t="e">
        <f t="shared" si="14"/>
        <v>#N/A</v>
      </c>
      <c r="L61" s="300" t="e">
        <f t="shared" si="14"/>
        <v>#N/A</v>
      </c>
      <c r="M61" s="300" t="e">
        <f t="shared" si="14"/>
        <v>#N/A</v>
      </c>
      <c r="N61" s="300" t="e">
        <f t="shared" si="14"/>
        <v>#N/A</v>
      </c>
      <c r="O61" s="300" t="e">
        <f t="shared" si="14"/>
        <v>#N/A</v>
      </c>
      <c r="P61" s="301" t="e">
        <f t="shared" si="12"/>
        <v>#N/A</v>
      </c>
      <c r="R61" s="35" t="e">
        <f t="shared" si="11"/>
        <v>#N/A</v>
      </c>
    </row>
    <row r="62" spans="2:18" ht="23.1" customHeight="1">
      <c r="B62" s="299" t="str">
        <f>LR!B62</f>
        <v>TOTAL BIAYA OPERASI</v>
      </c>
      <c r="C62" s="284"/>
      <c r="D62" s="300" t="e">
        <f t="shared" si="14"/>
        <v>#N/A</v>
      </c>
      <c r="E62" s="300" t="e">
        <f t="shared" si="14"/>
        <v>#N/A</v>
      </c>
      <c r="F62" s="300" t="e">
        <f t="shared" si="14"/>
        <v>#N/A</v>
      </c>
      <c r="G62" s="300" t="e">
        <f t="shared" si="14"/>
        <v>#N/A</v>
      </c>
      <c r="H62" s="300" t="e">
        <f t="shared" si="14"/>
        <v>#N/A</v>
      </c>
      <c r="I62" s="300" t="e">
        <f t="shared" si="14"/>
        <v>#N/A</v>
      </c>
      <c r="J62" s="300" t="e">
        <f t="shared" si="14"/>
        <v>#N/A</v>
      </c>
      <c r="K62" s="300" t="e">
        <f t="shared" si="14"/>
        <v>#N/A</v>
      </c>
      <c r="L62" s="300" t="e">
        <f t="shared" si="14"/>
        <v>#N/A</v>
      </c>
      <c r="M62" s="300" t="e">
        <f t="shared" si="14"/>
        <v>#N/A</v>
      </c>
      <c r="N62" s="300" t="e">
        <f t="shared" si="14"/>
        <v>#N/A</v>
      </c>
      <c r="O62" s="300" t="e">
        <f t="shared" si="14"/>
        <v>#N/A</v>
      </c>
      <c r="P62" s="301" t="e">
        <f t="shared" si="12"/>
        <v>#N/A</v>
      </c>
      <c r="R62" s="35" t="e">
        <f t="shared" si="11"/>
        <v>#N/A</v>
      </c>
    </row>
    <row r="63" spans="2:18" ht="23.1" customHeight="1">
      <c r="B63" s="299" t="str">
        <f>LR!B63</f>
        <v>LABA KOTOR</v>
      </c>
      <c r="C63" s="284"/>
      <c r="D63" s="300" t="e">
        <f t="shared" si="14"/>
        <v>#N/A</v>
      </c>
      <c r="E63" s="300" t="e">
        <f t="shared" si="14"/>
        <v>#N/A</v>
      </c>
      <c r="F63" s="300" t="e">
        <f t="shared" si="14"/>
        <v>#N/A</v>
      </c>
      <c r="G63" s="300" t="e">
        <f t="shared" si="14"/>
        <v>#N/A</v>
      </c>
      <c r="H63" s="300" t="e">
        <f t="shared" si="14"/>
        <v>#N/A</v>
      </c>
      <c r="I63" s="300" t="e">
        <f t="shared" si="14"/>
        <v>#N/A</v>
      </c>
      <c r="J63" s="300" t="e">
        <f t="shared" si="14"/>
        <v>#N/A</v>
      </c>
      <c r="K63" s="300" t="e">
        <f t="shared" si="14"/>
        <v>#N/A</v>
      </c>
      <c r="L63" s="300" t="e">
        <f t="shared" si="14"/>
        <v>#N/A</v>
      </c>
      <c r="M63" s="300" t="e">
        <f t="shared" si="14"/>
        <v>#N/A</v>
      </c>
      <c r="N63" s="300" t="e">
        <f t="shared" si="14"/>
        <v>#N/A</v>
      </c>
      <c r="O63" s="300" t="e">
        <f t="shared" si="14"/>
        <v>#N/A</v>
      </c>
      <c r="P63" s="301" t="e">
        <f t="shared" si="12"/>
        <v>#N/A</v>
      </c>
      <c r="R63" s="35" t="e">
        <f t="shared" si="11"/>
        <v>#N/A</v>
      </c>
    </row>
    <row r="64" spans="2:18" ht="23.1" customHeight="1">
      <c r="B64" s="299" t="str">
        <f>LR!B64</f>
        <v>BIAYA ADMINISTRASI UMUM</v>
      </c>
      <c r="C64" s="284"/>
      <c r="D64" s="300" t="e">
        <f t="shared" si="14"/>
        <v>#N/A</v>
      </c>
      <c r="E64" s="300" t="e">
        <f t="shared" si="14"/>
        <v>#N/A</v>
      </c>
      <c r="F64" s="300" t="e">
        <f t="shared" si="14"/>
        <v>#N/A</v>
      </c>
      <c r="G64" s="300" t="e">
        <f t="shared" si="14"/>
        <v>#N/A</v>
      </c>
      <c r="H64" s="300" t="e">
        <f t="shared" si="14"/>
        <v>#N/A</v>
      </c>
      <c r="I64" s="300" t="e">
        <f t="shared" si="14"/>
        <v>#N/A</v>
      </c>
      <c r="J64" s="300" t="e">
        <f t="shared" si="14"/>
        <v>#N/A</v>
      </c>
      <c r="K64" s="300" t="e">
        <f t="shared" si="14"/>
        <v>#N/A</v>
      </c>
      <c r="L64" s="300" t="e">
        <f t="shared" si="14"/>
        <v>#N/A</v>
      </c>
      <c r="M64" s="300" t="e">
        <f t="shared" si="14"/>
        <v>#N/A</v>
      </c>
      <c r="N64" s="300" t="e">
        <f t="shared" si="14"/>
        <v>#N/A</v>
      </c>
      <c r="O64" s="300" t="e">
        <f t="shared" si="14"/>
        <v>#N/A</v>
      </c>
      <c r="P64" s="301" t="e">
        <f t="shared" si="12"/>
        <v>#N/A</v>
      </c>
      <c r="R64" s="35" t="e">
        <f t="shared" si="11"/>
        <v>#N/A</v>
      </c>
    </row>
    <row r="65" spans="2:18" ht="23.1" customHeight="1">
      <c r="B65" s="299" t="str">
        <f>LR!B65</f>
        <v>BIAYA GAJI</v>
      </c>
      <c r="C65" s="284"/>
      <c r="D65" s="300" t="e">
        <f t="shared" si="14"/>
        <v>#N/A</v>
      </c>
      <c r="E65" s="300" t="e">
        <f t="shared" si="14"/>
        <v>#N/A</v>
      </c>
      <c r="F65" s="300" t="e">
        <f t="shared" si="14"/>
        <v>#N/A</v>
      </c>
      <c r="G65" s="300" t="e">
        <f t="shared" si="14"/>
        <v>#N/A</v>
      </c>
      <c r="H65" s="300" t="e">
        <f t="shared" si="14"/>
        <v>#N/A</v>
      </c>
      <c r="I65" s="300" t="e">
        <f t="shared" si="14"/>
        <v>#N/A</v>
      </c>
      <c r="J65" s="300" t="e">
        <f t="shared" si="14"/>
        <v>#N/A</v>
      </c>
      <c r="K65" s="300" t="e">
        <f t="shared" si="14"/>
        <v>#N/A</v>
      </c>
      <c r="L65" s="300" t="e">
        <f t="shared" si="14"/>
        <v>#N/A</v>
      </c>
      <c r="M65" s="300" t="e">
        <f t="shared" si="14"/>
        <v>#N/A</v>
      </c>
      <c r="N65" s="300" t="e">
        <f t="shared" si="14"/>
        <v>#N/A</v>
      </c>
      <c r="O65" s="300" t="e">
        <f t="shared" si="14"/>
        <v>#N/A</v>
      </c>
      <c r="P65" s="301" t="e">
        <f t="shared" si="12"/>
        <v>#N/A</v>
      </c>
      <c r="R65" s="35" t="e">
        <f t="shared" si="11"/>
        <v>#N/A</v>
      </c>
    </row>
    <row r="66" spans="2:18" ht="23.1" customHeight="1">
      <c r="B66" s="299" t="str">
        <f>LR!B66</f>
        <v>610101 | BIAYA HONOR BADAN PENGAWAS DAN STAF BP</v>
      </c>
      <c r="C66" s="284"/>
      <c r="D66" s="300">
        <f t="shared" si="14"/>
        <v>0</v>
      </c>
      <c r="E66" s="300">
        <f t="shared" si="14"/>
        <v>0</v>
      </c>
      <c r="F66" s="300">
        <f t="shared" si="14"/>
        <v>0</v>
      </c>
      <c r="G66" s="300">
        <f t="shared" si="14"/>
        <v>0</v>
      </c>
      <c r="H66" s="300">
        <f t="shared" si="14"/>
        <v>0</v>
      </c>
      <c r="I66" s="300">
        <f t="shared" si="14"/>
        <v>0</v>
      </c>
      <c r="J66" s="300">
        <f t="shared" si="14"/>
        <v>0</v>
      </c>
      <c r="K66" s="300">
        <f t="shared" si="14"/>
        <v>0</v>
      </c>
      <c r="L66" s="300">
        <f t="shared" si="14"/>
        <v>0</v>
      </c>
      <c r="M66" s="300">
        <f t="shared" si="14"/>
        <v>0</v>
      </c>
      <c r="N66" s="300">
        <f t="shared" si="14"/>
        <v>0</v>
      </c>
      <c r="O66" s="300">
        <f t="shared" si="14"/>
        <v>0</v>
      </c>
      <c r="P66" s="301">
        <f t="shared" si="12"/>
        <v>0</v>
      </c>
      <c r="R66" s="35">
        <f t="shared" si="11"/>
        <v>0</v>
      </c>
    </row>
    <row r="67" spans="2:18" ht="23.1" customHeight="1">
      <c r="B67" s="299" t="str">
        <f>LR!B67</f>
        <v>610102 | BIAYA TUNJANGAN BBM BADAN PENGAWAS</v>
      </c>
      <c r="C67" s="284"/>
      <c r="D67" s="300">
        <f t="shared" si="14"/>
        <v>0</v>
      </c>
      <c r="E67" s="300">
        <f t="shared" si="14"/>
        <v>0</v>
      </c>
      <c r="F67" s="300">
        <f t="shared" si="14"/>
        <v>0</v>
      </c>
      <c r="G67" s="300">
        <f t="shared" si="14"/>
        <v>0</v>
      </c>
      <c r="H67" s="300">
        <f t="shared" si="14"/>
        <v>0</v>
      </c>
      <c r="I67" s="300">
        <f t="shared" si="14"/>
        <v>0</v>
      </c>
      <c r="J67" s="300">
        <f t="shared" si="14"/>
        <v>0</v>
      </c>
      <c r="K67" s="300">
        <f t="shared" si="14"/>
        <v>0</v>
      </c>
      <c r="L67" s="300">
        <f t="shared" si="14"/>
        <v>0</v>
      </c>
      <c r="M67" s="300">
        <f t="shared" si="14"/>
        <v>0</v>
      </c>
      <c r="N67" s="300">
        <f t="shared" si="14"/>
        <v>0</v>
      </c>
      <c r="O67" s="300">
        <f t="shared" si="14"/>
        <v>0</v>
      </c>
      <c r="P67" s="301">
        <f t="shared" si="12"/>
        <v>0</v>
      </c>
      <c r="R67" s="35">
        <f t="shared" si="11"/>
        <v>0</v>
      </c>
    </row>
    <row r="68" spans="2:18" ht="23.1" customHeight="1">
      <c r="B68" s="299" t="str">
        <f>LR!B68</f>
        <v>610103 | BIAYA TUNJANGAN MONITORING, EVALUASI DAN PELAPORAN</v>
      </c>
      <c r="C68" s="284"/>
      <c r="D68" s="300">
        <f t="shared" si="14"/>
        <v>0</v>
      </c>
      <c r="E68" s="300">
        <f t="shared" si="14"/>
        <v>0</v>
      </c>
      <c r="F68" s="300">
        <f t="shared" si="14"/>
        <v>0</v>
      </c>
      <c r="G68" s="300">
        <f t="shared" si="14"/>
        <v>0</v>
      </c>
      <c r="H68" s="300">
        <f t="shared" si="14"/>
        <v>0</v>
      </c>
      <c r="I68" s="300">
        <f t="shared" si="14"/>
        <v>0</v>
      </c>
      <c r="J68" s="300">
        <f t="shared" si="14"/>
        <v>0</v>
      </c>
      <c r="K68" s="300">
        <f t="shared" si="14"/>
        <v>0</v>
      </c>
      <c r="L68" s="300">
        <f t="shared" si="14"/>
        <v>0</v>
      </c>
      <c r="M68" s="300">
        <f t="shared" si="14"/>
        <v>0</v>
      </c>
      <c r="N68" s="300">
        <f t="shared" si="14"/>
        <v>0</v>
      </c>
      <c r="O68" s="300">
        <f t="shared" si="14"/>
        <v>0</v>
      </c>
      <c r="P68" s="301">
        <f t="shared" si="12"/>
        <v>0</v>
      </c>
      <c r="R68" s="35">
        <f t="shared" si="11"/>
        <v>0</v>
      </c>
    </row>
    <row r="69" spans="2:18" ht="23.1" customHeight="1">
      <c r="B69" s="299" t="str">
        <f>LR!B69</f>
        <v>610104 | BIAYA GAJI DIREKSI</v>
      </c>
      <c r="C69" s="284"/>
      <c r="D69" s="300">
        <f t="shared" si="14"/>
        <v>0</v>
      </c>
      <c r="E69" s="300">
        <f t="shared" si="14"/>
        <v>0</v>
      </c>
      <c r="F69" s="300">
        <f t="shared" si="14"/>
        <v>0</v>
      </c>
      <c r="G69" s="300">
        <f t="shared" si="14"/>
        <v>0</v>
      </c>
      <c r="H69" s="300">
        <f t="shared" si="14"/>
        <v>0</v>
      </c>
      <c r="I69" s="300">
        <f t="shared" si="14"/>
        <v>0</v>
      </c>
      <c r="J69" s="300">
        <f t="shared" si="14"/>
        <v>0</v>
      </c>
      <c r="K69" s="300">
        <f t="shared" si="14"/>
        <v>0</v>
      </c>
      <c r="L69" s="300">
        <f t="shared" si="14"/>
        <v>0</v>
      </c>
      <c r="M69" s="300">
        <f t="shared" si="14"/>
        <v>0</v>
      </c>
      <c r="N69" s="300">
        <f t="shared" si="14"/>
        <v>0</v>
      </c>
      <c r="O69" s="300">
        <f t="shared" si="14"/>
        <v>0</v>
      </c>
      <c r="P69" s="301">
        <f t="shared" si="12"/>
        <v>0</v>
      </c>
      <c r="R69" s="35">
        <f t="shared" si="11"/>
        <v>0</v>
      </c>
    </row>
    <row r="70" spans="2:18" ht="23.1" customHeight="1">
      <c r="B70" s="299" t="str">
        <f>LR!B70</f>
        <v>610105 | BIAYA GAJI DAN TUNJANGAN PEGAWAI ORGANIK</v>
      </c>
      <c r="C70" s="284"/>
      <c r="D70" s="300">
        <f t="shared" ref="D70:O85" si="15">IF(INDEX(typ_sn,MATCH(INDEX(akun_type,MATCH($B70,akun_kb,0)),typ_ket,0))="db",SUMIFS(ju_sld,ju_bln,TEXT(D$8,"mmmm"),ju_kr,$B70,ju_div2,"kr"&amp;$S$4)-SUMIFS(ju_sld,ju_bln,TEXT(D$8,"mmmm"),ju_debet,$B70,ju_div2,"db"&amp;$S$4),SUMIFS(ju_sld,ju_bln,TEXT(D$8,"mmmm"),ju_kr,$B70,ju_div2,"kr"&amp;$S$4)-SUMIFS(ju_sld,ju_bln,TEXT(D$8,"mmmm"),ju_debet,$B70,ju_div2,"db"&amp;$S$4))</f>
        <v>0</v>
      </c>
      <c r="E70" s="300">
        <f t="shared" si="15"/>
        <v>0</v>
      </c>
      <c r="F70" s="300">
        <f t="shared" si="15"/>
        <v>0</v>
      </c>
      <c r="G70" s="300">
        <f t="shared" si="15"/>
        <v>0</v>
      </c>
      <c r="H70" s="300">
        <f t="shared" si="15"/>
        <v>0</v>
      </c>
      <c r="I70" s="300">
        <f t="shared" si="15"/>
        <v>0</v>
      </c>
      <c r="J70" s="300">
        <f t="shared" si="15"/>
        <v>0</v>
      </c>
      <c r="K70" s="300">
        <f t="shared" si="15"/>
        <v>0</v>
      </c>
      <c r="L70" s="300">
        <f t="shared" si="15"/>
        <v>0</v>
      </c>
      <c r="M70" s="300">
        <f t="shared" si="15"/>
        <v>0</v>
      </c>
      <c r="N70" s="300">
        <f t="shared" si="15"/>
        <v>0</v>
      </c>
      <c r="O70" s="300">
        <f t="shared" si="15"/>
        <v>0</v>
      </c>
      <c r="P70" s="301">
        <f t="shared" si="12"/>
        <v>0</v>
      </c>
      <c r="R70" s="35">
        <f t="shared" si="11"/>
        <v>0</v>
      </c>
    </row>
    <row r="71" spans="2:18" ht="23.1" customHeight="1">
      <c r="B71" s="299" t="str">
        <f>LR!B71</f>
        <v>610106 | BIAYA UPAH TENAGA KONTRAK</v>
      </c>
      <c r="C71" s="284"/>
      <c r="D71" s="300">
        <f t="shared" si="15"/>
        <v>0</v>
      </c>
      <c r="E71" s="300">
        <f t="shared" si="15"/>
        <v>0</v>
      </c>
      <c r="F71" s="300">
        <f t="shared" si="15"/>
        <v>0</v>
      </c>
      <c r="G71" s="300">
        <f t="shared" si="15"/>
        <v>0</v>
      </c>
      <c r="H71" s="300">
        <f t="shared" si="15"/>
        <v>0</v>
      </c>
      <c r="I71" s="300">
        <f t="shared" si="15"/>
        <v>0</v>
      </c>
      <c r="J71" s="300">
        <f t="shared" si="15"/>
        <v>0</v>
      </c>
      <c r="K71" s="300">
        <f t="shared" si="15"/>
        <v>0</v>
      </c>
      <c r="L71" s="300">
        <f t="shared" si="15"/>
        <v>0</v>
      </c>
      <c r="M71" s="300">
        <f t="shared" si="15"/>
        <v>0</v>
      </c>
      <c r="N71" s="300">
        <f t="shared" si="15"/>
        <v>0</v>
      </c>
      <c r="O71" s="300">
        <f t="shared" si="15"/>
        <v>0</v>
      </c>
      <c r="P71" s="301">
        <f t="shared" si="12"/>
        <v>0</v>
      </c>
      <c r="R71" s="35">
        <f t="shared" si="11"/>
        <v>0</v>
      </c>
    </row>
    <row r="72" spans="2:18" ht="23.1" customHeight="1">
      <c r="B72" s="299" t="str">
        <f>LR!B72</f>
        <v>610107 | BIAYA UPAH TENAGA HONOR</v>
      </c>
      <c r="C72" s="284"/>
      <c r="D72" s="300">
        <f t="shared" si="15"/>
        <v>0</v>
      </c>
      <c r="E72" s="300">
        <f t="shared" si="15"/>
        <v>0</v>
      </c>
      <c r="F72" s="300">
        <f t="shared" si="15"/>
        <v>0</v>
      </c>
      <c r="G72" s="300">
        <f t="shared" si="15"/>
        <v>0</v>
      </c>
      <c r="H72" s="300">
        <f t="shared" si="15"/>
        <v>0</v>
      </c>
      <c r="I72" s="300">
        <f t="shared" si="15"/>
        <v>0</v>
      </c>
      <c r="J72" s="300">
        <f t="shared" si="15"/>
        <v>0</v>
      </c>
      <c r="K72" s="300">
        <f t="shared" si="15"/>
        <v>0</v>
      </c>
      <c r="L72" s="300">
        <f t="shared" si="15"/>
        <v>0</v>
      </c>
      <c r="M72" s="300">
        <f t="shared" si="15"/>
        <v>0</v>
      </c>
      <c r="N72" s="300">
        <f t="shared" si="15"/>
        <v>0</v>
      </c>
      <c r="O72" s="300">
        <f t="shared" si="15"/>
        <v>0</v>
      </c>
      <c r="P72" s="301">
        <f t="shared" si="12"/>
        <v>0</v>
      </c>
      <c r="R72" s="35">
        <f t="shared" si="11"/>
        <v>0</v>
      </c>
    </row>
    <row r="73" spans="2:18" ht="23.1" customHeight="1">
      <c r="B73" s="299" t="str">
        <f>LR!B73</f>
        <v>610108 | BIAYA INSENTIF DIREKSI DAN KARYAWAN</v>
      </c>
      <c r="C73" s="284"/>
      <c r="D73" s="300">
        <f t="shared" si="15"/>
        <v>0</v>
      </c>
      <c r="E73" s="300">
        <f t="shared" si="15"/>
        <v>0</v>
      </c>
      <c r="F73" s="300">
        <f t="shared" si="15"/>
        <v>0</v>
      </c>
      <c r="G73" s="300">
        <f t="shared" si="15"/>
        <v>0</v>
      </c>
      <c r="H73" s="300">
        <f t="shared" si="15"/>
        <v>0</v>
      </c>
      <c r="I73" s="300">
        <f t="shared" si="15"/>
        <v>0</v>
      </c>
      <c r="J73" s="300">
        <f t="shared" si="15"/>
        <v>0</v>
      </c>
      <c r="K73" s="300">
        <f t="shared" si="15"/>
        <v>0</v>
      </c>
      <c r="L73" s="300">
        <f t="shared" si="15"/>
        <v>0</v>
      </c>
      <c r="M73" s="300">
        <f t="shared" si="15"/>
        <v>0</v>
      </c>
      <c r="N73" s="300">
        <f t="shared" si="15"/>
        <v>0</v>
      </c>
      <c r="O73" s="300">
        <f t="shared" si="15"/>
        <v>0</v>
      </c>
      <c r="P73" s="301">
        <f t="shared" si="12"/>
        <v>0</v>
      </c>
      <c r="R73" s="35">
        <f t="shared" si="11"/>
        <v>0</v>
      </c>
    </row>
    <row r="74" spans="2:18" ht="23.1" customHeight="1">
      <c r="B74" s="299" t="str">
        <f>LR!B74</f>
        <v>610109 | BIAYA TUNJANGAN TELEKOMUNIKASI DIREKSI DAN KABAG</v>
      </c>
      <c r="C74" s="284"/>
      <c r="D74" s="300">
        <f t="shared" si="15"/>
        <v>0</v>
      </c>
      <c r="E74" s="300">
        <f t="shared" si="15"/>
        <v>0</v>
      </c>
      <c r="F74" s="300">
        <f t="shared" si="15"/>
        <v>0</v>
      </c>
      <c r="G74" s="300">
        <f t="shared" si="15"/>
        <v>0</v>
      </c>
      <c r="H74" s="300">
        <f t="shared" si="15"/>
        <v>0</v>
      </c>
      <c r="I74" s="300">
        <f t="shared" si="15"/>
        <v>0</v>
      </c>
      <c r="J74" s="300">
        <f t="shared" si="15"/>
        <v>0</v>
      </c>
      <c r="K74" s="300">
        <f t="shared" si="15"/>
        <v>0</v>
      </c>
      <c r="L74" s="300">
        <f t="shared" si="15"/>
        <v>0</v>
      </c>
      <c r="M74" s="300">
        <f t="shared" si="15"/>
        <v>0</v>
      </c>
      <c r="N74" s="300">
        <f t="shared" si="15"/>
        <v>0</v>
      </c>
      <c r="O74" s="300">
        <f t="shared" si="15"/>
        <v>0</v>
      </c>
      <c r="P74" s="301">
        <f t="shared" si="12"/>
        <v>0</v>
      </c>
      <c r="R74" s="35">
        <f t="shared" si="11"/>
        <v>0</v>
      </c>
    </row>
    <row r="75" spans="2:18" ht="23.1" customHeight="1">
      <c r="B75" s="299" t="str">
        <f>LR!B75</f>
        <v>610110 | BIAYA TUNJANGAN KOORDINASI DIREKSI</v>
      </c>
      <c r="C75" s="284"/>
      <c r="D75" s="300">
        <f t="shared" si="15"/>
        <v>0</v>
      </c>
      <c r="E75" s="300">
        <f t="shared" si="15"/>
        <v>0</v>
      </c>
      <c r="F75" s="300">
        <f t="shared" si="15"/>
        <v>0</v>
      </c>
      <c r="G75" s="300">
        <f t="shared" si="15"/>
        <v>0</v>
      </c>
      <c r="H75" s="300">
        <f t="shared" si="15"/>
        <v>0</v>
      </c>
      <c r="I75" s="300">
        <f t="shared" si="15"/>
        <v>0</v>
      </c>
      <c r="J75" s="300">
        <f t="shared" si="15"/>
        <v>0</v>
      </c>
      <c r="K75" s="300">
        <f t="shared" si="15"/>
        <v>0</v>
      </c>
      <c r="L75" s="300">
        <f t="shared" si="15"/>
        <v>0</v>
      </c>
      <c r="M75" s="300">
        <f t="shared" si="15"/>
        <v>0</v>
      </c>
      <c r="N75" s="300">
        <f t="shared" si="15"/>
        <v>0</v>
      </c>
      <c r="O75" s="300">
        <f t="shared" si="15"/>
        <v>0</v>
      </c>
      <c r="P75" s="301">
        <f t="shared" si="12"/>
        <v>0</v>
      </c>
      <c r="R75" s="35">
        <f t="shared" si="11"/>
        <v>0</v>
      </c>
    </row>
    <row r="76" spans="2:18" ht="23.1" customHeight="1">
      <c r="B76" s="299" t="str">
        <f>LR!B76</f>
        <v>610111 | BIAYA HONOR KONSULTAN HUKUM, KEUANGAN Dan IT</v>
      </c>
      <c r="C76" s="284"/>
      <c r="D76" s="300">
        <f t="shared" si="15"/>
        <v>0</v>
      </c>
      <c r="E76" s="300">
        <f t="shared" si="15"/>
        <v>0</v>
      </c>
      <c r="F76" s="300">
        <f t="shared" si="15"/>
        <v>0</v>
      </c>
      <c r="G76" s="300">
        <f t="shared" si="15"/>
        <v>0</v>
      </c>
      <c r="H76" s="300">
        <f t="shared" si="15"/>
        <v>0</v>
      </c>
      <c r="I76" s="300">
        <f t="shared" si="15"/>
        <v>0</v>
      </c>
      <c r="J76" s="300">
        <f t="shared" si="15"/>
        <v>0</v>
      </c>
      <c r="K76" s="300">
        <f t="shared" si="15"/>
        <v>0</v>
      </c>
      <c r="L76" s="300">
        <f t="shared" si="15"/>
        <v>0</v>
      </c>
      <c r="M76" s="300">
        <f t="shared" si="15"/>
        <v>0</v>
      </c>
      <c r="N76" s="300">
        <f t="shared" si="15"/>
        <v>0</v>
      </c>
      <c r="O76" s="300">
        <f t="shared" si="15"/>
        <v>0</v>
      </c>
      <c r="P76" s="301">
        <f t="shared" si="12"/>
        <v>0</v>
      </c>
      <c r="R76" s="35">
        <f t="shared" si="11"/>
        <v>0</v>
      </c>
    </row>
    <row r="77" spans="2:18" ht="23.1" customHeight="1">
      <c r="B77" s="299" t="str">
        <f>LR!B77</f>
        <v>610112 | BIAYA CUTI DIREKSI</v>
      </c>
      <c r="C77" s="284"/>
      <c r="D77" s="300">
        <f t="shared" si="15"/>
        <v>0</v>
      </c>
      <c r="E77" s="300">
        <f t="shared" si="15"/>
        <v>0</v>
      </c>
      <c r="F77" s="300">
        <f t="shared" si="15"/>
        <v>0</v>
      </c>
      <c r="G77" s="300">
        <f t="shared" si="15"/>
        <v>0</v>
      </c>
      <c r="H77" s="300">
        <f t="shared" si="15"/>
        <v>0</v>
      </c>
      <c r="I77" s="300">
        <f t="shared" si="15"/>
        <v>0</v>
      </c>
      <c r="J77" s="300">
        <f t="shared" si="15"/>
        <v>0</v>
      </c>
      <c r="K77" s="300">
        <f t="shared" si="15"/>
        <v>0</v>
      </c>
      <c r="L77" s="300">
        <f t="shared" si="15"/>
        <v>0</v>
      </c>
      <c r="M77" s="300">
        <f t="shared" si="15"/>
        <v>0</v>
      </c>
      <c r="N77" s="300">
        <f t="shared" si="15"/>
        <v>0</v>
      </c>
      <c r="O77" s="300">
        <f t="shared" si="15"/>
        <v>0</v>
      </c>
      <c r="P77" s="301">
        <f t="shared" si="12"/>
        <v>0</v>
      </c>
      <c r="R77" s="35">
        <f t="shared" si="11"/>
        <v>0</v>
      </c>
    </row>
    <row r="78" spans="2:18" ht="23.1" customHeight="1">
      <c r="B78" s="299" t="str">
        <f>LR!B78</f>
        <v>610113 | BIAYA LEMBUR DIREKSI DAN PEGAWAI</v>
      </c>
      <c r="C78" s="284"/>
      <c r="D78" s="300">
        <f t="shared" si="15"/>
        <v>0</v>
      </c>
      <c r="E78" s="300">
        <f t="shared" si="15"/>
        <v>0</v>
      </c>
      <c r="F78" s="300">
        <f t="shared" si="15"/>
        <v>0</v>
      </c>
      <c r="G78" s="300">
        <f t="shared" si="15"/>
        <v>0</v>
      </c>
      <c r="H78" s="300">
        <f t="shared" si="15"/>
        <v>0</v>
      </c>
      <c r="I78" s="300">
        <f t="shared" si="15"/>
        <v>0</v>
      </c>
      <c r="J78" s="300">
        <f t="shared" si="15"/>
        <v>0</v>
      </c>
      <c r="K78" s="300">
        <f t="shared" si="15"/>
        <v>0</v>
      </c>
      <c r="L78" s="300">
        <f t="shared" si="15"/>
        <v>0</v>
      </c>
      <c r="M78" s="300">
        <f t="shared" si="15"/>
        <v>0</v>
      </c>
      <c r="N78" s="300">
        <f t="shared" si="15"/>
        <v>0</v>
      </c>
      <c r="O78" s="300">
        <f t="shared" si="15"/>
        <v>0</v>
      </c>
      <c r="P78" s="301">
        <f t="shared" si="12"/>
        <v>0</v>
      </c>
      <c r="R78" s="35">
        <f t="shared" si="11"/>
        <v>0</v>
      </c>
    </row>
    <row r="79" spans="2:18" ht="23.1" customHeight="1">
      <c r="B79" s="299" t="str">
        <f>LR!B79</f>
        <v>610114 | BIAYA TUNJANGAN HARI RAYA (GAJI 13)</v>
      </c>
      <c r="C79" s="284"/>
      <c r="D79" s="300">
        <f t="shared" si="15"/>
        <v>0</v>
      </c>
      <c r="E79" s="300">
        <f t="shared" si="15"/>
        <v>0</v>
      </c>
      <c r="F79" s="300">
        <f t="shared" si="15"/>
        <v>0</v>
      </c>
      <c r="G79" s="300">
        <f t="shared" si="15"/>
        <v>0</v>
      </c>
      <c r="H79" s="300">
        <f t="shared" si="15"/>
        <v>0</v>
      </c>
      <c r="I79" s="300">
        <f t="shared" si="15"/>
        <v>0</v>
      </c>
      <c r="J79" s="300">
        <f t="shared" si="15"/>
        <v>0</v>
      </c>
      <c r="K79" s="300">
        <f t="shared" si="15"/>
        <v>0</v>
      </c>
      <c r="L79" s="300">
        <f t="shared" si="15"/>
        <v>0</v>
      </c>
      <c r="M79" s="300">
        <f t="shared" si="15"/>
        <v>0</v>
      </c>
      <c r="N79" s="300">
        <f t="shared" si="15"/>
        <v>0</v>
      </c>
      <c r="O79" s="300">
        <f t="shared" si="15"/>
        <v>0</v>
      </c>
      <c r="P79" s="301">
        <f t="shared" si="12"/>
        <v>0</v>
      </c>
      <c r="R79" s="35">
        <f t="shared" si="11"/>
        <v>0</v>
      </c>
    </row>
    <row r="80" spans="2:18" ht="23.1" customHeight="1">
      <c r="B80" s="299" t="str">
        <f>LR!B80</f>
        <v>610115 | BIAYA HONOR TIM PENYUSUN RANPERDA PERUMDA</v>
      </c>
      <c r="C80" s="284"/>
      <c r="D80" s="300">
        <f t="shared" si="15"/>
        <v>0</v>
      </c>
      <c r="E80" s="300">
        <f t="shared" si="15"/>
        <v>0</v>
      </c>
      <c r="F80" s="300">
        <f t="shared" si="15"/>
        <v>0</v>
      </c>
      <c r="G80" s="300">
        <f t="shared" si="15"/>
        <v>0</v>
      </c>
      <c r="H80" s="300">
        <f t="shared" si="15"/>
        <v>0</v>
      </c>
      <c r="I80" s="300">
        <f t="shared" si="15"/>
        <v>0</v>
      </c>
      <c r="J80" s="300">
        <f t="shared" si="15"/>
        <v>0</v>
      </c>
      <c r="K80" s="300">
        <f t="shared" si="15"/>
        <v>0</v>
      </c>
      <c r="L80" s="300">
        <f t="shared" si="15"/>
        <v>0</v>
      </c>
      <c r="M80" s="300">
        <f t="shared" si="15"/>
        <v>0</v>
      </c>
      <c r="N80" s="300">
        <f t="shared" si="15"/>
        <v>0</v>
      </c>
      <c r="O80" s="300">
        <f t="shared" si="15"/>
        <v>0</v>
      </c>
      <c r="P80" s="301">
        <f t="shared" si="12"/>
        <v>0</v>
      </c>
      <c r="R80" s="35">
        <f t="shared" si="11"/>
        <v>0</v>
      </c>
    </row>
    <row r="81" spans="2:18" ht="23.1" customHeight="1">
      <c r="B81" s="299" t="str">
        <f>LR!B81</f>
        <v>610116 | BIAYA HONOR TENAGA SUKARELA</v>
      </c>
      <c r="C81" s="284"/>
      <c r="D81" s="300">
        <f t="shared" si="15"/>
        <v>0</v>
      </c>
      <c r="E81" s="300">
        <f t="shared" si="15"/>
        <v>0</v>
      </c>
      <c r="F81" s="300">
        <f t="shared" si="15"/>
        <v>0</v>
      </c>
      <c r="G81" s="300">
        <f t="shared" si="15"/>
        <v>0</v>
      </c>
      <c r="H81" s="300">
        <f t="shared" si="15"/>
        <v>0</v>
      </c>
      <c r="I81" s="300">
        <f t="shared" si="15"/>
        <v>0</v>
      </c>
      <c r="J81" s="300">
        <f t="shared" si="15"/>
        <v>0</v>
      </c>
      <c r="K81" s="300">
        <f t="shared" si="15"/>
        <v>0</v>
      </c>
      <c r="L81" s="300">
        <f t="shared" si="15"/>
        <v>0</v>
      </c>
      <c r="M81" s="300">
        <f t="shared" si="15"/>
        <v>0</v>
      </c>
      <c r="N81" s="300">
        <f t="shared" si="15"/>
        <v>0</v>
      </c>
      <c r="O81" s="300">
        <f t="shared" si="15"/>
        <v>0</v>
      </c>
      <c r="P81" s="301">
        <f t="shared" si="12"/>
        <v>0</v>
      </c>
      <c r="R81" s="35">
        <f t="shared" si="11"/>
        <v>0</v>
      </c>
    </row>
    <row r="82" spans="2:18" ht="23.1" customHeight="1">
      <c r="B82" s="299" t="str">
        <f>LR!B82</f>
        <v>610117 | BIAYA TUNJANGAN JABATAN</v>
      </c>
      <c r="C82" s="284"/>
      <c r="D82" s="300">
        <f t="shared" si="15"/>
        <v>0</v>
      </c>
      <c r="E82" s="300">
        <f t="shared" si="15"/>
        <v>0</v>
      </c>
      <c r="F82" s="300">
        <f t="shared" si="15"/>
        <v>0</v>
      </c>
      <c r="G82" s="300">
        <f t="shared" si="15"/>
        <v>0</v>
      </c>
      <c r="H82" s="300">
        <f t="shared" si="15"/>
        <v>0</v>
      </c>
      <c r="I82" s="300">
        <f t="shared" si="15"/>
        <v>0</v>
      </c>
      <c r="J82" s="300">
        <f t="shared" si="15"/>
        <v>0</v>
      </c>
      <c r="K82" s="300">
        <f t="shared" si="15"/>
        <v>0</v>
      </c>
      <c r="L82" s="300">
        <f t="shared" si="15"/>
        <v>0</v>
      </c>
      <c r="M82" s="300">
        <f t="shared" si="15"/>
        <v>0</v>
      </c>
      <c r="N82" s="300">
        <f t="shared" si="15"/>
        <v>0</v>
      </c>
      <c r="O82" s="300">
        <f t="shared" si="15"/>
        <v>0</v>
      </c>
      <c r="P82" s="301">
        <f t="shared" si="12"/>
        <v>0</v>
      </c>
      <c r="R82" s="35">
        <f t="shared" si="11"/>
        <v>0</v>
      </c>
    </row>
    <row r="83" spans="2:18" ht="23.1" customHeight="1">
      <c r="B83" s="299" t="str">
        <f>LR!B83</f>
        <v>610118 | TUNJANGAN JAMSOSTEK KESEHATAN</v>
      </c>
      <c r="C83" s="284"/>
      <c r="D83" s="300">
        <f t="shared" si="15"/>
        <v>0</v>
      </c>
      <c r="E83" s="300">
        <f t="shared" si="15"/>
        <v>0</v>
      </c>
      <c r="F83" s="300">
        <f t="shared" si="15"/>
        <v>0</v>
      </c>
      <c r="G83" s="300">
        <f t="shared" si="15"/>
        <v>0</v>
      </c>
      <c r="H83" s="300">
        <f t="shared" si="15"/>
        <v>0</v>
      </c>
      <c r="I83" s="300">
        <f t="shared" si="15"/>
        <v>0</v>
      </c>
      <c r="J83" s="300">
        <f t="shared" si="15"/>
        <v>0</v>
      </c>
      <c r="K83" s="300">
        <f t="shared" si="15"/>
        <v>0</v>
      </c>
      <c r="L83" s="300">
        <f t="shared" si="15"/>
        <v>0</v>
      </c>
      <c r="M83" s="300">
        <f t="shared" si="15"/>
        <v>0</v>
      </c>
      <c r="N83" s="300">
        <f t="shared" si="15"/>
        <v>0</v>
      </c>
      <c r="O83" s="300">
        <f t="shared" si="15"/>
        <v>0</v>
      </c>
      <c r="P83" s="301">
        <f t="shared" si="12"/>
        <v>0</v>
      </c>
      <c r="R83" s="35">
        <f t="shared" si="11"/>
        <v>0</v>
      </c>
    </row>
    <row r="84" spans="2:18" ht="23.1" customHeight="1">
      <c r="B84" s="299" t="str">
        <f>LR!B84</f>
        <v>610119 | TUNJANGAN JAMSOSTEK KETENAGAKERJAAN</v>
      </c>
      <c r="C84" s="284"/>
      <c r="D84" s="300">
        <f t="shared" si="15"/>
        <v>0</v>
      </c>
      <c r="E84" s="300">
        <f t="shared" si="15"/>
        <v>0</v>
      </c>
      <c r="F84" s="300">
        <f t="shared" si="15"/>
        <v>0</v>
      </c>
      <c r="G84" s="300">
        <f t="shared" si="15"/>
        <v>0</v>
      </c>
      <c r="H84" s="300">
        <f t="shared" si="15"/>
        <v>0</v>
      </c>
      <c r="I84" s="300">
        <f t="shared" si="15"/>
        <v>0</v>
      </c>
      <c r="J84" s="300">
        <f t="shared" si="15"/>
        <v>0</v>
      </c>
      <c r="K84" s="300">
        <f t="shared" si="15"/>
        <v>0</v>
      </c>
      <c r="L84" s="300">
        <f t="shared" si="15"/>
        <v>0</v>
      </c>
      <c r="M84" s="300">
        <f t="shared" si="15"/>
        <v>0</v>
      </c>
      <c r="N84" s="300">
        <f t="shared" si="15"/>
        <v>0</v>
      </c>
      <c r="O84" s="300">
        <f t="shared" si="15"/>
        <v>0</v>
      </c>
      <c r="P84" s="301">
        <f t="shared" si="12"/>
        <v>0</v>
      </c>
      <c r="R84" s="35">
        <f t="shared" si="11"/>
        <v>0</v>
      </c>
    </row>
    <row r="85" spans="2:18" ht="23.1" customHeight="1">
      <c r="B85" s="299" t="str">
        <f>LR!B85</f>
        <v>610120 | TUNJANGAN ISTRI DAN ANAK</v>
      </c>
      <c r="C85" s="284"/>
      <c r="D85" s="300">
        <f t="shared" si="15"/>
        <v>0</v>
      </c>
      <c r="E85" s="300">
        <f t="shared" si="15"/>
        <v>0</v>
      </c>
      <c r="F85" s="300">
        <f t="shared" si="15"/>
        <v>0</v>
      </c>
      <c r="G85" s="300">
        <f t="shared" si="15"/>
        <v>0</v>
      </c>
      <c r="H85" s="300">
        <f t="shared" si="15"/>
        <v>0</v>
      </c>
      <c r="I85" s="300">
        <f t="shared" si="15"/>
        <v>0</v>
      </c>
      <c r="J85" s="300">
        <f t="shared" si="15"/>
        <v>0</v>
      </c>
      <c r="K85" s="300">
        <f t="shared" si="15"/>
        <v>0</v>
      </c>
      <c r="L85" s="300">
        <f t="shared" si="15"/>
        <v>0</v>
      </c>
      <c r="M85" s="300">
        <f t="shared" si="15"/>
        <v>0</v>
      </c>
      <c r="N85" s="300">
        <f t="shared" si="15"/>
        <v>0</v>
      </c>
      <c r="O85" s="300">
        <f t="shared" si="15"/>
        <v>0</v>
      </c>
      <c r="P85" s="301">
        <f t="shared" si="12"/>
        <v>0</v>
      </c>
      <c r="R85" s="35">
        <f t="shared" si="11"/>
        <v>0</v>
      </c>
    </row>
    <row r="86" spans="2:18" ht="23.1" customHeight="1">
      <c r="B86" s="299" t="str">
        <f>LR!B86</f>
        <v>610121 | TUNJANGAN TRANSPORT</v>
      </c>
      <c r="C86" s="284"/>
      <c r="D86" s="300">
        <f t="shared" ref="D86:O101" si="16">IF(INDEX(typ_sn,MATCH(INDEX(akun_type,MATCH($B86,akun_kb,0)),typ_ket,0))="db",SUMIFS(ju_sld,ju_bln,TEXT(D$8,"mmmm"),ju_kr,$B86,ju_div2,"kr"&amp;$S$4)-SUMIFS(ju_sld,ju_bln,TEXT(D$8,"mmmm"),ju_debet,$B86,ju_div2,"db"&amp;$S$4),SUMIFS(ju_sld,ju_bln,TEXT(D$8,"mmmm"),ju_kr,$B86,ju_div2,"kr"&amp;$S$4)-SUMIFS(ju_sld,ju_bln,TEXT(D$8,"mmmm"),ju_debet,$B86,ju_div2,"db"&amp;$S$4))</f>
        <v>0</v>
      </c>
      <c r="E86" s="300">
        <f t="shared" si="16"/>
        <v>0</v>
      </c>
      <c r="F86" s="300">
        <f t="shared" si="16"/>
        <v>0</v>
      </c>
      <c r="G86" s="300">
        <f t="shared" si="16"/>
        <v>0</v>
      </c>
      <c r="H86" s="300">
        <f t="shared" si="16"/>
        <v>0</v>
      </c>
      <c r="I86" s="300">
        <f t="shared" si="16"/>
        <v>0</v>
      </c>
      <c r="J86" s="300">
        <f t="shared" si="16"/>
        <v>0</v>
      </c>
      <c r="K86" s="300">
        <f t="shared" si="16"/>
        <v>0</v>
      </c>
      <c r="L86" s="300">
        <f t="shared" si="16"/>
        <v>0</v>
      </c>
      <c r="M86" s="300">
        <f t="shared" si="16"/>
        <v>0</v>
      </c>
      <c r="N86" s="300">
        <f t="shared" si="16"/>
        <v>0</v>
      </c>
      <c r="O86" s="300">
        <f t="shared" si="16"/>
        <v>0</v>
      </c>
      <c r="P86" s="301">
        <f t="shared" si="12"/>
        <v>0</v>
      </c>
      <c r="R86" s="35">
        <f t="shared" si="11"/>
        <v>0</v>
      </c>
    </row>
    <row r="87" spans="2:18" ht="23.1" customHeight="1">
      <c r="B87" s="299" t="str">
        <f>LR!B87</f>
        <v>610122 | REFRESENTASI DIREKSI</v>
      </c>
      <c r="C87" s="284"/>
      <c r="D87" s="300">
        <f t="shared" si="16"/>
        <v>0</v>
      </c>
      <c r="E87" s="300">
        <f t="shared" si="16"/>
        <v>0</v>
      </c>
      <c r="F87" s="300">
        <f t="shared" si="16"/>
        <v>0</v>
      </c>
      <c r="G87" s="300">
        <f t="shared" si="16"/>
        <v>0</v>
      </c>
      <c r="H87" s="300">
        <f t="shared" si="16"/>
        <v>0</v>
      </c>
      <c r="I87" s="300">
        <f t="shared" si="16"/>
        <v>0</v>
      </c>
      <c r="J87" s="300">
        <f t="shared" si="16"/>
        <v>0</v>
      </c>
      <c r="K87" s="300">
        <f t="shared" si="16"/>
        <v>0</v>
      </c>
      <c r="L87" s="300">
        <f t="shared" si="16"/>
        <v>0</v>
      </c>
      <c r="M87" s="300">
        <f t="shared" si="16"/>
        <v>0</v>
      </c>
      <c r="N87" s="300">
        <f t="shared" si="16"/>
        <v>0</v>
      </c>
      <c r="O87" s="300">
        <f t="shared" si="16"/>
        <v>0</v>
      </c>
      <c r="P87" s="301">
        <f t="shared" si="12"/>
        <v>0</v>
      </c>
      <c r="R87" s="35">
        <f t="shared" si="11"/>
        <v>0</v>
      </c>
    </row>
    <row r="88" spans="2:18" ht="23.1" customHeight="1">
      <c r="B88" s="299" t="str">
        <f>LR!B88</f>
        <v>610123 | GAJI POKOK PEGAWAI</v>
      </c>
      <c r="C88" s="284"/>
      <c r="D88" s="300">
        <f t="shared" si="16"/>
        <v>0</v>
      </c>
      <c r="E88" s="300">
        <f t="shared" si="16"/>
        <v>0</v>
      </c>
      <c r="F88" s="300">
        <f t="shared" si="16"/>
        <v>0</v>
      </c>
      <c r="G88" s="300">
        <f t="shared" si="16"/>
        <v>0</v>
      </c>
      <c r="H88" s="300">
        <f t="shared" si="16"/>
        <v>0</v>
      </c>
      <c r="I88" s="300">
        <f t="shared" si="16"/>
        <v>0</v>
      </c>
      <c r="J88" s="300">
        <f t="shared" si="16"/>
        <v>0</v>
      </c>
      <c r="K88" s="300">
        <f t="shared" si="16"/>
        <v>0</v>
      </c>
      <c r="L88" s="300">
        <f t="shared" si="16"/>
        <v>0</v>
      </c>
      <c r="M88" s="300">
        <f t="shared" si="16"/>
        <v>0</v>
      </c>
      <c r="N88" s="300">
        <f t="shared" si="16"/>
        <v>0</v>
      </c>
      <c r="O88" s="300">
        <f t="shared" si="16"/>
        <v>0</v>
      </c>
      <c r="P88" s="301">
        <f t="shared" si="12"/>
        <v>0</v>
      </c>
      <c r="R88" s="35">
        <f t="shared" si="11"/>
        <v>0</v>
      </c>
    </row>
    <row r="89" spans="2:18" ht="23.1" customHeight="1">
      <c r="B89" s="299" t="str">
        <f>LR!B89</f>
        <v>610125 | TUNJANGAN KESEHATAN DAN BPJS TK-PEGAWAI</v>
      </c>
      <c r="C89" s="284"/>
      <c r="D89" s="300">
        <f t="shared" si="16"/>
        <v>0</v>
      </c>
      <c r="E89" s="300">
        <f t="shared" si="16"/>
        <v>0</v>
      </c>
      <c r="F89" s="300">
        <f t="shared" si="16"/>
        <v>0</v>
      </c>
      <c r="G89" s="300">
        <f t="shared" si="16"/>
        <v>0</v>
      </c>
      <c r="H89" s="300">
        <f t="shared" si="16"/>
        <v>0</v>
      </c>
      <c r="I89" s="300">
        <f t="shared" si="16"/>
        <v>0</v>
      </c>
      <c r="J89" s="300">
        <f t="shared" si="16"/>
        <v>0</v>
      </c>
      <c r="K89" s="300">
        <f t="shared" si="16"/>
        <v>0</v>
      </c>
      <c r="L89" s="300">
        <f t="shared" si="16"/>
        <v>0</v>
      </c>
      <c r="M89" s="300">
        <f t="shared" si="16"/>
        <v>0</v>
      </c>
      <c r="N89" s="300">
        <f t="shared" si="16"/>
        <v>0</v>
      </c>
      <c r="O89" s="300">
        <f t="shared" si="16"/>
        <v>0</v>
      </c>
      <c r="P89" s="301">
        <f t="shared" si="12"/>
        <v>0</v>
      </c>
      <c r="R89" s="35">
        <f t="shared" si="11"/>
        <v>0</v>
      </c>
    </row>
    <row r="90" spans="2:18" ht="23.1" customHeight="1">
      <c r="B90" s="299" t="str">
        <f>LR!B90</f>
        <v>610127 | TUNJANGAN MAKAN MINUM TRANSPORTASI &amp; T. KELUARGA</v>
      </c>
      <c r="C90" s="284"/>
      <c r="D90" s="300">
        <f t="shared" si="16"/>
        <v>0</v>
      </c>
      <c r="E90" s="300">
        <f t="shared" si="16"/>
        <v>0</v>
      </c>
      <c r="F90" s="300">
        <f t="shared" si="16"/>
        <v>0</v>
      </c>
      <c r="G90" s="300">
        <f t="shared" si="16"/>
        <v>0</v>
      </c>
      <c r="H90" s="300">
        <f t="shared" si="16"/>
        <v>0</v>
      </c>
      <c r="I90" s="300">
        <f t="shared" si="16"/>
        <v>0</v>
      </c>
      <c r="J90" s="300">
        <f t="shared" si="16"/>
        <v>0</v>
      </c>
      <c r="K90" s="300">
        <f t="shared" si="16"/>
        <v>0</v>
      </c>
      <c r="L90" s="300">
        <f t="shared" si="16"/>
        <v>0</v>
      </c>
      <c r="M90" s="300">
        <f t="shared" si="16"/>
        <v>0</v>
      </c>
      <c r="N90" s="300">
        <f t="shared" si="16"/>
        <v>0</v>
      </c>
      <c r="O90" s="300">
        <f t="shared" si="16"/>
        <v>0</v>
      </c>
      <c r="P90" s="301">
        <f t="shared" ref="P90:P127" si="17">SUM(D90:O90)</f>
        <v>0</v>
      </c>
      <c r="R90" s="35">
        <f t="shared" ref="R90:R127" si="18">IF(OR(P90&gt;0,P90&lt;0,P90=""),1,0)</f>
        <v>0</v>
      </c>
    </row>
    <row r="91" spans="2:18" ht="23.1" customHeight="1">
      <c r="B91" s="299" t="str">
        <f>LR!B91</f>
        <v>610129 | BIAYA TUNJANGAN HARI RAYA</v>
      </c>
      <c r="C91" s="284"/>
      <c r="D91" s="300">
        <f t="shared" si="16"/>
        <v>0</v>
      </c>
      <c r="E91" s="300">
        <f t="shared" si="16"/>
        <v>0</v>
      </c>
      <c r="F91" s="300">
        <f t="shared" si="16"/>
        <v>0</v>
      </c>
      <c r="G91" s="300">
        <f t="shared" si="16"/>
        <v>0</v>
      </c>
      <c r="H91" s="300">
        <f t="shared" si="16"/>
        <v>0</v>
      </c>
      <c r="I91" s="300">
        <f t="shared" si="16"/>
        <v>0</v>
      </c>
      <c r="J91" s="300">
        <f t="shared" si="16"/>
        <v>0</v>
      </c>
      <c r="K91" s="300">
        <f t="shared" si="16"/>
        <v>0</v>
      </c>
      <c r="L91" s="300">
        <f t="shared" si="16"/>
        <v>0</v>
      </c>
      <c r="M91" s="300">
        <f t="shared" si="16"/>
        <v>0</v>
      </c>
      <c r="N91" s="300">
        <f t="shared" si="16"/>
        <v>0</v>
      </c>
      <c r="O91" s="300">
        <f t="shared" si="16"/>
        <v>0</v>
      </c>
      <c r="P91" s="301">
        <f t="shared" si="17"/>
        <v>0</v>
      </c>
      <c r="R91" s="35">
        <f t="shared" si="18"/>
        <v>0</v>
      </c>
    </row>
    <row r="92" spans="2:18" ht="23.1" customHeight="1">
      <c r="B92" s="299" t="str">
        <f>LR!B92</f>
        <v>610130 | BIAYA HONOR KOMITE AUDIT</v>
      </c>
      <c r="C92" s="284"/>
      <c r="D92" s="300">
        <f t="shared" si="16"/>
        <v>0</v>
      </c>
      <c r="E92" s="300">
        <f t="shared" si="16"/>
        <v>0</v>
      </c>
      <c r="F92" s="300">
        <f t="shared" si="16"/>
        <v>0</v>
      </c>
      <c r="G92" s="300">
        <f t="shared" si="16"/>
        <v>0</v>
      </c>
      <c r="H92" s="300">
        <f t="shared" si="16"/>
        <v>0</v>
      </c>
      <c r="I92" s="300">
        <f t="shared" si="16"/>
        <v>0</v>
      </c>
      <c r="J92" s="300">
        <f t="shared" si="16"/>
        <v>0</v>
      </c>
      <c r="K92" s="300">
        <f t="shared" si="16"/>
        <v>0</v>
      </c>
      <c r="L92" s="300">
        <f t="shared" si="16"/>
        <v>0</v>
      </c>
      <c r="M92" s="300">
        <f t="shared" si="16"/>
        <v>0</v>
      </c>
      <c r="N92" s="300">
        <f t="shared" si="16"/>
        <v>0</v>
      </c>
      <c r="O92" s="300">
        <f t="shared" si="16"/>
        <v>0</v>
      </c>
      <c r="P92" s="301">
        <f t="shared" si="17"/>
        <v>0</v>
      </c>
      <c r="R92" s="35">
        <f t="shared" si="18"/>
        <v>0</v>
      </c>
    </row>
    <row r="93" spans="2:18" ht="23.1" customHeight="1">
      <c r="B93" s="299" t="str">
        <f>LR!B93</f>
        <v>TOTAL BIAYA GAJI</v>
      </c>
      <c r="C93" s="284"/>
      <c r="D93" s="300" t="e">
        <f t="shared" si="16"/>
        <v>#N/A</v>
      </c>
      <c r="E93" s="300" t="e">
        <f t="shared" si="16"/>
        <v>#N/A</v>
      </c>
      <c r="F93" s="300" t="e">
        <f t="shared" si="16"/>
        <v>#N/A</v>
      </c>
      <c r="G93" s="300" t="e">
        <f t="shared" si="16"/>
        <v>#N/A</v>
      </c>
      <c r="H93" s="300" t="e">
        <f t="shared" si="16"/>
        <v>#N/A</v>
      </c>
      <c r="I93" s="300" t="e">
        <f t="shared" si="16"/>
        <v>#N/A</v>
      </c>
      <c r="J93" s="300" t="e">
        <f t="shared" si="16"/>
        <v>#N/A</v>
      </c>
      <c r="K93" s="300" t="e">
        <f t="shared" si="16"/>
        <v>#N/A</v>
      </c>
      <c r="L93" s="300" t="e">
        <f t="shared" si="16"/>
        <v>#N/A</v>
      </c>
      <c r="M93" s="300" t="e">
        <f t="shared" si="16"/>
        <v>#N/A</v>
      </c>
      <c r="N93" s="300" t="e">
        <f t="shared" si="16"/>
        <v>#N/A</v>
      </c>
      <c r="O93" s="300" t="e">
        <f t="shared" si="16"/>
        <v>#N/A</v>
      </c>
      <c r="P93" s="301" t="e">
        <f t="shared" si="17"/>
        <v>#N/A</v>
      </c>
      <c r="R93" s="35" t="e">
        <f t="shared" si="18"/>
        <v>#N/A</v>
      </c>
    </row>
    <row r="94" spans="2:18" ht="23.1" customHeight="1">
      <c r="B94" s="299" t="str">
        <f>LR!B94</f>
        <v>BIAYA ADM UMUM</v>
      </c>
      <c r="C94" s="284"/>
      <c r="D94" s="300" t="e">
        <f t="shared" si="16"/>
        <v>#N/A</v>
      </c>
      <c r="E94" s="300" t="e">
        <f t="shared" si="16"/>
        <v>#N/A</v>
      </c>
      <c r="F94" s="300" t="e">
        <f t="shared" si="16"/>
        <v>#N/A</v>
      </c>
      <c r="G94" s="300" t="e">
        <f t="shared" si="16"/>
        <v>#N/A</v>
      </c>
      <c r="H94" s="300" t="e">
        <f t="shared" si="16"/>
        <v>#N/A</v>
      </c>
      <c r="I94" s="300" t="e">
        <f t="shared" si="16"/>
        <v>#N/A</v>
      </c>
      <c r="J94" s="300" t="e">
        <f t="shared" si="16"/>
        <v>#N/A</v>
      </c>
      <c r="K94" s="300" t="e">
        <f t="shared" si="16"/>
        <v>#N/A</v>
      </c>
      <c r="L94" s="300" t="e">
        <f t="shared" si="16"/>
        <v>#N/A</v>
      </c>
      <c r="M94" s="300" t="e">
        <f t="shared" si="16"/>
        <v>#N/A</v>
      </c>
      <c r="N94" s="300" t="e">
        <f t="shared" si="16"/>
        <v>#N/A</v>
      </c>
      <c r="O94" s="300" t="e">
        <f t="shared" si="16"/>
        <v>#N/A</v>
      </c>
      <c r="P94" s="301" t="e">
        <f t="shared" si="17"/>
        <v>#N/A</v>
      </c>
      <c r="R94" s="35" t="e">
        <f t="shared" si="18"/>
        <v>#N/A</v>
      </c>
    </row>
    <row r="95" spans="2:18" ht="23.1" customHeight="1">
      <c r="B95" s="299" t="str">
        <f>LR!B95</f>
        <v>610201 | BIAYA DANA REFRESENTASI DIREKSI</v>
      </c>
      <c r="C95" s="284"/>
      <c r="D95" s="300">
        <f t="shared" si="16"/>
        <v>0</v>
      </c>
      <c r="E95" s="300">
        <f t="shared" si="16"/>
        <v>0</v>
      </c>
      <c r="F95" s="300">
        <f t="shared" si="16"/>
        <v>0</v>
      </c>
      <c r="G95" s="300">
        <f t="shared" si="16"/>
        <v>0</v>
      </c>
      <c r="H95" s="300">
        <f t="shared" si="16"/>
        <v>0</v>
      </c>
      <c r="I95" s="300">
        <f t="shared" si="16"/>
        <v>0</v>
      </c>
      <c r="J95" s="300">
        <f t="shared" si="16"/>
        <v>0</v>
      </c>
      <c r="K95" s="300">
        <f t="shared" si="16"/>
        <v>0</v>
      </c>
      <c r="L95" s="300">
        <f t="shared" si="16"/>
        <v>0</v>
      </c>
      <c r="M95" s="300">
        <f t="shared" si="16"/>
        <v>0</v>
      </c>
      <c r="N95" s="300">
        <f t="shared" si="16"/>
        <v>0</v>
      </c>
      <c r="O95" s="300">
        <f t="shared" si="16"/>
        <v>0</v>
      </c>
      <c r="P95" s="301">
        <f t="shared" si="17"/>
        <v>0</v>
      </c>
      <c r="R95" s="35">
        <f t="shared" si="18"/>
        <v>0</v>
      </c>
    </row>
    <row r="96" spans="2:18" ht="23.1" customHeight="1">
      <c r="B96" s="299" t="str">
        <f>LR!B96</f>
        <v>610202 | BIAYA KOORDINASI PEMBINA PERUSDA</v>
      </c>
      <c r="C96" s="284"/>
      <c r="D96" s="300">
        <f t="shared" si="16"/>
        <v>0</v>
      </c>
      <c r="E96" s="300">
        <f t="shared" si="16"/>
        <v>0</v>
      </c>
      <c r="F96" s="300">
        <f t="shared" si="16"/>
        <v>0</v>
      </c>
      <c r="G96" s="300">
        <f t="shared" si="16"/>
        <v>0</v>
      </c>
      <c r="H96" s="300">
        <f t="shared" si="16"/>
        <v>0</v>
      </c>
      <c r="I96" s="300">
        <f t="shared" si="16"/>
        <v>0</v>
      </c>
      <c r="J96" s="300">
        <f t="shared" si="16"/>
        <v>0</v>
      </c>
      <c r="K96" s="300">
        <f t="shared" si="16"/>
        <v>0</v>
      </c>
      <c r="L96" s="300">
        <f t="shared" si="16"/>
        <v>0</v>
      </c>
      <c r="M96" s="300">
        <f t="shared" si="16"/>
        <v>0</v>
      </c>
      <c r="N96" s="300">
        <f t="shared" si="16"/>
        <v>0</v>
      </c>
      <c r="O96" s="300">
        <f t="shared" si="16"/>
        <v>0</v>
      </c>
      <c r="P96" s="301">
        <f t="shared" si="17"/>
        <v>0</v>
      </c>
      <c r="R96" s="35">
        <f t="shared" si="18"/>
        <v>0</v>
      </c>
    </row>
    <row r="97" spans="2:18" ht="23.1" customHeight="1">
      <c r="B97" s="299" t="str">
        <f>LR!B97</f>
        <v>610203 | BIAYA PENINGKATAN SDM PEGAWAI</v>
      </c>
      <c r="C97" s="284"/>
      <c r="D97" s="300">
        <f t="shared" si="16"/>
        <v>0</v>
      </c>
      <c r="E97" s="300">
        <f t="shared" si="16"/>
        <v>0</v>
      </c>
      <c r="F97" s="300">
        <f t="shared" si="16"/>
        <v>0</v>
      </c>
      <c r="G97" s="300">
        <f t="shared" si="16"/>
        <v>0</v>
      </c>
      <c r="H97" s="300">
        <f t="shared" si="16"/>
        <v>0</v>
      </c>
      <c r="I97" s="300">
        <f t="shared" si="16"/>
        <v>0</v>
      </c>
      <c r="J97" s="300">
        <f t="shared" si="16"/>
        <v>0</v>
      </c>
      <c r="K97" s="300">
        <f t="shared" si="16"/>
        <v>0</v>
      </c>
      <c r="L97" s="300">
        <f t="shared" si="16"/>
        <v>0</v>
      </c>
      <c r="M97" s="300">
        <f t="shared" si="16"/>
        <v>0</v>
      </c>
      <c r="N97" s="300">
        <f t="shared" si="16"/>
        <v>0</v>
      </c>
      <c r="O97" s="300">
        <f t="shared" si="16"/>
        <v>0</v>
      </c>
      <c r="P97" s="301">
        <f t="shared" si="17"/>
        <v>0</v>
      </c>
      <c r="R97" s="35">
        <f t="shared" si="18"/>
        <v>0</v>
      </c>
    </row>
    <row r="98" spans="2:18" ht="23.1" customHeight="1">
      <c r="B98" s="299" t="str">
        <f>LR!B98</f>
        <v>610204 | BIAYA SOSIALISASI</v>
      </c>
      <c r="C98" s="284"/>
      <c r="D98" s="300">
        <f t="shared" si="16"/>
        <v>0</v>
      </c>
      <c r="E98" s="300">
        <f t="shared" si="16"/>
        <v>0</v>
      </c>
      <c r="F98" s="300">
        <f t="shared" si="16"/>
        <v>0</v>
      </c>
      <c r="G98" s="300">
        <f t="shared" si="16"/>
        <v>0</v>
      </c>
      <c r="H98" s="300">
        <f t="shared" si="16"/>
        <v>0</v>
      </c>
      <c r="I98" s="300">
        <f t="shared" si="16"/>
        <v>0</v>
      </c>
      <c r="J98" s="300">
        <f t="shared" si="16"/>
        <v>0</v>
      </c>
      <c r="K98" s="300">
        <f t="shared" si="16"/>
        <v>0</v>
      </c>
      <c r="L98" s="300">
        <f t="shared" si="16"/>
        <v>0</v>
      </c>
      <c r="M98" s="300">
        <f t="shared" si="16"/>
        <v>0</v>
      </c>
      <c r="N98" s="300">
        <f t="shared" si="16"/>
        <v>0</v>
      </c>
      <c r="O98" s="300">
        <f t="shared" si="16"/>
        <v>0</v>
      </c>
      <c r="P98" s="301">
        <f t="shared" si="17"/>
        <v>0</v>
      </c>
      <c r="R98" s="35">
        <f t="shared" si="18"/>
        <v>0</v>
      </c>
    </row>
    <row r="99" spans="2:18" ht="23.1" customHeight="1">
      <c r="B99" s="299" t="str">
        <f>LR!B99</f>
        <v>610205 | BIAYA MEDIA CETAK DAN ELEKTRONIK</v>
      </c>
      <c r="C99" s="284"/>
      <c r="D99" s="300">
        <f t="shared" si="16"/>
        <v>0</v>
      </c>
      <c r="E99" s="300">
        <f t="shared" si="16"/>
        <v>0</v>
      </c>
      <c r="F99" s="300">
        <f t="shared" si="16"/>
        <v>0</v>
      </c>
      <c r="G99" s="300">
        <f t="shared" si="16"/>
        <v>0</v>
      </c>
      <c r="H99" s="300">
        <f t="shared" si="16"/>
        <v>0</v>
      </c>
      <c r="I99" s="300">
        <f t="shared" si="16"/>
        <v>0</v>
      </c>
      <c r="J99" s="300">
        <f t="shared" si="16"/>
        <v>0</v>
      </c>
      <c r="K99" s="300">
        <f t="shared" si="16"/>
        <v>0</v>
      </c>
      <c r="L99" s="300">
        <f t="shared" si="16"/>
        <v>0</v>
      </c>
      <c r="M99" s="300">
        <f t="shared" si="16"/>
        <v>0</v>
      </c>
      <c r="N99" s="300">
        <f t="shared" si="16"/>
        <v>0</v>
      </c>
      <c r="O99" s="300">
        <f t="shared" si="16"/>
        <v>0</v>
      </c>
      <c r="P99" s="301">
        <f t="shared" si="17"/>
        <v>0</v>
      </c>
      <c r="R99" s="35">
        <f t="shared" si="18"/>
        <v>0</v>
      </c>
    </row>
    <row r="100" spans="2:18" ht="23.1" customHeight="1">
      <c r="B100" s="299" t="str">
        <f>LR!B100</f>
        <v>610206 | BIAYA HONOR PANITIA DAN PEMERIKSA BARANG</v>
      </c>
      <c r="C100" s="284"/>
      <c r="D100" s="300">
        <f t="shared" si="16"/>
        <v>0</v>
      </c>
      <c r="E100" s="300">
        <f t="shared" si="16"/>
        <v>0</v>
      </c>
      <c r="F100" s="300">
        <f t="shared" si="16"/>
        <v>0</v>
      </c>
      <c r="G100" s="300">
        <f t="shared" si="16"/>
        <v>0</v>
      </c>
      <c r="H100" s="300">
        <f t="shared" si="16"/>
        <v>0</v>
      </c>
      <c r="I100" s="300">
        <f t="shared" si="16"/>
        <v>0</v>
      </c>
      <c r="J100" s="300">
        <f t="shared" si="16"/>
        <v>0</v>
      </c>
      <c r="K100" s="300">
        <f t="shared" si="16"/>
        <v>0</v>
      </c>
      <c r="L100" s="300">
        <f t="shared" si="16"/>
        <v>0</v>
      </c>
      <c r="M100" s="300">
        <f t="shared" si="16"/>
        <v>0</v>
      </c>
      <c r="N100" s="300">
        <f t="shared" si="16"/>
        <v>0</v>
      </c>
      <c r="O100" s="300">
        <f t="shared" si="16"/>
        <v>0</v>
      </c>
      <c r="P100" s="301">
        <f t="shared" si="17"/>
        <v>0</v>
      </c>
      <c r="R100" s="35">
        <f t="shared" si="18"/>
        <v>0</v>
      </c>
    </row>
    <row r="101" spans="2:18" ht="23.1" customHeight="1">
      <c r="B101" s="299" t="str">
        <f>LR!B101</f>
        <v>610207 | BIAYA ALAT TULIS KANTOR (ATK)</v>
      </c>
      <c r="C101" s="284"/>
      <c r="D101" s="300">
        <f t="shared" si="16"/>
        <v>0</v>
      </c>
      <c r="E101" s="300">
        <f t="shared" si="16"/>
        <v>0</v>
      </c>
      <c r="F101" s="300">
        <f t="shared" si="16"/>
        <v>0</v>
      </c>
      <c r="G101" s="300">
        <f t="shared" si="16"/>
        <v>0</v>
      </c>
      <c r="H101" s="300">
        <f t="shared" si="16"/>
        <v>0</v>
      </c>
      <c r="I101" s="300">
        <f t="shared" si="16"/>
        <v>0</v>
      </c>
      <c r="J101" s="300">
        <f t="shared" si="16"/>
        <v>0</v>
      </c>
      <c r="K101" s="300">
        <f t="shared" si="16"/>
        <v>0</v>
      </c>
      <c r="L101" s="300">
        <f t="shared" si="16"/>
        <v>0</v>
      </c>
      <c r="M101" s="300">
        <f t="shared" si="16"/>
        <v>0</v>
      </c>
      <c r="N101" s="300">
        <f t="shared" si="16"/>
        <v>0</v>
      </c>
      <c r="O101" s="300">
        <f t="shared" si="16"/>
        <v>0</v>
      </c>
      <c r="P101" s="301">
        <f t="shared" si="17"/>
        <v>0</v>
      </c>
      <c r="R101" s="35">
        <f t="shared" si="18"/>
        <v>0</v>
      </c>
    </row>
    <row r="102" spans="2:18" ht="23.1" customHeight="1">
      <c r="B102" s="299" t="str">
        <f>LR!B102</f>
        <v>610208 | BIAYA BENDA BENDA POS DAN MATERAI</v>
      </c>
      <c r="C102" s="284"/>
      <c r="D102" s="300">
        <f t="shared" ref="D102:O117" si="19">IF(INDEX(typ_sn,MATCH(INDEX(akun_type,MATCH($B102,akun_kb,0)),typ_ket,0))="db",SUMIFS(ju_sld,ju_bln,TEXT(D$8,"mmmm"),ju_kr,$B102,ju_div2,"kr"&amp;$S$4)-SUMIFS(ju_sld,ju_bln,TEXT(D$8,"mmmm"),ju_debet,$B102,ju_div2,"db"&amp;$S$4),SUMIFS(ju_sld,ju_bln,TEXT(D$8,"mmmm"),ju_kr,$B102,ju_div2,"kr"&amp;$S$4)-SUMIFS(ju_sld,ju_bln,TEXT(D$8,"mmmm"),ju_debet,$B102,ju_div2,"db"&amp;$S$4))</f>
        <v>0</v>
      </c>
      <c r="E102" s="300">
        <f t="shared" si="19"/>
        <v>0</v>
      </c>
      <c r="F102" s="300">
        <f t="shared" si="19"/>
        <v>0</v>
      </c>
      <c r="G102" s="300">
        <f t="shared" si="19"/>
        <v>0</v>
      </c>
      <c r="H102" s="300">
        <f t="shared" si="19"/>
        <v>0</v>
      </c>
      <c r="I102" s="300">
        <f t="shared" si="19"/>
        <v>0</v>
      </c>
      <c r="J102" s="300">
        <f t="shared" si="19"/>
        <v>0</v>
      </c>
      <c r="K102" s="300">
        <f t="shared" si="19"/>
        <v>0</v>
      </c>
      <c r="L102" s="300">
        <f t="shared" si="19"/>
        <v>0</v>
      </c>
      <c r="M102" s="300">
        <f t="shared" si="19"/>
        <v>0</v>
      </c>
      <c r="N102" s="300">
        <f t="shared" si="19"/>
        <v>0</v>
      </c>
      <c r="O102" s="300">
        <f t="shared" si="19"/>
        <v>0</v>
      </c>
      <c r="P102" s="301">
        <f t="shared" si="17"/>
        <v>0</v>
      </c>
      <c r="R102" s="35">
        <f t="shared" si="18"/>
        <v>0</v>
      </c>
    </row>
    <row r="103" spans="2:18" ht="23.1" customHeight="1">
      <c r="B103" s="299" t="str">
        <f>LR!B103</f>
        <v>610209 | BIAYA PEMELIHARAAN BANGUNAN KANTOR</v>
      </c>
      <c r="C103" s="284"/>
      <c r="D103" s="300">
        <f t="shared" si="19"/>
        <v>0</v>
      </c>
      <c r="E103" s="300">
        <f t="shared" si="19"/>
        <v>0</v>
      </c>
      <c r="F103" s="300">
        <f t="shared" si="19"/>
        <v>0</v>
      </c>
      <c r="G103" s="300">
        <f t="shared" si="19"/>
        <v>0</v>
      </c>
      <c r="H103" s="300">
        <f t="shared" si="19"/>
        <v>0</v>
      </c>
      <c r="I103" s="300">
        <f t="shared" si="19"/>
        <v>0</v>
      </c>
      <c r="J103" s="300">
        <f t="shared" si="19"/>
        <v>0</v>
      </c>
      <c r="K103" s="300">
        <f t="shared" si="19"/>
        <v>0</v>
      </c>
      <c r="L103" s="300">
        <f t="shared" si="19"/>
        <v>0</v>
      </c>
      <c r="M103" s="300">
        <f t="shared" si="19"/>
        <v>0</v>
      </c>
      <c r="N103" s="300">
        <f t="shared" si="19"/>
        <v>0</v>
      </c>
      <c r="O103" s="300">
        <f t="shared" si="19"/>
        <v>0</v>
      </c>
      <c r="P103" s="301">
        <f t="shared" si="17"/>
        <v>0</v>
      </c>
      <c r="R103" s="35">
        <f t="shared" si="18"/>
        <v>0</v>
      </c>
    </row>
    <row r="104" spans="2:18" ht="23.1" customHeight="1">
      <c r="B104" s="299" t="str">
        <f>LR!B104</f>
        <v>610210 | BIAYA PEMELIHARAAN INVENTARIS KANTOR</v>
      </c>
      <c r="C104" s="284"/>
      <c r="D104" s="300">
        <f t="shared" si="19"/>
        <v>0</v>
      </c>
      <c r="E104" s="300">
        <f t="shared" si="19"/>
        <v>0</v>
      </c>
      <c r="F104" s="300">
        <f t="shared" si="19"/>
        <v>0</v>
      </c>
      <c r="G104" s="300">
        <f t="shared" si="19"/>
        <v>0</v>
      </c>
      <c r="H104" s="300">
        <f t="shared" si="19"/>
        <v>0</v>
      </c>
      <c r="I104" s="300">
        <f t="shared" si="19"/>
        <v>0</v>
      </c>
      <c r="J104" s="300">
        <f t="shared" si="19"/>
        <v>0</v>
      </c>
      <c r="K104" s="300">
        <f t="shared" si="19"/>
        <v>0</v>
      </c>
      <c r="L104" s="300">
        <f t="shared" si="19"/>
        <v>0</v>
      </c>
      <c r="M104" s="300">
        <f t="shared" si="19"/>
        <v>0</v>
      </c>
      <c r="N104" s="300">
        <f t="shared" si="19"/>
        <v>0</v>
      </c>
      <c r="O104" s="300">
        <f t="shared" si="19"/>
        <v>0</v>
      </c>
      <c r="P104" s="301">
        <f t="shared" si="17"/>
        <v>0</v>
      </c>
      <c r="R104" s="35">
        <f t="shared" si="18"/>
        <v>0</v>
      </c>
    </row>
    <row r="105" spans="2:18" ht="23.1" customHeight="1">
      <c r="B105" s="299" t="str">
        <f>LR!B105</f>
        <v>610211 | BIAYA TELEPON KANTOR</v>
      </c>
      <c r="C105" s="284"/>
      <c r="D105" s="300">
        <f t="shared" si="19"/>
        <v>0</v>
      </c>
      <c r="E105" s="300">
        <f t="shared" si="19"/>
        <v>0</v>
      </c>
      <c r="F105" s="300">
        <f t="shared" si="19"/>
        <v>0</v>
      </c>
      <c r="G105" s="300">
        <f t="shared" si="19"/>
        <v>0</v>
      </c>
      <c r="H105" s="300">
        <f t="shared" si="19"/>
        <v>0</v>
      </c>
      <c r="I105" s="300">
        <f t="shared" si="19"/>
        <v>0</v>
      </c>
      <c r="J105" s="300">
        <f t="shared" si="19"/>
        <v>0</v>
      </c>
      <c r="K105" s="300">
        <f t="shared" si="19"/>
        <v>0</v>
      </c>
      <c r="L105" s="300">
        <f t="shared" si="19"/>
        <v>0</v>
      </c>
      <c r="M105" s="300">
        <f t="shared" si="19"/>
        <v>0</v>
      </c>
      <c r="N105" s="300">
        <f t="shared" si="19"/>
        <v>0</v>
      </c>
      <c r="O105" s="300">
        <f t="shared" si="19"/>
        <v>0</v>
      </c>
      <c r="P105" s="301">
        <f t="shared" si="17"/>
        <v>0</v>
      </c>
      <c r="R105" s="35">
        <f t="shared" si="18"/>
        <v>0</v>
      </c>
    </row>
    <row r="106" spans="2:18" ht="23.1" customHeight="1">
      <c r="B106" s="299" t="str">
        <f>LR!B106</f>
        <v>610212 | BIAYA LISTRIK DAN ENERGI KANTOR</v>
      </c>
      <c r="C106" s="284"/>
      <c r="D106" s="300">
        <f t="shared" si="19"/>
        <v>0</v>
      </c>
      <c r="E106" s="300">
        <f t="shared" si="19"/>
        <v>0</v>
      </c>
      <c r="F106" s="300">
        <f t="shared" si="19"/>
        <v>0</v>
      </c>
      <c r="G106" s="300">
        <f t="shared" si="19"/>
        <v>0</v>
      </c>
      <c r="H106" s="300">
        <f t="shared" si="19"/>
        <v>0</v>
      </c>
      <c r="I106" s="300">
        <f t="shared" si="19"/>
        <v>0</v>
      </c>
      <c r="J106" s="300">
        <f t="shared" si="19"/>
        <v>0</v>
      </c>
      <c r="K106" s="300">
        <f t="shared" si="19"/>
        <v>0</v>
      </c>
      <c r="L106" s="300">
        <f t="shared" si="19"/>
        <v>0</v>
      </c>
      <c r="M106" s="300">
        <f t="shared" si="19"/>
        <v>0</v>
      </c>
      <c r="N106" s="300">
        <f t="shared" si="19"/>
        <v>0</v>
      </c>
      <c r="O106" s="300">
        <f t="shared" si="19"/>
        <v>0</v>
      </c>
      <c r="P106" s="301">
        <f t="shared" si="17"/>
        <v>0</v>
      </c>
      <c r="R106" s="35">
        <f t="shared" si="18"/>
        <v>0</v>
      </c>
    </row>
    <row r="107" spans="2:18" ht="23.1" customHeight="1">
      <c r="B107" s="299" t="str">
        <f>LR!B107</f>
        <v>610213 | BIAYA SEWA FOTO COPY DAN PERJILIDAN</v>
      </c>
      <c r="C107" s="284"/>
      <c r="D107" s="300">
        <f t="shared" si="19"/>
        <v>0</v>
      </c>
      <c r="E107" s="300">
        <f t="shared" si="19"/>
        <v>0</v>
      </c>
      <c r="F107" s="300">
        <f t="shared" si="19"/>
        <v>0</v>
      </c>
      <c r="G107" s="300">
        <f t="shared" si="19"/>
        <v>0</v>
      </c>
      <c r="H107" s="300">
        <f t="shared" si="19"/>
        <v>0</v>
      </c>
      <c r="I107" s="300">
        <f t="shared" si="19"/>
        <v>0</v>
      </c>
      <c r="J107" s="300">
        <f t="shared" si="19"/>
        <v>0</v>
      </c>
      <c r="K107" s="300">
        <f t="shared" si="19"/>
        <v>0</v>
      </c>
      <c r="L107" s="300">
        <f t="shared" si="19"/>
        <v>0</v>
      </c>
      <c r="M107" s="300">
        <f t="shared" si="19"/>
        <v>0</v>
      </c>
      <c r="N107" s="300">
        <f t="shared" si="19"/>
        <v>0</v>
      </c>
      <c r="O107" s="300">
        <f t="shared" si="19"/>
        <v>0</v>
      </c>
      <c r="P107" s="301">
        <f t="shared" si="17"/>
        <v>0</v>
      </c>
      <c r="R107" s="35">
        <f t="shared" si="18"/>
        <v>0</v>
      </c>
    </row>
    <row r="108" spans="2:18" ht="23.1" customHeight="1">
      <c r="B108" s="299" t="str">
        <f>LR!B108</f>
        <v>610214 | TUNJANGAN UANG MAKAN DIREKSI</v>
      </c>
      <c r="C108" s="284"/>
      <c r="D108" s="300">
        <f t="shared" si="19"/>
        <v>0</v>
      </c>
      <c r="E108" s="300">
        <f t="shared" si="19"/>
        <v>0</v>
      </c>
      <c r="F108" s="300">
        <f t="shared" si="19"/>
        <v>0</v>
      </c>
      <c r="G108" s="300">
        <f t="shared" si="19"/>
        <v>0</v>
      </c>
      <c r="H108" s="300">
        <f t="shared" si="19"/>
        <v>0</v>
      </c>
      <c r="I108" s="300">
        <f t="shared" si="19"/>
        <v>0</v>
      </c>
      <c r="J108" s="300">
        <f t="shared" si="19"/>
        <v>0</v>
      </c>
      <c r="K108" s="300">
        <f t="shared" si="19"/>
        <v>0</v>
      </c>
      <c r="L108" s="300">
        <f t="shared" si="19"/>
        <v>0</v>
      </c>
      <c r="M108" s="300">
        <f t="shared" si="19"/>
        <v>0</v>
      </c>
      <c r="N108" s="300">
        <f t="shared" si="19"/>
        <v>0</v>
      </c>
      <c r="O108" s="300">
        <f t="shared" si="19"/>
        <v>0</v>
      </c>
      <c r="P108" s="301">
        <f t="shared" si="17"/>
        <v>0</v>
      </c>
      <c r="R108" s="35">
        <f t="shared" si="18"/>
        <v>0</v>
      </c>
    </row>
    <row r="109" spans="2:18" ht="23.1" customHeight="1">
      <c r="B109" s="299" t="str">
        <f>LR!B109</f>
        <v>610215 | BIAYA TAMU</v>
      </c>
      <c r="C109" s="284"/>
      <c r="D109" s="300">
        <f t="shared" si="19"/>
        <v>0</v>
      </c>
      <c r="E109" s="300">
        <f t="shared" si="19"/>
        <v>0</v>
      </c>
      <c r="F109" s="300">
        <f t="shared" si="19"/>
        <v>0</v>
      </c>
      <c r="G109" s="300">
        <f t="shared" si="19"/>
        <v>0</v>
      </c>
      <c r="H109" s="300">
        <f t="shared" si="19"/>
        <v>0</v>
      </c>
      <c r="I109" s="300">
        <f t="shared" si="19"/>
        <v>0</v>
      </c>
      <c r="J109" s="300">
        <f t="shared" si="19"/>
        <v>0</v>
      </c>
      <c r="K109" s="300">
        <f t="shared" si="19"/>
        <v>0</v>
      </c>
      <c r="L109" s="300">
        <f t="shared" si="19"/>
        <v>0</v>
      </c>
      <c r="M109" s="300">
        <f t="shared" si="19"/>
        <v>0</v>
      </c>
      <c r="N109" s="300">
        <f t="shared" si="19"/>
        <v>0</v>
      </c>
      <c r="O109" s="300">
        <f t="shared" si="19"/>
        <v>0</v>
      </c>
      <c r="P109" s="301">
        <f t="shared" si="17"/>
        <v>0</v>
      </c>
      <c r="R109" s="35">
        <f t="shared" si="18"/>
        <v>0</v>
      </c>
    </row>
    <row r="110" spans="2:18" ht="23.1" customHeight="1">
      <c r="B110" s="299" t="str">
        <f>LR!B110</f>
        <v>610216 | BIAYA PERALATAN DAN PERLENGKAPAN KANTOR</v>
      </c>
      <c r="C110" s="284"/>
      <c r="D110" s="300">
        <f t="shared" si="19"/>
        <v>0</v>
      </c>
      <c r="E110" s="300">
        <f t="shared" si="19"/>
        <v>0</v>
      </c>
      <c r="F110" s="300">
        <f t="shared" si="19"/>
        <v>0</v>
      </c>
      <c r="G110" s="300">
        <f t="shared" si="19"/>
        <v>0</v>
      </c>
      <c r="H110" s="300">
        <f t="shared" si="19"/>
        <v>0</v>
      </c>
      <c r="I110" s="300">
        <f t="shared" si="19"/>
        <v>0</v>
      </c>
      <c r="J110" s="300">
        <f t="shared" si="19"/>
        <v>0</v>
      </c>
      <c r="K110" s="300">
        <f t="shared" si="19"/>
        <v>0</v>
      </c>
      <c r="L110" s="300">
        <f t="shared" si="19"/>
        <v>0</v>
      </c>
      <c r="M110" s="300">
        <f t="shared" si="19"/>
        <v>0</v>
      </c>
      <c r="N110" s="300">
        <f t="shared" si="19"/>
        <v>0</v>
      </c>
      <c r="O110" s="300">
        <f t="shared" si="19"/>
        <v>0</v>
      </c>
      <c r="P110" s="301">
        <f t="shared" si="17"/>
        <v>0</v>
      </c>
      <c r="R110" s="35">
        <f t="shared" si="18"/>
        <v>0</v>
      </c>
    </row>
    <row r="111" spans="2:18" ht="23.1" customHeight="1">
      <c r="B111" s="299" t="str">
        <f>LR!B111</f>
        <v>610217 | BIAYA PERJALANAN DINAS</v>
      </c>
      <c r="C111" s="284"/>
      <c r="D111" s="300">
        <f t="shared" si="19"/>
        <v>0</v>
      </c>
      <c r="E111" s="300">
        <f t="shared" si="19"/>
        <v>0</v>
      </c>
      <c r="F111" s="300">
        <f t="shared" si="19"/>
        <v>0</v>
      </c>
      <c r="G111" s="300">
        <f t="shared" si="19"/>
        <v>0</v>
      </c>
      <c r="H111" s="300">
        <f t="shared" si="19"/>
        <v>0</v>
      </c>
      <c r="I111" s="300">
        <f t="shared" si="19"/>
        <v>0</v>
      </c>
      <c r="J111" s="300">
        <f t="shared" si="19"/>
        <v>0</v>
      </c>
      <c r="K111" s="300">
        <f t="shared" si="19"/>
        <v>0</v>
      </c>
      <c r="L111" s="300">
        <f t="shared" si="19"/>
        <v>0</v>
      </c>
      <c r="M111" s="300">
        <f t="shared" si="19"/>
        <v>0</v>
      </c>
      <c r="N111" s="300">
        <f t="shared" si="19"/>
        <v>0</v>
      </c>
      <c r="O111" s="300">
        <f t="shared" si="19"/>
        <v>0</v>
      </c>
      <c r="P111" s="301">
        <f t="shared" si="17"/>
        <v>0</v>
      </c>
      <c r="R111" s="35">
        <f t="shared" si="18"/>
        <v>0</v>
      </c>
    </row>
    <row r="112" spans="2:18" ht="23.1" customHeight="1">
      <c r="B112" s="299" t="str">
        <f>LR!B112</f>
        <v>610218 | BIAYA PAKAIAN DINAS DAN UPACARA RESMI</v>
      </c>
      <c r="C112" s="284"/>
      <c r="D112" s="300">
        <f t="shared" si="19"/>
        <v>0</v>
      </c>
      <c r="E112" s="300">
        <f t="shared" si="19"/>
        <v>0</v>
      </c>
      <c r="F112" s="300">
        <f t="shared" si="19"/>
        <v>0</v>
      </c>
      <c r="G112" s="300">
        <f t="shared" si="19"/>
        <v>0</v>
      </c>
      <c r="H112" s="300">
        <f t="shared" si="19"/>
        <v>0</v>
      </c>
      <c r="I112" s="300">
        <f t="shared" si="19"/>
        <v>0</v>
      </c>
      <c r="J112" s="300">
        <f t="shared" si="19"/>
        <v>0</v>
      </c>
      <c r="K112" s="300">
        <f t="shared" si="19"/>
        <v>0</v>
      </c>
      <c r="L112" s="300">
        <f t="shared" si="19"/>
        <v>0</v>
      </c>
      <c r="M112" s="300">
        <f t="shared" si="19"/>
        <v>0</v>
      </c>
      <c r="N112" s="300">
        <f t="shared" si="19"/>
        <v>0</v>
      </c>
      <c r="O112" s="300">
        <f t="shared" si="19"/>
        <v>0</v>
      </c>
      <c r="P112" s="301">
        <f t="shared" si="17"/>
        <v>0</v>
      </c>
      <c r="R112" s="35">
        <f t="shared" si="18"/>
        <v>0</v>
      </c>
    </row>
    <row r="113" spans="2:18" ht="23.1" customHeight="1">
      <c r="B113" s="299" t="str">
        <f>LR!B113</f>
        <v>610219 | BIAYA PAKAIAN OLAHRAGA</v>
      </c>
      <c r="C113" s="284"/>
      <c r="D113" s="300">
        <f t="shared" si="19"/>
        <v>0</v>
      </c>
      <c r="E113" s="300">
        <f t="shared" si="19"/>
        <v>0</v>
      </c>
      <c r="F113" s="300">
        <f t="shared" si="19"/>
        <v>0</v>
      </c>
      <c r="G113" s="300">
        <f t="shared" si="19"/>
        <v>0</v>
      </c>
      <c r="H113" s="300">
        <f t="shared" si="19"/>
        <v>0</v>
      </c>
      <c r="I113" s="300">
        <f t="shared" si="19"/>
        <v>0</v>
      </c>
      <c r="J113" s="300">
        <f t="shared" si="19"/>
        <v>0</v>
      </c>
      <c r="K113" s="300">
        <f t="shared" si="19"/>
        <v>0</v>
      </c>
      <c r="L113" s="300">
        <f t="shared" si="19"/>
        <v>0</v>
      </c>
      <c r="M113" s="300">
        <f t="shared" si="19"/>
        <v>0</v>
      </c>
      <c r="N113" s="300">
        <f t="shared" si="19"/>
        <v>0</v>
      </c>
      <c r="O113" s="300">
        <f t="shared" si="19"/>
        <v>0</v>
      </c>
      <c r="P113" s="301">
        <f t="shared" si="17"/>
        <v>0</v>
      </c>
      <c r="R113" s="35">
        <f t="shared" si="18"/>
        <v>0</v>
      </c>
    </row>
    <row r="114" spans="2:18" ht="23.1" customHeight="1">
      <c r="B114" s="299" t="str">
        <f>LR!B114</f>
        <v>610220 | BIAYA KEGIATAN DHARMA WANITA DAN KORPRI</v>
      </c>
      <c r="C114" s="284"/>
      <c r="D114" s="300">
        <f t="shared" si="19"/>
        <v>0</v>
      </c>
      <c r="E114" s="300">
        <f t="shared" si="19"/>
        <v>0</v>
      </c>
      <c r="F114" s="300">
        <f t="shared" si="19"/>
        <v>0</v>
      </c>
      <c r="G114" s="300">
        <f t="shared" si="19"/>
        <v>0</v>
      </c>
      <c r="H114" s="300">
        <f t="shared" si="19"/>
        <v>0</v>
      </c>
      <c r="I114" s="300">
        <f t="shared" si="19"/>
        <v>0</v>
      </c>
      <c r="J114" s="300">
        <f t="shared" si="19"/>
        <v>0</v>
      </c>
      <c r="K114" s="300">
        <f t="shared" si="19"/>
        <v>0</v>
      </c>
      <c r="L114" s="300">
        <f t="shared" si="19"/>
        <v>0</v>
      </c>
      <c r="M114" s="300">
        <f t="shared" si="19"/>
        <v>0</v>
      </c>
      <c r="N114" s="300">
        <f t="shared" si="19"/>
        <v>0</v>
      </c>
      <c r="O114" s="300">
        <f t="shared" si="19"/>
        <v>0</v>
      </c>
      <c r="P114" s="301">
        <f t="shared" si="17"/>
        <v>0</v>
      </c>
      <c r="R114" s="35">
        <f t="shared" si="18"/>
        <v>0</v>
      </c>
    </row>
    <row r="115" spans="2:18" ht="23.1" customHeight="1">
      <c r="B115" s="299" t="str">
        <f>LR!B115</f>
        <v>610221 | BIAYA PEMBINAAN KEAGAMAAN DAN OLAHRAGA</v>
      </c>
      <c r="C115" s="284"/>
      <c r="D115" s="300">
        <f t="shared" si="19"/>
        <v>0</v>
      </c>
      <c r="E115" s="300">
        <f t="shared" si="19"/>
        <v>0</v>
      </c>
      <c r="F115" s="300">
        <f t="shared" si="19"/>
        <v>0</v>
      </c>
      <c r="G115" s="300">
        <f t="shared" si="19"/>
        <v>0</v>
      </c>
      <c r="H115" s="300">
        <f t="shared" si="19"/>
        <v>0</v>
      </c>
      <c r="I115" s="300">
        <f t="shared" si="19"/>
        <v>0</v>
      </c>
      <c r="J115" s="300">
        <f t="shared" si="19"/>
        <v>0</v>
      </c>
      <c r="K115" s="300">
        <f t="shared" si="19"/>
        <v>0</v>
      </c>
      <c r="L115" s="300">
        <f t="shared" si="19"/>
        <v>0</v>
      </c>
      <c r="M115" s="300">
        <f t="shared" si="19"/>
        <v>0</v>
      </c>
      <c r="N115" s="300">
        <f t="shared" si="19"/>
        <v>0</v>
      </c>
      <c r="O115" s="300">
        <f t="shared" si="19"/>
        <v>0</v>
      </c>
      <c r="P115" s="301">
        <f t="shared" si="17"/>
        <v>0</v>
      </c>
      <c r="R115" s="35">
        <f t="shared" si="18"/>
        <v>0</v>
      </c>
    </row>
    <row r="116" spans="2:18" ht="23.1" customHeight="1">
      <c r="B116" s="299" t="str">
        <f>LR!B116</f>
        <v>610222 | BIAYA PERAYAAN DAERAH DAN NASIONAL</v>
      </c>
      <c r="C116" s="284"/>
      <c r="D116" s="300">
        <f t="shared" si="19"/>
        <v>0</v>
      </c>
      <c r="E116" s="300">
        <f t="shared" si="19"/>
        <v>0</v>
      </c>
      <c r="F116" s="300">
        <f t="shared" si="19"/>
        <v>0</v>
      </c>
      <c r="G116" s="300">
        <f t="shared" si="19"/>
        <v>0</v>
      </c>
      <c r="H116" s="300">
        <f t="shared" si="19"/>
        <v>0</v>
      </c>
      <c r="I116" s="300">
        <f t="shared" si="19"/>
        <v>0</v>
      </c>
      <c r="J116" s="300">
        <f t="shared" si="19"/>
        <v>0</v>
      </c>
      <c r="K116" s="300">
        <f t="shared" si="19"/>
        <v>0</v>
      </c>
      <c r="L116" s="300">
        <f t="shared" si="19"/>
        <v>0</v>
      </c>
      <c r="M116" s="300">
        <f t="shared" si="19"/>
        <v>0</v>
      </c>
      <c r="N116" s="300">
        <f t="shared" si="19"/>
        <v>0</v>
      </c>
      <c r="O116" s="300">
        <f t="shared" si="19"/>
        <v>0</v>
      </c>
      <c r="P116" s="301">
        <f t="shared" si="17"/>
        <v>0</v>
      </c>
      <c r="R116" s="35">
        <f t="shared" si="18"/>
        <v>0</v>
      </c>
    </row>
    <row r="117" spans="2:18" ht="23.1" customHeight="1">
      <c r="B117" s="299" t="str">
        <f>LR!B117</f>
        <v>610223 | BIAYA JASA AUDIT</v>
      </c>
      <c r="C117" s="284"/>
      <c r="D117" s="300">
        <f t="shared" si="19"/>
        <v>0</v>
      </c>
      <c r="E117" s="300">
        <f t="shared" si="19"/>
        <v>0</v>
      </c>
      <c r="F117" s="300">
        <f t="shared" si="19"/>
        <v>0</v>
      </c>
      <c r="G117" s="300">
        <f t="shared" si="19"/>
        <v>0</v>
      </c>
      <c r="H117" s="300">
        <f t="shared" si="19"/>
        <v>0</v>
      </c>
      <c r="I117" s="300">
        <f t="shared" si="19"/>
        <v>0</v>
      </c>
      <c r="J117" s="300">
        <f t="shared" si="19"/>
        <v>0</v>
      </c>
      <c r="K117" s="300">
        <f t="shared" si="19"/>
        <v>0</v>
      </c>
      <c r="L117" s="300">
        <f t="shared" si="19"/>
        <v>0</v>
      </c>
      <c r="M117" s="300">
        <f t="shared" si="19"/>
        <v>0</v>
      </c>
      <c r="N117" s="300">
        <f t="shared" si="19"/>
        <v>0</v>
      </c>
      <c r="O117" s="300">
        <f t="shared" si="19"/>
        <v>0</v>
      </c>
      <c r="P117" s="301">
        <f t="shared" si="17"/>
        <v>0</v>
      </c>
      <c r="R117" s="35">
        <f t="shared" si="18"/>
        <v>0</v>
      </c>
    </row>
    <row r="118" spans="2:18" ht="23.1" customHeight="1">
      <c r="B118" s="299" t="str">
        <f>LR!B118</f>
        <v>610225 | BIAYA FAMILY GATHERING</v>
      </c>
      <c r="C118" s="284"/>
      <c r="D118" s="300">
        <f t="shared" ref="D118:O133" si="20">IF(INDEX(typ_sn,MATCH(INDEX(akun_type,MATCH($B118,akun_kb,0)),typ_ket,0))="db",SUMIFS(ju_sld,ju_bln,TEXT(D$8,"mmmm"),ju_kr,$B118,ju_div2,"kr"&amp;$S$4)-SUMIFS(ju_sld,ju_bln,TEXT(D$8,"mmmm"),ju_debet,$B118,ju_div2,"db"&amp;$S$4),SUMIFS(ju_sld,ju_bln,TEXT(D$8,"mmmm"),ju_kr,$B118,ju_div2,"kr"&amp;$S$4)-SUMIFS(ju_sld,ju_bln,TEXT(D$8,"mmmm"),ju_debet,$B118,ju_div2,"db"&amp;$S$4))</f>
        <v>0</v>
      </c>
      <c r="E118" s="300">
        <f t="shared" si="20"/>
        <v>0</v>
      </c>
      <c r="F118" s="300">
        <f t="shared" si="20"/>
        <v>0</v>
      </c>
      <c r="G118" s="300">
        <f t="shared" si="20"/>
        <v>0</v>
      </c>
      <c r="H118" s="300">
        <f t="shared" si="20"/>
        <v>0</v>
      </c>
      <c r="I118" s="300">
        <f t="shared" si="20"/>
        <v>0</v>
      </c>
      <c r="J118" s="300">
        <f t="shared" si="20"/>
        <v>0</v>
      </c>
      <c r="K118" s="300">
        <f t="shared" si="20"/>
        <v>0</v>
      </c>
      <c r="L118" s="300">
        <f t="shared" si="20"/>
        <v>0</v>
      </c>
      <c r="M118" s="300">
        <f t="shared" si="20"/>
        <v>0</v>
      </c>
      <c r="N118" s="300">
        <f t="shared" si="20"/>
        <v>0</v>
      </c>
      <c r="O118" s="300">
        <f t="shared" si="20"/>
        <v>0</v>
      </c>
      <c r="P118" s="301">
        <f t="shared" si="17"/>
        <v>0</v>
      </c>
      <c r="R118" s="35">
        <f t="shared" si="18"/>
        <v>0</v>
      </c>
    </row>
    <row r="119" spans="2:18" ht="23.1" customHeight="1">
      <c r="B119" s="299" t="str">
        <f>LR!B119</f>
        <v>610226 | BIAYA PENDIDIKAN</v>
      </c>
      <c r="C119" s="284"/>
      <c r="D119" s="300">
        <f t="shared" si="20"/>
        <v>0</v>
      </c>
      <c r="E119" s="300">
        <f t="shared" si="20"/>
        <v>0</v>
      </c>
      <c r="F119" s="300">
        <f t="shared" si="20"/>
        <v>0</v>
      </c>
      <c r="G119" s="300">
        <f t="shared" si="20"/>
        <v>0</v>
      </c>
      <c r="H119" s="300">
        <f t="shared" si="20"/>
        <v>0</v>
      </c>
      <c r="I119" s="300">
        <f t="shared" si="20"/>
        <v>0</v>
      </c>
      <c r="J119" s="300">
        <f t="shared" si="20"/>
        <v>0</v>
      </c>
      <c r="K119" s="300">
        <f t="shared" si="20"/>
        <v>0</v>
      </c>
      <c r="L119" s="300">
        <f t="shared" si="20"/>
        <v>0</v>
      </c>
      <c r="M119" s="300">
        <f t="shared" si="20"/>
        <v>0</v>
      </c>
      <c r="N119" s="300">
        <f t="shared" si="20"/>
        <v>0</v>
      </c>
      <c r="O119" s="300">
        <f t="shared" si="20"/>
        <v>0</v>
      </c>
      <c r="P119" s="301">
        <f t="shared" si="17"/>
        <v>0</v>
      </c>
      <c r="R119" s="35">
        <f t="shared" si="18"/>
        <v>0</v>
      </c>
    </row>
    <row r="120" spans="2:18" ht="23.1" customHeight="1">
      <c r="B120" s="299" t="str">
        <f>LR!B120</f>
        <v>610227 | BIAYA REWARD PEGAWAI</v>
      </c>
      <c r="C120" s="284"/>
      <c r="D120" s="300">
        <f t="shared" si="20"/>
        <v>0</v>
      </c>
      <c r="E120" s="300">
        <f t="shared" si="20"/>
        <v>0</v>
      </c>
      <c r="F120" s="300">
        <f t="shared" si="20"/>
        <v>0</v>
      </c>
      <c r="G120" s="300">
        <f t="shared" si="20"/>
        <v>0</v>
      </c>
      <c r="H120" s="300">
        <f t="shared" si="20"/>
        <v>0</v>
      </c>
      <c r="I120" s="300">
        <f t="shared" si="20"/>
        <v>0</v>
      </c>
      <c r="J120" s="300">
        <f t="shared" si="20"/>
        <v>0</v>
      </c>
      <c r="K120" s="300">
        <f t="shared" si="20"/>
        <v>0</v>
      </c>
      <c r="L120" s="300">
        <f t="shared" si="20"/>
        <v>0</v>
      </c>
      <c r="M120" s="300">
        <f t="shared" si="20"/>
        <v>0</v>
      </c>
      <c r="N120" s="300">
        <f t="shared" si="20"/>
        <v>0</v>
      </c>
      <c r="O120" s="300">
        <f t="shared" si="20"/>
        <v>0</v>
      </c>
      <c r="P120" s="301">
        <f t="shared" si="17"/>
        <v>0</v>
      </c>
      <c r="R120" s="35">
        <f t="shared" si="18"/>
        <v>0</v>
      </c>
    </row>
    <row r="121" spans="2:18" ht="23.1" customHeight="1">
      <c r="B121" s="299" t="str">
        <f>LR!B121</f>
        <v>610228 | BIAYA ASURANSI DAN SANTUNAN JUKIR DAN PEGAWAI</v>
      </c>
      <c r="C121" s="284"/>
      <c r="D121" s="300">
        <f t="shared" si="20"/>
        <v>0</v>
      </c>
      <c r="E121" s="300">
        <f t="shared" si="20"/>
        <v>0</v>
      </c>
      <c r="F121" s="300">
        <f t="shared" si="20"/>
        <v>0</v>
      </c>
      <c r="G121" s="300">
        <f t="shared" si="20"/>
        <v>0</v>
      </c>
      <c r="H121" s="300">
        <f t="shared" si="20"/>
        <v>0</v>
      </c>
      <c r="I121" s="300">
        <f t="shared" si="20"/>
        <v>0</v>
      </c>
      <c r="J121" s="300">
        <f t="shared" si="20"/>
        <v>0</v>
      </c>
      <c r="K121" s="300">
        <f t="shared" si="20"/>
        <v>0</v>
      </c>
      <c r="L121" s="300">
        <f t="shared" si="20"/>
        <v>0</v>
      </c>
      <c r="M121" s="300">
        <f t="shared" si="20"/>
        <v>0</v>
      </c>
      <c r="N121" s="300">
        <f t="shared" si="20"/>
        <v>0</v>
      </c>
      <c r="O121" s="300">
        <f t="shared" si="20"/>
        <v>0</v>
      </c>
      <c r="P121" s="301">
        <f t="shared" si="17"/>
        <v>0</v>
      </c>
      <c r="R121" s="35">
        <f t="shared" si="18"/>
        <v>0</v>
      </c>
    </row>
    <row r="122" spans="2:18" ht="23.1" customHeight="1">
      <c r="B122" s="299" t="str">
        <f>LR!B122</f>
        <v>610229 | BIAYA PAJAK PPH BADAN</v>
      </c>
      <c r="C122" s="284"/>
      <c r="D122" s="300">
        <f t="shared" si="20"/>
        <v>0</v>
      </c>
      <c r="E122" s="300">
        <f t="shared" si="20"/>
        <v>0</v>
      </c>
      <c r="F122" s="300">
        <f t="shared" si="20"/>
        <v>0</v>
      </c>
      <c r="G122" s="300">
        <f t="shared" si="20"/>
        <v>0</v>
      </c>
      <c r="H122" s="300">
        <f t="shared" si="20"/>
        <v>0</v>
      </c>
      <c r="I122" s="300">
        <f t="shared" si="20"/>
        <v>0</v>
      </c>
      <c r="J122" s="300">
        <f t="shared" si="20"/>
        <v>0</v>
      </c>
      <c r="K122" s="300">
        <f t="shared" si="20"/>
        <v>0</v>
      </c>
      <c r="L122" s="300">
        <f t="shared" si="20"/>
        <v>0</v>
      </c>
      <c r="M122" s="300">
        <f t="shared" si="20"/>
        <v>0</v>
      </c>
      <c r="N122" s="300">
        <f t="shared" si="20"/>
        <v>0</v>
      </c>
      <c r="O122" s="300">
        <f t="shared" si="20"/>
        <v>0</v>
      </c>
      <c r="P122" s="301">
        <f t="shared" si="17"/>
        <v>0</v>
      </c>
      <c r="R122" s="35">
        <f t="shared" si="18"/>
        <v>0</v>
      </c>
    </row>
    <row r="123" spans="2:18" ht="23.1" customHeight="1">
      <c r="B123" s="299" t="str">
        <f>LR!B123</f>
        <v>610230 | BIAYA INSENTIF PEMBUATAN RKAP DAN PERDA</v>
      </c>
      <c r="C123" s="284"/>
      <c r="D123" s="300">
        <f t="shared" si="20"/>
        <v>0</v>
      </c>
      <c r="E123" s="300">
        <f t="shared" si="20"/>
        <v>0</v>
      </c>
      <c r="F123" s="300">
        <f t="shared" si="20"/>
        <v>0</v>
      </c>
      <c r="G123" s="300">
        <f t="shared" si="20"/>
        <v>0</v>
      </c>
      <c r="H123" s="300">
        <f t="shared" si="20"/>
        <v>0</v>
      </c>
      <c r="I123" s="300">
        <f t="shared" si="20"/>
        <v>0</v>
      </c>
      <c r="J123" s="300">
        <f t="shared" si="20"/>
        <v>0</v>
      </c>
      <c r="K123" s="300">
        <f t="shared" si="20"/>
        <v>0</v>
      </c>
      <c r="L123" s="300">
        <f t="shared" si="20"/>
        <v>0</v>
      </c>
      <c r="M123" s="300">
        <f t="shared" si="20"/>
        <v>0</v>
      </c>
      <c r="N123" s="300">
        <f t="shared" si="20"/>
        <v>0</v>
      </c>
      <c r="O123" s="300">
        <f t="shared" si="20"/>
        <v>0</v>
      </c>
      <c r="P123" s="301">
        <f t="shared" si="17"/>
        <v>0</v>
      </c>
      <c r="R123" s="35">
        <f t="shared" si="18"/>
        <v>0</v>
      </c>
    </row>
    <row r="124" spans="2:18" ht="23.1" customHeight="1">
      <c r="B124" s="299" t="str">
        <f>LR!B124</f>
        <v>610231 | BIAYA HONOR TIM AHLI</v>
      </c>
      <c r="C124" s="284"/>
      <c r="D124" s="300">
        <f t="shared" si="20"/>
        <v>0</v>
      </c>
      <c r="E124" s="300">
        <f t="shared" si="20"/>
        <v>0</v>
      </c>
      <c r="F124" s="300">
        <f t="shared" si="20"/>
        <v>0</v>
      </c>
      <c r="G124" s="300">
        <f t="shared" si="20"/>
        <v>0</v>
      </c>
      <c r="H124" s="300">
        <f t="shared" si="20"/>
        <v>0</v>
      </c>
      <c r="I124" s="300">
        <f t="shared" si="20"/>
        <v>0</v>
      </c>
      <c r="J124" s="300">
        <f t="shared" si="20"/>
        <v>0</v>
      </c>
      <c r="K124" s="300">
        <f t="shared" si="20"/>
        <v>0</v>
      </c>
      <c r="L124" s="300">
        <f t="shared" si="20"/>
        <v>0</v>
      </c>
      <c r="M124" s="300">
        <f t="shared" si="20"/>
        <v>0</v>
      </c>
      <c r="N124" s="300">
        <f t="shared" si="20"/>
        <v>0</v>
      </c>
      <c r="O124" s="300">
        <f t="shared" si="20"/>
        <v>0</v>
      </c>
      <c r="P124" s="301">
        <f t="shared" si="17"/>
        <v>0</v>
      </c>
      <c r="R124" s="35">
        <f t="shared" si="18"/>
        <v>0</v>
      </c>
    </row>
    <row r="125" spans="2:18" ht="23.1" customHeight="1">
      <c r="B125" s="299" t="str">
        <f>LR!B125</f>
        <v>610232 | BIAYA ASSESMENT PEGAWAI</v>
      </c>
      <c r="C125" s="284"/>
      <c r="D125" s="300">
        <f t="shared" si="20"/>
        <v>0</v>
      </c>
      <c r="E125" s="300">
        <f t="shared" si="20"/>
        <v>0</v>
      </c>
      <c r="F125" s="300">
        <f t="shared" si="20"/>
        <v>0</v>
      </c>
      <c r="G125" s="300">
        <f t="shared" si="20"/>
        <v>0</v>
      </c>
      <c r="H125" s="300">
        <f t="shared" si="20"/>
        <v>0</v>
      </c>
      <c r="I125" s="300">
        <f t="shared" si="20"/>
        <v>0</v>
      </c>
      <c r="J125" s="300">
        <f t="shared" si="20"/>
        <v>0</v>
      </c>
      <c r="K125" s="300">
        <f t="shared" si="20"/>
        <v>0</v>
      </c>
      <c r="L125" s="300">
        <f t="shared" si="20"/>
        <v>0</v>
      </c>
      <c r="M125" s="300">
        <f t="shared" si="20"/>
        <v>0</v>
      </c>
      <c r="N125" s="300">
        <f t="shared" si="20"/>
        <v>0</v>
      </c>
      <c r="O125" s="300">
        <f t="shared" si="20"/>
        <v>0</v>
      </c>
      <c r="P125" s="301">
        <f t="shared" si="17"/>
        <v>0</v>
      </c>
      <c r="R125" s="35">
        <f t="shared" si="18"/>
        <v>0</v>
      </c>
    </row>
    <row r="126" spans="2:18" ht="23.1" customHeight="1">
      <c r="B126" s="299" t="str">
        <f>LR!B126</f>
        <v>610233 | BIAYA RAKORD DAN RAPAT KERJA PD. PARKIR</v>
      </c>
      <c r="C126" s="284"/>
      <c r="D126" s="300">
        <f t="shared" si="20"/>
        <v>0</v>
      </c>
      <c r="E126" s="300">
        <f t="shared" si="20"/>
        <v>0</v>
      </c>
      <c r="F126" s="300">
        <f t="shared" si="20"/>
        <v>0</v>
      </c>
      <c r="G126" s="300">
        <f t="shared" si="20"/>
        <v>0</v>
      </c>
      <c r="H126" s="300">
        <f t="shared" si="20"/>
        <v>0</v>
      </c>
      <c r="I126" s="300">
        <f t="shared" si="20"/>
        <v>0</v>
      </c>
      <c r="J126" s="300">
        <f t="shared" si="20"/>
        <v>0</v>
      </c>
      <c r="K126" s="300">
        <f t="shared" si="20"/>
        <v>0</v>
      </c>
      <c r="L126" s="300">
        <f t="shared" si="20"/>
        <v>0</v>
      </c>
      <c r="M126" s="300">
        <f t="shared" si="20"/>
        <v>0</v>
      </c>
      <c r="N126" s="300">
        <f t="shared" si="20"/>
        <v>0</v>
      </c>
      <c r="O126" s="300">
        <f t="shared" si="20"/>
        <v>0</v>
      </c>
      <c r="P126" s="301">
        <f t="shared" si="17"/>
        <v>0</v>
      </c>
      <c r="R126" s="35">
        <f t="shared" si="18"/>
        <v>0</v>
      </c>
    </row>
    <row r="127" spans="2:18" ht="23.1" customHeight="1">
      <c r="B127" s="299" t="str">
        <f>LR!B127</f>
        <v>610234 | BEBAN PESANGON</v>
      </c>
      <c r="C127" s="284"/>
      <c r="D127" s="300">
        <f t="shared" si="20"/>
        <v>0</v>
      </c>
      <c r="E127" s="300">
        <f t="shared" si="20"/>
        <v>0</v>
      </c>
      <c r="F127" s="300">
        <f t="shared" si="20"/>
        <v>0</v>
      </c>
      <c r="G127" s="300">
        <f t="shared" si="20"/>
        <v>0</v>
      </c>
      <c r="H127" s="300">
        <f t="shared" si="20"/>
        <v>0</v>
      </c>
      <c r="I127" s="300">
        <f t="shared" si="20"/>
        <v>0</v>
      </c>
      <c r="J127" s="300">
        <f t="shared" si="20"/>
        <v>0</v>
      </c>
      <c r="K127" s="300">
        <f t="shared" si="20"/>
        <v>0</v>
      </c>
      <c r="L127" s="300">
        <f t="shared" si="20"/>
        <v>0</v>
      </c>
      <c r="M127" s="300">
        <f t="shared" si="20"/>
        <v>0</v>
      </c>
      <c r="N127" s="300">
        <f t="shared" si="20"/>
        <v>0</v>
      </c>
      <c r="O127" s="300">
        <f t="shared" si="20"/>
        <v>0</v>
      </c>
      <c r="P127" s="301">
        <f t="shared" si="17"/>
        <v>0</v>
      </c>
      <c r="R127" s="35">
        <f t="shared" si="18"/>
        <v>0</v>
      </c>
    </row>
    <row r="128" spans="2:18" ht="23.1" customHeight="1">
      <c r="B128" s="299" t="str">
        <f>LR!B128</f>
        <v>610235 | BIAYA PENGHARGAAN</v>
      </c>
      <c r="C128" s="284"/>
      <c r="D128" s="300">
        <f t="shared" si="20"/>
        <v>0</v>
      </c>
      <c r="E128" s="300">
        <f t="shared" si="20"/>
        <v>0</v>
      </c>
      <c r="F128" s="300">
        <f t="shared" si="20"/>
        <v>0</v>
      </c>
      <c r="G128" s="300">
        <f t="shared" si="20"/>
        <v>0</v>
      </c>
      <c r="H128" s="300">
        <f t="shared" si="20"/>
        <v>0</v>
      </c>
      <c r="I128" s="300">
        <f t="shared" si="20"/>
        <v>0</v>
      </c>
      <c r="J128" s="300">
        <f t="shared" si="20"/>
        <v>0</v>
      </c>
      <c r="K128" s="300">
        <f t="shared" si="20"/>
        <v>0</v>
      </c>
      <c r="L128" s="300">
        <f t="shared" si="20"/>
        <v>0</v>
      </c>
      <c r="M128" s="300">
        <f t="shared" si="20"/>
        <v>0</v>
      </c>
      <c r="N128" s="300">
        <f t="shared" si="20"/>
        <v>0</v>
      </c>
      <c r="O128" s="300">
        <f t="shared" si="20"/>
        <v>0</v>
      </c>
      <c r="P128" s="301">
        <f t="shared" ref="P128:P171" si="21">SUM(D128:O128)</f>
        <v>0</v>
      </c>
      <c r="R128" s="35">
        <f t="shared" ref="R128:R171" si="22">IF(OR(P128&gt;0,P128&lt;0,P128=""),1,0)</f>
        <v>0</v>
      </c>
    </row>
    <row r="129" spans="2:18" ht="23.1" customHeight="1">
      <c r="B129" s="299" t="str">
        <f>LR!B129</f>
        <v>610236 | BEBAN PENGHAPUSAN PIUTANG TAK TERTAGIH</v>
      </c>
      <c r="C129" s="284"/>
      <c r="D129" s="300">
        <f t="shared" si="20"/>
        <v>0</v>
      </c>
      <c r="E129" s="300">
        <f t="shared" si="20"/>
        <v>0</v>
      </c>
      <c r="F129" s="300">
        <f t="shared" si="20"/>
        <v>0</v>
      </c>
      <c r="G129" s="300">
        <f t="shared" si="20"/>
        <v>0</v>
      </c>
      <c r="H129" s="300">
        <f t="shared" si="20"/>
        <v>0</v>
      </c>
      <c r="I129" s="300">
        <f t="shared" si="20"/>
        <v>0</v>
      </c>
      <c r="J129" s="300">
        <f t="shared" si="20"/>
        <v>0</v>
      </c>
      <c r="K129" s="300">
        <f t="shared" si="20"/>
        <v>0</v>
      </c>
      <c r="L129" s="300">
        <f t="shared" si="20"/>
        <v>0</v>
      </c>
      <c r="M129" s="300">
        <f t="shared" si="20"/>
        <v>0</v>
      </c>
      <c r="N129" s="300">
        <f t="shared" si="20"/>
        <v>0</v>
      </c>
      <c r="O129" s="300">
        <f t="shared" si="20"/>
        <v>0</v>
      </c>
      <c r="P129" s="301">
        <f t="shared" si="21"/>
        <v>0</v>
      </c>
      <c r="R129" s="35">
        <f t="shared" si="22"/>
        <v>0</v>
      </c>
    </row>
    <row r="130" spans="2:18" ht="23.1" customHeight="1">
      <c r="B130" s="299" t="str">
        <f>LR!B130</f>
        <v>610237 | BEBAN DENDA PAJAK</v>
      </c>
      <c r="C130" s="284"/>
      <c r="D130" s="300">
        <f t="shared" si="20"/>
        <v>0</v>
      </c>
      <c r="E130" s="300">
        <f t="shared" si="20"/>
        <v>0</v>
      </c>
      <c r="F130" s="300">
        <f t="shared" si="20"/>
        <v>0</v>
      </c>
      <c r="G130" s="300">
        <f t="shared" si="20"/>
        <v>0</v>
      </c>
      <c r="H130" s="300">
        <f t="shared" si="20"/>
        <v>0</v>
      </c>
      <c r="I130" s="300">
        <f t="shared" si="20"/>
        <v>0</v>
      </c>
      <c r="J130" s="300">
        <f t="shared" si="20"/>
        <v>0</v>
      </c>
      <c r="K130" s="300">
        <f t="shared" si="20"/>
        <v>0</v>
      </c>
      <c r="L130" s="300">
        <f t="shared" si="20"/>
        <v>0</v>
      </c>
      <c r="M130" s="300">
        <f t="shared" si="20"/>
        <v>0</v>
      </c>
      <c r="N130" s="300">
        <f t="shared" si="20"/>
        <v>0</v>
      </c>
      <c r="O130" s="300">
        <f t="shared" si="20"/>
        <v>0</v>
      </c>
      <c r="P130" s="301">
        <f t="shared" si="21"/>
        <v>0</v>
      </c>
      <c r="R130" s="35">
        <f t="shared" si="22"/>
        <v>0</v>
      </c>
    </row>
    <row r="131" spans="2:18" ht="23.1" customHeight="1">
      <c r="B131" s="299" t="str">
        <f>LR!B131</f>
        <v xml:space="preserve">610238 | BEBAN PAJAK TERUTANG </v>
      </c>
      <c r="C131" s="284"/>
      <c r="D131" s="300">
        <f t="shared" si="20"/>
        <v>0</v>
      </c>
      <c r="E131" s="300">
        <f t="shared" si="20"/>
        <v>0</v>
      </c>
      <c r="F131" s="300">
        <f t="shared" si="20"/>
        <v>0</v>
      </c>
      <c r="G131" s="300">
        <f t="shared" si="20"/>
        <v>0</v>
      </c>
      <c r="H131" s="300">
        <f t="shared" si="20"/>
        <v>0</v>
      </c>
      <c r="I131" s="300">
        <f t="shared" si="20"/>
        <v>0</v>
      </c>
      <c r="J131" s="300">
        <f t="shared" si="20"/>
        <v>0</v>
      </c>
      <c r="K131" s="300">
        <f t="shared" si="20"/>
        <v>0</v>
      </c>
      <c r="L131" s="300">
        <f t="shared" si="20"/>
        <v>0</v>
      </c>
      <c r="M131" s="300">
        <f t="shared" si="20"/>
        <v>0</v>
      </c>
      <c r="N131" s="300">
        <f t="shared" si="20"/>
        <v>0</v>
      </c>
      <c r="O131" s="300">
        <f t="shared" si="20"/>
        <v>0</v>
      </c>
      <c r="P131" s="301">
        <f t="shared" si="21"/>
        <v>0</v>
      </c>
      <c r="R131" s="35">
        <f t="shared" si="22"/>
        <v>0</v>
      </c>
    </row>
    <row r="132" spans="2:18" ht="23.1" customHeight="1">
      <c r="B132" s="299" t="str">
        <f>LR!B132</f>
        <v>610239 | BEBAN DIVIDEN</v>
      </c>
      <c r="C132" s="284"/>
      <c r="D132" s="300">
        <f t="shared" si="20"/>
        <v>0</v>
      </c>
      <c r="E132" s="300">
        <f t="shared" si="20"/>
        <v>0</v>
      </c>
      <c r="F132" s="300">
        <f t="shared" si="20"/>
        <v>0</v>
      </c>
      <c r="G132" s="300">
        <f t="shared" si="20"/>
        <v>0</v>
      </c>
      <c r="H132" s="300">
        <f t="shared" si="20"/>
        <v>0</v>
      </c>
      <c r="I132" s="300">
        <f t="shared" si="20"/>
        <v>0</v>
      </c>
      <c r="J132" s="300">
        <f t="shared" si="20"/>
        <v>0</v>
      </c>
      <c r="K132" s="300">
        <f t="shared" si="20"/>
        <v>0</v>
      </c>
      <c r="L132" s="300">
        <f t="shared" si="20"/>
        <v>0</v>
      </c>
      <c r="M132" s="300">
        <f t="shared" si="20"/>
        <v>0</v>
      </c>
      <c r="N132" s="300">
        <f t="shared" si="20"/>
        <v>0</v>
      </c>
      <c r="O132" s="300">
        <f t="shared" si="20"/>
        <v>0</v>
      </c>
      <c r="P132" s="301">
        <f t="shared" si="21"/>
        <v>0</v>
      </c>
      <c r="R132" s="35">
        <f t="shared" si="22"/>
        <v>0</v>
      </c>
    </row>
    <row r="133" spans="2:18" ht="23.1" customHeight="1">
      <c r="B133" s="299" t="str">
        <f>LR!B133</f>
        <v>610240 | BEBAN PEMBUATAN BISNIS PLAN</v>
      </c>
      <c r="C133" s="284"/>
      <c r="D133" s="300">
        <f t="shared" si="20"/>
        <v>0</v>
      </c>
      <c r="E133" s="300">
        <f t="shared" si="20"/>
        <v>0</v>
      </c>
      <c r="F133" s="300">
        <f t="shared" si="20"/>
        <v>0</v>
      </c>
      <c r="G133" s="300">
        <f t="shared" si="20"/>
        <v>0</v>
      </c>
      <c r="H133" s="300">
        <f t="shared" si="20"/>
        <v>0</v>
      </c>
      <c r="I133" s="300">
        <f t="shared" si="20"/>
        <v>0</v>
      </c>
      <c r="J133" s="300">
        <f t="shared" si="20"/>
        <v>0</v>
      </c>
      <c r="K133" s="300">
        <f t="shared" si="20"/>
        <v>0</v>
      </c>
      <c r="L133" s="300">
        <f t="shared" si="20"/>
        <v>0</v>
      </c>
      <c r="M133" s="300">
        <f t="shared" si="20"/>
        <v>0</v>
      </c>
      <c r="N133" s="300">
        <f t="shared" si="20"/>
        <v>0</v>
      </c>
      <c r="O133" s="300">
        <f t="shared" si="20"/>
        <v>0</v>
      </c>
      <c r="P133" s="301">
        <f t="shared" si="21"/>
        <v>0</v>
      </c>
      <c r="R133" s="35">
        <f t="shared" si="22"/>
        <v>0</v>
      </c>
    </row>
    <row r="134" spans="2:18" ht="23.1" customHeight="1">
      <c r="B134" s="299" t="str">
        <f>LR!B134</f>
        <v>610241 | BEBAN PENGAKUAN DPLK DIREKSI (ASURANSI)</v>
      </c>
      <c r="C134" s="284"/>
      <c r="D134" s="300">
        <f t="shared" ref="D134:O149" si="23">IF(INDEX(typ_sn,MATCH(INDEX(akun_type,MATCH($B134,akun_kb,0)),typ_ket,0))="db",SUMIFS(ju_sld,ju_bln,TEXT(D$8,"mmmm"),ju_kr,$B134,ju_div2,"kr"&amp;$S$4)-SUMIFS(ju_sld,ju_bln,TEXT(D$8,"mmmm"),ju_debet,$B134,ju_div2,"db"&amp;$S$4),SUMIFS(ju_sld,ju_bln,TEXT(D$8,"mmmm"),ju_kr,$B134,ju_div2,"kr"&amp;$S$4)-SUMIFS(ju_sld,ju_bln,TEXT(D$8,"mmmm"),ju_debet,$B134,ju_div2,"db"&amp;$S$4))</f>
        <v>0</v>
      </c>
      <c r="E134" s="300">
        <f t="shared" si="23"/>
        <v>0</v>
      </c>
      <c r="F134" s="300">
        <f t="shared" si="23"/>
        <v>0</v>
      </c>
      <c r="G134" s="300">
        <f t="shared" si="23"/>
        <v>0</v>
      </c>
      <c r="H134" s="300">
        <f t="shared" si="23"/>
        <v>0</v>
      </c>
      <c r="I134" s="300">
        <f t="shared" si="23"/>
        <v>0</v>
      </c>
      <c r="J134" s="300">
        <f t="shared" si="23"/>
        <v>0</v>
      </c>
      <c r="K134" s="300">
        <f t="shared" si="23"/>
        <v>0</v>
      </c>
      <c r="L134" s="300">
        <f t="shared" si="23"/>
        <v>0</v>
      </c>
      <c r="M134" s="300">
        <f t="shared" si="23"/>
        <v>0</v>
      </c>
      <c r="N134" s="300">
        <f t="shared" si="23"/>
        <v>0</v>
      </c>
      <c r="O134" s="300">
        <f t="shared" si="23"/>
        <v>0</v>
      </c>
      <c r="P134" s="301">
        <f t="shared" si="21"/>
        <v>0</v>
      </c>
      <c r="R134" s="35">
        <f t="shared" si="22"/>
        <v>0</v>
      </c>
    </row>
    <row r="135" spans="2:18" ht="23.1" customHeight="1">
      <c r="B135" s="299" t="str">
        <f>LR!B135</f>
        <v>610242 | BEBAN PENGAKUAN DPLK KARYAWAN (ASURANSI)</v>
      </c>
      <c r="C135" s="284"/>
      <c r="D135" s="300">
        <f t="shared" si="23"/>
        <v>0</v>
      </c>
      <c r="E135" s="300">
        <f t="shared" si="23"/>
        <v>0</v>
      </c>
      <c r="F135" s="300">
        <f t="shared" si="23"/>
        <v>0</v>
      </c>
      <c r="G135" s="300">
        <f t="shared" si="23"/>
        <v>0</v>
      </c>
      <c r="H135" s="300">
        <f t="shared" si="23"/>
        <v>0</v>
      </c>
      <c r="I135" s="300">
        <f t="shared" si="23"/>
        <v>0</v>
      </c>
      <c r="J135" s="300">
        <f t="shared" si="23"/>
        <v>0</v>
      </c>
      <c r="K135" s="300">
        <f t="shared" si="23"/>
        <v>0</v>
      </c>
      <c r="L135" s="300">
        <f t="shared" si="23"/>
        <v>0</v>
      </c>
      <c r="M135" s="300">
        <f t="shared" si="23"/>
        <v>0</v>
      </c>
      <c r="N135" s="300">
        <f t="shared" si="23"/>
        <v>0</v>
      </c>
      <c r="O135" s="300">
        <f t="shared" si="23"/>
        <v>0</v>
      </c>
      <c r="P135" s="301">
        <f t="shared" si="21"/>
        <v>0</v>
      </c>
      <c r="R135" s="35">
        <f t="shared" si="22"/>
        <v>0</v>
      </c>
    </row>
    <row r="136" spans="2:18" ht="23.1" customHeight="1">
      <c r="B136" s="299" t="str">
        <f>LR!B136</f>
        <v>610243 | BEBAN PEMBUATAN DOKUMENT 6</v>
      </c>
      <c r="C136" s="284"/>
      <c r="D136" s="300">
        <f t="shared" si="23"/>
        <v>0</v>
      </c>
      <c r="E136" s="300">
        <f t="shared" si="23"/>
        <v>0</v>
      </c>
      <c r="F136" s="300">
        <f t="shared" si="23"/>
        <v>0</v>
      </c>
      <c r="G136" s="300">
        <f t="shared" si="23"/>
        <v>0</v>
      </c>
      <c r="H136" s="300">
        <f t="shared" si="23"/>
        <v>0</v>
      </c>
      <c r="I136" s="300">
        <f t="shared" si="23"/>
        <v>0</v>
      </c>
      <c r="J136" s="300">
        <f t="shared" si="23"/>
        <v>0</v>
      </c>
      <c r="K136" s="300">
        <f t="shared" si="23"/>
        <v>0</v>
      </c>
      <c r="L136" s="300">
        <f t="shared" si="23"/>
        <v>0</v>
      </c>
      <c r="M136" s="300">
        <f t="shared" si="23"/>
        <v>0</v>
      </c>
      <c r="N136" s="300">
        <f t="shared" si="23"/>
        <v>0</v>
      </c>
      <c r="O136" s="300">
        <f t="shared" si="23"/>
        <v>0</v>
      </c>
      <c r="P136" s="301">
        <f t="shared" si="21"/>
        <v>0</v>
      </c>
      <c r="R136" s="35">
        <f t="shared" si="22"/>
        <v>0</v>
      </c>
    </row>
    <row r="137" spans="2:18" ht="23.1" customHeight="1">
      <c r="B137" s="299" t="str">
        <f>LR!B137</f>
        <v>TOTAL BIAYA UMUM</v>
      </c>
      <c r="C137" s="284"/>
      <c r="D137" s="300" t="e">
        <f t="shared" si="23"/>
        <v>#N/A</v>
      </c>
      <c r="E137" s="300" t="e">
        <f t="shared" si="23"/>
        <v>#N/A</v>
      </c>
      <c r="F137" s="300" t="e">
        <f t="shared" si="23"/>
        <v>#N/A</v>
      </c>
      <c r="G137" s="300" t="e">
        <f t="shared" si="23"/>
        <v>#N/A</v>
      </c>
      <c r="H137" s="300" t="e">
        <f t="shared" si="23"/>
        <v>#N/A</v>
      </c>
      <c r="I137" s="300" t="e">
        <f t="shared" si="23"/>
        <v>#N/A</v>
      </c>
      <c r="J137" s="300" t="e">
        <f t="shared" si="23"/>
        <v>#N/A</v>
      </c>
      <c r="K137" s="300" t="e">
        <f t="shared" si="23"/>
        <v>#N/A</v>
      </c>
      <c r="L137" s="300" t="e">
        <f t="shared" si="23"/>
        <v>#N/A</v>
      </c>
      <c r="M137" s="300" t="e">
        <f t="shared" si="23"/>
        <v>#N/A</v>
      </c>
      <c r="N137" s="300" t="e">
        <f t="shared" si="23"/>
        <v>#N/A</v>
      </c>
      <c r="O137" s="300" t="e">
        <f t="shared" si="23"/>
        <v>#N/A</v>
      </c>
      <c r="P137" s="301" t="e">
        <f t="shared" si="21"/>
        <v>#N/A</v>
      </c>
      <c r="R137" s="35" t="e">
        <f t="shared" si="22"/>
        <v>#N/A</v>
      </c>
    </row>
    <row r="138" spans="2:18" ht="23.1" customHeight="1">
      <c r="B138" s="299" t="str">
        <f>LR!B138</f>
        <v>BIAYA KEUANGAN (FINANCING)</v>
      </c>
      <c r="C138" s="284"/>
      <c r="D138" s="300" t="e">
        <f t="shared" si="23"/>
        <v>#N/A</v>
      </c>
      <c r="E138" s="300" t="e">
        <f t="shared" si="23"/>
        <v>#N/A</v>
      </c>
      <c r="F138" s="300" t="e">
        <f t="shared" si="23"/>
        <v>#N/A</v>
      </c>
      <c r="G138" s="300" t="e">
        <f t="shared" si="23"/>
        <v>#N/A</v>
      </c>
      <c r="H138" s="300" t="e">
        <f t="shared" si="23"/>
        <v>#N/A</v>
      </c>
      <c r="I138" s="300" t="e">
        <f t="shared" si="23"/>
        <v>#N/A</v>
      </c>
      <c r="J138" s="300" t="e">
        <f t="shared" si="23"/>
        <v>#N/A</v>
      </c>
      <c r="K138" s="300" t="e">
        <f t="shared" si="23"/>
        <v>#N/A</v>
      </c>
      <c r="L138" s="300" t="e">
        <f t="shared" si="23"/>
        <v>#N/A</v>
      </c>
      <c r="M138" s="300" t="e">
        <f t="shared" si="23"/>
        <v>#N/A</v>
      </c>
      <c r="N138" s="300" t="e">
        <f t="shared" si="23"/>
        <v>#N/A</v>
      </c>
      <c r="O138" s="300" t="e">
        <f t="shared" si="23"/>
        <v>#N/A</v>
      </c>
      <c r="P138" s="301" t="e">
        <f t="shared" si="21"/>
        <v>#N/A</v>
      </c>
      <c r="R138" s="35" t="e">
        <f t="shared" si="22"/>
        <v>#N/A</v>
      </c>
    </row>
    <row r="139" spans="2:18" ht="23.1" customHeight="1">
      <c r="B139" s="299" t="str">
        <f>LR!B139</f>
        <v>610301 | BUNGA PINJAMAN (KREDIT INVESTASI)</v>
      </c>
      <c r="C139" s="284"/>
      <c r="D139" s="300">
        <f t="shared" si="23"/>
        <v>0</v>
      </c>
      <c r="E139" s="300">
        <f t="shared" si="23"/>
        <v>0</v>
      </c>
      <c r="F139" s="300">
        <f t="shared" si="23"/>
        <v>0</v>
      </c>
      <c r="G139" s="300">
        <f t="shared" si="23"/>
        <v>0</v>
      </c>
      <c r="H139" s="300">
        <f t="shared" si="23"/>
        <v>0</v>
      </c>
      <c r="I139" s="300">
        <f t="shared" si="23"/>
        <v>0</v>
      </c>
      <c r="J139" s="300">
        <f t="shared" si="23"/>
        <v>0</v>
      </c>
      <c r="K139" s="300">
        <f t="shared" si="23"/>
        <v>0</v>
      </c>
      <c r="L139" s="300">
        <f t="shared" si="23"/>
        <v>0</v>
      </c>
      <c r="M139" s="300">
        <f t="shared" si="23"/>
        <v>0</v>
      </c>
      <c r="N139" s="300">
        <f t="shared" si="23"/>
        <v>0</v>
      </c>
      <c r="O139" s="300">
        <f t="shared" si="23"/>
        <v>0</v>
      </c>
      <c r="P139" s="301">
        <f t="shared" si="21"/>
        <v>0</v>
      </c>
      <c r="R139" s="35">
        <f t="shared" si="22"/>
        <v>0</v>
      </c>
    </row>
    <row r="140" spans="2:18" ht="23.1" customHeight="1">
      <c r="B140" s="299" t="str">
        <f>LR!B140</f>
        <v>610302 | BUNGA PINJAMAN (MODAL KERJA)</v>
      </c>
      <c r="C140" s="284"/>
      <c r="D140" s="300">
        <f t="shared" si="23"/>
        <v>0</v>
      </c>
      <c r="E140" s="300">
        <f t="shared" si="23"/>
        <v>0</v>
      </c>
      <c r="F140" s="300">
        <f t="shared" si="23"/>
        <v>0</v>
      </c>
      <c r="G140" s="300">
        <f t="shared" si="23"/>
        <v>0</v>
      </c>
      <c r="H140" s="300">
        <f t="shared" si="23"/>
        <v>0</v>
      </c>
      <c r="I140" s="300">
        <f t="shared" si="23"/>
        <v>0</v>
      </c>
      <c r="J140" s="300">
        <f t="shared" si="23"/>
        <v>0</v>
      </c>
      <c r="K140" s="300">
        <f t="shared" si="23"/>
        <v>0</v>
      </c>
      <c r="L140" s="300">
        <f t="shared" si="23"/>
        <v>0</v>
      </c>
      <c r="M140" s="300">
        <f t="shared" si="23"/>
        <v>0</v>
      </c>
      <c r="N140" s="300">
        <f t="shared" si="23"/>
        <v>0</v>
      </c>
      <c r="O140" s="300">
        <f t="shared" si="23"/>
        <v>0</v>
      </c>
      <c r="P140" s="301">
        <f t="shared" si="21"/>
        <v>0</v>
      </c>
      <c r="R140" s="35">
        <f t="shared" si="22"/>
        <v>0</v>
      </c>
    </row>
    <row r="141" spans="2:18" ht="23.1" customHeight="1">
      <c r="B141" s="299" t="str">
        <f>LR!B141</f>
        <v>610303 | BUNGA LEASING</v>
      </c>
      <c r="C141" s="284"/>
      <c r="D141" s="300">
        <f t="shared" si="23"/>
        <v>0</v>
      </c>
      <c r="E141" s="300">
        <f t="shared" si="23"/>
        <v>0</v>
      </c>
      <c r="F141" s="300">
        <f t="shared" si="23"/>
        <v>0</v>
      </c>
      <c r="G141" s="300">
        <f t="shared" si="23"/>
        <v>0</v>
      </c>
      <c r="H141" s="300">
        <f t="shared" si="23"/>
        <v>0</v>
      </c>
      <c r="I141" s="300">
        <f t="shared" si="23"/>
        <v>0</v>
      </c>
      <c r="J141" s="300">
        <f t="shared" si="23"/>
        <v>0</v>
      </c>
      <c r="K141" s="300">
        <f t="shared" si="23"/>
        <v>0</v>
      </c>
      <c r="L141" s="300">
        <f t="shared" si="23"/>
        <v>0</v>
      </c>
      <c r="M141" s="300">
        <f t="shared" si="23"/>
        <v>0</v>
      </c>
      <c r="N141" s="300">
        <f t="shared" si="23"/>
        <v>0</v>
      </c>
      <c r="O141" s="300">
        <f t="shared" si="23"/>
        <v>0</v>
      </c>
      <c r="P141" s="301">
        <f t="shared" si="21"/>
        <v>0</v>
      </c>
      <c r="R141" s="35">
        <f t="shared" si="22"/>
        <v>0</v>
      </c>
    </row>
    <row r="142" spans="2:18" ht="23.1" customHeight="1">
      <c r="B142" s="299" t="str">
        <f>LR!B142</f>
        <v>TOTAL BIAYA KEUANGAN</v>
      </c>
      <c r="C142" s="284"/>
      <c r="D142" s="300" t="e">
        <f t="shared" si="23"/>
        <v>#N/A</v>
      </c>
      <c r="E142" s="300" t="e">
        <f t="shared" si="23"/>
        <v>#N/A</v>
      </c>
      <c r="F142" s="300" t="e">
        <f t="shared" si="23"/>
        <v>#N/A</v>
      </c>
      <c r="G142" s="300" t="e">
        <f t="shared" si="23"/>
        <v>#N/A</v>
      </c>
      <c r="H142" s="300" t="e">
        <f t="shared" si="23"/>
        <v>#N/A</v>
      </c>
      <c r="I142" s="300" t="e">
        <f t="shared" si="23"/>
        <v>#N/A</v>
      </c>
      <c r="J142" s="300" t="e">
        <f t="shared" si="23"/>
        <v>#N/A</v>
      </c>
      <c r="K142" s="300" t="e">
        <f t="shared" si="23"/>
        <v>#N/A</v>
      </c>
      <c r="L142" s="300" t="e">
        <f t="shared" si="23"/>
        <v>#N/A</v>
      </c>
      <c r="M142" s="300" t="e">
        <f t="shared" si="23"/>
        <v>#N/A</v>
      </c>
      <c r="N142" s="300" t="e">
        <f t="shared" si="23"/>
        <v>#N/A</v>
      </c>
      <c r="O142" s="300" t="e">
        <f t="shared" si="23"/>
        <v>#N/A</v>
      </c>
      <c r="P142" s="301" t="e">
        <f t="shared" si="21"/>
        <v>#N/A</v>
      </c>
      <c r="R142" s="35" t="e">
        <f t="shared" si="22"/>
        <v>#N/A</v>
      </c>
    </row>
    <row r="143" spans="2:18" ht="23.1" customHeight="1">
      <c r="B143" s="299" t="str">
        <f>LR!B143</f>
        <v>BIAYA PENYUSUTAN DAN AMORTISASI</v>
      </c>
      <c r="C143" s="284"/>
      <c r="D143" s="300" t="e">
        <f t="shared" si="23"/>
        <v>#N/A</v>
      </c>
      <c r="E143" s="300" t="e">
        <f t="shared" si="23"/>
        <v>#N/A</v>
      </c>
      <c r="F143" s="300" t="e">
        <f t="shared" si="23"/>
        <v>#N/A</v>
      </c>
      <c r="G143" s="300" t="e">
        <f t="shared" si="23"/>
        <v>#N/A</v>
      </c>
      <c r="H143" s="300" t="e">
        <f t="shared" si="23"/>
        <v>#N/A</v>
      </c>
      <c r="I143" s="300" t="e">
        <f t="shared" si="23"/>
        <v>#N/A</v>
      </c>
      <c r="J143" s="300" t="e">
        <f t="shared" si="23"/>
        <v>#N/A</v>
      </c>
      <c r="K143" s="300" t="e">
        <f t="shared" si="23"/>
        <v>#N/A</v>
      </c>
      <c r="L143" s="300" t="e">
        <f t="shared" si="23"/>
        <v>#N/A</v>
      </c>
      <c r="M143" s="300" t="e">
        <f t="shared" si="23"/>
        <v>#N/A</v>
      </c>
      <c r="N143" s="300" t="e">
        <f t="shared" si="23"/>
        <v>#N/A</v>
      </c>
      <c r="O143" s="300" t="e">
        <f t="shared" si="23"/>
        <v>#N/A</v>
      </c>
      <c r="P143" s="301" t="e">
        <f t="shared" si="21"/>
        <v>#N/A</v>
      </c>
      <c r="R143" s="35" t="e">
        <f t="shared" si="22"/>
        <v>#N/A</v>
      </c>
    </row>
    <row r="144" spans="2:18" ht="23.1" customHeight="1">
      <c r="B144" s="299" t="str">
        <f>LR!B144</f>
        <v>610401 | BEBAN PENYUSUTAN BANGUNAN KANTOR</v>
      </c>
      <c r="C144" s="284"/>
      <c r="D144" s="300">
        <f t="shared" si="23"/>
        <v>0</v>
      </c>
      <c r="E144" s="300">
        <f t="shared" si="23"/>
        <v>0</v>
      </c>
      <c r="F144" s="300">
        <f t="shared" si="23"/>
        <v>0</v>
      </c>
      <c r="G144" s="300">
        <f t="shared" si="23"/>
        <v>0</v>
      </c>
      <c r="H144" s="300">
        <f t="shared" si="23"/>
        <v>0</v>
      </c>
      <c r="I144" s="300">
        <f t="shared" si="23"/>
        <v>0</v>
      </c>
      <c r="J144" s="300">
        <f t="shared" si="23"/>
        <v>0</v>
      </c>
      <c r="K144" s="300">
        <f t="shared" si="23"/>
        <v>0</v>
      </c>
      <c r="L144" s="300">
        <f t="shared" si="23"/>
        <v>0</v>
      </c>
      <c r="M144" s="300">
        <f t="shared" si="23"/>
        <v>0</v>
      </c>
      <c r="N144" s="300">
        <f t="shared" si="23"/>
        <v>0</v>
      </c>
      <c r="O144" s="300">
        <f t="shared" si="23"/>
        <v>0</v>
      </c>
      <c r="P144" s="301">
        <f t="shared" si="21"/>
        <v>0</v>
      </c>
      <c r="R144" s="35">
        <f t="shared" si="22"/>
        <v>0</v>
      </c>
    </row>
    <row r="145" spans="2:18" ht="23.1" customHeight="1">
      <c r="B145" s="299" t="str">
        <f>LR!B145</f>
        <v>610402 | BEBAN PENYUSUTAN KENDARAAN</v>
      </c>
      <c r="C145" s="284"/>
      <c r="D145" s="300">
        <f t="shared" si="23"/>
        <v>0</v>
      </c>
      <c r="E145" s="300">
        <f t="shared" si="23"/>
        <v>0</v>
      </c>
      <c r="F145" s="300">
        <f t="shared" si="23"/>
        <v>0</v>
      </c>
      <c r="G145" s="300">
        <f t="shared" si="23"/>
        <v>0</v>
      </c>
      <c r="H145" s="300">
        <f t="shared" si="23"/>
        <v>0</v>
      </c>
      <c r="I145" s="300">
        <f t="shared" si="23"/>
        <v>0</v>
      </c>
      <c r="J145" s="300">
        <f t="shared" si="23"/>
        <v>0</v>
      </c>
      <c r="K145" s="300">
        <f t="shared" si="23"/>
        <v>0</v>
      </c>
      <c r="L145" s="300">
        <f t="shared" si="23"/>
        <v>0</v>
      </c>
      <c r="M145" s="300">
        <f t="shared" si="23"/>
        <v>0</v>
      </c>
      <c r="N145" s="300">
        <f t="shared" si="23"/>
        <v>0</v>
      </c>
      <c r="O145" s="300">
        <f t="shared" si="23"/>
        <v>0</v>
      </c>
      <c r="P145" s="301">
        <f t="shared" si="21"/>
        <v>0</v>
      </c>
      <c r="R145" s="35">
        <f t="shared" si="22"/>
        <v>0</v>
      </c>
    </row>
    <row r="146" spans="2:18" ht="23.1" customHeight="1">
      <c r="B146" s="299" t="str">
        <f>LR!B146</f>
        <v>610403 | BEBAN PENYUSUTAN RAMBU RAMBU</v>
      </c>
      <c r="C146" s="284"/>
      <c r="D146" s="300">
        <f t="shared" si="23"/>
        <v>0</v>
      </c>
      <c r="E146" s="300">
        <f t="shared" si="23"/>
        <v>0</v>
      </c>
      <c r="F146" s="300">
        <f t="shared" si="23"/>
        <v>0</v>
      </c>
      <c r="G146" s="300">
        <f t="shared" si="23"/>
        <v>0</v>
      </c>
      <c r="H146" s="300">
        <f t="shared" si="23"/>
        <v>0</v>
      </c>
      <c r="I146" s="300">
        <f t="shared" si="23"/>
        <v>0</v>
      </c>
      <c r="J146" s="300">
        <f t="shared" si="23"/>
        <v>0</v>
      </c>
      <c r="K146" s="300">
        <f t="shared" si="23"/>
        <v>0</v>
      </c>
      <c r="L146" s="300">
        <f t="shared" si="23"/>
        <v>0</v>
      </c>
      <c r="M146" s="300">
        <f t="shared" si="23"/>
        <v>0</v>
      </c>
      <c r="N146" s="300">
        <f t="shared" si="23"/>
        <v>0</v>
      </c>
      <c r="O146" s="300">
        <f t="shared" si="23"/>
        <v>0</v>
      </c>
      <c r="P146" s="301">
        <f t="shared" si="21"/>
        <v>0</v>
      </c>
      <c r="R146" s="35">
        <f t="shared" si="22"/>
        <v>0</v>
      </c>
    </row>
    <row r="147" spans="2:18" ht="23.1" customHeight="1">
      <c r="B147" s="299" t="str">
        <f>LR!B147</f>
        <v>610404 | BEBAN PENYUSUTAN INVENTARIS KANTOR</v>
      </c>
      <c r="C147" s="284"/>
      <c r="D147" s="300">
        <f t="shared" si="23"/>
        <v>0</v>
      </c>
      <c r="E147" s="300">
        <f t="shared" si="23"/>
        <v>0</v>
      </c>
      <c r="F147" s="300">
        <f t="shared" si="23"/>
        <v>0</v>
      </c>
      <c r="G147" s="300">
        <f t="shared" si="23"/>
        <v>0</v>
      </c>
      <c r="H147" s="300">
        <f t="shared" si="23"/>
        <v>0</v>
      </c>
      <c r="I147" s="300">
        <f t="shared" si="23"/>
        <v>0</v>
      </c>
      <c r="J147" s="300">
        <f t="shared" si="23"/>
        <v>0</v>
      </c>
      <c r="K147" s="300">
        <f t="shared" si="23"/>
        <v>0</v>
      </c>
      <c r="L147" s="300">
        <f t="shared" si="23"/>
        <v>0</v>
      </c>
      <c r="M147" s="300">
        <f t="shared" si="23"/>
        <v>0</v>
      </c>
      <c r="N147" s="300">
        <f t="shared" si="23"/>
        <v>0</v>
      </c>
      <c r="O147" s="300">
        <f t="shared" si="23"/>
        <v>0</v>
      </c>
      <c r="P147" s="301">
        <f t="shared" si="21"/>
        <v>0</v>
      </c>
      <c r="R147" s="35">
        <f t="shared" si="22"/>
        <v>0</v>
      </c>
    </row>
    <row r="148" spans="2:18" ht="23.1" customHeight="1">
      <c r="B148" s="299" t="str">
        <f>LR!B148</f>
        <v>610405 | BEBAN AMORTISASI GOODWIL</v>
      </c>
      <c r="C148" s="284"/>
      <c r="D148" s="300">
        <f t="shared" si="23"/>
        <v>0</v>
      </c>
      <c r="E148" s="300">
        <f t="shared" si="23"/>
        <v>0</v>
      </c>
      <c r="F148" s="300">
        <f t="shared" si="23"/>
        <v>0</v>
      </c>
      <c r="G148" s="300">
        <f t="shared" si="23"/>
        <v>0</v>
      </c>
      <c r="H148" s="300">
        <f t="shared" si="23"/>
        <v>0</v>
      </c>
      <c r="I148" s="300">
        <f t="shared" si="23"/>
        <v>0</v>
      </c>
      <c r="J148" s="300">
        <f t="shared" si="23"/>
        <v>0</v>
      </c>
      <c r="K148" s="300">
        <f t="shared" si="23"/>
        <v>0</v>
      </c>
      <c r="L148" s="300">
        <f t="shared" si="23"/>
        <v>0</v>
      </c>
      <c r="M148" s="300">
        <f t="shared" si="23"/>
        <v>0</v>
      </c>
      <c r="N148" s="300">
        <f t="shared" si="23"/>
        <v>0</v>
      </c>
      <c r="O148" s="300">
        <f t="shared" si="23"/>
        <v>0</v>
      </c>
      <c r="P148" s="301">
        <f t="shared" si="21"/>
        <v>0</v>
      </c>
      <c r="R148" s="35">
        <f t="shared" si="22"/>
        <v>0</v>
      </c>
    </row>
    <row r="149" spans="2:18" ht="23.1" customHeight="1">
      <c r="B149" s="299" t="str">
        <f>LR!B149</f>
        <v>610406 | AMORTISASI BEBAN DITANGGUHKAN</v>
      </c>
      <c r="C149" s="284"/>
      <c r="D149" s="300">
        <f t="shared" si="23"/>
        <v>0</v>
      </c>
      <c r="E149" s="300">
        <f t="shared" si="23"/>
        <v>0</v>
      </c>
      <c r="F149" s="300">
        <f t="shared" si="23"/>
        <v>0</v>
      </c>
      <c r="G149" s="300">
        <f t="shared" si="23"/>
        <v>0</v>
      </c>
      <c r="H149" s="300">
        <f t="shared" si="23"/>
        <v>0</v>
      </c>
      <c r="I149" s="300">
        <f t="shared" si="23"/>
        <v>0</v>
      </c>
      <c r="J149" s="300">
        <f t="shared" si="23"/>
        <v>0</v>
      </c>
      <c r="K149" s="300">
        <f t="shared" si="23"/>
        <v>0</v>
      </c>
      <c r="L149" s="300">
        <f t="shared" si="23"/>
        <v>0</v>
      </c>
      <c r="M149" s="300">
        <f t="shared" si="23"/>
        <v>0</v>
      </c>
      <c r="N149" s="300">
        <f t="shared" si="23"/>
        <v>0</v>
      </c>
      <c r="O149" s="300">
        <f t="shared" si="23"/>
        <v>0</v>
      </c>
      <c r="P149" s="301">
        <f t="shared" si="21"/>
        <v>0</v>
      </c>
      <c r="R149" s="35">
        <f t="shared" si="22"/>
        <v>0</v>
      </c>
    </row>
    <row r="150" spans="2:18" ht="23.1" customHeight="1">
      <c r="B150" s="299" t="str">
        <f>LR!B150</f>
        <v>610407 | BEBAN AMORTISASI LAINNYA</v>
      </c>
      <c r="C150" s="284"/>
      <c r="D150" s="300">
        <f t="shared" ref="D150:O165" si="24">IF(INDEX(typ_sn,MATCH(INDEX(akun_type,MATCH($B150,akun_kb,0)),typ_ket,0))="db",SUMIFS(ju_sld,ju_bln,TEXT(D$8,"mmmm"),ju_kr,$B150,ju_div2,"kr"&amp;$S$4)-SUMIFS(ju_sld,ju_bln,TEXT(D$8,"mmmm"),ju_debet,$B150,ju_div2,"db"&amp;$S$4),SUMIFS(ju_sld,ju_bln,TEXT(D$8,"mmmm"),ju_kr,$B150,ju_div2,"kr"&amp;$S$4)-SUMIFS(ju_sld,ju_bln,TEXT(D$8,"mmmm"),ju_debet,$B150,ju_div2,"db"&amp;$S$4))</f>
        <v>0</v>
      </c>
      <c r="E150" s="300">
        <f t="shared" si="24"/>
        <v>0</v>
      </c>
      <c r="F150" s="300">
        <f t="shared" si="24"/>
        <v>0</v>
      </c>
      <c r="G150" s="300">
        <f t="shared" si="24"/>
        <v>0</v>
      </c>
      <c r="H150" s="300">
        <f t="shared" si="24"/>
        <v>0</v>
      </c>
      <c r="I150" s="300">
        <f t="shared" si="24"/>
        <v>0</v>
      </c>
      <c r="J150" s="300">
        <f t="shared" si="24"/>
        <v>0</v>
      </c>
      <c r="K150" s="300">
        <f t="shared" si="24"/>
        <v>0</v>
      </c>
      <c r="L150" s="300">
        <f t="shared" si="24"/>
        <v>0</v>
      </c>
      <c r="M150" s="300">
        <f t="shared" si="24"/>
        <v>0</v>
      </c>
      <c r="N150" s="300">
        <f t="shared" si="24"/>
        <v>0</v>
      </c>
      <c r="O150" s="300">
        <f t="shared" si="24"/>
        <v>0</v>
      </c>
      <c r="P150" s="301">
        <f t="shared" si="21"/>
        <v>0</v>
      </c>
      <c r="R150" s="35">
        <f t="shared" si="22"/>
        <v>0</v>
      </c>
    </row>
    <row r="151" spans="2:18" ht="23.1" customHeight="1">
      <c r="B151" s="299" t="str">
        <f>LR!B151</f>
        <v>610408 | BEBAN PENYUSUTAN CMS</v>
      </c>
      <c r="C151" s="284"/>
      <c r="D151" s="300">
        <f t="shared" si="24"/>
        <v>0</v>
      </c>
      <c r="E151" s="300">
        <f t="shared" si="24"/>
        <v>0</v>
      </c>
      <c r="F151" s="300">
        <f t="shared" si="24"/>
        <v>0</v>
      </c>
      <c r="G151" s="300">
        <f t="shared" si="24"/>
        <v>0</v>
      </c>
      <c r="H151" s="300">
        <f t="shared" si="24"/>
        <v>0</v>
      </c>
      <c r="I151" s="300">
        <f t="shared" si="24"/>
        <v>0</v>
      </c>
      <c r="J151" s="300">
        <f t="shared" si="24"/>
        <v>0</v>
      </c>
      <c r="K151" s="300">
        <f t="shared" si="24"/>
        <v>0</v>
      </c>
      <c r="L151" s="300">
        <f t="shared" si="24"/>
        <v>0</v>
      </c>
      <c r="M151" s="300">
        <f t="shared" si="24"/>
        <v>0</v>
      </c>
      <c r="N151" s="300">
        <f t="shared" si="24"/>
        <v>0</v>
      </c>
      <c r="O151" s="300">
        <f t="shared" si="24"/>
        <v>0</v>
      </c>
      <c r="P151" s="301">
        <f t="shared" si="21"/>
        <v>0</v>
      </c>
      <c r="R151" s="35">
        <f t="shared" si="22"/>
        <v>0</v>
      </c>
    </row>
    <row r="152" spans="2:18" ht="23.1" customHeight="1">
      <c r="B152" s="299" t="str">
        <f>LR!B152</f>
        <v>TOTAL BIAYA PENYUSUTAN</v>
      </c>
      <c r="C152" s="284"/>
      <c r="D152" s="300" t="e">
        <f t="shared" si="24"/>
        <v>#N/A</v>
      </c>
      <c r="E152" s="300" t="e">
        <f t="shared" si="24"/>
        <v>#N/A</v>
      </c>
      <c r="F152" s="300" t="e">
        <f t="shared" si="24"/>
        <v>#N/A</v>
      </c>
      <c r="G152" s="300" t="e">
        <f t="shared" si="24"/>
        <v>#N/A</v>
      </c>
      <c r="H152" s="300" t="e">
        <f t="shared" si="24"/>
        <v>#N/A</v>
      </c>
      <c r="I152" s="300" t="e">
        <f t="shared" si="24"/>
        <v>#N/A</v>
      </c>
      <c r="J152" s="300" t="e">
        <f t="shared" si="24"/>
        <v>#N/A</v>
      </c>
      <c r="K152" s="300" t="e">
        <f t="shared" si="24"/>
        <v>#N/A</v>
      </c>
      <c r="L152" s="300" t="e">
        <f t="shared" si="24"/>
        <v>#N/A</v>
      </c>
      <c r="M152" s="300" t="e">
        <f t="shared" si="24"/>
        <v>#N/A</v>
      </c>
      <c r="N152" s="300" t="e">
        <f t="shared" si="24"/>
        <v>#N/A</v>
      </c>
      <c r="O152" s="300" t="e">
        <f t="shared" si="24"/>
        <v>#N/A</v>
      </c>
      <c r="P152" s="301" t="e">
        <f t="shared" si="21"/>
        <v>#N/A</v>
      </c>
      <c r="R152" s="35" t="e">
        <f t="shared" si="22"/>
        <v>#N/A</v>
      </c>
    </row>
    <row r="153" spans="2:18" ht="23.1" customHeight="1">
      <c r="B153" s="299" t="str">
        <f>LR!B153</f>
        <v>TOTAL BIAYA OPERASIONAL</v>
      </c>
      <c r="C153" s="284"/>
      <c r="D153" s="300" t="e">
        <f t="shared" si="24"/>
        <v>#N/A</v>
      </c>
      <c r="E153" s="300" t="e">
        <f t="shared" si="24"/>
        <v>#N/A</v>
      </c>
      <c r="F153" s="300" t="e">
        <f t="shared" si="24"/>
        <v>#N/A</v>
      </c>
      <c r="G153" s="300" t="e">
        <f t="shared" si="24"/>
        <v>#N/A</v>
      </c>
      <c r="H153" s="300" t="e">
        <f t="shared" si="24"/>
        <v>#N/A</v>
      </c>
      <c r="I153" s="300" t="e">
        <f t="shared" si="24"/>
        <v>#N/A</v>
      </c>
      <c r="J153" s="300" t="e">
        <f t="shared" si="24"/>
        <v>#N/A</v>
      </c>
      <c r="K153" s="300" t="e">
        <f t="shared" si="24"/>
        <v>#N/A</v>
      </c>
      <c r="L153" s="300" t="e">
        <f t="shared" si="24"/>
        <v>#N/A</v>
      </c>
      <c r="M153" s="300" t="e">
        <f t="shared" si="24"/>
        <v>#N/A</v>
      </c>
      <c r="N153" s="300" t="e">
        <f t="shared" si="24"/>
        <v>#N/A</v>
      </c>
      <c r="O153" s="300" t="e">
        <f t="shared" si="24"/>
        <v>#N/A</v>
      </c>
      <c r="P153" s="301" t="e">
        <f t="shared" si="21"/>
        <v>#N/A</v>
      </c>
      <c r="R153" s="35" t="e">
        <f t="shared" si="22"/>
        <v>#N/A</v>
      </c>
    </row>
    <row r="154" spans="2:18" ht="23.1" customHeight="1">
      <c r="B154" s="299" t="str">
        <f>LR!B154</f>
        <v>LABA OPERASIONAL</v>
      </c>
      <c r="C154" s="284"/>
      <c r="D154" s="300" t="e">
        <f t="shared" si="24"/>
        <v>#N/A</v>
      </c>
      <c r="E154" s="300" t="e">
        <f t="shared" si="24"/>
        <v>#N/A</v>
      </c>
      <c r="F154" s="300" t="e">
        <f t="shared" si="24"/>
        <v>#N/A</v>
      </c>
      <c r="G154" s="300" t="e">
        <f t="shared" si="24"/>
        <v>#N/A</v>
      </c>
      <c r="H154" s="300" t="e">
        <f t="shared" si="24"/>
        <v>#N/A</v>
      </c>
      <c r="I154" s="300" t="e">
        <f t="shared" si="24"/>
        <v>#N/A</v>
      </c>
      <c r="J154" s="300" t="e">
        <f t="shared" si="24"/>
        <v>#N/A</v>
      </c>
      <c r="K154" s="300" t="e">
        <f t="shared" si="24"/>
        <v>#N/A</v>
      </c>
      <c r="L154" s="300" t="e">
        <f t="shared" si="24"/>
        <v>#N/A</v>
      </c>
      <c r="M154" s="300" t="e">
        <f t="shared" si="24"/>
        <v>#N/A</v>
      </c>
      <c r="N154" s="300" t="e">
        <f t="shared" si="24"/>
        <v>#N/A</v>
      </c>
      <c r="O154" s="300" t="e">
        <f t="shared" si="24"/>
        <v>#N/A</v>
      </c>
      <c r="P154" s="301" t="e">
        <f t="shared" si="21"/>
        <v>#N/A</v>
      </c>
      <c r="R154" s="35" t="e">
        <f t="shared" si="22"/>
        <v>#N/A</v>
      </c>
    </row>
    <row r="155" spans="2:18" ht="23.1" customHeight="1">
      <c r="B155" s="299" t="str">
        <f>LR!B155</f>
        <v>PENDAPATAN (BEBAN) LAINNYA</v>
      </c>
      <c r="C155" s="284"/>
      <c r="D155" s="300" t="e">
        <f t="shared" si="24"/>
        <v>#N/A</v>
      </c>
      <c r="E155" s="300" t="e">
        <f t="shared" si="24"/>
        <v>#N/A</v>
      </c>
      <c r="F155" s="300" t="e">
        <f t="shared" si="24"/>
        <v>#N/A</v>
      </c>
      <c r="G155" s="300" t="e">
        <f t="shared" si="24"/>
        <v>#N/A</v>
      </c>
      <c r="H155" s="300" t="e">
        <f t="shared" si="24"/>
        <v>#N/A</v>
      </c>
      <c r="I155" s="300" t="e">
        <f t="shared" si="24"/>
        <v>#N/A</v>
      </c>
      <c r="J155" s="300" t="e">
        <f t="shared" si="24"/>
        <v>#N/A</v>
      </c>
      <c r="K155" s="300" t="e">
        <f t="shared" si="24"/>
        <v>#N/A</v>
      </c>
      <c r="L155" s="300" t="e">
        <f t="shared" si="24"/>
        <v>#N/A</v>
      </c>
      <c r="M155" s="300" t="e">
        <f t="shared" si="24"/>
        <v>#N/A</v>
      </c>
      <c r="N155" s="300" t="e">
        <f t="shared" si="24"/>
        <v>#N/A</v>
      </c>
      <c r="O155" s="300" t="e">
        <f t="shared" si="24"/>
        <v>#N/A</v>
      </c>
      <c r="P155" s="301" t="e">
        <f t="shared" si="21"/>
        <v>#N/A</v>
      </c>
      <c r="R155" s="35" t="e">
        <f t="shared" si="22"/>
        <v>#N/A</v>
      </c>
    </row>
    <row r="156" spans="2:18" ht="23.1" customHeight="1">
      <c r="B156" s="299" t="str">
        <f>LR!B156</f>
        <v>PENDAPATAN LAINNYA</v>
      </c>
      <c r="C156" s="284"/>
      <c r="D156" s="300" t="e">
        <f t="shared" si="24"/>
        <v>#N/A</v>
      </c>
      <c r="E156" s="300" t="e">
        <f t="shared" si="24"/>
        <v>#N/A</v>
      </c>
      <c r="F156" s="300" t="e">
        <f t="shared" si="24"/>
        <v>#N/A</v>
      </c>
      <c r="G156" s="300" t="e">
        <f t="shared" si="24"/>
        <v>#N/A</v>
      </c>
      <c r="H156" s="300" t="e">
        <f t="shared" si="24"/>
        <v>#N/A</v>
      </c>
      <c r="I156" s="300" t="e">
        <f t="shared" si="24"/>
        <v>#N/A</v>
      </c>
      <c r="J156" s="300" t="e">
        <f t="shared" si="24"/>
        <v>#N/A</v>
      </c>
      <c r="K156" s="300" t="e">
        <f t="shared" si="24"/>
        <v>#N/A</v>
      </c>
      <c r="L156" s="300" t="e">
        <f t="shared" si="24"/>
        <v>#N/A</v>
      </c>
      <c r="M156" s="300" t="e">
        <f t="shared" si="24"/>
        <v>#N/A</v>
      </c>
      <c r="N156" s="300" t="e">
        <f t="shared" si="24"/>
        <v>#N/A</v>
      </c>
      <c r="O156" s="300" t="e">
        <f t="shared" si="24"/>
        <v>#N/A</v>
      </c>
      <c r="P156" s="301" t="e">
        <f t="shared" si="21"/>
        <v>#N/A</v>
      </c>
      <c r="R156" s="35" t="e">
        <f t="shared" si="22"/>
        <v>#N/A</v>
      </c>
    </row>
    <row r="157" spans="2:18" ht="23.1" customHeight="1">
      <c r="B157" s="299" t="str">
        <f>LR!B157</f>
        <v>710101 | PENDAPATAN JASA GIRO</v>
      </c>
      <c r="C157" s="284"/>
      <c r="D157" s="300">
        <f t="shared" si="24"/>
        <v>0</v>
      </c>
      <c r="E157" s="300">
        <f t="shared" si="24"/>
        <v>0</v>
      </c>
      <c r="F157" s="300">
        <f t="shared" si="24"/>
        <v>0</v>
      </c>
      <c r="G157" s="300">
        <f t="shared" si="24"/>
        <v>0</v>
      </c>
      <c r="H157" s="300">
        <f t="shared" si="24"/>
        <v>0</v>
      </c>
      <c r="I157" s="300">
        <f t="shared" si="24"/>
        <v>0</v>
      </c>
      <c r="J157" s="300">
        <f t="shared" si="24"/>
        <v>0</v>
      </c>
      <c r="K157" s="300">
        <f t="shared" si="24"/>
        <v>0</v>
      </c>
      <c r="L157" s="300">
        <f t="shared" si="24"/>
        <v>0</v>
      </c>
      <c r="M157" s="300">
        <f t="shared" si="24"/>
        <v>0</v>
      </c>
      <c r="N157" s="300">
        <f t="shared" si="24"/>
        <v>0</v>
      </c>
      <c r="O157" s="300">
        <f t="shared" si="24"/>
        <v>0</v>
      </c>
      <c r="P157" s="301">
        <f t="shared" si="21"/>
        <v>0</v>
      </c>
      <c r="R157" s="35">
        <f t="shared" si="22"/>
        <v>0</v>
      </c>
    </row>
    <row r="158" spans="2:18" ht="23.1" customHeight="1">
      <c r="B158" s="299" t="str">
        <f>LR!B158</f>
        <v>710102 | PENDAPATAN PENJUALAN ASSET</v>
      </c>
      <c r="C158" s="284"/>
      <c r="D158" s="300">
        <f t="shared" si="24"/>
        <v>0</v>
      </c>
      <c r="E158" s="300">
        <f t="shared" si="24"/>
        <v>0</v>
      </c>
      <c r="F158" s="300">
        <f t="shared" si="24"/>
        <v>0</v>
      </c>
      <c r="G158" s="300">
        <f t="shared" si="24"/>
        <v>0</v>
      </c>
      <c r="H158" s="300">
        <f t="shared" si="24"/>
        <v>0</v>
      </c>
      <c r="I158" s="300">
        <f t="shared" si="24"/>
        <v>0</v>
      </c>
      <c r="J158" s="300">
        <f t="shared" si="24"/>
        <v>0</v>
      </c>
      <c r="K158" s="300">
        <f t="shared" si="24"/>
        <v>0</v>
      </c>
      <c r="L158" s="300">
        <f t="shared" si="24"/>
        <v>0</v>
      </c>
      <c r="M158" s="300">
        <f t="shared" si="24"/>
        <v>0</v>
      </c>
      <c r="N158" s="300">
        <f t="shared" si="24"/>
        <v>0</v>
      </c>
      <c r="O158" s="300">
        <f t="shared" si="24"/>
        <v>0</v>
      </c>
      <c r="P158" s="301">
        <f t="shared" si="21"/>
        <v>0</v>
      </c>
      <c r="R158" s="35">
        <f t="shared" si="22"/>
        <v>0</v>
      </c>
    </row>
    <row r="159" spans="2:18" ht="23.1" customHeight="1">
      <c r="B159" s="299" t="str">
        <f>LR!B159</f>
        <v>710103 | PENDAPATAN LAIN LAIN</v>
      </c>
      <c r="C159" s="284"/>
      <c r="D159" s="300">
        <f t="shared" si="24"/>
        <v>0</v>
      </c>
      <c r="E159" s="300">
        <f t="shared" si="24"/>
        <v>0</v>
      </c>
      <c r="F159" s="300">
        <f t="shared" si="24"/>
        <v>0</v>
      </c>
      <c r="G159" s="300">
        <f t="shared" si="24"/>
        <v>0</v>
      </c>
      <c r="H159" s="300">
        <f t="shared" si="24"/>
        <v>0</v>
      </c>
      <c r="I159" s="300">
        <f t="shared" si="24"/>
        <v>0</v>
      </c>
      <c r="J159" s="300">
        <f t="shared" si="24"/>
        <v>0</v>
      </c>
      <c r="K159" s="300">
        <f t="shared" si="24"/>
        <v>0</v>
      </c>
      <c r="L159" s="300">
        <f t="shared" si="24"/>
        <v>0</v>
      </c>
      <c r="M159" s="300">
        <f t="shared" si="24"/>
        <v>0</v>
      </c>
      <c r="N159" s="300">
        <f t="shared" si="24"/>
        <v>0</v>
      </c>
      <c r="O159" s="300">
        <f t="shared" si="24"/>
        <v>0</v>
      </c>
      <c r="P159" s="301">
        <f t="shared" si="21"/>
        <v>0</v>
      </c>
      <c r="R159" s="35">
        <f t="shared" si="22"/>
        <v>0</v>
      </c>
    </row>
    <row r="160" spans="2:18" ht="23.1" customHeight="1">
      <c r="B160" s="299" t="str">
        <f>LR!B160</f>
        <v>BEBAN LAINNYA</v>
      </c>
      <c r="C160" s="284"/>
      <c r="D160" s="300" t="e">
        <f t="shared" si="24"/>
        <v>#N/A</v>
      </c>
      <c r="E160" s="300" t="e">
        <f t="shared" si="24"/>
        <v>#N/A</v>
      </c>
      <c r="F160" s="300" t="e">
        <f t="shared" si="24"/>
        <v>#N/A</v>
      </c>
      <c r="G160" s="300" t="e">
        <f t="shared" si="24"/>
        <v>#N/A</v>
      </c>
      <c r="H160" s="300" t="e">
        <f t="shared" si="24"/>
        <v>#N/A</v>
      </c>
      <c r="I160" s="300" t="e">
        <f t="shared" si="24"/>
        <v>#N/A</v>
      </c>
      <c r="J160" s="300" t="e">
        <f t="shared" si="24"/>
        <v>#N/A</v>
      </c>
      <c r="K160" s="300" t="e">
        <f t="shared" si="24"/>
        <v>#N/A</v>
      </c>
      <c r="L160" s="300" t="e">
        <f t="shared" si="24"/>
        <v>#N/A</v>
      </c>
      <c r="M160" s="300" t="e">
        <f t="shared" si="24"/>
        <v>#N/A</v>
      </c>
      <c r="N160" s="300" t="e">
        <f t="shared" si="24"/>
        <v>#N/A</v>
      </c>
      <c r="O160" s="300" t="e">
        <f t="shared" si="24"/>
        <v>#N/A</v>
      </c>
      <c r="P160" s="301" t="e">
        <f t="shared" si="21"/>
        <v>#N/A</v>
      </c>
      <c r="R160" s="35" t="e">
        <f t="shared" si="22"/>
        <v>#N/A</v>
      </c>
    </row>
    <row r="161" spans="2:18" ht="23.1" customHeight="1">
      <c r="B161" s="299" t="str">
        <f>LR!B161</f>
        <v>720101 | BIAYA ADMINISTRASI BANK</v>
      </c>
      <c r="C161" s="284"/>
      <c r="D161" s="300">
        <f t="shared" si="24"/>
        <v>0</v>
      </c>
      <c r="E161" s="300">
        <f t="shared" si="24"/>
        <v>0</v>
      </c>
      <c r="F161" s="300">
        <f t="shared" si="24"/>
        <v>0</v>
      </c>
      <c r="G161" s="300">
        <f t="shared" si="24"/>
        <v>0</v>
      </c>
      <c r="H161" s="300">
        <f t="shared" si="24"/>
        <v>0</v>
      </c>
      <c r="I161" s="300">
        <f t="shared" si="24"/>
        <v>0</v>
      </c>
      <c r="J161" s="300">
        <f t="shared" si="24"/>
        <v>0</v>
      </c>
      <c r="K161" s="300">
        <f t="shared" si="24"/>
        <v>0</v>
      </c>
      <c r="L161" s="300">
        <f t="shared" si="24"/>
        <v>0</v>
      </c>
      <c r="M161" s="300">
        <f t="shared" si="24"/>
        <v>0</v>
      </c>
      <c r="N161" s="300">
        <f t="shared" si="24"/>
        <v>0</v>
      </c>
      <c r="O161" s="300">
        <f t="shared" si="24"/>
        <v>0</v>
      </c>
      <c r="P161" s="301">
        <f t="shared" si="21"/>
        <v>0</v>
      </c>
      <c r="R161" s="35">
        <f t="shared" si="22"/>
        <v>0</v>
      </c>
    </row>
    <row r="162" spans="2:18" ht="23.1" customHeight="1">
      <c r="B162" s="299" t="str">
        <f>LR!B162</f>
        <v>720102 | BIAYA PAJAK JASA GIRO</v>
      </c>
      <c r="C162" s="284"/>
      <c r="D162" s="300">
        <f t="shared" si="24"/>
        <v>0</v>
      </c>
      <c r="E162" s="300">
        <f t="shared" si="24"/>
        <v>0</v>
      </c>
      <c r="F162" s="300">
        <f t="shared" si="24"/>
        <v>0</v>
      </c>
      <c r="G162" s="300">
        <f t="shared" si="24"/>
        <v>0</v>
      </c>
      <c r="H162" s="300">
        <f t="shared" si="24"/>
        <v>0</v>
      </c>
      <c r="I162" s="300">
        <f t="shared" si="24"/>
        <v>0</v>
      </c>
      <c r="J162" s="300">
        <f t="shared" si="24"/>
        <v>0</v>
      </c>
      <c r="K162" s="300">
        <f t="shared" si="24"/>
        <v>0</v>
      </c>
      <c r="L162" s="300">
        <f t="shared" si="24"/>
        <v>0</v>
      </c>
      <c r="M162" s="300">
        <f t="shared" si="24"/>
        <v>0</v>
      </c>
      <c r="N162" s="300">
        <f t="shared" si="24"/>
        <v>0</v>
      </c>
      <c r="O162" s="300">
        <f t="shared" si="24"/>
        <v>0</v>
      </c>
      <c r="P162" s="301">
        <f t="shared" si="21"/>
        <v>0</v>
      </c>
      <c r="R162" s="35">
        <f t="shared" si="22"/>
        <v>0</v>
      </c>
    </row>
    <row r="163" spans="2:18" ht="23.1" customHeight="1">
      <c r="B163" s="299" t="str">
        <f>LR!B163</f>
        <v>TOTAL PENDAPATAN (BEBAN) LAINNYA</v>
      </c>
      <c r="C163" s="284"/>
      <c r="D163" s="300" t="e">
        <f t="shared" si="24"/>
        <v>#N/A</v>
      </c>
      <c r="E163" s="300" t="e">
        <f t="shared" si="24"/>
        <v>#N/A</v>
      </c>
      <c r="F163" s="300" t="e">
        <f t="shared" si="24"/>
        <v>#N/A</v>
      </c>
      <c r="G163" s="300" t="e">
        <f t="shared" si="24"/>
        <v>#N/A</v>
      </c>
      <c r="H163" s="300" t="e">
        <f t="shared" si="24"/>
        <v>#N/A</v>
      </c>
      <c r="I163" s="300" t="e">
        <f t="shared" si="24"/>
        <v>#N/A</v>
      </c>
      <c r="J163" s="300" t="e">
        <f t="shared" si="24"/>
        <v>#N/A</v>
      </c>
      <c r="K163" s="300" t="e">
        <f t="shared" si="24"/>
        <v>#N/A</v>
      </c>
      <c r="L163" s="300" t="e">
        <f t="shared" si="24"/>
        <v>#N/A</v>
      </c>
      <c r="M163" s="300" t="e">
        <f t="shared" si="24"/>
        <v>#N/A</v>
      </c>
      <c r="N163" s="300" t="e">
        <f t="shared" si="24"/>
        <v>#N/A</v>
      </c>
      <c r="O163" s="300" t="e">
        <f t="shared" si="24"/>
        <v>#N/A</v>
      </c>
      <c r="P163" s="301" t="e">
        <f t="shared" si="21"/>
        <v>#N/A</v>
      </c>
      <c r="R163" s="35" t="e">
        <f t="shared" si="22"/>
        <v>#N/A</v>
      </c>
    </row>
    <row r="164" spans="2:18" ht="23.1" customHeight="1">
      <c r="B164" s="299"/>
      <c r="C164" s="284"/>
      <c r="D164" s="300"/>
      <c r="E164" s="300"/>
      <c r="F164" s="300"/>
      <c r="G164" s="300"/>
      <c r="H164" s="300"/>
      <c r="I164" s="300"/>
      <c r="J164" s="300"/>
      <c r="K164" s="300"/>
      <c r="L164" s="300"/>
      <c r="M164" s="300"/>
      <c r="N164" s="300"/>
      <c r="O164" s="300"/>
      <c r="P164" s="301"/>
      <c r="R164" s="35"/>
    </row>
    <row r="165" spans="2:18" ht="23.1" customHeight="1">
      <c r="B165" s="299"/>
      <c r="C165" s="284"/>
      <c r="D165" s="300"/>
      <c r="E165" s="300"/>
      <c r="F165" s="300"/>
      <c r="G165" s="300"/>
      <c r="H165" s="300"/>
      <c r="I165" s="300"/>
      <c r="J165" s="300"/>
      <c r="K165" s="300"/>
      <c r="L165" s="300"/>
      <c r="M165" s="300"/>
      <c r="N165" s="300"/>
      <c r="O165" s="300"/>
      <c r="P165" s="301"/>
      <c r="R165" s="35"/>
    </row>
    <row r="166" spans="2:18" ht="23.1" customHeight="1">
      <c r="B166" s="299"/>
      <c r="C166" s="284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  <c r="O166" s="300"/>
      <c r="P166" s="301"/>
      <c r="R166" s="35"/>
    </row>
    <row r="167" spans="2:18" ht="23.1" customHeight="1">
      <c r="B167" s="299"/>
      <c r="C167" s="284"/>
      <c r="D167" s="300"/>
      <c r="E167" s="300"/>
      <c r="F167" s="300"/>
      <c r="G167" s="300"/>
      <c r="H167" s="300"/>
      <c r="I167" s="300"/>
      <c r="J167" s="300"/>
      <c r="K167" s="300"/>
      <c r="L167" s="300"/>
      <c r="M167" s="300"/>
      <c r="N167" s="300"/>
      <c r="O167" s="300"/>
      <c r="P167" s="301"/>
      <c r="R167" s="35"/>
    </row>
    <row r="168" spans="2:18" ht="23.1" customHeight="1">
      <c r="B168" s="299"/>
      <c r="C168" s="284"/>
      <c r="D168" s="300"/>
      <c r="E168" s="300"/>
      <c r="F168" s="300"/>
      <c r="G168" s="300"/>
      <c r="H168" s="300"/>
      <c r="I168" s="300"/>
      <c r="J168" s="300"/>
      <c r="K168" s="300"/>
      <c r="L168" s="300"/>
      <c r="M168" s="300"/>
      <c r="N168" s="300"/>
      <c r="O168" s="300"/>
      <c r="P168" s="301"/>
      <c r="R168" s="35"/>
    </row>
    <row r="169" spans="2:18" ht="23.1" customHeight="1">
      <c r="B169" s="299"/>
      <c r="C169" s="284"/>
      <c r="D169" s="300"/>
      <c r="E169" s="300"/>
      <c r="F169" s="300"/>
      <c r="G169" s="300"/>
      <c r="H169" s="300"/>
      <c r="I169" s="300"/>
      <c r="J169" s="300"/>
      <c r="K169" s="300"/>
      <c r="L169" s="300"/>
      <c r="M169" s="300"/>
      <c r="N169" s="300"/>
      <c r="O169" s="300"/>
      <c r="P169" s="301"/>
      <c r="R169" s="35"/>
    </row>
    <row r="170" spans="2:18" ht="23.1" customHeight="1">
      <c r="B170" s="299"/>
      <c r="C170" s="284"/>
      <c r="D170" s="300"/>
      <c r="E170" s="300"/>
      <c r="F170" s="300"/>
      <c r="G170" s="300"/>
      <c r="H170" s="300"/>
      <c r="I170" s="300"/>
      <c r="J170" s="300"/>
      <c r="K170" s="300"/>
      <c r="L170" s="300"/>
      <c r="M170" s="300"/>
      <c r="N170" s="300"/>
      <c r="O170" s="300"/>
      <c r="P170" s="301"/>
      <c r="R170" s="35"/>
    </row>
    <row r="171" spans="2:18" ht="23.1" customHeight="1">
      <c r="B171" s="299"/>
      <c r="C171" s="284"/>
      <c r="D171" s="300"/>
      <c r="E171" s="300"/>
      <c r="F171" s="300"/>
      <c r="G171" s="300"/>
      <c r="H171" s="300"/>
      <c r="I171" s="300"/>
      <c r="J171" s="300"/>
      <c r="K171" s="300"/>
      <c r="L171" s="300"/>
      <c r="M171" s="300"/>
      <c r="N171" s="300"/>
      <c r="O171" s="300"/>
      <c r="P171" s="301"/>
      <c r="R171" s="35"/>
    </row>
  </sheetData>
  <autoFilter ref="R6:R149" xr:uid="{153A503A-87B6-B847-BC8F-B27EE11F6D42}"/>
  <mergeCells count="3">
    <mergeCell ref="B4:P4"/>
    <mergeCell ref="B5:P5"/>
    <mergeCell ref="B6:P6"/>
  </mergeCells>
  <dataValidations count="1">
    <dataValidation type="list" allowBlank="1" showInputMessage="1" showErrorMessage="1" sqref="S4" xr:uid="{44114420-B906-1241-854D-ACEB2F197495}">
      <formula1>div_list</formula1>
    </dataValidation>
  </dataValidations>
  <hyperlinks>
    <hyperlink ref="B2" location="MENU!D8" display="MENU" xr:uid="{2BAAA850-E61C-A043-A320-44421B75F5D6}"/>
  </hyperlinks>
  <pageMargins left="0.7" right="0.7" top="0.75" bottom="0.75" header="0.3" footer="0.3"/>
  <pageSetup paperSize="9" scale="34" fitToHeight="5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4E36-634E-7543-90FF-0E02149766E0}">
  <sheetPr codeName="Sheet26">
    <pageSetUpPr fitToPage="1"/>
  </sheetPr>
  <dimension ref="B2:S84"/>
  <sheetViews>
    <sheetView showGridLines="0" topLeftCell="H1" zoomScale="90" zoomScaleNormal="90" workbookViewId="0">
      <selection activeCell="H16" sqref="H16"/>
    </sheetView>
  </sheetViews>
  <sheetFormatPr defaultColWidth="10.875" defaultRowHeight="23.1" customHeight="1"/>
  <cols>
    <col min="1" max="1" width="3.375" style="1" customWidth="1"/>
    <col min="2" max="2" width="12.625" style="1" customWidth="1"/>
    <col min="3" max="3" width="34.875" style="1" customWidth="1"/>
    <col min="4" max="15" width="15" style="37" customWidth="1"/>
    <col min="16" max="16" width="15" style="1" customWidth="1"/>
    <col min="17" max="17" width="4.125" style="1" customWidth="1"/>
    <col min="18" max="18" width="14.125" style="1" customWidth="1"/>
    <col min="19" max="19" width="21.875" style="1" customWidth="1"/>
    <col min="20" max="16384" width="10.875" style="1"/>
  </cols>
  <sheetData>
    <row r="2" spans="2:19" ht="23.1" customHeight="1" thickBot="1">
      <c r="B2" s="90" t="s">
        <v>58</v>
      </c>
      <c r="C2" s="83" t="str">
        <f>ARUSKAS!C2</f>
        <v>Kahfizul13@gmail.com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4" spans="2:19" ht="23.1" customHeight="1">
      <c r="B4" s="435" t="str">
        <f>UPPER(BB!B4)</f>
        <v>PERUMDA PARKIR MAKASSAR RAYA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7"/>
      <c r="R4" s="103" t="s">
        <v>82</v>
      </c>
      <c r="S4" s="7" t="s">
        <v>93</v>
      </c>
    </row>
    <row r="5" spans="2:19" ht="23.1" customHeight="1">
      <c r="B5" s="412" t="s">
        <v>188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4"/>
    </row>
    <row r="6" spans="2:19" ht="23.1" customHeight="1" thickBot="1">
      <c r="B6" s="438" t="str">
        <f>"Periode "&amp;TEXT(awal,"dd-mmm-yyy")&amp;" s/d "&amp;TEXT(akhir,"dd-mmm-yyy")</f>
        <v>Periode 01-Jan-2022 s/d 31-Dec-2022</v>
      </c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40"/>
      <c r="R6" s="57" t="s">
        <v>142</v>
      </c>
    </row>
    <row r="7" spans="2:19" ht="9.9499999999999993" customHeight="1">
      <c r="R7" s="35">
        <f>IF(OR(P7&gt;0,P7&lt;0,P7=""),1,0)</f>
        <v>1</v>
      </c>
    </row>
    <row r="8" spans="2:19" ht="23.1" customHeight="1" thickBot="1">
      <c r="B8" s="294" t="s">
        <v>144</v>
      </c>
      <c r="C8" s="295"/>
      <c r="D8" s="296" t="str">
        <f>NERACA_12!F8</f>
        <v>JANUARY</v>
      </c>
      <c r="E8" s="297" t="str">
        <f>NERACA_12!G8</f>
        <v>FEBRUARY</v>
      </c>
      <c r="F8" s="297" t="str">
        <f>NERACA_12!H8</f>
        <v>MARCH</v>
      </c>
      <c r="G8" s="297" t="str">
        <f>NERACA_12!I8</f>
        <v>APRIL</v>
      </c>
      <c r="H8" s="297" t="str">
        <f>NERACA_12!J8</f>
        <v>MAY</v>
      </c>
      <c r="I8" s="297" t="str">
        <f>NERACA_12!K8</f>
        <v>JUNE</v>
      </c>
      <c r="J8" s="297" t="str">
        <f>NERACA_12!L8</f>
        <v>JULY</v>
      </c>
      <c r="K8" s="297" t="str">
        <f>NERACA_12!M8</f>
        <v>AUGUST</v>
      </c>
      <c r="L8" s="297" t="str">
        <f>NERACA_12!N8</f>
        <v>SEPTEMBER</v>
      </c>
      <c r="M8" s="297" t="str">
        <f>NERACA_12!O8</f>
        <v>OCTOBER</v>
      </c>
      <c r="N8" s="297" t="str">
        <f>NERACA_12!P8</f>
        <v>NOVEMBER</v>
      </c>
      <c r="O8" s="297" t="str">
        <f>NERACA_12!Q8</f>
        <v>DECEMBER</v>
      </c>
      <c r="P8" s="298" t="s">
        <v>72</v>
      </c>
      <c r="R8" s="35">
        <f t="shared" ref="R8:R71" si="0">IF(OR(P8&gt;0,P8&lt;0,P8=""),1,0)</f>
        <v>1</v>
      </c>
    </row>
    <row r="9" spans="2:19" ht="23.1" customHeight="1">
      <c r="B9" s="222" t="str">
        <f>LR!B9</f>
        <v>PENDAPATAN</v>
      </c>
      <c r="C9" s="284"/>
      <c r="D9" s="300" t="e">
        <f t="shared" ref="D9:O13" si="1">IF(INDEX(typ_sn,MATCH(INDEX(akun_type,MATCH($B9,akun_kb,0)),typ_ket,0))="db",SUMIFS(ju_sld,ju_bln,TEXT(D$8,"mmmm"),ju_kr,$B9,ju_prj2,"kr"&amp;$S$4)-SUMIFS(ju_sld,ju_bln,TEXT(D$8,"mmmm"),ju_debet,$B9,ju_prj2,"db"&amp;$S$4),SUMIFS(ju_sld,ju_bln,TEXT(D$8,"mmmm"),ju_kr,$B9,ju_prj2,"kr"&amp;$S$4)-SUMIFS(ju_sld,ju_bln,TEXT(D$8,"mmmm"),ju_debet,$B9,ju_prj2,"db"&amp;$S$4))</f>
        <v>#N/A</v>
      </c>
      <c r="E9" s="300" t="e">
        <f t="shared" si="1"/>
        <v>#N/A</v>
      </c>
      <c r="F9" s="300" t="e">
        <f t="shared" si="1"/>
        <v>#N/A</v>
      </c>
      <c r="G9" s="300" t="e">
        <f t="shared" si="1"/>
        <v>#N/A</v>
      </c>
      <c r="H9" s="300" t="e">
        <f t="shared" si="1"/>
        <v>#N/A</v>
      </c>
      <c r="I9" s="300" t="e">
        <f t="shared" si="1"/>
        <v>#N/A</v>
      </c>
      <c r="J9" s="300" t="e">
        <f t="shared" si="1"/>
        <v>#N/A</v>
      </c>
      <c r="K9" s="300" t="e">
        <f t="shared" si="1"/>
        <v>#N/A</v>
      </c>
      <c r="L9" s="300" t="e">
        <f t="shared" si="1"/>
        <v>#N/A</v>
      </c>
      <c r="M9" s="300" t="e">
        <f t="shared" si="1"/>
        <v>#N/A</v>
      </c>
      <c r="N9" s="300" t="e">
        <f t="shared" si="1"/>
        <v>#N/A</v>
      </c>
      <c r="O9" s="300" t="e">
        <f t="shared" si="1"/>
        <v>#N/A</v>
      </c>
      <c r="P9" s="301" t="e">
        <f t="shared" ref="P9:P10" si="2">SUM(D9:O9)</f>
        <v>#N/A</v>
      </c>
      <c r="R9" s="35" t="e">
        <f t="shared" si="0"/>
        <v>#N/A</v>
      </c>
    </row>
    <row r="10" spans="2:19" ht="23.1" customHeight="1">
      <c r="B10" s="222" t="str">
        <f>LR!B10</f>
        <v>410101 | PENDAPATAN PARKIR TEPI JALAN UMUM (TJU)</v>
      </c>
      <c r="C10" s="284"/>
      <c r="D10" s="300">
        <f t="shared" si="1"/>
        <v>0</v>
      </c>
      <c r="E10" s="300">
        <f t="shared" si="1"/>
        <v>0</v>
      </c>
      <c r="F10" s="300">
        <f t="shared" si="1"/>
        <v>0</v>
      </c>
      <c r="G10" s="300">
        <f t="shared" si="1"/>
        <v>0</v>
      </c>
      <c r="H10" s="300">
        <f t="shared" si="1"/>
        <v>0</v>
      </c>
      <c r="I10" s="300">
        <f t="shared" si="1"/>
        <v>0</v>
      </c>
      <c r="J10" s="300">
        <f t="shared" si="1"/>
        <v>0</v>
      </c>
      <c r="K10" s="300">
        <f t="shared" si="1"/>
        <v>0</v>
      </c>
      <c r="L10" s="300">
        <f t="shared" si="1"/>
        <v>0</v>
      </c>
      <c r="M10" s="300">
        <f t="shared" si="1"/>
        <v>0</v>
      </c>
      <c r="N10" s="300">
        <f t="shared" si="1"/>
        <v>0</v>
      </c>
      <c r="O10" s="300">
        <f t="shared" si="1"/>
        <v>0</v>
      </c>
      <c r="P10" s="301">
        <f t="shared" si="2"/>
        <v>0</v>
      </c>
      <c r="R10" s="35">
        <f t="shared" si="0"/>
        <v>0</v>
      </c>
    </row>
    <row r="11" spans="2:19" ht="23.1" customHeight="1">
      <c r="B11" s="222" t="str">
        <f>LR!B11</f>
        <v>410102 | PENDAPATAN PARKIR INSIDENTIL</v>
      </c>
      <c r="C11" s="284"/>
      <c r="D11" s="300">
        <f t="shared" si="1"/>
        <v>0</v>
      </c>
      <c r="E11" s="300">
        <f t="shared" si="1"/>
        <v>0</v>
      </c>
      <c r="F11" s="300">
        <f t="shared" si="1"/>
        <v>0</v>
      </c>
      <c r="G11" s="300">
        <f t="shared" si="1"/>
        <v>0</v>
      </c>
      <c r="H11" s="300">
        <f t="shared" si="1"/>
        <v>0</v>
      </c>
      <c r="I11" s="300">
        <f t="shared" si="1"/>
        <v>0</v>
      </c>
      <c r="J11" s="300">
        <f t="shared" si="1"/>
        <v>0</v>
      </c>
      <c r="K11" s="300">
        <f t="shared" si="1"/>
        <v>0</v>
      </c>
      <c r="L11" s="300">
        <f t="shared" si="1"/>
        <v>0</v>
      </c>
      <c r="M11" s="300">
        <f t="shared" si="1"/>
        <v>0</v>
      </c>
      <c r="N11" s="300">
        <f t="shared" si="1"/>
        <v>0</v>
      </c>
      <c r="O11" s="300">
        <f t="shared" si="1"/>
        <v>0</v>
      </c>
      <c r="P11" s="301">
        <f t="shared" ref="P11:P13" si="3">SUM(D11:O11)</f>
        <v>0</v>
      </c>
      <c r="R11" s="35">
        <f t="shared" ref="R11:R13" si="4">IF(OR(P11&gt;0,P11&lt;0,P11=""),1,0)</f>
        <v>0</v>
      </c>
    </row>
    <row r="12" spans="2:19" ht="23.1" customHeight="1">
      <c r="B12" s="222" t="str">
        <f>LR!B12</f>
        <v>410103 | PENDAPATAN PARKIR KOMERSIL</v>
      </c>
      <c r="C12" s="284"/>
      <c r="D12" s="300">
        <f t="shared" si="1"/>
        <v>0</v>
      </c>
      <c r="E12" s="300">
        <f t="shared" si="1"/>
        <v>0</v>
      </c>
      <c r="F12" s="300">
        <f t="shared" si="1"/>
        <v>0</v>
      </c>
      <c r="G12" s="300">
        <f t="shared" si="1"/>
        <v>0</v>
      </c>
      <c r="H12" s="300">
        <f t="shared" si="1"/>
        <v>0</v>
      </c>
      <c r="I12" s="300">
        <f t="shared" si="1"/>
        <v>0</v>
      </c>
      <c r="J12" s="300">
        <f t="shared" si="1"/>
        <v>0</v>
      </c>
      <c r="K12" s="300">
        <f t="shared" si="1"/>
        <v>0</v>
      </c>
      <c r="L12" s="300">
        <f t="shared" si="1"/>
        <v>0</v>
      </c>
      <c r="M12" s="300">
        <f t="shared" si="1"/>
        <v>0</v>
      </c>
      <c r="N12" s="300">
        <f t="shared" si="1"/>
        <v>0</v>
      </c>
      <c r="O12" s="300">
        <f t="shared" si="1"/>
        <v>0</v>
      </c>
      <c r="P12" s="301">
        <f t="shared" ref="P12" si="5">SUM(D12:O12)</f>
        <v>0</v>
      </c>
      <c r="R12" s="35">
        <f t="shared" ref="R12" si="6">IF(OR(P12&gt;0,P12&lt;0,P12=""),1,0)</f>
        <v>0</v>
      </c>
    </row>
    <row r="13" spans="2:19" ht="23.1" customHeight="1">
      <c r="B13" s="222" t="e">
        <f>LR!#REF!</f>
        <v>#REF!</v>
      </c>
      <c r="C13" s="284"/>
      <c r="D13" s="300" t="e">
        <f t="shared" si="1"/>
        <v>#REF!</v>
      </c>
      <c r="E13" s="300" t="e">
        <f t="shared" si="1"/>
        <v>#REF!</v>
      </c>
      <c r="F13" s="300" t="e">
        <f t="shared" si="1"/>
        <v>#REF!</v>
      </c>
      <c r="G13" s="300" t="e">
        <f t="shared" si="1"/>
        <v>#REF!</v>
      </c>
      <c r="H13" s="300" t="e">
        <f t="shared" si="1"/>
        <v>#REF!</v>
      </c>
      <c r="I13" s="300" t="e">
        <f t="shared" si="1"/>
        <v>#REF!</v>
      </c>
      <c r="J13" s="300" t="e">
        <f t="shared" si="1"/>
        <v>#REF!</v>
      </c>
      <c r="K13" s="300" t="e">
        <f t="shared" si="1"/>
        <v>#REF!</v>
      </c>
      <c r="L13" s="300" t="e">
        <f t="shared" si="1"/>
        <v>#REF!</v>
      </c>
      <c r="M13" s="300" t="e">
        <f t="shared" si="1"/>
        <v>#REF!</v>
      </c>
      <c r="N13" s="300" t="e">
        <f t="shared" si="1"/>
        <v>#REF!</v>
      </c>
      <c r="O13" s="300" t="e">
        <f t="shared" si="1"/>
        <v>#REF!</v>
      </c>
      <c r="P13" s="301" t="e">
        <f t="shared" si="3"/>
        <v>#REF!</v>
      </c>
      <c r="R13" s="35" t="e">
        <f t="shared" si="4"/>
        <v>#REF!</v>
      </c>
    </row>
    <row r="14" spans="2:19" ht="23.1" customHeight="1">
      <c r="B14" s="290" t="s">
        <v>145</v>
      </c>
      <c r="C14" s="280"/>
      <c r="D14" s="302" t="e">
        <f t="shared" ref="D14:P14" si="7">SUM(D9:D13)</f>
        <v>#N/A</v>
      </c>
      <c r="E14" s="302" t="e">
        <f t="shared" si="7"/>
        <v>#N/A</v>
      </c>
      <c r="F14" s="302" t="e">
        <f t="shared" si="7"/>
        <v>#N/A</v>
      </c>
      <c r="G14" s="302" t="e">
        <f t="shared" si="7"/>
        <v>#N/A</v>
      </c>
      <c r="H14" s="302" t="e">
        <f t="shared" si="7"/>
        <v>#N/A</v>
      </c>
      <c r="I14" s="302" t="e">
        <f t="shared" si="7"/>
        <v>#N/A</v>
      </c>
      <c r="J14" s="302" t="e">
        <f t="shared" si="7"/>
        <v>#N/A</v>
      </c>
      <c r="K14" s="302" t="e">
        <f t="shared" si="7"/>
        <v>#N/A</v>
      </c>
      <c r="L14" s="302" t="e">
        <f t="shared" si="7"/>
        <v>#N/A</v>
      </c>
      <c r="M14" s="302" t="e">
        <f t="shared" si="7"/>
        <v>#N/A</v>
      </c>
      <c r="N14" s="302" t="e">
        <f t="shared" si="7"/>
        <v>#N/A</v>
      </c>
      <c r="O14" s="302" t="e">
        <f t="shared" si="7"/>
        <v>#N/A</v>
      </c>
      <c r="P14" s="302" t="e">
        <f t="shared" si="7"/>
        <v>#N/A</v>
      </c>
      <c r="R14" s="35" t="e">
        <f t="shared" si="0"/>
        <v>#N/A</v>
      </c>
    </row>
    <row r="15" spans="2:19" ht="23.1" customHeight="1">
      <c r="B15" s="291" t="s">
        <v>276</v>
      </c>
      <c r="C15" s="284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66"/>
      <c r="R15" s="35">
        <f t="shared" si="0"/>
        <v>1</v>
      </c>
    </row>
    <row r="16" spans="2:19" ht="23.1" customHeight="1">
      <c r="B16" s="222" t="str">
        <f>LR!B30</f>
        <v>510101 | BIAYA CETAKAN</v>
      </c>
      <c r="C16" s="284"/>
      <c r="D16" s="300">
        <f t="shared" ref="D16:O20" si="8">IF(INDEX(typ_sn,MATCH(INDEX(akun_type,MATCH($B16,akun_kb,0)),typ_ket,0))="db",SUMIFS(ju_sld,ju_bln,TEXT(D$8,"mmmm"),ju_kr,$B16,ju_prj2,"kr"&amp;$S$4)-SUMIFS(ju_sld,ju_bln,TEXT(D$8,"mmmm"),ju_debet,$B16,ju_prj2,"db"&amp;$S$4),SUMIFS(ju_sld,ju_bln,TEXT(D$8,"mmmm"),ju_kr,$B16,ju_prj2,"kr"&amp;$S$4)-SUMIFS(ju_sld,ju_bln,TEXT(D$8,"mmmm"),ju_debet,$B16,ju_prj2,"db"&amp;$S$4))</f>
        <v>0</v>
      </c>
      <c r="E16" s="300">
        <f t="shared" si="8"/>
        <v>0</v>
      </c>
      <c r="F16" s="300">
        <f t="shared" si="8"/>
        <v>0</v>
      </c>
      <c r="G16" s="300">
        <f t="shared" si="8"/>
        <v>0</v>
      </c>
      <c r="H16" s="300">
        <f t="shared" si="8"/>
        <v>0</v>
      </c>
      <c r="I16" s="300">
        <f t="shared" si="8"/>
        <v>0</v>
      </c>
      <c r="J16" s="300">
        <f t="shared" si="8"/>
        <v>0</v>
      </c>
      <c r="K16" s="300">
        <f t="shared" si="8"/>
        <v>0</v>
      </c>
      <c r="L16" s="300">
        <f t="shared" si="8"/>
        <v>0</v>
      </c>
      <c r="M16" s="300">
        <f t="shared" si="8"/>
        <v>0</v>
      </c>
      <c r="N16" s="300">
        <f t="shared" si="8"/>
        <v>0</v>
      </c>
      <c r="O16" s="300">
        <f t="shared" si="8"/>
        <v>0</v>
      </c>
      <c r="P16" s="301">
        <f t="shared" ref="P16:P20" si="9">SUM(D16:O16)</f>
        <v>0</v>
      </c>
      <c r="R16" s="35">
        <f t="shared" si="0"/>
        <v>0</v>
      </c>
    </row>
    <row r="17" spans="2:18" ht="23.1" customHeight="1">
      <c r="B17" s="222" t="str">
        <f>LR!B31</f>
        <v>510102 | BIAYA SURVEY / UJI PETIK</v>
      </c>
      <c r="C17" s="284"/>
      <c r="D17" s="300">
        <f t="shared" si="8"/>
        <v>0</v>
      </c>
      <c r="E17" s="300">
        <f t="shared" si="8"/>
        <v>0</v>
      </c>
      <c r="F17" s="300">
        <f t="shared" si="8"/>
        <v>0</v>
      </c>
      <c r="G17" s="300">
        <f t="shared" si="8"/>
        <v>0</v>
      </c>
      <c r="H17" s="300">
        <f t="shared" si="8"/>
        <v>0</v>
      </c>
      <c r="I17" s="300">
        <f t="shared" si="8"/>
        <v>0</v>
      </c>
      <c r="J17" s="300">
        <f t="shared" si="8"/>
        <v>0</v>
      </c>
      <c r="K17" s="300">
        <f t="shared" si="8"/>
        <v>0</v>
      </c>
      <c r="L17" s="300">
        <f t="shared" si="8"/>
        <v>0</v>
      </c>
      <c r="M17" s="300">
        <f t="shared" si="8"/>
        <v>0</v>
      </c>
      <c r="N17" s="300">
        <f t="shared" si="8"/>
        <v>0</v>
      </c>
      <c r="O17" s="300">
        <f t="shared" si="8"/>
        <v>0</v>
      </c>
      <c r="P17" s="301">
        <f t="shared" si="9"/>
        <v>0</v>
      </c>
      <c r="R17" s="35">
        <f t="shared" si="0"/>
        <v>0</v>
      </c>
    </row>
    <row r="18" spans="2:18" ht="23.1" customHeight="1">
      <c r="B18" s="222" t="str">
        <f>LR!B32</f>
        <v>510103 | BIAYA OPERASIONAL TIM PATROLI KHUSUS</v>
      </c>
      <c r="C18" s="284"/>
      <c r="D18" s="300">
        <f t="shared" si="8"/>
        <v>0</v>
      </c>
      <c r="E18" s="300">
        <f t="shared" si="8"/>
        <v>0</v>
      </c>
      <c r="F18" s="300">
        <f t="shared" si="8"/>
        <v>0</v>
      </c>
      <c r="G18" s="300">
        <f t="shared" si="8"/>
        <v>0</v>
      </c>
      <c r="H18" s="300">
        <f t="shared" si="8"/>
        <v>0</v>
      </c>
      <c r="I18" s="300">
        <f t="shared" si="8"/>
        <v>0</v>
      </c>
      <c r="J18" s="300">
        <f t="shared" si="8"/>
        <v>0</v>
      </c>
      <c r="K18" s="300">
        <f t="shared" si="8"/>
        <v>0</v>
      </c>
      <c r="L18" s="300">
        <f t="shared" si="8"/>
        <v>0</v>
      </c>
      <c r="M18" s="300">
        <f t="shared" si="8"/>
        <v>0</v>
      </c>
      <c r="N18" s="300">
        <f t="shared" si="8"/>
        <v>0</v>
      </c>
      <c r="O18" s="300">
        <f t="shared" si="8"/>
        <v>0</v>
      </c>
      <c r="P18" s="301">
        <f t="shared" si="9"/>
        <v>0</v>
      </c>
      <c r="R18" s="35">
        <f t="shared" si="0"/>
        <v>0</v>
      </c>
    </row>
    <row r="19" spans="2:18" ht="23.1" customHeight="1">
      <c r="B19" s="222" t="str">
        <f>LR!B54</f>
        <v>TOTAL BIAYA OPERASIONAL</v>
      </c>
      <c r="C19" s="284"/>
      <c r="D19" s="300" t="e">
        <f t="shared" si="8"/>
        <v>#N/A</v>
      </c>
      <c r="E19" s="300" t="e">
        <f t="shared" si="8"/>
        <v>#N/A</v>
      </c>
      <c r="F19" s="300" t="e">
        <f t="shared" si="8"/>
        <v>#N/A</v>
      </c>
      <c r="G19" s="300" t="e">
        <f t="shared" si="8"/>
        <v>#N/A</v>
      </c>
      <c r="H19" s="300" t="e">
        <f t="shared" si="8"/>
        <v>#N/A</v>
      </c>
      <c r="I19" s="300" t="e">
        <f t="shared" si="8"/>
        <v>#N/A</v>
      </c>
      <c r="J19" s="300" t="e">
        <f t="shared" si="8"/>
        <v>#N/A</v>
      </c>
      <c r="K19" s="300" t="e">
        <f t="shared" si="8"/>
        <v>#N/A</v>
      </c>
      <c r="L19" s="300" t="e">
        <f t="shared" si="8"/>
        <v>#N/A</v>
      </c>
      <c r="M19" s="300" t="e">
        <f t="shared" si="8"/>
        <v>#N/A</v>
      </c>
      <c r="N19" s="300" t="e">
        <f t="shared" si="8"/>
        <v>#N/A</v>
      </c>
      <c r="O19" s="300" t="e">
        <f t="shared" si="8"/>
        <v>#N/A</v>
      </c>
      <c r="P19" s="301" t="e">
        <f t="shared" si="9"/>
        <v>#N/A</v>
      </c>
      <c r="R19" s="35" t="e">
        <f t="shared" si="0"/>
        <v>#N/A</v>
      </c>
    </row>
    <row r="20" spans="2:18" ht="23.1" customHeight="1">
      <c r="B20" s="222" t="e">
        <f>LR!#REF!</f>
        <v>#REF!</v>
      </c>
      <c r="C20" s="284"/>
      <c r="D20" s="300" t="e">
        <f t="shared" si="8"/>
        <v>#REF!</v>
      </c>
      <c r="E20" s="300" t="e">
        <f t="shared" si="8"/>
        <v>#REF!</v>
      </c>
      <c r="F20" s="300" t="e">
        <f t="shared" si="8"/>
        <v>#REF!</v>
      </c>
      <c r="G20" s="300" t="e">
        <f t="shared" si="8"/>
        <v>#REF!</v>
      </c>
      <c r="H20" s="300" t="e">
        <f t="shared" si="8"/>
        <v>#REF!</v>
      </c>
      <c r="I20" s="300" t="e">
        <f t="shared" si="8"/>
        <v>#REF!</v>
      </c>
      <c r="J20" s="300" t="e">
        <f t="shared" si="8"/>
        <v>#REF!</v>
      </c>
      <c r="K20" s="300" t="e">
        <f t="shared" si="8"/>
        <v>#REF!</v>
      </c>
      <c r="L20" s="300" t="e">
        <f t="shared" si="8"/>
        <v>#REF!</v>
      </c>
      <c r="M20" s="300" t="e">
        <f t="shared" si="8"/>
        <v>#REF!</v>
      </c>
      <c r="N20" s="300" t="e">
        <f t="shared" si="8"/>
        <v>#REF!</v>
      </c>
      <c r="O20" s="300" t="e">
        <f t="shared" si="8"/>
        <v>#REF!</v>
      </c>
      <c r="P20" s="301" t="e">
        <f t="shared" si="9"/>
        <v>#REF!</v>
      </c>
      <c r="R20" s="35" t="e">
        <f t="shared" si="0"/>
        <v>#REF!</v>
      </c>
    </row>
    <row r="21" spans="2:18" ht="23.1" customHeight="1">
      <c r="B21" s="290" t="s">
        <v>277</v>
      </c>
      <c r="C21" s="280"/>
      <c r="D21" s="302" t="e">
        <f t="shared" ref="D21:P21" si="10">SUM(D16:D20)</f>
        <v>#N/A</v>
      </c>
      <c r="E21" s="302" t="e">
        <f t="shared" si="10"/>
        <v>#N/A</v>
      </c>
      <c r="F21" s="302" t="e">
        <f t="shared" si="10"/>
        <v>#N/A</v>
      </c>
      <c r="G21" s="302" t="e">
        <f t="shared" si="10"/>
        <v>#N/A</v>
      </c>
      <c r="H21" s="302" t="e">
        <f t="shared" si="10"/>
        <v>#N/A</v>
      </c>
      <c r="I21" s="302" t="e">
        <f t="shared" si="10"/>
        <v>#N/A</v>
      </c>
      <c r="J21" s="302" t="e">
        <f t="shared" si="10"/>
        <v>#N/A</v>
      </c>
      <c r="K21" s="302" t="e">
        <f t="shared" si="10"/>
        <v>#N/A</v>
      </c>
      <c r="L21" s="302" t="e">
        <f t="shared" si="10"/>
        <v>#N/A</v>
      </c>
      <c r="M21" s="302" t="e">
        <f t="shared" si="10"/>
        <v>#N/A</v>
      </c>
      <c r="N21" s="302" t="e">
        <f t="shared" si="10"/>
        <v>#N/A</v>
      </c>
      <c r="O21" s="302" t="e">
        <f t="shared" si="10"/>
        <v>#N/A</v>
      </c>
      <c r="P21" s="302" t="e">
        <f t="shared" si="10"/>
        <v>#N/A</v>
      </c>
      <c r="R21" s="35" t="e">
        <f t="shared" si="0"/>
        <v>#N/A</v>
      </c>
    </row>
    <row r="22" spans="2:18" ht="23.1" customHeight="1">
      <c r="B22" s="290" t="s">
        <v>146</v>
      </c>
      <c r="C22" s="280"/>
      <c r="D22" s="302" t="e">
        <f t="shared" ref="D22:P22" si="11">D21+D14</f>
        <v>#N/A</v>
      </c>
      <c r="E22" s="302" t="e">
        <f t="shared" si="11"/>
        <v>#N/A</v>
      </c>
      <c r="F22" s="302" t="e">
        <f t="shared" si="11"/>
        <v>#N/A</v>
      </c>
      <c r="G22" s="302" t="e">
        <f t="shared" si="11"/>
        <v>#N/A</v>
      </c>
      <c r="H22" s="302" t="e">
        <f t="shared" si="11"/>
        <v>#N/A</v>
      </c>
      <c r="I22" s="302" t="e">
        <f t="shared" si="11"/>
        <v>#N/A</v>
      </c>
      <c r="J22" s="302" t="e">
        <f t="shared" si="11"/>
        <v>#N/A</v>
      </c>
      <c r="K22" s="302" t="e">
        <f t="shared" si="11"/>
        <v>#N/A</v>
      </c>
      <c r="L22" s="302" t="e">
        <f t="shared" si="11"/>
        <v>#N/A</v>
      </c>
      <c r="M22" s="302" t="e">
        <f t="shared" si="11"/>
        <v>#N/A</v>
      </c>
      <c r="N22" s="302" t="e">
        <f t="shared" si="11"/>
        <v>#N/A</v>
      </c>
      <c r="O22" s="302" t="e">
        <f t="shared" si="11"/>
        <v>#N/A</v>
      </c>
      <c r="P22" s="302" t="e">
        <f t="shared" si="11"/>
        <v>#N/A</v>
      </c>
      <c r="R22" s="35" t="e">
        <f t="shared" si="0"/>
        <v>#N/A</v>
      </c>
    </row>
    <row r="23" spans="2:18" ht="23.1" customHeight="1">
      <c r="B23" s="291" t="s">
        <v>147</v>
      </c>
      <c r="C23" s="284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66"/>
      <c r="R23" s="35">
        <f t="shared" si="0"/>
        <v>1</v>
      </c>
    </row>
    <row r="24" spans="2:18" ht="23.1" customHeight="1">
      <c r="B24" s="223" t="str">
        <f>LR!B65</f>
        <v>BIAYA GAJI</v>
      </c>
      <c r="C24" s="284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1"/>
      <c r="R24" s="35">
        <f t="shared" si="0"/>
        <v>1</v>
      </c>
    </row>
    <row r="25" spans="2:18" ht="23.1" customHeight="1">
      <c r="B25" s="222" t="str">
        <f>LR!B66</f>
        <v>610101 | BIAYA HONOR BADAN PENGAWAS DAN STAF BP</v>
      </c>
      <c r="C25" s="284"/>
      <c r="D25" s="300">
        <f t="shared" ref="D25:O33" si="12">IF(INDEX(typ_sn,MATCH(INDEX(akun_type,MATCH($B25,akun_kb,0)),typ_ket,0))="db",SUMIFS(ju_sld,ju_bln,TEXT(D$8,"mmmm"),ju_kr,$B25,ju_prj2,"kr"&amp;$S$4)-SUMIFS(ju_sld,ju_bln,TEXT(D$8,"mmmm"),ju_debet,$B25,ju_prj2,"db"&amp;$S$4),SUMIFS(ju_sld,ju_bln,TEXT(D$8,"mmmm"),ju_kr,$B25,ju_prj2,"kr"&amp;$S$4)-SUMIFS(ju_sld,ju_bln,TEXT(D$8,"mmmm"),ju_debet,$B25,ju_prj2,"db"&amp;$S$4))</f>
        <v>0</v>
      </c>
      <c r="E25" s="300">
        <f t="shared" si="12"/>
        <v>0</v>
      </c>
      <c r="F25" s="300">
        <f t="shared" si="12"/>
        <v>0</v>
      </c>
      <c r="G25" s="300">
        <f t="shared" si="12"/>
        <v>0</v>
      </c>
      <c r="H25" s="300">
        <f t="shared" si="12"/>
        <v>0</v>
      </c>
      <c r="I25" s="300">
        <f t="shared" si="12"/>
        <v>0</v>
      </c>
      <c r="J25" s="300">
        <f t="shared" si="12"/>
        <v>0</v>
      </c>
      <c r="K25" s="300">
        <f t="shared" si="12"/>
        <v>0</v>
      </c>
      <c r="L25" s="300">
        <f t="shared" si="12"/>
        <v>0</v>
      </c>
      <c r="M25" s="300">
        <f t="shared" si="12"/>
        <v>0</v>
      </c>
      <c r="N25" s="300">
        <f t="shared" si="12"/>
        <v>0</v>
      </c>
      <c r="O25" s="300">
        <f t="shared" si="12"/>
        <v>0</v>
      </c>
      <c r="P25" s="301">
        <f t="shared" ref="P25:P60" si="13">SUM(D25:O25)</f>
        <v>0</v>
      </c>
      <c r="R25" s="35">
        <f t="shared" si="0"/>
        <v>0</v>
      </c>
    </row>
    <row r="26" spans="2:18" ht="23.1" customHeight="1">
      <c r="B26" s="222" t="str">
        <f>LR!B67</f>
        <v>610102 | BIAYA TUNJANGAN BBM BADAN PENGAWAS</v>
      </c>
      <c r="C26" s="284"/>
      <c r="D26" s="300">
        <f t="shared" si="12"/>
        <v>0</v>
      </c>
      <c r="E26" s="300">
        <f t="shared" si="12"/>
        <v>0</v>
      </c>
      <c r="F26" s="300">
        <f t="shared" si="12"/>
        <v>0</v>
      </c>
      <c r="G26" s="300">
        <f t="shared" si="12"/>
        <v>0</v>
      </c>
      <c r="H26" s="300">
        <f t="shared" si="12"/>
        <v>0</v>
      </c>
      <c r="I26" s="300">
        <f t="shared" si="12"/>
        <v>0</v>
      </c>
      <c r="J26" s="300">
        <f t="shared" si="12"/>
        <v>0</v>
      </c>
      <c r="K26" s="300">
        <f t="shared" si="12"/>
        <v>0</v>
      </c>
      <c r="L26" s="300">
        <f t="shared" si="12"/>
        <v>0</v>
      </c>
      <c r="M26" s="300">
        <f t="shared" si="12"/>
        <v>0</v>
      </c>
      <c r="N26" s="300">
        <f t="shared" si="12"/>
        <v>0</v>
      </c>
      <c r="O26" s="300">
        <f t="shared" si="12"/>
        <v>0</v>
      </c>
      <c r="P26" s="301">
        <f t="shared" si="13"/>
        <v>0</v>
      </c>
      <c r="R26" s="35">
        <f t="shared" si="0"/>
        <v>0</v>
      </c>
    </row>
    <row r="27" spans="2:18" ht="23.1" customHeight="1">
      <c r="B27" s="222" t="str">
        <f>LR!B68</f>
        <v>610103 | BIAYA TUNJANGAN MONITORING, EVALUASI DAN PELAPORAN</v>
      </c>
      <c r="C27" s="284"/>
      <c r="D27" s="300">
        <f t="shared" si="12"/>
        <v>0</v>
      </c>
      <c r="E27" s="300">
        <f t="shared" si="12"/>
        <v>0</v>
      </c>
      <c r="F27" s="300">
        <f t="shared" si="12"/>
        <v>0</v>
      </c>
      <c r="G27" s="300">
        <f t="shared" si="12"/>
        <v>0</v>
      </c>
      <c r="H27" s="300">
        <f t="shared" si="12"/>
        <v>0</v>
      </c>
      <c r="I27" s="300">
        <f t="shared" si="12"/>
        <v>0</v>
      </c>
      <c r="J27" s="300">
        <f t="shared" si="12"/>
        <v>0</v>
      </c>
      <c r="K27" s="300">
        <f t="shared" si="12"/>
        <v>0</v>
      </c>
      <c r="L27" s="300">
        <f t="shared" si="12"/>
        <v>0</v>
      </c>
      <c r="M27" s="300">
        <f t="shared" si="12"/>
        <v>0</v>
      </c>
      <c r="N27" s="300">
        <f t="shared" si="12"/>
        <v>0</v>
      </c>
      <c r="O27" s="300">
        <f t="shared" si="12"/>
        <v>0</v>
      </c>
      <c r="P27" s="301">
        <f t="shared" si="13"/>
        <v>0</v>
      </c>
      <c r="R27" s="35">
        <f t="shared" si="0"/>
        <v>0</v>
      </c>
    </row>
    <row r="28" spans="2:18" ht="23.1" customHeight="1">
      <c r="B28" s="222" t="str">
        <f>LR!B69</f>
        <v>610104 | BIAYA GAJI DIREKSI</v>
      </c>
      <c r="C28" s="284"/>
      <c r="D28" s="300">
        <f t="shared" si="12"/>
        <v>0</v>
      </c>
      <c r="E28" s="300">
        <f t="shared" si="12"/>
        <v>0</v>
      </c>
      <c r="F28" s="300">
        <f t="shared" si="12"/>
        <v>0</v>
      </c>
      <c r="G28" s="300">
        <f t="shared" si="12"/>
        <v>0</v>
      </c>
      <c r="H28" s="300">
        <f t="shared" si="12"/>
        <v>0</v>
      </c>
      <c r="I28" s="300">
        <f t="shared" si="12"/>
        <v>0</v>
      </c>
      <c r="J28" s="300">
        <f t="shared" si="12"/>
        <v>0</v>
      </c>
      <c r="K28" s="300">
        <f t="shared" si="12"/>
        <v>0</v>
      </c>
      <c r="L28" s="300">
        <f t="shared" si="12"/>
        <v>0</v>
      </c>
      <c r="M28" s="300">
        <f t="shared" si="12"/>
        <v>0</v>
      </c>
      <c r="N28" s="300">
        <f t="shared" si="12"/>
        <v>0</v>
      </c>
      <c r="O28" s="300">
        <f t="shared" si="12"/>
        <v>0</v>
      </c>
      <c r="P28" s="301">
        <f t="shared" si="13"/>
        <v>0</v>
      </c>
      <c r="R28" s="35">
        <f t="shared" si="0"/>
        <v>0</v>
      </c>
    </row>
    <row r="29" spans="2:18" ht="23.1" customHeight="1">
      <c r="B29" s="222" t="str">
        <f>LR!B70</f>
        <v>610105 | BIAYA GAJI DAN TUNJANGAN PEGAWAI ORGANIK</v>
      </c>
      <c r="C29" s="284"/>
      <c r="D29" s="300">
        <f t="shared" si="12"/>
        <v>0</v>
      </c>
      <c r="E29" s="300">
        <f t="shared" si="12"/>
        <v>0</v>
      </c>
      <c r="F29" s="300">
        <f t="shared" si="12"/>
        <v>0</v>
      </c>
      <c r="G29" s="300">
        <f t="shared" si="12"/>
        <v>0</v>
      </c>
      <c r="H29" s="300">
        <f t="shared" si="12"/>
        <v>0</v>
      </c>
      <c r="I29" s="300">
        <f t="shared" si="12"/>
        <v>0</v>
      </c>
      <c r="J29" s="300">
        <f t="shared" si="12"/>
        <v>0</v>
      </c>
      <c r="K29" s="300">
        <f t="shared" si="12"/>
        <v>0</v>
      </c>
      <c r="L29" s="300">
        <f t="shared" si="12"/>
        <v>0</v>
      </c>
      <c r="M29" s="300">
        <f t="shared" si="12"/>
        <v>0</v>
      </c>
      <c r="N29" s="300">
        <f t="shared" si="12"/>
        <v>0</v>
      </c>
      <c r="O29" s="300">
        <f t="shared" si="12"/>
        <v>0</v>
      </c>
      <c r="P29" s="301">
        <f t="shared" si="13"/>
        <v>0</v>
      </c>
      <c r="R29" s="35">
        <f t="shared" si="0"/>
        <v>0</v>
      </c>
    </row>
    <row r="30" spans="2:18" ht="23.1" customHeight="1">
      <c r="B30" s="222" t="str">
        <f>LR!B71</f>
        <v>610106 | BIAYA UPAH TENAGA KONTRAK</v>
      </c>
      <c r="C30" s="284"/>
      <c r="D30" s="300">
        <f t="shared" si="12"/>
        <v>0</v>
      </c>
      <c r="E30" s="300">
        <f t="shared" si="12"/>
        <v>0</v>
      </c>
      <c r="F30" s="300">
        <f t="shared" si="12"/>
        <v>0</v>
      </c>
      <c r="G30" s="300">
        <f t="shared" si="12"/>
        <v>0</v>
      </c>
      <c r="H30" s="300">
        <f t="shared" si="12"/>
        <v>0</v>
      </c>
      <c r="I30" s="300">
        <f t="shared" si="12"/>
        <v>0</v>
      </c>
      <c r="J30" s="300">
        <f t="shared" si="12"/>
        <v>0</v>
      </c>
      <c r="K30" s="300">
        <f t="shared" si="12"/>
        <v>0</v>
      </c>
      <c r="L30" s="300">
        <f t="shared" si="12"/>
        <v>0</v>
      </c>
      <c r="M30" s="300">
        <f t="shared" si="12"/>
        <v>0</v>
      </c>
      <c r="N30" s="300">
        <f t="shared" si="12"/>
        <v>0</v>
      </c>
      <c r="O30" s="300">
        <f t="shared" si="12"/>
        <v>0</v>
      </c>
      <c r="P30" s="301">
        <f t="shared" si="13"/>
        <v>0</v>
      </c>
      <c r="R30" s="35">
        <f t="shared" si="0"/>
        <v>0</v>
      </c>
    </row>
    <row r="31" spans="2:18" ht="23.1" customHeight="1">
      <c r="B31" s="222" t="str">
        <f>LR!B72</f>
        <v>610107 | BIAYA UPAH TENAGA HONOR</v>
      </c>
      <c r="C31" s="284"/>
      <c r="D31" s="300">
        <f t="shared" si="12"/>
        <v>0</v>
      </c>
      <c r="E31" s="300">
        <f t="shared" si="12"/>
        <v>0</v>
      </c>
      <c r="F31" s="300">
        <f t="shared" si="12"/>
        <v>0</v>
      </c>
      <c r="G31" s="300">
        <f t="shared" si="12"/>
        <v>0</v>
      </c>
      <c r="H31" s="300">
        <f t="shared" si="12"/>
        <v>0</v>
      </c>
      <c r="I31" s="300">
        <f t="shared" si="12"/>
        <v>0</v>
      </c>
      <c r="J31" s="300">
        <f t="shared" si="12"/>
        <v>0</v>
      </c>
      <c r="K31" s="300">
        <f t="shared" si="12"/>
        <v>0</v>
      </c>
      <c r="L31" s="300">
        <f t="shared" si="12"/>
        <v>0</v>
      </c>
      <c r="M31" s="300">
        <f t="shared" si="12"/>
        <v>0</v>
      </c>
      <c r="N31" s="300">
        <f t="shared" si="12"/>
        <v>0</v>
      </c>
      <c r="O31" s="300">
        <f t="shared" si="12"/>
        <v>0</v>
      </c>
      <c r="P31" s="301">
        <f t="shared" si="13"/>
        <v>0</v>
      </c>
      <c r="R31" s="35">
        <f t="shared" si="0"/>
        <v>0</v>
      </c>
    </row>
    <row r="32" spans="2:18" ht="23.1" customHeight="1">
      <c r="B32" s="222" t="str">
        <f>LR!B73</f>
        <v>610108 | BIAYA INSENTIF DIREKSI DAN KARYAWAN</v>
      </c>
      <c r="C32" s="284"/>
      <c r="D32" s="300">
        <f t="shared" si="12"/>
        <v>0</v>
      </c>
      <c r="E32" s="300">
        <f t="shared" si="12"/>
        <v>0</v>
      </c>
      <c r="F32" s="300">
        <f t="shared" si="12"/>
        <v>0</v>
      </c>
      <c r="G32" s="300">
        <f t="shared" si="12"/>
        <v>0</v>
      </c>
      <c r="H32" s="300">
        <f t="shared" si="12"/>
        <v>0</v>
      </c>
      <c r="I32" s="300">
        <f t="shared" si="12"/>
        <v>0</v>
      </c>
      <c r="J32" s="300">
        <f t="shared" si="12"/>
        <v>0</v>
      </c>
      <c r="K32" s="300">
        <f t="shared" si="12"/>
        <v>0</v>
      </c>
      <c r="L32" s="300">
        <f t="shared" si="12"/>
        <v>0</v>
      </c>
      <c r="M32" s="300">
        <f t="shared" si="12"/>
        <v>0</v>
      </c>
      <c r="N32" s="300">
        <f t="shared" si="12"/>
        <v>0</v>
      </c>
      <c r="O32" s="300">
        <f t="shared" si="12"/>
        <v>0</v>
      </c>
      <c r="P32" s="301">
        <f t="shared" si="13"/>
        <v>0</v>
      </c>
      <c r="R32" s="35">
        <f t="shared" si="0"/>
        <v>0</v>
      </c>
    </row>
    <row r="33" spans="2:18" ht="23.1" customHeight="1">
      <c r="B33" s="222" t="str">
        <f>LR!B74</f>
        <v>610109 | BIAYA TUNJANGAN TELEKOMUNIKASI DIREKSI DAN KABAG</v>
      </c>
      <c r="C33" s="284"/>
      <c r="D33" s="300">
        <f t="shared" si="12"/>
        <v>0</v>
      </c>
      <c r="E33" s="300">
        <f t="shared" si="12"/>
        <v>0</v>
      </c>
      <c r="F33" s="300">
        <f t="shared" si="12"/>
        <v>0</v>
      </c>
      <c r="G33" s="300">
        <f t="shared" si="12"/>
        <v>0</v>
      </c>
      <c r="H33" s="300">
        <f t="shared" si="12"/>
        <v>0</v>
      </c>
      <c r="I33" s="300">
        <f t="shared" si="12"/>
        <v>0</v>
      </c>
      <c r="J33" s="300">
        <f t="shared" si="12"/>
        <v>0</v>
      </c>
      <c r="K33" s="300">
        <f t="shared" si="12"/>
        <v>0</v>
      </c>
      <c r="L33" s="300">
        <f t="shared" si="12"/>
        <v>0</v>
      </c>
      <c r="M33" s="300">
        <f t="shared" si="12"/>
        <v>0</v>
      </c>
      <c r="N33" s="300">
        <f t="shared" si="12"/>
        <v>0</v>
      </c>
      <c r="O33" s="300">
        <f t="shared" si="12"/>
        <v>0</v>
      </c>
      <c r="P33" s="301">
        <f t="shared" si="13"/>
        <v>0</v>
      </c>
      <c r="R33" s="35">
        <f t="shared" si="0"/>
        <v>0</v>
      </c>
    </row>
    <row r="34" spans="2:18" ht="23.1" customHeight="1">
      <c r="B34" s="222" t="str">
        <f>LR!B75</f>
        <v>610110 | BIAYA TUNJANGAN KOORDINASI DIREKSI</v>
      </c>
      <c r="C34" s="284"/>
      <c r="D34" s="300">
        <f t="shared" ref="D34:O43" si="14">IF(INDEX(typ_sn,MATCH(INDEX(akun_type,MATCH($B34,akun_kb,0)),typ_ket,0))="db",SUMIFS(ju_sld,ju_bln,TEXT(D$8,"mmmm"),ju_kr,$B34,ju_prj2,"kr"&amp;$S$4)-SUMIFS(ju_sld,ju_bln,TEXT(D$8,"mmmm"),ju_debet,$B34,ju_prj2,"db"&amp;$S$4),SUMIFS(ju_sld,ju_bln,TEXT(D$8,"mmmm"),ju_kr,$B34,ju_prj2,"kr"&amp;$S$4)-SUMIFS(ju_sld,ju_bln,TEXT(D$8,"mmmm"),ju_debet,$B34,ju_prj2,"db"&amp;$S$4))</f>
        <v>0</v>
      </c>
      <c r="E34" s="300">
        <f t="shared" si="14"/>
        <v>0</v>
      </c>
      <c r="F34" s="300">
        <f t="shared" si="14"/>
        <v>0</v>
      </c>
      <c r="G34" s="300">
        <f t="shared" si="14"/>
        <v>0</v>
      </c>
      <c r="H34" s="300">
        <f t="shared" si="14"/>
        <v>0</v>
      </c>
      <c r="I34" s="300">
        <f t="shared" si="14"/>
        <v>0</v>
      </c>
      <c r="J34" s="300">
        <f t="shared" si="14"/>
        <v>0</v>
      </c>
      <c r="K34" s="300">
        <f t="shared" si="14"/>
        <v>0</v>
      </c>
      <c r="L34" s="300">
        <f t="shared" si="14"/>
        <v>0</v>
      </c>
      <c r="M34" s="300">
        <f t="shared" si="14"/>
        <v>0</v>
      </c>
      <c r="N34" s="300">
        <f t="shared" si="14"/>
        <v>0</v>
      </c>
      <c r="O34" s="300">
        <f t="shared" si="14"/>
        <v>0</v>
      </c>
      <c r="P34" s="301">
        <f t="shared" si="13"/>
        <v>0</v>
      </c>
      <c r="R34" s="35">
        <f t="shared" si="0"/>
        <v>0</v>
      </c>
    </row>
    <row r="35" spans="2:18" ht="23.1" customHeight="1">
      <c r="B35" s="222" t="str">
        <f>LR!B76</f>
        <v>610111 | BIAYA HONOR KONSULTAN HUKUM, KEUANGAN Dan IT</v>
      </c>
      <c r="C35" s="284"/>
      <c r="D35" s="300">
        <f t="shared" si="14"/>
        <v>0</v>
      </c>
      <c r="E35" s="300">
        <f t="shared" si="14"/>
        <v>0</v>
      </c>
      <c r="F35" s="300">
        <f t="shared" si="14"/>
        <v>0</v>
      </c>
      <c r="G35" s="300">
        <f t="shared" si="14"/>
        <v>0</v>
      </c>
      <c r="H35" s="300">
        <f t="shared" si="14"/>
        <v>0</v>
      </c>
      <c r="I35" s="300">
        <f t="shared" si="14"/>
        <v>0</v>
      </c>
      <c r="J35" s="300">
        <f t="shared" si="14"/>
        <v>0</v>
      </c>
      <c r="K35" s="300">
        <f t="shared" si="14"/>
        <v>0</v>
      </c>
      <c r="L35" s="300">
        <f t="shared" si="14"/>
        <v>0</v>
      </c>
      <c r="M35" s="300">
        <f t="shared" si="14"/>
        <v>0</v>
      </c>
      <c r="N35" s="300">
        <f t="shared" si="14"/>
        <v>0</v>
      </c>
      <c r="O35" s="300">
        <f t="shared" si="14"/>
        <v>0</v>
      </c>
      <c r="P35" s="301">
        <f t="shared" si="13"/>
        <v>0</v>
      </c>
      <c r="R35" s="35">
        <f t="shared" si="0"/>
        <v>0</v>
      </c>
    </row>
    <row r="36" spans="2:18" ht="23.1" customHeight="1">
      <c r="B36" s="222" t="str">
        <f>LR!B77</f>
        <v>610112 | BIAYA CUTI DIREKSI</v>
      </c>
      <c r="C36" s="284"/>
      <c r="D36" s="300">
        <f t="shared" si="14"/>
        <v>0</v>
      </c>
      <c r="E36" s="300">
        <f t="shared" si="14"/>
        <v>0</v>
      </c>
      <c r="F36" s="300">
        <f t="shared" si="14"/>
        <v>0</v>
      </c>
      <c r="G36" s="300">
        <f t="shared" si="14"/>
        <v>0</v>
      </c>
      <c r="H36" s="300">
        <f t="shared" si="14"/>
        <v>0</v>
      </c>
      <c r="I36" s="300">
        <f t="shared" si="14"/>
        <v>0</v>
      </c>
      <c r="J36" s="300">
        <f t="shared" si="14"/>
        <v>0</v>
      </c>
      <c r="K36" s="300">
        <f t="shared" si="14"/>
        <v>0</v>
      </c>
      <c r="L36" s="300">
        <f t="shared" si="14"/>
        <v>0</v>
      </c>
      <c r="M36" s="300">
        <f t="shared" si="14"/>
        <v>0</v>
      </c>
      <c r="N36" s="300">
        <f t="shared" si="14"/>
        <v>0</v>
      </c>
      <c r="O36" s="300">
        <f t="shared" si="14"/>
        <v>0</v>
      </c>
      <c r="P36" s="301">
        <f t="shared" si="13"/>
        <v>0</v>
      </c>
      <c r="R36" s="35">
        <f t="shared" si="0"/>
        <v>0</v>
      </c>
    </row>
    <row r="37" spans="2:18" ht="23.1" customHeight="1">
      <c r="B37" s="222" t="str">
        <f>LR!B78</f>
        <v>610113 | BIAYA LEMBUR DIREKSI DAN PEGAWAI</v>
      </c>
      <c r="C37" s="284"/>
      <c r="D37" s="300">
        <f t="shared" si="14"/>
        <v>0</v>
      </c>
      <c r="E37" s="300">
        <f t="shared" si="14"/>
        <v>0</v>
      </c>
      <c r="F37" s="300">
        <f t="shared" si="14"/>
        <v>0</v>
      </c>
      <c r="G37" s="300">
        <f t="shared" si="14"/>
        <v>0</v>
      </c>
      <c r="H37" s="300">
        <f t="shared" si="14"/>
        <v>0</v>
      </c>
      <c r="I37" s="300">
        <f t="shared" si="14"/>
        <v>0</v>
      </c>
      <c r="J37" s="300">
        <f t="shared" si="14"/>
        <v>0</v>
      </c>
      <c r="K37" s="300">
        <f t="shared" si="14"/>
        <v>0</v>
      </c>
      <c r="L37" s="300">
        <f t="shared" si="14"/>
        <v>0</v>
      </c>
      <c r="M37" s="300">
        <f t="shared" si="14"/>
        <v>0</v>
      </c>
      <c r="N37" s="300">
        <f t="shared" si="14"/>
        <v>0</v>
      </c>
      <c r="O37" s="300">
        <f t="shared" si="14"/>
        <v>0</v>
      </c>
      <c r="P37" s="301">
        <f t="shared" si="13"/>
        <v>0</v>
      </c>
      <c r="R37" s="35">
        <f t="shared" si="0"/>
        <v>0</v>
      </c>
    </row>
    <row r="38" spans="2:18" ht="23.1" customHeight="1">
      <c r="B38" s="222" t="str">
        <f>LR!B79</f>
        <v>610114 | BIAYA TUNJANGAN HARI RAYA (GAJI 13)</v>
      </c>
      <c r="C38" s="284"/>
      <c r="D38" s="300">
        <f t="shared" si="14"/>
        <v>0</v>
      </c>
      <c r="E38" s="300">
        <f t="shared" si="14"/>
        <v>0</v>
      </c>
      <c r="F38" s="300">
        <f t="shared" si="14"/>
        <v>0</v>
      </c>
      <c r="G38" s="300">
        <f t="shared" si="14"/>
        <v>0</v>
      </c>
      <c r="H38" s="300">
        <f t="shared" si="14"/>
        <v>0</v>
      </c>
      <c r="I38" s="300">
        <f t="shared" si="14"/>
        <v>0</v>
      </c>
      <c r="J38" s="300">
        <f t="shared" si="14"/>
        <v>0</v>
      </c>
      <c r="K38" s="300">
        <f t="shared" si="14"/>
        <v>0</v>
      </c>
      <c r="L38" s="300">
        <f t="shared" si="14"/>
        <v>0</v>
      </c>
      <c r="M38" s="300">
        <f t="shared" si="14"/>
        <v>0</v>
      </c>
      <c r="N38" s="300">
        <f t="shared" si="14"/>
        <v>0</v>
      </c>
      <c r="O38" s="300">
        <f t="shared" si="14"/>
        <v>0</v>
      </c>
      <c r="P38" s="301">
        <f t="shared" si="13"/>
        <v>0</v>
      </c>
      <c r="R38" s="35">
        <f t="shared" si="0"/>
        <v>0</v>
      </c>
    </row>
    <row r="39" spans="2:18" ht="23.1" customHeight="1">
      <c r="B39" s="222" t="str">
        <f>LR!B80</f>
        <v>610115 | BIAYA HONOR TIM PENYUSUN RANPERDA PERUMDA</v>
      </c>
      <c r="C39" s="284"/>
      <c r="D39" s="300">
        <f t="shared" si="14"/>
        <v>0</v>
      </c>
      <c r="E39" s="300">
        <f t="shared" si="14"/>
        <v>0</v>
      </c>
      <c r="F39" s="300">
        <f t="shared" si="14"/>
        <v>0</v>
      </c>
      <c r="G39" s="300">
        <f t="shared" si="14"/>
        <v>0</v>
      </c>
      <c r="H39" s="300">
        <f t="shared" si="14"/>
        <v>0</v>
      </c>
      <c r="I39" s="300">
        <f t="shared" si="14"/>
        <v>0</v>
      </c>
      <c r="J39" s="300">
        <f t="shared" si="14"/>
        <v>0</v>
      </c>
      <c r="K39" s="300">
        <f t="shared" si="14"/>
        <v>0</v>
      </c>
      <c r="L39" s="300">
        <f t="shared" si="14"/>
        <v>0</v>
      </c>
      <c r="M39" s="300">
        <f t="shared" si="14"/>
        <v>0</v>
      </c>
      <c r="N39" s="300">
        <f t="shared" si="14"/>
        <v>0</v>
      </c>
      <c r="O39" s="300">
        <f t="shared" si="14"/>
        <v>0</v>
      </c>
      <c r="P39" s="301">
        <f t="shared" si="13"/>
        <v>0</v>
      </c>
      <c r="R39" s="35">
        <f t="shared" si="0"/>
        <v>0</v>
      </c>
    </row>
    <row r="40" spans="2:18" ht="23.1" customHeight="1">
      <c r="B40" s="222" t="str">
        <f>LR!B81</f>
        <v>610116 | BIAYA HONOR TENAGA SUKARELA</v>
      </c>
      <c r="C40" s="284"/>
      <c r="D40" s="300">
        <f t="shared" si="14"/>
        <v>0</v>
      </c>
      <c r="E40" s="300">
        <f t="shared" si="14"/>
        <v>0</v>
      </c>
      <c r="F40" s="300">
        <f t="shared" si="14"/>
        <v>0</v>
      </c>
      <c r="G40" s="300">
        <f t="shared" si="14"/>
        <v>0</v>
      </c>
      <c r="H40" s="300">
        <f t="shared" si="14"/>
        <v>0</v>
      </c>
      <c r="I40" s="300">
        <f t="shared" si="14"/>
        <v>0</v>
      </c>
      <c r="J40" s="300">
        <f t="shared" si="14"/>
        <v>0</v>
      </c>
      <c r="K40" s="300">
        <f t="shared" si="14"/>
        <v>0</v>
      </c>
      <c r="L40" s="300">
        <f t="shared" si="14"/>
        <v>0</v>
      </c>
      <c r="M40" s="300">
        <f t="shared" si="14"/>
        <v>0</v>
      </c>
      <c r="N40" s="300">
        <f t="shared" si="14"/>
        <v>0</v>
      </c>
      <c r="O40" s="300">
        <f t="shared" si="14"/>
        <v>0</v>
      </c>
      <c r="P40" s="301">
        <f t="shared" si="13"/>
        <v>0</v>
      </c>
      <c r="R40" s="35">
        <f t="shared" si="0"/>
        <v>0</v>
      </c>
    </row>
    <row r="41" spans="2:18" ht="23.1" customHeight="1">
      <c r="B41" s="222" t="str">
        <f>LR!B82</f>
        <v>610117 | BIAYA TUNJANGAN JABATAN</v>
      </c>
      <c r="C41" s="284"/>
      <c r="D41" s="300">
        <f t="shared" si="14"/>
        <v>0</v>
      </c>
      <c r="E41" s="300">
        <f t="shared" si="14"/>
        <v>0</v>
      </c>
      <c r="F41" s="300">
        <f t="shared" si="14"/>
        <v>0</v>
      </c>
      <c r="G41" s="300">
        <f t="shared" si="14"/>
        <v>0</v>
      </c>
      <c r="H41" s="300">
        <f t="shared" si="14"/>
        <v>0</v>
      </c>
      <c r="I41" s="300">
        <f t="shared" si="14"/>
        <v>0</v>
      </c>
      <c r="J41" s="300">
        <f t="shared" si="14"/>
        <v>0</v>
      </c>
      <c r="K41" s="300">
        <f t="shared" si="14"/>
        <v>0</v>
      </c>
      <c r="L41" s="300">
        <f t="shared" si="14"/>
        <v>0</v>
      </c>
      <c r="M41" s="300">
        <f t="shared" si="14"/>
        <v>0</v>
      </c>
      <c r="N41" s="300">
        <f t="shared" si="14"/>
        <v>0</v>
      </c>
      <c r="O41" s="300">
        <f t="shared" si="14"/>
        <v>0</v>
      </c>
      <c r="P41" s="301">
        <f t="shared" si="13"/>
        <v>0</v>
      </c>
      <c r="R41" s="35">
        <f t="shared" si="0"/>
        <v>0</v>
      </c>
    </row>
    <row r="42" spans="2:18" ht="23.1" customHeight="1">
      <c r="B42" s="222" t="str">
        <f>LR!B83</f>
        <v>610118 | TUNJANGAN JAMSOSTEK KESEHATAN</v>
      </c>
      <c r="C42" s="284"/>
      <c r="D42" s="300">
        <f t="shared" si="14"/>
        <v>0</v>
      </c>
      <c r="E42" s="300">
        <f t="shared" si="14"/>
        <v>0</v>
      </c>
      <c r="F42" s="300">
        <f t="shared" si="14"/>
        <v>0</v>
      </c>
      <c r="G42" s="300">
        <f t="shared" si="14"/>
        <v>0</v>
      </c>
      <c r="H42" s="300">
        <f t="shared" si="14"/>
        <v>0</v>
      </c>
      <c r="I42" s="300">
        <f t="shared" si="14"/>
        <v>0</v>
      </c>
      <c r="J42" s="300">
        <f t="shared" si="14"/>
        <v>0</v>
      </c>
      <c r="K42" s="300">
        <f t="shared" si="14"/>
        <v>0</v>
      </c>
      <c r="L42" s="300">
        <f t="shared" si="14"/>
        <v>0</v>
      </c>
      <c r="M42" s="300">
        <f t="shared" si="14"/>
        <v>0</v>
      </c>
      <c r="N42" s="300">
        <f t="shared" si="14"/>
        <v>0</v>
      </c>
      <c r="O42" s="300">
        <f t="shared" si="14"/>
        <v>0</v>
      </c>
      <c r="P42" s="301">
        <f t="shared" si="13"/>
        <v>0</v>
      </c>
      <c r="R42" s="35">
        <f t="shared" si="0"/>
        <v>0</v>
      </c>
    </row>
    <row r="43" spans="2:18" ht="23.1" customHeight="1">
      <c r="B43" s="222" t="str">
        <f>LR!B84</f>
        <v>610119 | TUNJANGAN JAMSOSTEK KETENAGAKERJAAN</v>
      </c>
      <c r="C43" s="284"/>
      <c r="D43" s="300">
        <f t="shared" si="14"/>
        <v>0</v>
      </c>
      <c r="E43" s="300">
        <f t="shared" si="14"/>
        <v>0</v>
      </c>
      <c r="F43" s="300">
        <f t="shared" si="14"/>
        <v>0</v>
      </c>
      <c r="G43" s="300">
        <f t="shared" si="14"/>
        <v>0</v>
      </c>
      <c r="H43" s="300">
        <f t="shared" si="14"/>
        <v>0</v>
      </c>
      <c r="I43" s="300">
        <f t="shared" si="14"/>
        <v>0</v>
      </c>
      <c r="J43" s="300">
        <f t="shared" si="14"/>
        <v>0</v>
      </c>
      <c r="K43" s="300">
        <f t="shared" si="14"/>
        <v>0</v>
      </c>
      <c r="L43" s="300">
        <f t="shared" si="14"/>
        <v>0</v>
      </c>
      <c r="M43" s="300">
        <f t="shared" si="14"/>
        <v>0</v>
      </c>
      <c r="N43" s="300">
        <f t="shared" si="14"/>
        <v>0</v>
      </c>
      <c r="O43" s="300">
        <f t="shared" si="14"/>
        <v>0</v>
      </c>
      <c r="P43" s="301">
        <f t="shared" si="13"/>
        <v>0</v>
      </c>
      <c r="R43" s="35">
        <f t="shared" si="0"/>
        <v>0</v>
      </c>
    </row>
    <row r="44" spans="2:18" ht="23.1" customHeight="1">
      <c r="B44" s="222" t="str">
        <f>LR!B85</f>
        <v>610120 | TUNJANGAN ISTRI DAN ANAK</v>
      </c>
      <c r="C44" s="284"/>
      <c r="D44" s="300">
        <f t="shared" ref="D44:O53" si="15">IF(INDEX(typ_sn,MATCH(INDEX(akun_type,MATCH($B44,akun_kb,0)),typ_ket,0))="db",SUMIFS(ju_sld,ju_bln,TEXT(D$8,"mmmm"),ju_kr,$B44,ju_prj2,"kr"&amp;$S$4)-SUMIFS(ju_sld,ju_bln,TEXT(D$8,"mmmm"),ju_debet,$B44,ju_prj2,"db"&amp;$S$4),SUMIFS(ju_sld,ju_bln,TEXT(D$8,"mmmm"),ju_kr,$B44,ju_prj2,"kr"&amp;$S$4)-SUMIFS(ju_sld,ju_bln,TEXT(D$8,"mmmm"),ju_debet,$B44,ju_prj2,"db"&amp;$S$4))</f>
        <v>0</v>
      </c>
      <c r="E44" s="300">
        <f t="shared" si="15"/>
        <v>0</v>
      </c>
      <c r="F44" s="300">
        <f t="shared" si="15"/>
        <v>0</v>
      </c>
      <c r="G44" s="300">
        <f t="shared" si="15"/>
        <v>0</v>
      </c>
      <c r="H44" s="300">
        <f t="shared" si="15"/>
        <v>0</v>
      </c>
      <c r="I44" s="300">
        <f t="shared" si="15"/>
        <v>0</v>
      </c>
      <c r="J44" s="300">
        <f t="shared" si="15"/>
        <v>0</v>
      </c>
      <c r="K44" s="300">
        <f t="shared" si="15"/>
        <v>0</v>
      </c>
      <c r="L44" s="300">
        <f t="shared" si="15"/>
        <v>0</v>
      </c>
      <c r="M44" s="300">
        <f t="shared" si="15"/>
        <v>0</v>
      </c>
      <c r="N44" s="300">
        <f t="shared" si="15"/>
        <v>0</v>
      </c>
      <c r="O44" s="300">
        <f t="shared" si="15"/>
        <v>0</v>
      </c>
      <c r="P44" s="301">
        <f t="shared" si="13"/>
        <v>0</v>
      </c>
      <c r="R44" s="35">
        <f t="shared" si="0"/>
        <v>0</v>
      </c>
    </row>
    <row r="45" spans="2:18" ht="23.1" customHeight="1">
      <c r="B45" s="222" t="str">
        <f>LR!B86</f>
        <v>610121 | TUNJANGAN TRANSPORT</v>
      </c>
      <c r="C45" s="284"/>
      <c r="D45" s="300">
        <f t="shared" si="15"/>
        <v>0</v>
      </c>
      <c r="E45" s="300">
        <f t="shared" si="15"/>
        <v>0</v>
      </c>
      <c r="F45" s="300">
        <f t="shared" si="15"/>
        <v>0</v>
      </c>
      <c r="G45" s="300">
        <f t="shared" si="15"/>
        <v>0</v>
      </c>
      <c r="H45" s="300">
        <f t="shared" si="15"/>
        <v>0</v>
      </c>
      <c r="I45" s="300">
        <f t="shared" si="15"/>
        <v>0</v>
      </c>
      <c r="J45" s="300">
        <f t="shared" si="15"/>
        <v>0</v>
      </c>
      <c r="K45" s="300">
        <f t="shared" si="15"/>
        <v>0</v>
      </c>
      <c r="L45" s="300">
        <f t="shared" si="15"/>
        <v>0</v>
      </c>
      <c r="M45" s="300">
        <f t="shared" si="15"/>
        <v>0</v>
      </c>
      <c r="N45" s="300">
        <f t="shared" si="15"/>
        <v>0</v>
      </c>
      <c r="O45" s="300">
        <f t="shared" si="15"/>
        <v>0</v>
      </c>
      <c r="P45" s="301">
        <f t="shared" si="13"/>
        <v>0</v>
      </c>
      <c r="R45" s="35">
        <f t="shared" si="0"/>
        <v>0</v>
      </c>
    </row>
    <row r="46" spans="2:18" ht="23.1" customHeight="1">
      <c r="B46" s="222" t="str">
        <f>LR!B87</f>
        <v>610122 | REFRESENTASI DIREKSI</v>
      </c>
      <c r="C46" s="284"/>
      <c r="D46" s="300">
        <f t="shared" si="15"/>
        <v>0</v>
      </c>
      <c r="E46" s="300">
        <f t="shared" si="15"/>
        <v>0</v>
      </c>
      <c r="F46" s="300">
        <f t="shared" si="15"/>
        <v>0</v>
      </c>
      <c r="G46" s="300">
        <f t="shared" si="15"/>
        <v>0</v>
      </c>
      <c r="H46" s="300">
        <f t="shared" si="15"/>
        <v>0</v>
      </c>
      <c r="I46" s="300">
        <f t="shared" si="15"/>
        <v>0</v>
      </c>
      <c r="J46" s="300">
        <f t="shared" si="15"/>
        <v>0</v>
      </c>
      <c r="K46" s="300">
        <f t="shared" si="15"/>
        <v>0</v>
      </c>
      <c r="L46" s="300">
        <f t="shared" si="15"/>
        <v>0</v>
      </c>
      <c r="M46" s="300">
        <f t="shared" si="15"/>
        <v>0</v>
      </c>
      <c r="N46" s="300">
        <f t="shared" si="15"/>
        <v>0</v>
      </c>
      <c r="O46" s="300">
        <f t="shared" si="15"/>
        <v>0</v>
      </c>
      <c r="P46" s="301">
        <f t="shared" si="13"/>
        <v>0</v>
      </c>
      <c r="R46" s="35">
        <f t="shared" si="0"/>
        <v>0</v>
      </c>
    </row>
    <row r="47" spans="2:18" ht="23.1" customHeight="1">
      <c r="B47" s="222" t="str">
        <f>LR!B88</f>
        <v>610123 | GAJI POKOK PEGAWAI</v>
      </c>
      <c r="C47" s="284"/>
      <c r="D47" s="300">
        <f t="shared" si="15"/>
        <v>0</v>
      </c>
      <c r="E47" s="300">
        <f t="shared" si="15"/>
        <v>0</v>
      </c>
      <c r="F47" s="300">
        <f t="shared" si="15"/>
        <v>0</v>
      </c>
      <c r="G47" s="300">
        <f t="shared" si="15"/>
        <v>0</v>
      </c>
      <c r="H47" s="300">
        <f t="shared" si="15"/>
        <v>0</v>
      </c>
      <c r="I47" s="300">
        <f t="shared" si="15"/>
        <v>0</v>
      </c>
      <c r="J47" s="300">
        <f t="shared" si="15"/>
        <v>0</v>
      </c>
      <c r="K47" s="300">
        <f t="shared" si="15"/>
        <v>0</v>
      </c>
      <c r="L47" s="300">
        <f t="shared" si="15"/>
        <v>0</v>
      </c>
      <c r="M47" s="300">
        <f t="shared" si="15"/>
        <v>0</v>
      </c>
      <c r="N47" s="300">
        <f t="shared" si="15"/>
        <v>0</v>
      </c>
      <c r="O47" s="300">
        <f t="shared" si="15"/>
        <v>0</v>
      </c>
      <c r="P47" s="301">
        <f t="shared" si="13"/>
        <v>0</v>
      </c>
      <c r="R47" s="35">
        <f t="shared" si="0"/>
        <v>0</v>
      </c>
    </row>
    <row r="48" spans="2:18" ht="23.1" customHeight="1">
      <c r="B48" s="222" t="str">
        <f>LR!B89</f>
        <v>610125 | TUNJANGAN KESEHATAN DAN BPJS TK-PEGAWAI</v>
      </c>
      <c r="C48" s="284"/>
      <c r="D48" s="300">
        <f t="shared" si="15"/>
        <v>0</v>
      </c>
      <c r="E48" s="300">
        <f t="shared" si="15"/>
        <v>0</v>
      </c>
      <c r="F48" s="300">
        <f t="shared" si="15"/>
        <v>0</v>
      </c>
      <c r="G48" s="300">
        <f t="shared" si="15"/>
        <v>0</v>
      </c>
      <c r="H48" s="300">
        <f t="shared" si="15"/>
        <v>0</v>
      </c>
      <c r="I48" s="300">
        <f t="shared" si="15"/>
        <v>0</v>
      </c>
      <c r="J48" s="300">
        <f t="shared" si="15"/>
        <v>0</v>
      </c>
      <c r="K48" s="300">
        <f t="shared" si="15"/>
        <v>0</v>
      </c>
      <c r="L48" s="300">
        <f t="shared" si="15"/>
        <v>0</v>
      </c>
      <c r="M48" s="300">
        <f t="shared" si="15"/>
        <v>0</v>
      </c>
      <c r="N48" s="300">
        <f t="shared" si="15"/>
        <v>0</v>
      </c>
      <c r="O48" s="300">
        <f t="shared" si="15"/>
        <v>0</v>
      </c>
      <c r="P48" s="301">
        <f t="shared" si="13"/>
        <v>0</v>
      </c>
      <c r="R48" s="35">
        <f t="shared" si="0"/>
        <v>0</v>
      </c>
    </row>
    <row r="49" spans="2:18" ht="23.1" customHeight="1">
      <c r="B49" s="222" t="str">
        <f>LR!B90</f>
        <v>610127 | TUNJANGAN MAKAN MINUM TRANSPORTASI &amp; T. KELUARGA</v>
      </c>
      <c r="C49" s="284"/>
      <c r="D49" s="300">
        <f t="shared" si="15"/>
        <v>0</v>
      </c>
      <c r="E49" s="300">
        <f t="shared" si="15"/>
        <v>0</v>
      </c>
      <c r="F49" s="300">
        <f t="shared" si="15"/>
        <v>0</v>
      </c>
      <c r="G49" s="300">
        <f t="shared" si="15"/>
        <v>0</v>
      </c>
      <c r="H49" s="300">
        <f t="shared" si="15"/>
        <v>0</v>
      </c>
      <c r="I49" s="300">
        <f t="shared" si="15"/>
        <v>0</v>
      </c>
      <c r="J49" s="300">
        <f t="shared" si="15"/>
        <v>0</v>
      </c>
      <c r="K49" s="300">
        <f t="shared" si="15"/>
        <v>0</v>
      </c>
      <c r="L49" s="300">
        <f t="shared" si="15"/>
        <v>0</v>
      </c>
      <c r="M49" s="300">
        <f t="shared" si="15"/>
        <v>0</v>
      </c>
      <c r="N49" s="300">
        <f t="shared" si="15"/>
        <v>0</v>
      </c>
      <c r="O49" s="300">
        <f t="shared" si="15"/>
        <v>0</v>
      </c>
      <c r="P49" s="301">
        <f t="shared" si="13"/>
        <v>0</v>
      </c>
      <c r="R49" s="35">
        <f t="shared" si="0"/>
        <v>0</v>
      </c>
    </row>
    <row r="50" spans="2:18" ht="23.1" customHeight="1">
      <c r="B50" s="222" t="str">
        <f>LR!B91</f>
        <v>610129 | BIAYA TUNJANGAN HARI RAYA</v>
      </c>
      <c r="C50" s="284"/>
      <c r="D50" s="300">
        <f t="shared" si="15"/>
        <v>0</v>
      </c>
      <c r="E50" s="300">
        <f t="shared" si="15"/>
        <v>0</v>
      </c>
      <c r="F50" s="300">
        <f t="shared" si="15"/>
        <v>0</v>
      </c>
      <c r="G50" s="300">
        <f t="shared" si="15"/>
        <v>0</v>
      </c>
      <c r="H50" s="300">
        <f t="shared" si="15"/>
        <v>0</v>
      </c>
      <c r="I50" s="300">
        <f t="shared" si="15"/>
        <v>0</v>
      </c>
      <c r="J50" s="300">
        <f t="shared" si="15"/>
        <v>0</v>
      </c>
      <c r="K50" s="300">
        <f t="shared" si="15"/>
        <v>0</v>
      </c>
      <c r="L50" s="300">
        <f t="shared" si="15"/>
        <v>0</v>
      </c>
      <c r="M50" s="300">
        <f t="shared" si="15"/>
        <v>0</v>
      </c>
      <c r="N50" s="300">
        <f t="shared" si="15"/>
        <v>0</v>
      </c>
      <c r="O50" s="300">
        <f t="shared" si="15"/>
        <v>0</v>
      </c>
      <c r="P50" s="301">
        <f t="shared" si="13"/>
        <v>0</v>
      </c>
      <c r="R50" s="35">
        <f t="shared" si="0"/>
        <v>0</v>
      </c>
    </row>
    <row r="51" spans="2:18" ht="23.1" customHeight="1">
      <c r="B51" s="222" t="str">
        <f>LR!B92</f>
        <v>610130 | BIAYA HONOR KOMITE AUDIT</v>
      </c>
      <c r="C51" s="284"/>
      <c r="D51" s="300">
        <f t="shared" si="15"/>
        <v>0</v>
      </c>
      <c r="E51" s="300">
        <f t="shared" si="15"/>
        <v>0</v>
      </c>
      <c r="F51" s="300">
        <f t="shared" si="15"/>
        <v>0</v>
      </c>
      <c r="G51" s="300">
        <f t="shared" si="15"/>
        <v>0</v>
      </c>
      <c r="H51" s="300">
        <f t="shared" si="15"/>
        <v>0</v>
      </c>
      <c r="I51" s="300">
        <f t="shared" si="15"/>
        <v>0</v>
      </c>
      <c r="J51" s="300">
        <f t="shared" si="15"/>
        <v>0</v>
      </c>
      <c r="K51" s="300">
        <f t="shared" si="15"/>
        <v>0</v>
      </c>
      <c r="L51" s="300">
        <f t="shared" si="15"/>
        <v>0</v>
      </c>
      <c r="M51" s="300">
        <f t="shared" si="15"/>
        <v>0</v>
      </c>
      <c r="N51" s="300">
        <f t="shared" si="15"/>
        <v>0</v>
      </c>
      <c r="O51" s="300">
        <f t="shared" si="15"/>
        <v>0</v>
      </c>
      <c r="P51" s="301">
        <f t="shared" si="13"/>
        <v>0</v>
      </c>
      <c r="R51" s="35">
        <f t="shared" si="0"/>
        <v>0</v>
      </c>
    </row>
    <row r="52" spans="2:18" ht="23.1" customHeight="1">
      <c r="B52" s="222" t="e">
        <f>LR!#REF!</f>
        <v>#REF!</v>
      </c>
      <c r="C52" s="284"/>
      <c r="D52" s="300" t="e">
        <f t="shared" si="15"/>
        <v>#REF!</v>
      </c>
      <c r="E52" s="300" t="e">
        <f t="shared" si="15"/>
        <v>#REF!</v>
      </c>
      <c r="F52" s="300" t="e">
        <f t="shared" si="15"/>
        <v>#REF!</v>
      </c>
      <c r="G52" s="300" t="e">
        <f t="shared" si="15"/>
        <v>#REF!</v>
      </c>
      <c r="H52" s="300" t="e">
        <f t="shared" si="15"/>
        <v>#REF!</v>
      </c>
      <c r="I52" s="300" t="e">
        <f t="shared" si="15"/>
        <v>#REF!</v>
      </c>
      <c r="J52" s="300" t="e">
        <f t="shared" si="15"/>
        <v>#REF!</v>
      </c>
      <c r="K52" s="300" t="e">
        <f t="shared" si="15"/>
        <v>#REF!</v>
      </c>
      <c r="L52" s="300" t="e">
        <f t="shared" si="15"/>
        <v>#REF!</v>
      </c>
      <c r="M52" s="300" t="e">
        <f t="shared" si="15"/>
        <v>#REF!</v>
      </c>
      <c r="N52" s="300" t="e">
        <f t="shared" si="15"/>
        <v>#REF!</v>
      </c>
      <c r="O52" s="300" t="e">
        <f t="shared" si="15"/>
        <v>#REF!</v>
      </c>
      <c r="P52" s="301" t="e">
        <f t="shared" si="13"/>
        <v>#REF!</v>
      </c>
      <c r="R52" s="35" t="e">
        <f t="shared" si="0"/>
        <v>#REF!</v>
      </c>
    </row>
    <row r="53" spans="2:18" ht="23.1" customHeight="1">
      <c r="B53" s="222" t="e">
        <f>LR!#REF!</f>
        <v>#REF!</v>
      </c>
      <c r="C53" s="284"/>
      <c r="D53" s="300" t="e">
        <f t="shared" si="15"/>
        <v>#REF!</v>
      </c>
      <c r="E53" s="300" t="e">
        <f t="shared" si="15"/>
        <v>#REF!</v>
      </c>
      <c r="F53" s="300" t="e">
        <f t="shared" si="15"/>
        <v>#REF!</v>
      </c>
      <c r="G53" s="300" t="e">
        <f t="shared" si="15"/>
        <v>#REF!</v>
      </c>
      <c r="H53" s="300" t="e">
        <f t="shared" si="15"/>
        <v>#REF!</v>
      </c>
      <c r="I53" s="300" t="e">
        <f t="shared" si="15"/>
        <v>#REF!</v>
      </c>
      <c r="J53" s="300" t="e">
        <f t="shared" si="15"/>
        <v>#REF!</v>
      </c>
      <c r="K53" s="300" t="e">
        <f t="shared" si="15"/>
        <v>#REF!</v>
      </c>
      <c r="L53" s="300" t="e">
        <f t="shared" si="15"/>
        <v>#REF!</v>
      </c>
      <c r="M53" s="300" t="e">
        <f t="shared" si="15"/>
        <v>#REF!</v>
      </c>
      <c r="N53" s="300" t="e">
        <f t="shared" si="15"/>
        <v>#REF!</v>
      </c>
      <c r="O53" s="300" t="e">
        <f t="shared" si="15"/>
        <v>#REF!</v>
      </c>
      <c r="P53" s="301" t="e">
        <f t="shared" si="13"/>
        <v>#REF!</v>
      </c>
      <c r="R53" s="35" t="e">
        <f t="shared" si="0"/>
        <v>#REF!</v>
      </c>
    </row>
    <row r="54" spans="2:18" ht="23.1" customHeight="1">
      <c r="B54" s="222" t="e">
        <f>LR!#REF!</f>
        <v>#REF!</v>
      </c>
      <c r="C54" s="284"/>
      <c r="D54" s="300" t="e">
        <f t="shared" ref="D54:O60" si="16">IF(INDEX(typ_sn,MATCH(INDEX(akun_type,MATCH($B54,akun_kb,0)),typ_ket,0))="db",SUMIFS(ju_sld,ju_bln,TEXT(D$8,"mmmm"),ju_kr,$B54,ju_prj2,"kr"&amp;$S$4)-SUMIFS(ju_sld,ju_bln,TEXT(D$8,"mmmm"),ju_debet,$B54,ju_prj2,"db"&amp;$S$4),SUMIFS(ju_sld,ju_bln,TEXT(D$8,"mmmm"),ju_kr,$B54,ju_prj2,"kr"&amp;$S$4)-SUMIFS(ju_sld,ju_bln,TEXT(D$8,"mmmm"),ju_debet,$B54,ju_prj2,"db"&amp;$S$4))</f>
        <v>#REF!</v>
      </c>
      <c r="E54" s="300" t="e">
        <f t="shared" si="16"/>
        <v>#REF!</v>
      </c>
      <c r="F54" s="300" t="e">
        <f t="shared" si="16"/>
        <v>#REF!</v>
      </c>
      <c r="G54" s="300" t="e">
        <f t="shared" si="16"/>
        <v>#REF!</v>
      </c>
      <c r="H54" s="300" t="e">
        <f t="shared" si="16"/>
        <v>#REF!</v>
      </c>
      <c r="I54" s="300" t="e">
        <f t="shared" si="16"/>
        <v>#REF!</v>
      </c>
      <c r="J54" s="300" t="e">
        <f t="shared" si="16"/>
        <v>#REF!</v>
      </c>
      <c r="K54" s="300" t="e">
        <f t="shared" si="16"/>
        <v>#REF!</v>
      </c>
      <c r="L54" s="300" t="e">
        <f t="shared" si="16"/>
        <v>#REF!</v>
      </c>
      <c r="M54" s="300" t="e">
        <f t="shared" si="16"/>
        <v>#REF!</v>
      </c>
      <c r="N54" s="300" t="e">
        <f t="shared" si="16"/>
        <v>#REF!</v>
      </c>
      <c r="O54" s="300" t="e">
        <f t="shared" si="16"/>
        <v>#REF!</v>
      </c>
      <c r="P54" s="301" t="e">
        <f t="shared" si="13"/>
        <v>#REF!</v>
      </c>
      <c r="R54" s="35" t="e">
        <f t="shared" si="0"/>
        <v>#REF!</v>
      </c>
    </row>
    <row r="55" spans="2:18" ht="23.1" customHeight="1">
      <c r="B55" s="222" t="e">
        <f>LR!#REF!</f>
        <v>#REF!</v>
      </c>
      <c r="C55" s="284"/>
      <c r="D55" s="300" t="e">
        <f t="shared" si="16"/>
        <v>#REF!</v>
      </c>
      <c r="E55" s="300" t="e">
        <f t="shared" si="16"/>
        <v>#REF!</v>
      </c>
      <c r="F55" s="300" t="e">
        <f t="shared" si="16"/>
        <v>#REF!</v>
      </c>
      <c r="G55" s="300" t="e">
        <f t="shared" si="16"/>
        <v>#REF!</v>
      </c>
      <c r="H55" s="300" t="e">
        <f t="shared" si="16"/>
        <v>#REF!</v>
      </c>
      <c r="I55" s="300" t="e">
        <f t="shared" si="16"/>
        <v>#REF!</v>
      </c>
      <c r="J55" s="300" t="e">
        <f t="shared" si="16"/>
        <v>#REF!</v>
      </c>
      <c r="K55" s="300" t="e">
        <f t="shared" si="16"/>
        <v>#REF!</v>
      </c>
      <c r="L55" s="300" t="e">
        <f t="shared" si="16"/>
        <v>#REF!</v>
      </c>
      <c r="M55" s="300" t="e">
        <f t="shared" si="16"/>
        <v>#REF!</v>
      </c>
      <c r="N55" s="300" t="e">
        <f t="shared" si="16"/>
        <v>#REF!</v>
      </c>
      <c r="O55" s="300" t="e">
        <f t="shared" si="16"/>
        <v>#REF!</v>
      </c>
      <c r="P55" s="301" t="e">
        <f t="shared" si="13"/>
        <v>#REF!</v>
      </c>
      <c r="R55" s="35" t="e">
        <f t="shared" si="0"/>
        <v>#REF!</v>
      </c>
    </row>
    <row r="56" spans="2:18" ht="23.1" customHeight="1">
      <c r="B56" s="223" t="str">
        <f>LR!B94</f>
        <v>BIAYA ADM UMUM</v>
      </c>
      <c r="C56" s="284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1"/>
      <c r="R56" s="35">
        <f t="shared" si="0"/>
        <v>1</v>
      </c>
    </row>
    <row r="57" spans="2:18" ht="23.1" customHeight="1">
      <c r="B57" s="222" t="str">
        <f>LR!B95</f>
        <v>610201 | BIAYA DANA REFRESENTASI DIREKSI</v>
      </c>
      <c r="C57" s="284"/>
      <c r="D57" s="300">
        <f t="shared" si="16"/>
        <v>0</v>
      </c>
      <c r="E57" s="300">
        <f t="shared" si="16"/>
        <v>0</v>
      </c>
      <c r="F57" s="300">
        <f t="shared" si="16"/>
        <v>0</v>
      </c>
      <c r="G57" s="300">
        <f t="shared" si="16"/>
        <v>0</v>
      </c>
      <c r="H57" s="300">
        <f t="shared" si="16"/>
        <v>0</v>
      </c>
      <c r="I57" s="300">
        <f t="shared" si="16"/>
        <v>0</v>
      </c>
      <c r="J57" s="300">
        <f t="shared" si="16"/>
        <v>0</v>
      </c>
      <c r="K57" s="300">
        <f t="shared" si="16"/>
        <v>0</v>
      </c>
      <c r="L57" s="300">
        <f t="shared" si="16"/>
        <v>0</v>
      </c>
      <c r="M57" s="300">
        <f t="shared" si="16"/>
        <v>0</v>
      </c>
      <c r="N57" s="300">
        <f t="shared" si="16"/>
        <v>0</v>
      </c>
      <c r="O57" s="300">
        <f t="shared" si="16"/>
        <v>0</v>
      </c>
      <c r="P57" s="301">
        <f t="shared" si="13"/>
        <v>0</v>
      </c>
      <c r="R57" s="35">
        <f t="shared" si="0"/>
        <v>0</v>
      </c>
    </row>
    <row r="58" spans="2:18" ht="23.1" customHeight="1">
      <c r="B58" s="222" t="str">
        <f>LR!B96</f>
        <v>610202 | BIAYA KOORDINASI PEMBINA PERUSDA</v>
      </c>
      <c r="C58" s="284"/>
      <c r="D58" s="300">
        <f t="shared" si="16"/>
        <v>0</v>
      </c>
      <c r="E58" s="300">
        <f t="shared" si="16"/>
        <v>0</v>
      </c>
      <c r="F58" s="300">
        <f t="shared" si="16"/>
        <v>0</v>
      </c>
      <c r="G58" s="300">
        <f t="shared" si="16"/>
        <v>0</v>
      </c>
      <c r="H58" s="300">
        <f t="shared" si="16"/>
        <v>0</v>
      </c>
      <c r="I58" s="300">
        <f t="shared" si="16"/>
        <v>0</v>
      </c>
      <c r="J58" s="300">
        <f t="shared" si="16"/>
        <v>0</v>
      </c>
      <c r="K58" s="300">
        <f t="shared" si="16"/>
        <v>0</v>
      </c>
      <c r="L58" s="300">
        <f t="shared" si="16"/>
        <v>0</v>
      </c>
      <c r="M58" s="300">
        <f t="shared" si="16"/>
        <v>0</v>
      </c>
      <c r="N58" s="300">
        <f t="shared" si="16"/>
        <v>0</v>
      </c>
      <c r="O58" s="300">
        <f t="shared" si="16"/>
        <v>0</v>
      </c>
      <c r="P58" s="301">
        <f t="shared" si="13"/>
        <v>0</v>
      </c>
      <c r="R58" s="35">
        <f t="shared" si="0"/>
        <v>0</v>
      </c>
    </row>
    <row r="59" spans="2:18" ht="23.1" customHeight="1">
      <c r="B59" s="222" t="str">
        <f>LR!B97</f>
        <v>610203 | BIAYA PENINGKATAN SDM PEGAWAI</v>
      </c>
      <c r="C59" s="284"/>
      <c r="D59" s="300">
        <f t="shared" si="16"/>
        <v>0</v>
      </c>
      <c r="E59" s="300">
        <f t="shared" si="16"/>
        <v>0</v>
      </c>
      <c r="F59" s="300">
        <f t="shared" si="16"/>
        <v>0</v>
      </c>
      <c r="G59" s="300">
        <f t="shared" si="16"/>
        <v>0</v>
      </c>
      <c r="H59" s="300">
        <f t="shared" si="16"/>
        <v>0</v>
      </c>
      <c r="I59" s="300">
        <f t="shared" si="16"/>
        <v>0</v>
      </c>
      <c r="J59" s="300">
        <f t="shared" si="16"/>
        <v>0</v>
      </c>
      <c r="K59" s="300">
        <f t="shared" si="16"/>
        <v>0</v>
      </c>
      <c r="L59" s="300">
        <f t="shared" si="16"/>
        <v>0</v>
      </c>
      <c r="M59" s="300">
        <f t="shared" si="16"/>
        <v>0</v>
      </c>
      <c r="N59" s="300">
        <f t="shared" si="16"/>
        <v>0</v>
      </c>
      <c r="O59" s="300">
        <f t="shared" si="16"/>
        <v>0</v>
      </c>
      <c r="P59" s="301">
        <f t="shared" si="13"/>
        <v>0</v>
      </c>
      <c r="R59" s="35">
        <f t="shared" si="0"/>
        <v>0</v>
      </c>
    </row>
    <row r="60" spans="2:18" ht="23.1" customHeight="1">
      <c r="B60" s="222" t="e">
        <f>LR!#REF!</f>
        <v>#REF!</v>
      </c>
      <c r="C60" s="284"/>
      <c r="D60" s="300" t="e">
        <f t="shared" si="16"/>
        <v>#REF!</v>
      </c>
      <c r="E60" s="300" t="e">
        <f t="shared" si="16"/>
        <v>#REF!</v>
      </c>
      <c r="F60" s="300" t="e">
        <f t="shared" si="16"/>
        <v>#REF!</v>
      </c>
      <c r="G60" s="300" t="e">
        <f t="shared" si="16"/>
        <v>#REF!</v>
      </c>
      <c r="H60" s="300" t="e">
        <f t="shared" si="16"/>
        <v>#REF!</v>
      </c>
      <c r="I60" s="300" t="e">
        <f t="shared" si="16"/>
        <v>#REF!</v>
      </c>
      <c r="J60" s="300" t="e">
        <f t="shared" si="16"/>
        <v>#REF!</v>
      </c>
      <c r="K60" s="300" t="e">
        <f t="shared" si="16"/>
        <v>#REF!</v>
      </c>
      <c r="L60" s="300" t="e">
        <f t="shared" si="16"/>
        <v>#REF!</v>
      </c>
      <c r="M60" s="300" t="e">
        <f t="shared" si="16"/>
        <v>#REF!</v>
      </c>
      <c r="N60" s="300" t="e">
        <f t="shared" si="16"/>
        <v>#REF!</v>
      </c>
      <c r="O60" s="300" t="e">
        <f t="shared" si="16"/>
        <v>#REF!</v>
      </c>
      <c r="P60" s="301" t="e">
        <f t="shared" si="13"/>
        <v>#REF!</v>
      </c>
      <c r="R60" s="35" t="e">
        <f t="shared" si="0"/>
        <v>#REF!</v>
      </c>
    </row>
    <row r="61" spans="2:18" ht="23.1" customHeight="1">
      <c r="B61" s="290" t="s">
        <v>148</v>
      </c>
      <c r="C61" s="280"/>
      <c r="D61" s="302" t="e">
        <f t="shared" ref="D61:P61" si="17">SUM(D24:D60)</f>
        <v>#REF!</v>
      </c>
      <c r="E61" s="302" t="e">
        <f t="shared" si="17"/>
        <v>#REF!</v>
      </c>
      <c r="F61" s="302" t="e">
        <f t="shared" si="17"/>
        <v>#REF!</v>
      </c>
      <c r="G61" s="302" t="e">
        <f t="shared" si="17"/>
        <v>#REF!</v>
      </c>
      <c r="H61" s="302" t="e">
        <f t="shared" si="17"/>
        <v>#REF!</v>
      </c>
      <c r="I61" s="302" t="e">
        <f t="shared" si="17"/>
        <v>#REF!</v>
      </c>
      <c r="J61" s="302" t="e">
        <f t="shared" si="17"/>
        <v>#REF!</v>
      </c>
      <c r="K61" s="302" t="e">
        <f t="shared" si="17"/>
        <v>#REF!</v>
      </c>
      <c r="L61" s="302" t="e">
        <f t="shared" si="17"/>
        <v>#REF!</v>
      </c>
      <c r="M61" s="302" t="e">
        <f t="shared" si="17"/>
        <v>#REF!</v>
      </c>
      <c r="N61" s="302" t="e">
        <f t="shared" si="17"/>
        <v>#REF!</v>
      </c>
      <c r="O61" s="302" t="e">
        <f t="shared" si="17"/>
        <v>#REF!</v>
      </c>
      <c r="P61" s="302" t="e">
        <f t="shared" si="17"/>
        <v>#REF!</v>
      </c>
      <c r="R61" s="35" t="e">
        <f t="shared" si="0"/>
        <v>#REF!</v>
      </c>
    </row>
    <row r="62" spans="2:18" ht="23.1" customHeight="1">
      <c r="B62" s="290" t="s">
        <v>149</v>
      </c>
      <c r="C62" s="280"/>
      <c r="D62" s="302" t="e">
        <f t="shared" ref="D62:P62" si="18">D61+D22</f>
        <v>#REF!</v>
      </c>
      <c r="E62" s="302" t="e">
        <f t="shared" si="18"/>
        <v>#REF!</v>
      </c>
      <c r="F62" s="302" t="e">
        <f t="shared" si="18"/>
        <v>#REF!</v>
      </c>
      <c r="G62" s="302" t="e">
        <f t="shared" si="18"/>
        <v>#REF!</v>
      </c>
      <c r="H62" s="302" t="e">
        <f t="shared" si="18"/>
        <v>#REF!</v>
      </c>
      <c r="I62" s="302" t="e">
        <f t="shared" si="18"/>
        <v>#REF!</v>
      </c>
      <c r="J62" s="302" t="e">
        <f t="shared" si="18"/>
        <v>#REF!</v>
      </c>
      <c r="K62" s="302" t="e">
        <f t="shared" si="18"/>
        <v>#REF!</v>
      </c>
      <c r="L62" s="302" t="e">
        <f t="shared" si="18"/>
        <v>#REF!</v>
      </c>
      <c r="M62" s="302" t="e">
        <f t="shared" si="18"/>
        <v>#REF!</v>
      </c>
      <c r="N62" s="302" t="e">
        <f t="shared" si="18"/>
        <v>#REF!</v>
      </c>
      <c r="O62" s="302" t="e">
        <f t="shared" si="18"/>
        <v>#REF!</v>
      </c>
      <c r="P62" s="302" t="e">
        <f t="shared" si="18"/>
        <v>#REF!</v>
      </c>
      <c r="R62" s="35" t="e">
        <f t="shared" si="0"/>
        <v>#REF!</v>
      </c>
    </row>
    <row r="63" spans="2:18" ht="23.1" customHeight="1">
      <c r="B63" s="291" t="s">
        <v>150</v>
      </c>
      <c r="C63" s="284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66"/>
      <c r="R63" s="35">
        <f t="shared" si="0"/>
        <v>1</v>
      </c>
    </row>
    <row r="64" spans="2:18" ht="23.1" customHeight="1">
      <c r="B64" s="291" t="s">
        <v>151</v>
      </c>
      <c r="C64" s="284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66"/>
      <c r="R64" s="35">
        <f t="shared" si="0"/>
        <v>1</v>
      </c>
    </row>
    <row r="65" spans="2:18" ht="23.1" customHeight="1">
      <c r="B65" s="222" t="str">
        <f>LR!B157</f>
        <v>710101 | PENDAPATAN JASA GIRO</v>
      </c>
      <c r="C65" s="284"/>
      <c r="D65" s="300">
        <f t="shared" ref="D65:O69" si="19">IF(INDEX(typ_sn,MATCH(INDEX(akun_type,MATCH($B65,akun_kb,0)),typ_ket,0))="db",SUMIFS(ju_sld,ju_bln,TEXT(D$8,"mmmm"),ju_kr,$B65,ju_prj2,"kr"&amp;$S$4)-SUMIFS(ju_sld,ju_bln,TEXT(D$8,"mmmm"),ju_debet,$B65,ju_prj2,"db"&amp;$S$4),SUMIFS(ju_sld,ju_bln,TEXT(D$8,"mmmm"),ju_kr,$B65,ju_prj2,"kr"&amp;$S$4)-SUMIFS(ju_sld,ju_bln,TEXT(D$8,"mmmm"),ju_debet,$B65,ju_prj2,"db"&amp;$S$4))</f>
        <v>0</v>
      </c>
      <c r="E65" s="300">
        <f t="shared" si="19"/>
        <v>0</v>
      </c>
      <c r="F65" s="300">
        <f t="shared" si="19"/>
        <v>0</v>
      </c>
      <c r="G65" s="300">
        <f t="shared" si="19"/>
        <v>0</v>
      </c>
      <c r="H65" s="300">
        <f t="shared" si="19"/>
        <v>0</v>
      </c>
      <c r="I65" s="300">
        <f t="shared" si="19"/>
        <v>0</v>
      </c>
      <c r="J65" s="300">
        <f t="shared" si="19"/>
        <v>0</v>
      </c>
      <c r="K65" s="300">
        <f t="shared" si="19"/>
        <v>0</v>
      </c>
      <c r="L65" s="300">
        <f t="shared" si="19"/>
        <v>0</v>
      </c>
      <c r="M65" s="300">
        <f t="shared" si="19"/>
        <v>0</v>
      </c>
      <c r="N65" s="300">
        <f t="shared" si="19"/>
        <v>0</v>
      </c>
      <c r="O65" s="300">
        <f t="shared" si="19"/>
        <v>0</v>
      </c>
      <c r="P65" s="301">
        <f t="shared" ref="P65:P76" si="20">SUM(D65:O65)</f>
        <v>0</v>
      </c>
      <c r="R65" s="35">
        <f t="shared" si="0"/>
        <v>0</v>
      </c>
    </row>
    <row r="66" spans="2:18" ht="23.1" customHeight="1">
      <c r="B66" s="222" t="str">
        <f>LR!B158</f>
        <v>710102 | PENDAPATAN PENJUALAN ASSET</v>
      </c>
      <c r="C66" s="284"/>
      <c r="D66" s="300">
        <f t="shared" si="19"/>
        <v>0</v>
      </c>
      <c r="E66" s="300">
        <f t="shared" si="19"/>
        <v>0</v>
      </c>
      <c r="F66" s="300">
        <f t="shared" si="19"/>
        <v>0</v>
      </c>
      <c r="G66" s="300">
        <f t="shared" si="19"/>
        <v>0</v>
      </c>
      <c r="H66" s="300">
        <f t="shared" si="19"/>
        <v>0</v>
      </c>
      <c r="I66" s="300">
        <f t="shared" si="19"/>
        <v>0</v>
      </c>
      <c r="J66" s="300">
        <f t="shared" si="19"/>
        <v>0</v>
      </c>
      <c r="K66" s="300">
        <f t="shared" si="19"/>
        <v>0</v>
      </c>
      <c r="L66" s="300">
        <f t="shared" si="19"/>
        <v>0</v>
      </c>
      <c r="M66" s="300">
        <f t="shared" si="19"/>
        <v>0</v>
      </c>
      <c r="N66" s="300">
        <f t="shared" si="19"/>
        <v>0</v>
      </c>
      <c r="O66" s="300">
        <f t="shared" si="19"/>
        <v>0</v>
      </c>
      <c r="P66" s="301">
        <f t="shared" si="20"/>
        <v>0</v>
      </c>
      <c r="R66" s="35">
        <f t="shared" si="0"/>
        <v>0</v>
      </c>
    </row>
    <row r="67" spans="2:18" ht="23.1" customHeight="1">
      <c r="B67" s="222" t="str">
        <f>LR!B159</f>
        <v>710103 | PENDAPATAN LAIN LAIN</v>
      </c>
      <c r="C67" s="284"/>
      <c r="D67" s="300">
        <f t="shared" si="19"/>
        <v>0</v>
      </c>
      <c r="E67" s="300">
        <f t="shared" si="19"/>
        <v>0</v>
      </c>
      <c r="F67" s="300">
        <f t="shared" si="19"/>
        <v>0</v>
      </c>
      <c r="G67" s="300">
        <f t="shared" si="19"/>
        <v>0</v>
      </c>
      <c r="H67" s="300">
        <f t="shared" si="19"/>
        <v>0</v>
      </c>
      <c r="I67" s="300">
        <f t="shared" si="19"/>
        <v>0</v>
      </c>
      <c r="J67" s="300">
        <f t="shared" si="19"/>
        <v>0</v>
      </c>
      <c r="K67" s="300">
        <f t="shared" si="19"/>
        <v>0</v>
      </c>
      <c r="L67" s="300">
        <f t="shared" si="19"/>
        <v>0</v>
      </c>
      <c r="M67" s="300">
        <f t="shared" si="19"/>
        <v>0</v>
      </c>
      <c r="N67" s="300">
        <f t="shared" si="19"/>
        <v>0</v>
      </c>
      <c r="O67" s="300">
        <f t="shared" si="19"/>
        <v>0</v>
      </c>
      <c r="P67" s="301">
        <f t="shared" si="20"/>
        <v>0</v>
      </c>
      <c r="R67" s="35">
        <f t="shared" si="0"/>
        <v>0</v>
      </c>
    </row>
    <row r="68" spans="2:18" ht="23.1" customHeight="1">
      <c r="B68" s="222" t="e">
        <f>LR!#REF!</f>
        <v>#REF!</v>
      </c>
      <c r="C68" s="284"/>
      <c r="D68" s="300" t="e">
        <f t="shared" si="19"/>
        <v>#REF!</v>
      </c>
      <c r="E68" s="300" t="e">
        <f t="shared" si="19"/>
        <v>#REF!</v>
      </c>
      <c r="F68" s="300" t="e">
        <f t="shared" si="19"/>
        <v>#REF!</v>
      </c>
      <c r="G68" s="300" t="e">
        <f t="shared" si="19"/>
        <v>#REF!</v>
      </c>
      <c r="H68" s="300" t="e">
        <f t="shared" si="19"/>
        <v>#REF!</v>
      </c>
      <c r="I68" s="300" t="e">
        <f t="shared" si="19"/>
        <v>#REF!</v>
      </c>
      <c r="J68" s="300" t="e">
        <f t="shared" si="19"/>
        <v>#REF!</v>
      </c>
      <c r="K68" s="300" t="e">
        <f t="shared" si="19"/>
        <v>#REF!</v>
      </c>
      <c r="L68" s="300" t="e">
        <f t="shared" si="19"/>
        <v>#REF!</v>
      </c>
      <c r="M68" s="300" t="e">
        <f t="shared" si="19"/>
        <v>#REF!</v>
      </c>
      <c r="N68" s="300" t="e">
        <f t="shared" si="19"/>
        <v>#REF!</v>
      </c>
      <c r="O68" s="300" t="e">
        <f t="shared" si="19"/>
        <v>#REF!</v>
      </c>
      <c r="P68" s="301" t="e">
        <f t="shared" si="20"/>
        <v>#REF!</v>
      </c>
      <c r="R68" s="35" t="e">
        <f t="shared" si="0"/>
        <v>#REF!</v>
      </c>
    </row>
    <row r="69" spans="2:18" ht="23.1" customHeight="1">
      <c r="B69" s="222" t="e">
        <f>LR!#REF!</f>
        <v>#REF!</v>
      </c>
      <c r="C69" s="284"/>
      <c r="D69" s="300" t="e">
        <f t="shared" si="19"/>
        <v>#REF!</v>
      </c>
      <c r="E69" s="300" t="e">
        <f t="shared" si="19"/>
        <v>#REF!</v>
      </c>
      <c r="F69" s="300" t="e">
        <f t="shared" si="19"/>
        <v>#REF!</v>
      </c>
      <c r="G69" s="300" t="e">
        <f t="shared" si="19"/>
        <v>#REF!</v>
      </c>
      <c r="H69" s="300" t="e">
        <f t="shared" si="19"/>
        <v>#REF!</v>
      </c>
      <c r="I69" s="300" t="e">
        <f t="shared" si="19"/>
        <v>#REF!</v>
      </c>
      <c r="J69" s="300" t="e">
        <f t="shared" si="19"/>
        <v>#REF!</v>
      </c>
      <c r="K69" s="300" t="e">
        <f t="shared" si="19"/>
        <v>#REF!</v>
      </c>
      <c r="L69" s="300" t="e">
        <f t="shared" si="19"/>
        <v>#REF!</v>
      </c>
      <c r="M69" s="300" t="e">
        <f t="shared" si="19"/>
        <v>#REF!</v>
      </c>
      <c r="N69" s="300" t="e">
        <f t="shared" si="19"/>
        <v>#REF!</v>
      </c>
      <c r="O69" s="300" t="e">
        <f t="shared" si="19"/>
        <v>#REF!</v>
      </c>
      <c r="P69" s="301" t="e">
        <f t="shared" si="20"/>
        <v>#REF!</v>
      </c>
      <c r="R69" s="35" t="e">
        <f t="shared" si="0"/>
        <v>#REF!</v>
      </c>
    </row>
    <row r="70" spans="2:18" ht="23.1" customHeight="1">
      <c r="B70" s="291" t="s">
        <v>152</v>
      </c>
      <c r="C70" s="284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301">
        <f t="shared" si="20"/>
        <v>0</v>
      </c>
      <c r="R70" s="35">
        <f t="shared" si="0"/>
        <v>0</v>
      </c>
    </row>
    <row r="71" spans="2:18" ht="23.1" customHeight="1">
      <c r="B71" s="222" t="str">
        <f>LR!B161</f>
        <v>720101 | BIAYA ADMINISTRASI BANK</v>
      </c>
      <c r="C71" s="284"/>
      <c r="D71" s="300">
        <f t="shared" ref="D71:O76" si="21">IF(INDEX(typ_sn,MATCH(INDEX(akun_type,MATCH($B71,akun_kb,0)),typ_ket,0))="db",SUMIFS(ju_sld,ju_bln,TEXT(D$8,"mmmm"),ju_kr,$B71,ju_prj2,"kr"&amp;$S$4)-SUMIFS(ju_sld,ju_bln,TEXT(D$8,"mmmm"),ju_debet,$B71,ju_prj2,"db"&amp;$S$4),SUMIFS(ju_sld,ju_bln,TEXT(D$8,"mmmm"),ju_kr,$B71,ju_prj2,"kr"&amp;$S$4)-SUMIFS(ju_sld,ju_bln,TEXT(D$8,"mmmm"),ju_debet,$B71,ju_prj2,"db"&amp;$S$4))</f>
        <v>0</v>
      </c>
      <c r="E71" s="300">
        <f t="shared" si="21"/>
        <v>0</v>
      </c>
      <c r="F71" s="300">
        <f t="shared" si="21"/>
        <v>0</v>
      </c>
      <c r="G71" s="300">
        <f t="shared" si="21"/>
        <v>0</v>
      </c>
      <c r="H71" s="300">
        <f t="shared" si="21"/>
        <v>0</v>
      </c>
      <c r="I71" s="300">
        <f t="shared" si="21"/>
        <v>0</v>
      </c>
      <c r="J71" s="300">
        <f t="shared" si="21"/>
        <v>0</v>
      </c>
      <c r="K71" s="300">
        <f t="shared" si="21"/>
        <v>0</v>
      </c>
      <c r="L71" s="300">
        <f t="shared" si="21"/>
        <v>0</v>
      </c>
      <c r="M71" s="300">
        <f t="shared" si="21"/>
        <v>0</v>
      </c>
      <c r="N71" s="300">
        <f t="shared" si="21"/>
        <v>0</v>
      </c>
      <c r="O71" s="300">
        <f t="shared" si="21"/>
        <v>0</v>
      </c>
      <c r="P71" s="301">
        <f t="shared" si="20"/>
        <v>0</v>
      </c>
      <c r="R71" s="35">
        <f t="shared" si="0"/>
        <v>0</v>
      </c>
    </row>
    <row r="72" spans="2:18" ht="23.1" customHeight="1">
      <c r="B72" s="222" t="str">
        <f>LR!B162</f>
        <v>720102 | BIAYA PAJAK JASA GIRO</v>
      </c>
      <c r="C72" s="284"/>
      <c r="D72" s="300">
        <f t="shared" si="21"/>
        <v>0</v>
      </c>
      <c r="E72" s="300">
        <f t="shared" si="21"/>
        <v>0</v>
      </c>
      <c r="F72" s="300">
        <f t="shared" si="21"/>
        <v>0</v>
      </c>
      <c r="G72" s="300">
        <f t="shared" si="21"/>
        <v>0</v>
      </c>
      <c r="H72" s="300">
        <f t="shared" si="21"/>
        <v>0</v>
      </c>
      <c r="I72" s="300">
        <f t="shared" si="21"/>
        <v>0</v>
      </c>
      <c r="J72" s="300">
        <f t="shared" si="21"/>
        <v>0</v>
      </c>
      <c r="K72" s="300">
        <f t="shared" si="21"/>
        <v>0</v>
      </c>
      <c r="L72" s="300">
        <f t="shared" si="21"/>
        <v>0</v>
      </c>
      <c r="M72" s="300">
        <f t="shared" si="21"/>
        <v>0</v>
      </c>
      <c r="N72" s="300">
        <f t="shared" si="21"/>
        <v>0</v>
      </c>
      <c r="O72" s="300">
        <f t="shared" si="21"/>
        <v>0</v>
      </c>
      <c r="P72" s="301">
        <f t="shared" si="20"/>
        <v>0</v>
      </c>
      <c r="R72" s="35">
        <f t="shared" ref="R72:R78" si="22">IF(OR(P72&gt;0,P72&lt;0,P72=""),1,0)</f>
        <v>0</v>
      </c>
    </row>
    <row r="73" spans="2:18" ht="23.1" customHeight="1">
      <c r="B73" s="222" t="e">
        <f>LR!#REF!</f>
        <v>#REF!</v>
      </c>
      <c r="C73" s="284"/>
      <c r="D73" s="300" t="e">
        <f t="shared" si="21"/>
        <v>#REF!</v>
      </c>
      <c r="E73" s="300" t="e">
        <f t="shared" si="21"/>
        <v>#REF!</v>
      </c>
      <c r="F73" s="300" t="e">
        <f t="shared" si="21"/>
        <v>#REF!</v>
      </c>
      <c r="G73" s="300" t="e">
        <f t="shared" si="21"/>
        <v>#REF!</v>
      </c>
      <c r="H73" s="300" t="e">
        <f t="shared" si="21"/>
        <v>#REF!</v>
      </c>
      <c r="I73" s="300" t="e">
        <f t="shared" si="21"/>
        <v>#REF!</v>
      </c>
      <c r="J73" s="300" t="e">
        <f t="shared" si="21"/>
        <v>#REF!</v>
      </c>
      <c r="K73" s="300" t="e">
        <f t="shared" si="21"/>
        <v>#REF!</v>
      </c>
      <c r="L73" s="300" t="e">
        <f t="shared" si="21"/>
        <v>#REF!</v>
      </c>
      <c r="M73" s="300" t="e">
        <f t="shared" si="21"/>
        <v>#REF!</v>
      </c>
      <c r="N73" s="300" t="e">
        <f t="shared" si="21"/>
        <v>#REF!</v>
      </c>
      <c r="O73" s="300" t="e">
        <f t="shared" si="21"/>
        <v>#REF!</v>
      </c>
      <c r="P73" s="301" t="e">
        <f t="shared" si="20"/>
        <v>#REF!</v>
      </c>
      <c r="R73" s="35" t="e">
        <f t="shared" si="22"/>
        <v>#REF!</v>
      </c>
    </row>
    <row r="74" spans="2:18" ht="23.1" customHeight="1">
      <c r="B74" s="222" t="e">
        <f>LR!#REF!</f>
        <v>#REF!</v>
      </c>
      <c r="C74" s="284"/>
      <c r="D74" s="300" t="e">
        <f t="shared" si="21"/>
        <v>#REF!</v>
      </c>
      <c r="E74" s="300" t="e">
        <f t="shared" si="21"/>
        <v>#REF!</v>
      </c>
      <c r="F74" s="300" t="e">
        <f t="shared" si="21"/>
        <v>#REF!</v>
      </c>
      <c r="G74" s="300" t="e">
        <f t="shared" si="21"/>
        <v>#REF!</v>
      </c>
      <c r="H74" s="300" t="e">
        <f t="shared" si="21"/>
        <v>#REF!</v>
      </c>
      <c r="I74" s="300" t="e">
        <f t="shared" si="21"/>
        <v>#REF!</v>
      </c>
      <c r="J74" s="300" t="e">
        <f t="shared" si="21"/>
        <v>#REF!</v>
      </c>
      <c r="K74" s="300" t="e">
        <f t="shared" si="21"/>
        <v>#REF!</v>
      </c>
      <c r="L74" s="300" t="e">
        <f t="shared" si="21"/>
        <v>#REF!</v>
      </c>
      <c r="M74" s="300" t="e">
        <f t="shared" si="21"/>
        <v>#REF!</v>
      </c>
      <c r="N74" s="300" t="e">
        <f t="shared" si="21"/>
        <v>#REF!</v>
      </c>
      <c r="O74" s="300" t="e">
        <f t="shared" si="21"/>
        <v>#REF!</v>
      </c>
      <c r="P74" s="301" t="e">
        <f t="shared" si="20"/>
        <v>#REF!</v>
      </c>
      <c r="R74" s="35" t="e">
        <f t="shared" si="22"/>
        <v>#REF!</v>
      </c>
    </row>
    <row r="75" spans="2:18" ht="23.1" customHeight="1">
      <c r="B75" s="222" t="e">
        <f>LR!#REF!</f>
        <v>#REF!</v>
      </c>
      <c r="C75" s="284"/>
      <c r="D75" s="300" t="e">
        <f t="shared" si="21"/>
        <v>#REF!</v>
      </c>
      <c r="E75" s="300" t="e">
        <f t="shared" si="21"/>
        <v>#REF!</v>
      </c>
      <c r="F75" s="300" t="e">
        <f t="shared" si="21"/>
        <v>#REF!</v>
      </c>
      <c r="G75" s="300" t="e">
        <f t="shared" si="21"/>
        <v>#REF!</v>
      </c>
      <c r="H75" s="300" t="e">
        <f t="shared" si="21"/>
        <v>#REF!</v>
      </c>
      <c r="I75" s="300" t="e">
        <f t="shared" si="21"/>
        <v>#REF!</v>
      </c>
      <c r="J75" s="300" t="e">
        <f t="shared" si="21"/>
        <v>#REF!</v>
      </c>
      <c r="K75" s="300" t="e">
        <f t="shared" si="21"/>
        <v>#REF!</v>
      </c>
      <c r="L75" s="300" t="e">
        <f t="shared" si="21"/>
        <v>#REF!</v>
      </c>
      <c r="M75" s="300" t="e">
        <f t="shared" si="21"/>
        <v>#REF!</v>
      </c>
      <c r="N75" s="300" t="e">
        <f t="shared" si="21"/>
        <v>#REF!</v>
      </c>
      <c r="O75" s="300" t="e">
        <f t="shared" si="21"/>
        <v>#REF!</v>
      </c>
      <c r="P75" s="301" t="e">
        <f t="shared" si="20"/>
        <v>#REF!</v>
      </c>
      <c r="R75" s="35" t="e">
        <f t="shared" si="22"/>
        <v>#REF!</v>
      </c>
    </row>
    <row r="76" spans="2:18" ht="23.1" customHeight="1">
      <c r="B76" s="222" t="e">
        <f>LR!#REF!</f>
        <v>#REF!</v>
      </c>
      <c r="C76" s="284"/>
      <c r="D76" s="300" t="e">
        <f t="shared" si="21"/>
        <v>#REF!</v>
      </c>
      <c r="E76" s="300" t="e">
        <f t="shared" si="21"/>
        <v>#REF!</v>
      </c>
      <c r="F76" s="300" t="e">
        <f t="shared" si="21"/>
        <v>#REF!</v>
      </c>
      <c r="G76" s="300" t="e">
        <f t="shared" si="21"/>
        <v>#REF!</v>
      </c>
      <c r="H76" s="300" t="e">
        <f t="shared" si="21"/>
        <v>#REF!</v>
      </c>
      <c r="I76" s="300" t="e">
        <f t="shared" si="21"/>
        <v>#REF!</v>
      </c>
      <c r="J76" s="300" t="e">
        <f t="shared" si="21"/>
        <v>#REF!</v>
      </c>
      <c r="K76" s="300" t="e">
        <f t="shared" si="21"/>
        <v>#REF!</v>
      </c>
      <c r="L76" s="300" t="e">
        <f t="shared" si="21"/>
        <v>#REF!</v>
      </c>
      <c r="M76" s="300" t="e">
        <f t="shared" si="21"/>
        <v>#REF!</v>
      </c>
      <c r="N76" s="300" t="e">
        <f t="shared" si="21"/>
        <v>#REF!</v>
      </c>
      <c r="O76" s="300" t="e">
        <f t="shared" si="21"/>
        <v>#REF!</v>
      </c>
      <c r="P76" s="301" t="e">
        <f t="shared" si="20"/>
        <v>#REF!</v>
      </c>
      <c r="R76" s="35" t="e">
        <f t="shared" si="22"/>
        <v>#REF!</v>
      </c>
    </row>
    <row r="77" spans="2:18" ht="23.1" customHeight="1">
      <c r="B77" s="290" t="s">
        <v>153</v>
      </c>
      <c r="C77" s="280"/>
      <c r="D77" s="302" t="e">
        <f t="shared" ref="D77:P77" si="23">SUM(D65:D76)</f>
        <v>#REF!</v>
      </c>
      <c r="E77" s="302" t="e">
        <f t="shared" si="23"/>
        <v>#REF!</v>
      </c>
      <c r="F77" s="302" t="e">
        <f t="shared" si="23"/>
        <v>#REF!</v>
      </c>
      <c r="G77" s="302" t="e">
        <f t="shared" si="23"/>
        <v>#REF!</v>
      </c>
      <c r="H77" s="302" t="e">
        <f t="shared" si="23"/>
        <v>#REF!</v>
      </c>
      <c r="I77" s="302" t="e">
        <f t="shared" si="23"/>
        <v>#REF!</v>
      </c>
      <c r="J77" s="302" t="e">
        <f t="shared" si="23"/>
        <v>#REF!</v>
      </c>
      <c r="K77" s="302" t="e">
        <f t="shared" si="23"/>
        <v>#REF!</v>
      </c>
      <c r="L77" s="302" t="e">
        <f t="shared" si="23"/>
        <v>#REF!</v>
      </c>
      <c r="M77" s="302" t="e">
        <f t="shared" si="23"/>
        <v>#REF!</v>
      </c>
      <c r="N77" s="302" t="e">
        <f t="shared" si="23"/>
        <v>#REF!</v>
      </c>
      <c r="O77" s="302" t="e">
        <f t="shared" si="23"/>
        <v>#REF!</v>
      </c>
      <c r="P77" s="302" t="e">
        <f t="shared" si="23"/>
        <v>#REF!</v>
      </c>
      <c r="R77" s="35" t="e">
        <f t="shared" si="22"/>
        <v>#REF!</v>
      </c>
    </row>
    <row r="78" spans="2:18" ht="23.1" customHeight="1">
      <c r="B78" s="290" t="s">
        <v>154</v>
      </c>
      <c r="C78" s="280"/>
      <c r="D78" s="302" t="e">
        <f t="shared" ref="D78:P78" si="24">D62+D77</f>
        <v>#REF!</v>
      </c>
      <c r="E78" s="302" t="e">
        <f t="shared" si="24"/>
        <v>#REF!</v>
      </c>
      <c r="F78" s="302" t="e">
        <f t="shared" si="24"/>
        <v>#REF!</v>
      </c>
      <c r="G78" s="302" t="e">
        <f t="shared" si="24"/>
        <v>#REF!</v>
      </c>
      <c r="H78" s="302" t="e">
        <f t="shared" si="24"/>
        <v>#REF!</v>
      </c>
      <c r="I78" s="302" t="e">
        <f t="shared" si="24"/>
        <v>#REF!</v>
      </c>
      <c r="J78" s="302" t="e">
        <f t="shared" si="24"/>
        <v>#REF!</v>
      </c>
      <c r="K78" s="302" t="e">
        <f t="shared" si="24"/>
        <v>#REF!</v>
      </c>
      <c r="L78" s="302" t="e">
        <f t="shared" si="24"/>
        <v>#REF!</v>
      </c>
      <c r="M78" s="302" t="e">
        <f t="shared" si="24"/>
        <v>#REF!</v>
      </c>
      <c r="N78" s="302" t="e">
        <f t="shared" si="24"/>
        <v>#REF!</v>
      </c>
      <c r="O78" s="302" t="e">
        <f t="shared" si="24"/>
        <v>#REF!</v>
      </c>
      <c r="P78" s="302" t="e">
        <f t="shared" si="24"/>
        <v>#REF!</v>
      </c>
      <c r="R78" s="35" t="e">
        <f t="shared" si="22"/>
        <v>#REF!</v>
      </c>
    </row>
    <row r="79" spans="2:18" ht="8.1" customHeight="1">
      <c r="B79" s="4"/>
      <c r="R79" s="35">
        <f t="shared" ref="R79" si="25">IF(OR(P79&gt;0,P79&lt;0,P79=""),1,0)</f>
        <v>1</v>
      </c>
    </row>
    <row r="80" spans="2:18" ht="23.1" customHeight="1">
      <c r="B80" s="11"/>
      <c r="C80" s="64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11"/>
    </row>
    <row r="81" spans="2:16" ht="23.1" customHeight="1">
      <c r="B81" s="3"/>
      <c r="P81" s="3"/>
    </row>
    <row r="82" spans="2:16" ht="23.1" customHeight="1">
      <c r="B82" s="3"/>
      <c r="P82" s="3"/>
    </row>
    <row r="83" spans="2:16" ht="23.1" customHeight="1">
      <c r="B83" s="3"/>
      <c r="P83" s="3"/>
    </row>
    <row r="84" spans="2:16" ht="23.1" customHeight="1">
      <c r="B84" s="4"/>
      <c r="C84" s="62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4"/>
    </row>
  </sheetData>
  <autoFilter ref="R6:R78" xr:uid="{F2E74E36-634E-7543-90FF-0E02149766E0}"/>
  <mergeCells count="3">
    <mergeCell ref="B4:P4"/>
    <mergeCell ref="B5:P5"/>
    <mergeCell ref="B6:P6"/>
  </mergeCells>
  <dataValidations count="1">
    <dataValidation type="list" allowBlank="1" showInputMessage="1" showErrorMessage="1" sqref="S4" xr:uid="{30B376D7-2FDE-6348-BE70-100D801B28F1}">
      <formula1>prj_list</formula1>
    </dataValidation>
  </dataValidations>
  <hyperlinks>
    <hyperlink ref="B2" location="MENU!D8" display="MENU" xr:uid="{0C333328-F2EB-7449-8289-40F1B12813F7}"/>
  </hyperlinks>
  <pageMargins left="0.7" right="0.7" top="0.75" bottom="0.75" header="0.3" footer="0.3"/>
  <pageSetup paperSize="9" scale="33" fitToHeight="5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A6F1-3E4D-8746-9C15-5CC0418E7D81}">
  <sheetPr codeName="Sheet17">
    <pageSetUpPr fitToPage="1"/>
  </sheetPr>
  <dimension ref="B2:S164"/>
  <sheetViews>
    <sheetView showGridLines="0" zoomScale="90" zoomScaleNormal="90" workbookViewId="0">
      <selection activeCell="B5" sqref="B5:Q5"/>
    </sheetView>
  </sheetViews>
  <sheetFormatPr defaultColWidth="10.875" defaultRowHeight="23.1" customHeight="1"/>
  <cols>
    <col min="1" max="1" width="3.375" style="1" customWidth="1"/>
    <col min="2" max="2" width="12.625" style="1" customWidth="1"/>
    <col min="3" max="3" width="35.375" style="1" customWidth="1"/>
    <col min="4" max="4" width="24.125" style="1" customWidth="1"/>
    <col min="5" max="16" width="14" style="37" customWidth="1"/>
    <col min="17" max="17" width="17" style="1" customWidth="1"/>
    <col min="18" max="18" width="4.125" style="1" customWidth="1"/>
    <col min="19" max="19" width="15" style="1" customWidth="1"/>
    <col min="20" max="16384" width="10.875" style="1"/>
  </cols>
  <sheetData>
    <row r="2" spans="2:19" ht="23.1" customHeight="1" thickBot="1">
      <c r="B2" s="90" t="s">
        <v>58</v>
      </c>
      <c r="C2" s="135" t="str">
        <f>ARUSKAS!C2</f>
        <v>Kahfizul13@gmail.com</v>
      </c>
      <c r="D2" s="13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4" spans="2:19" ht="23.1" customHeight="1">
      <c r="B4" s="435" t="str">
        <f>UPPER(BB!B4)</f>
        <v>PERUMDA PARKIR MAKASSAR RAYA</v>
      </c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7"/>
    </row>
    <row r="5" spans="2:19" ht="23.1" customHeight="1">
      <c r="B5" s="412" t="s">
        <v>223</v>
      </c>
      <c r="C5" s="413"/>
      <c r="D5" s="413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4"/>
    </row>
    <row r="6" spans="2:19" ht="23.1" customHeight="1" thickBot="1">
      <c r="B6" s="438" t="str">
        <f>NERACA_12!B6</f>
        <v>Periode  2022</v>
      </c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40"/>
      <c r="S6" s="57" t="s">
        <v>142</v>
      </c>
    </row>
    <row r="7" spans="2:19" ht="9.9499999999999993" customHeight="1">
      <c r="S7" s="35">
        <f>IF(OR(Q7&gt;0,Q7&lt;0,Q7=""),1,0)</f>
        <v>1</v>
      </c>
    </row>
    <row r="8" spans="2:19" ht="23.1" customHeight="1" thickBot="1">
      <c r="B8" s="40" t="s">
        <v>144</v>
      </c>
      <c r="C8" s="97"/>
      <c r="D8" s="97" t="s">
        <v>225</v>
      </c>
      <c r="E8" s="44" t="str">
        <f>NERACA_12!F8</f>
        <v>JANUARY</v>
      </c>
      <c r="F8" s="44" t="str">
        <f>NERACA_12!G8</f>
        <v>FEBRUARY</v>
      </c>
      <c r="G8" s="44" t="str">
        <f>NERACA_12!H8</f>
        <v>MARCH</v>
      </c>
      <c r="H8" s="44" t="str">
        <f>NERACA_12!I8</f>
        <v>APRIL</v>
      </c>
      <c r="I8" s="44" t="str">
        <f>NERACA_12!J8</f>
        <v>MAY</v>
      </c>
      <c r="J8" s="44" t="str">
        <f>NERACA_12!K8</f>
        <v>JUNE</v>
      </c>
      <c r="K8" s="44" t="str">
        <f>NERACA_12!L8</f>
        <v>JULY</v>
      </c>
      <c r="L8" s="44" t="str">
        <f>NERACA_12!M8</f>
        <v>AUGUST</v>
      </c>
      <c r="M8" s="44" t="str">
        <f>NERACA_12!N8</f>
        <v>SEPTEMBER</v>
      </c>
      <c r="N8" s="44" t="str">
        <f>NERACA_12!O8</f>
        <v>OCTOBER</v>
      </c>
      <c r="O8" s="44" t="str">
        <f>NERACA_12!P8</f>
        <v>NOVEMBER</v>
      </c>
      <c r="P8" s="44" t="str">
        <f>NERACA_12!Q8</f>
        <v>DECEMBER</v>
      </c>
      <c r="Q8" s="98" t="s">
        <v>72</v>
      </c>
      <c r="S8" s="35">
        <f t="shared" ref="S8" si="0">IF(OR(Q8&gt;0,Q8&lt;0,Q8=""),1,0)</f>
        <v>1</v>
      </c>
    </row>
    <row r="9" spans="2:19" s="2" customFormat="1" ht="23.1" customHeight="1">
      <c r="B9" s="103" t="str">
        <f>LR!B9</f>
        <v>PENDAPATAN</v>
      </c>
      <c r="C9" s="388"/>
      <c r="D9" s="389" t="str">
        <f t="shared" ref="D9:D40" si="1">IFERROR(INDEX(akun_type,MATCH(B9,akun_kb,0)),"")</f>
        <v/>
      </c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1"/>
      <c r="S9" s="392">
        <f t="shared" ref="S9:S11" si="2">IF(OR(Q9&gt;0,Q9&lt;0,Q9=""),1,0)</f>
        <v>1</v>
      </c>
    </row>
    <row r="10" spans="2:19" ht="23.1" customHeight="1">
      <c r="B10" s="7" t="str">
        <f>LR!B10</f>
        <v>410101 | PENDAPATAN PARKIR TEPI JALAN UMUM (TJU)</v>
      </c>
      <c r="C10" s="100"/>
      <c r="D10" s="144" t="str">
        <f t="shared" si="1"/>
        <v>Pendapatan</v>
      </c>
      <c r="E10" s="96">
        <f t="shared" ref="E10:P24" si="3">IF(INDEX(typ_sn,MATCH(INDEX(akun_type,MATCH($B10,akun_kb,0)),typ_ket,0))="db",SUMIFS(ju_sld,ju_bln,TEXT(E$8,"mmmm"),ju_kr,$B10)-SUMIFS(ju_sld,ju_bln,TEXT(E$8,"mmmm"),ju_debet,$B10),SUMIFS(ju_sld,ju_bln,TEXT(E$8,"mmmm"),ju_kr,$B10)-SUMIFS(ju_sld,ju_bln,TEXT(E$8,"mmmm"),ju_debet,$B10))</f>
        <v>638124500</v>
      </c>
      <c r="F10" s="96">
        <f t="shared" si="3"/>
        <v>559820000</v>
      </c>
      <c r="G10" s="96">
        <f t="shared" si="3"/>
        <v>634364500</v>
      </c>
      <c r="H10" s="96">
        <f t="shared" si="3"/>
        <v>604511200</v>
      </c>
      <c r="I10" s="96">
        <f t="shared" si="3"/>
        <v>559017000</v>
      </c>
      <c r="J10" s="96">
        <f t="shared" si="3"/>
        <v>688508100</v>
      </c>
      <c r="K10" s="96">
        <f t="shared" si="3"/>
        <v>770911500</v>
      </c>
      <c r="L10" s="96">
        <f t="shared" si="3"/>
        <v>766327500</v>
      </c>
      <c r="M10" s="96">
        <f t="shared" si="3"/>
        <v>744719000</v>
      </c>
      <c r="N10" s="96">
        <f t="shared" si="3"/>
        <v>764217500</v>
      </c>
      <c r="O10" s="96">
        <f t="shared" si="3"/>
        <v>754364000</v>
      </c>
      <c r="P10" s="96">
        <f t="shared" si="3"/>
        <v>790812200</v>
      </c>
      <c r="Q10" s="99">
        <f t="shared" ref="Q10:Q16" si="4">SUM(E10:P10)</f>
        <v>8275697000</v>
      </c>
      <c r="S10" s="35">
        <f t="shared" si="2"/>
        <v>1</v>
      </c>
    </row>
    <row r="11" spans="2:19" ht="23.1" customHeight="1">
      <c r="B11" s="7" t="str">
        <f>LR!B11</f>
        <v>410102 | PENDAPATAN PARKIR INSIDENTIL</v>
      </c>
      <c r="C11" s="100"/>
      <c r="D11" s="144" t="str">
        <f t="shared" si="1"/>
        <v>Pendapatan</v>
      </c>
      <c r="E11" s="96">
        <f t="shared" si="3"/>
        <v>5914000</v>
      </c>
      <c r="F11" s="96">
        <f t="shared" si="3"/>
        <v>3794000</v>
      </c>
      <c r="G11" s="96">
        <f t="shared" si="3"/>
        <v>4223000</v>
      </c>
      <c r="H11" s="96">
        <f t="shared" si="3"/>
        <v>12852000</v>
      </c>
      <c r="I11" s="96">
        <f t="shared" si="3"/>
        <v>3785000</v>
      </c>
      <c r="J11" s="96">
        <f t="shared" si="3"/>
        <v>3741000</v>
      </c>
      <c r="K11" s="96">
        <f t="shared" si="3"/>
        <v>4093000</v>
      </c>
      <c r="L11" s="96">
        <f t="shared" si="3"/>
        <v>5442000</v>
      </c>
      <c r="M11" s="96">
        <f t="shared" si="3"/>
        <v>28574000</v>
      </c>
      <c r="N11" s="96">
        <f t="shared" si="3"/>
        <v>7177000</v>
      </c>
      <c r="O11" s="96">
        <f t="shared" si="3"/>
        <v>7562000</v>
      </c>
      <c r="P11" s="96">
        <f t="shared" si="3"/>
        <v>4909000</v>
      </c>
      <c r="Q11" s="99">
        <f t="shared" si="4"/>
        <v>92066000</v>
      </c>
      <c r="S11" s="35">
        <f t="shared" si="2"/>
        <v>1</v>
      </c>
    </row>
    <row r="12" spans="2:19" ht="23.1" customHeight="1">
      <c r="B12" s="7" t="str">
        <f>LR!B12</f>
        <v>410103 | PENDAPATAN PARKIR KOMERSIL</v>
      </c>
      <c r="C12" s="100"/>
      <c r="D12" s="144" t="str">
        <f t="shared" si="1"/>
        <v>Pendapatan</v>
      </c>
      <c r="E12" s="96">
        <f t="shared" si="3"/>
        <v>194875000</v>
      </c>
      <c r="F12" s="96">
        <f t="shared" si="3"/>
        <v>188700000</v>
      </c>
      <c r="G12" s="96">
        <f t="shared" si="3"/>
        <v>240250000</v>
      </c>
      <c r="H12" s="96">
        <f t="shared" si="3"/>
        <v>235075000</v>
      </c>
      <c r="I12" s="96">
        <f t="shared" si="3"/>
        <v>165200000</v>
      </c>
      <c r="J12" s="96">
        <f t="shared" si="3"/>
        <v>221550000</v>
      </c>
      <c r="K12" s="96">
        <f t="shared" si="3"/>
        <v>204900000</v>
      </c>
      <c r="L12" s="96">
        <f t="shared" si="3"/>
        <v>250675000</v>
      </c>
      <c r="M12" s="96">
        <f t="shared" si="3"/>
        <v>254895000</v>
      </c>
      <c r="N12" s="96">
        <f t="shared" si="3"/>
        <v>232825000</v>
      </c>
      <c r="O12" s="96">
        <f t="shared" si="3"/>
        <v>224000000</v>
      </c>
      <c r="P12" s="96">
        <f t="shared" si="3"/>
        <v>205925000</v>
      </c>
      <c r="Q12" s="99">
        <f t="shared" si="4"/>
        <v>2618870000</v>
      </c>
      <c r="S12" s="35">
        <f t="shared" ref="S12:S23" si="5">IF(OR(Q12&gt;0,Q12&lt;0,Q12=""),1,0)</f>
        <v>1</v>
      </c>
    </row>
    <row r="13" spans="2:19" ht="23.1" customHeight="1">
      <c r="B13" s="7" t="str">
        <f>LR!B13</f>
        <v>410104 | PENDAPATAN PARKIR LANGGANAN BULANAN</v>
      </c>
      <c r="C13" s="100"/>
      <c r="D13" s="144" t="str">
        <f t="shared" si="1"/>
        <v>Pendapatan</v>
      </c>
      <c r="E13" s="96">
        <f t="shared" si="3"/>
        <v>450197000</v>
      </c>
      <c r="F13" s="96">
        <f t="shared" si="3"/>
        <v>435922000</v>
      </c>
      <c r="G13" s="96">
        <f t="shared" si="3"/>
        <v>433772000</v>
      </c>
      <c r="H13" s="96">
        <f t="shared" si="3"/>
        <v>417147000</v>
      </c>
      <c r="I13" s="96">
        <f t="shared" si="3"/>
        <v>420597000</v>
      </c>
      <c r="J13" s="96">
        <f t="shared" si="3"/>
        <v>409247000</v>
      </c>
      <c r="K13" s="96">
        <f t="shared" si="3"/>
        <v>406697000</v>
      </c>
      <c r="L13" s="96">
        <f t="shared" si="3"/>
        <v>398241000</v>
      </c>
      <c r="M13" s="96">
        <f t="shared" si="3"/>
        <v>395391000</v>
      </c>
      <c r="N13" s="96">
        <f t="shared" si="3"/>
        <v>401441000</v>
      </c>
      <c r="O13" s="96">
        <f t="shared" si="3"/>
        <v>410291000</v>
      </c>
      <c r="P13" s="96">
        <f t="shared" si="3"/>
        <v>417241000</v>
      </c>
      <c r="Q13" s="99">
        <f t="shared" si="4"/>
        <v>4996184000</v>
      </c>
      <c r="S13" s="35">
        <f t="shared" si="5"/>
        <v>1</v>
      </c>
    </row>
    <row r="14" spans="2:19" ht="23.1" customHeight="1">
      <c r="B14" s="7" t="str">
        <f>LR!B14</f>
        <v>410105 | PENDAPATAN SEWA LAHAN PARKIR</v>
      </c>
      <c r="C14" s="100"/>
      <c r="D14" s="144" t="str">
        <f t="shared" si="1"/>
        <v>Pendapatan</v>
      </c>
      <c r="E14" s="96">
        <f t="shared" si="3"/>
        <v>0</v>
      </c>
      <c r="F14" s="96">
        <f t="shared" si="3"/>
        <v>0</v>
      </c>
      <c r="G14" s="96">
        <f t="shared" si="3"/>
        <v>0</v>
      </c>
      <c r="H14" s="96">
        <f t="shared" si="3"/>
        <v>0</v>
      </c>
      <c r="I14" s="96">
        <f t="shared" si="3"/>
        <v>0</v>
      </c>
      <c r="J14" s="96">
        <f t="shared" si="3"/>
        <v>0</v>
      </c>
      <c r="K14" s="96">
        <f t="shared" si="3"/>
        <v>0</v>
      </c>
      <c r="L14" s="96">
        <f t="shared" si="3"/>
        <v>0</v>
      </c>
      <c r="M14" s="96">
        <f t="shared" si="3"/>
        <v>0</v>
      </c>
      <c r="N14" s="96">
        <f t="shared" si="3"/>
        <v>0</v>
      </c>
      <c r="O14" s="96">
        <f t="shared" si="3"/>
        <v>0</v>
      </c>
      <c r="P14" s="96">
        <f t="shared" si="3"/>
        <v>0</v>
      </c>
      <c r="Q14" s="99">
        <f t="shared" si="4"/>
        <v>0</v>
      </c>
      <c r="S14" s="35">
        <f t="shared" si="5"/>
        <v>0</v>
      </c>
    </row>
    <row r="15" spans="2:19" ht="23.1" customHeight="1">
      <c r="B15" s="7" t="str">
        <f>LR!B15</f>
        <v xml:space="preserve">410106 | PENDAPATAN PARKIR </v>
      </c>
      <c r="C15" s="100"/>
      <c r="D15" s="144" t="str">
        <f t="shared" si="1"/>
        <v>Pendapatan</v>
      </c>
      <c r="E15" s="96">
        <f t="shared" si="3"/>
        <v>0</v>
      </c>
      <c r="F15" s="96">
        <f t="shared" si="3"/>
        <v>0</v>
      </c>
      <c r="G15" s="96">
        <f t="shared" si="3"/>
        <v>0</v>
      </c>
      <c r="H15" s="96">
        <f t="shared" si="3"/>
        <v>0</v>
      </c>
      <c r="I15" s="96">
        <f t="shared" si="3"/>
        <v>0</v>
      </c>
      <c r="J15" s="96">
        <f t="shared" si="3"/>
        <v>0</v>
      </c>
      <c r="K15" s="96">
        <f t="shared" si="3"/>
        <v>0</v>
      </c>
      <c r="L15" s="96">
        <f t="shared" si="3"/>
        <v>0</v>
      </c>
      <c r="M15" s="96">
        <f t="shared" si="3"/>
        <v>0</v>
      </c>
      <c r="N15" s="96">
        <f t="shared" si="3"/>
        <v>0</v>
      </c>
      <c r="O15" s="96">
        <f t="shared" si="3"/>
        <v>0</v>
      </c>
      <c r="P15" s="96">
        <f t="shared" si="3"/>
        <v>0</v>
      </c>
      <c r="Q15" s="99">
        <f t="shared" si="4"/>
        <v>0</v>
      </c>
      <c r="S15" s="35">
        <f t="shared" si="5"/>
        <v>0</v>
      </c>
    </row>
    <row r="16" spans="2:19" ht="23.1" customHeight="1">
      <c r="B16" s="7" t="str">
        <f>LR!B16</f>
        <v>410107 | PENDAPATAN PARKIR TEKHNOLOGI / ONLINE</v>
      </c>
      <c r="C16" s="100"/>
      <c r="D16" s="144" t="str">
        <f t="shared" si="1"/>
        <v>Pendapatan</v>
      </c>
      <c r="E16" s="96">
        <f t="shared" si="3"/>
        <v>151213000</v>
      </c>
      <c r="F16" s="96">
        <f t="shared" si="3"/>
        <v>117134000</v>
      </c>
      <c r="G16" s="96">
        <f t="shared" si="3"/>
        <v>179992000</v>
      </c>
      <c r="H16" s="96">
        <f t="shared" si="3"/>
        <v>143504000</v>
      </c>
      <c r="I16" s="96">
        <f t="shared" si="3"/>
        <v>127268000</v>
      </c>
      <c r="J16" s="96">
        <f t="shared" si="3"/>
        <v>84470000</v>
      </c>
      <c r="K16" s="96">
        <f t="shared" si="3"/>
        <v>40159000</v>
      </c>
      <c r="L16" s="96">
        <f t="shared" si="3"/>
        <v>42711000</v>
      </c>
      <c r="M16" s="96">
        <f t="shared" si="3"/>
        <v>46773000</v>
      </c>
      <c r="N16" s="96">
        <f t="shared" si="3"/>
        <v>46243000</v>
      </c>
      <c r="O16" s="96">
        <f t="shared" si="3"/>
        <v>60684000</v>
      </c>
      <c r="P16" s="96">
        <f t="shared" si="3"/>
        <v>49614000</v>
      </c>
      <c r="Q16" s="99">
        <f t="shared" si="4"/>
        <v>1089765000</v>
      </c>
      <c r="S16" s="35">
        <f t="shared" si="5"/>
        <v>1</v>
      </c>
    </row>
    <row r="17" spans="2:19" s="2" customFormat="1" ht="23.1" customHeight="1">
      <c r="B17" s="393" t="str">
        <f>LR!B17</f>
        <v>TOTAL PENDAPATAN</v>
      </c>
      <c r="C17" s="394"/>
      <c r="D17" s="395" t="str">
        <f t="shared" si="1"/>
        <v/>
      </c>
      <c r="E17" s="396">
        <f>SUM(E10:E16)</f>
        <v>1440323500</v>
      </c>
      <c r="F17" s="396">
        <f t="shared" ref="F17:Q17" si="6">SUM(F10:F16)</f>
        <v>1305370000</v>
      </c>
      <c r="G17" s="396">
        <f t="shared" si="6"/>
        <v>1492601500</v>
      </c>
      <c r="H17" s="396">
        <f t="shared" si="6"/>
        <v>1413089200</v>
      </c>
      <c r="I17" s="396">
        <f t="shared" si="6"/>
        <v>1275867000</v>
      </c>
      <c r="J17" s="396">
        <f t="shared" si="6"/>
        <v>1407516100</v>
      </c>
      <c r="K17" s="396">
        <f t="shared" si="6"/>
        <v>1426760500</v>
      </c>
      <c r="L17" s="396">
        <f t="shared" si="6"/>
        <v>1463396500</v>
      </c>
      <c r="M17" s="396">
        <f t="shared" si="6"/>
        <v>1470352000</v>
      </c>
      <c r="N17" s="396">
        <f t="shared" si="6"/>
        <v>1451903500</v>
      </c>
      <c r="O17" s="396">
        <f t="shared" si="6"/>
        <v>1456901000</v>
      </c>
      <c r="P17" s="396">
        <f t="shared" si="6"/>
        <v>1468501200</v>
      </c>
      <c r="Q17" s="396">
        <f t="shared" si="6"/>
        <v>17072582000</v>
      </c>
      <c r="S17" s="392">
        <f t="shared" si="5"/>
        <v>1</v>
      </c>
    </row>
    <row r="18" spans="2:19" s="2" customFormat="1" ht="23.1" customHeight="1">
      <c r="B18" s="103" t="str">
        <f>LR!B18</f>
        <v>POTONGAN/PENGURANG PENDAPATAN</v>
      </c>
      <c r="C18" s="388"/>
      <c r="D18" s="389" t="str">
        <f t="shared" si="1"/>
        <v/>
      </c>
      <c r="E18" s="390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1"/>
      <c r="S18" s="392">
        <f t="shared" si="5"/>
        <v>1</v>
      </c>
    </row>
    <row r="19" spans="2:19" ht="23.1" customHeight="1">
      <c r="B19" s="7" t="str">
        <f>LR!B19</f>
        <v>420101 | POTONGAN / PENGURANG PENDAPATAN - TJU</v>
      </c>
      <c r="C19" s="100"/>
      <c r="D19" s="144" t="str">
        <f t="shared" si="1"/>
        <v>Pendapatan</v>
      </c>
      <c r="E19" s="96">
        <f t="shared" si="3"/>
        <v>-226165600</v>
      </c>
      <c r="F19" s="96">
        <f t="shared" si="3"/>
        <v>-181812000</v>
      </c>
      <c r="G19" s="96">
        <f t="shared" si="3"/>
        <v>-233794500</v>
      </c>
      <c r="H19" s="96">
        <f t="shared" si="3"/>
        <v>-244944500</v>
      </c>
      <c r="I19" s="96">
        <f t="shared" si="3"/>
        <v>-226784500</v>
      </c>
      <c r="J19" s="96">
        <f t="shared" si="3"/>
        <v>-185594500</v>
      </c>
      <c r="K19" s="96">
        <f t="shared" si="3"/>
        <v>-202508000</v>
      </c>
      <c r="L19" s="96">
        <f t="shared" si="3"/>
        <v>-121501000</v>
      </c>
      <c r="M19" s="96">
        <f t="shared" si="3"/>
        <v>-103347000</v>
      </c>
      <c r="N19" s="96">
        <f t="shared" si="3"/>
        <v>-114757000</v>
      </c>
      <c r="O19" s="96">
        <f t="shared" si="3"/>
        <v>-110159000</v>
      </c>
      <c r="P19" s="96">
        <f t="shared" si="3"/>
        <v>-132087500</v>
      </c>
      <c r="Q19" s="99">
        <f t="shared" ref="Q19:Q25" si="7">SUM(E19:P19)</f>
        <v>-2083455100</v>
      </c>
      <c r="S19" s="35">
        <f t="shared" si="5"/>
        <v>1</v>
      </c>
    </row>
    <row r="20" spans="2:19" ht="23.1" customHeight="1">
      <c r="B20" s="7" t="str">
        <f>LR!B20</f>
        <v>420102 | POTONGAN / PENGURANG PENDAPATAN - INSIDENTIL</v>
      </c>
      <c r="C20" s="100"/>
      <c r="D20" s="144" t="str">
        <f t="shared" si="1"/>
        <v>Pendapatan</v>
      </c>
      <c r="E20" s="96">
        <f t="shared" si="3"/>
        <v>0</v>
      </c>
      <c r="F20" s="96">
        <f t="shared" si="3"/>
        <v>0</v>
      </c>
      <c r="G20" s="96">
        <f t="shared" si="3"/>
        <v>0</v>
      </c>
      <c r="H20" s="96">
        <f t="shared" si="3"/>
        <v>0</v>
      </c>
      <c r="I20" s="96">
        <f t="shared" si="3"/>
        <v>0</v>
      </c>
      <c r="J20" s="96">
        <f t="shared" si="3"/>
        <v>0</v>
      </c>
      <c r="K20" s="96">
        <f t="shared" si="3"/>
        <v>0</v>
      </c>
      <c r="L20" s="96">
        <f t="shared" si="3"/>
        <v>0</v>
      </c>
      <c r="M20" s="96">
        <f t="shared" si="3"/>
        <v>0</v>
      </c>
      <c r="N20" s="96">
        <f t="shared" si="3"/>
        <v>0</v>
      </c>
      <c r="O20" s="96">
        <f t="shared" si="3"/>
        <v>0</v>
      </c>
      <c r="P20" s="96">
        <f t="shared" si="3"/>
        <v>0</v>
      </c>
      <c r="Q20" s="99">
        <f t="shared" si="7"/>
        <v>0</v>
      </c>
      <c r="S20" s="35">
        <f t="shared" si="5"/>
        <v>0</v>
      </c>
    </row>
    <row r="21" spans="2:19" ht="23.1" customHeight="1">
      <c r="B21" s="7" t="str">
        <f>LR!B21</f>
        <v>420103 | POTONGAN / PENGURANG PENDAPATAN - KOMERSIAL</v>
      </c>
      <c r="C21" s="100"/>
      <c r="D21" s="144" t="str">
        <f t="shared" si="1"/>
        <v>Pendapatan</v>
      </c>
      <c r="E21" s="96">
        <f t="shared" si="3"/>
        <v>0</v>
      </c>
      <c r="F21" s="96">
        <f t="shared" si="3"/>
        <v>0</v>
      </c>
      <c r="G21" s="96">
        <f t="shared" si="3"/>
        <v>0</v>
      </c>
      <c r="H21" s="96">
        <f t="shared" si="3"/>
        <v>0</v>
      </c>
      <c r="I21" s="96">
        <f t="shared" si="3"/>
        <v>0</v>
      </c>
      <c r="J21" s="96">
        <f t="shared" si="3"/>
        <v>0</v>
      </c>
      <c r="K21" s="96">
        <f t="shared" si="3"/>
        <v>0</v>
      </c>
      <c r="L21" s="96">
        <f t="shared" si="3"/>
        <v>0</v>
      </c>
      <c r="M21" s="96">
        <f t="shared" si="3"/>
        <v>0</v>
      </c>
      <c r="N21" s="96">
        <f t="shared" si="3"/>
        <v>0</v>
      </c>
      <c r="O21" s="96">
        <f t="shared" si="3"/>
        <v>0</v>
      </c>
      <c r="P21" s="96">
        <f t="shared" si="3"/>
        <v>0</v>
      </c>
      <c r="Q21" s="99">
        <f t="shared" si="7"/>
        <v>0</v>
      </c>
      <c r="S21" s="35">
        <f t="shared" si="5"/>
        <v>0</v>
      </c>
    </row>
    <row r="22" spans="2:19" ht="23.1" customHeight="1">
      <c r="B22" s="7" t="str">
        <f>LR!B22</f>
        <v>420104 | POTONGAN / PENGURANG PENDAPATAN - PLB</v>
      </c>
      <c r="C22" s="100"/>
      <c r="D22" s="144" t="str">
        <f t="shared" si="1"/>
        <v>Pendapatan</v>
      </c>
      <c r="E22" s="96">
        <f t="shared" si="3"/>
        <v>-17793900</v>
      </c>
      <c r="F22" s="96">
        <f t="shared" si="3"/>
        <v>-28476800</v>
      </c>
      <c r="G22" s="96">
        <f t="shared" si="3"/>
        <v>-18703900</v>
      </c>
      <c r="H22" s="96">
        <f t="shared" si="3"/>
        <v>-43223900</v>
      </c>
      <c r="I22" s="96">
        <f t="shared" si="3"/>
        <v>-14323900</v>
      </c>
      <c r="J22" s="96">
        <f t="shared" si="3"/>
        <v>-4671000</v>
      </c>
      <c r="K22" s="96">
        <f t="shared" si="3"/>
        <v>-23833000</v>
      </c>
      <c r="L22" s="96">
        <f t="shared" si="3"/>
        <v>-7399900</v>
      </c>
      <c r="M22" s="96">
        <f t="shared" si="3"/>
        <v>-3673900</v>
      </c>
      <c r="N22" s="96">
        <f t="shared" si="3"/>
        <v>-1819700</v>
      </c>
      <c r="O22" s="96">
        <f t="shared" si="3"/>
        <v>-3621000</v>
      </c>
      <c r="P22" s="96">
        <f t="shared" si="3"/>
        <v>-6266800</v>
      </c>
      <c r="Q22" s="99">
        <f t="shared" si="7"/>
        <v>-173807700</v>
      </c>
      <c r="S22" s="35">
        <f t="shared" si="5"/>
        <v>1</v>
      </c>
    </row>
    <row r="23" spans="2:19" ht="23.1" customHeight="1">
      <c r="B23" s="7" t="str">
        <f>LR!B23</f>
        <v>420105 | POTONGAN / PENGURANG PENDAPATAN - INSIDENTIL ONLIN</v>
      </c>
      <c r="C23" s="100"/>
      <c r="D23" s="144" t="str">
        <f t="shared" si="1"/>
        <v>Pendapatan</v>
      </c>
      <c r="E23" s="96">
        <f t="shared" si="3"/>
        <v>0</v>
      </c>
      <c r="F23" s="96">
        <f t="shared" si="3"/>
        <v>0</v>
      </c>
      <c r="G23" s="96">
        <f t="shared" si="3"/>
        <v>0</v>
      </c>
      <c r="H23" s="96">
        <f t="shared" si="3"/>
        <v>0</v>
      </c>
      <c r="I23" s="96">
        <f t="shared" si="3"/>
        <v>0</v>
      </c>
      <c r="J23" s="96">
        <f t="shared" si="3"/>
        <v>0</v>
      </c>
      <c r="K23" s="96">
        <f t="shared" si="3"/>
        <v>0</v>
      </c>
      <c r="L23" s="96">
        <f t="shared" si="3"/>
        <v>0</v>
      </c>
      <c r="M23" s="96">
        <f t="shared" si="3"/>
        <v>0</v>
      </c>
      <c r="N23" s="96">
        <f t="shared" si="3"/>
        <v>0</v>
      </c>
      <c r="O23" s="96">
        <f t="shared" si="3"/>
        <v>0</v>
      </c>
      <c r="P23" s="96">
        <f t="shared" si="3"/>
        <v>0</v>
      </c>
      <c r="Q23" s="99">
        <f t="shared" si="7"/>
        <v>0</v>
      </c>
      <c r="S23" s="35">
        <f t="shared" si="5"/>
        <v>0</v>
      </c>
    </row>
    <row r="24" spans="2:19" ht="23.1" customHeight="1">
      <c r="B24" s="7" t="str">
        <f>LR!B24</f>
        <v>420106 | POTONGAN / PENGURANG PENDAPATAN - KHUSUS BADAN USA</v>
      </c>
      <c r="C24" s="100"/>
      <c r="D24" s="144" t="str">
        <f t="shared" si="1"/>
        <v>Pendapatan</v>
      </c>
      <c r="E24" s="96">
        <f t="shared" si="3"/>
        <v>0</v>
      </c>
      <c r="F24" s="96">
        <f t="shared" si="3"/>
        <v>0</v>
      </c>
      <c r="G24" s="96">
        <f t="shared" si="3"/>
        <v>0</v>
      </c>
      <c r="H24" s="96">
        <f t="shared" si="3"/>
        <v>0</v>
      </c>
      <c r="I24" s="96">
        <f t="shared" si="3"/>
        <v>0</v>
      </c>
      <c r="J24" s="96">
        <f t="shared" si="3"/>
        <v>0</v>
      </c>
      <c r="K24" s="96">
        <f t="shared" si="3"/>
        <v>0</v>
      </c>
      <c r="L24" s="96">
        <f t="shared" si="3"/>
        <v>0</v>
      </c>
      <c r="M24" s="96">
        <f t="shared" si="3"/>
        <v>0</v>
      </c>
      <c r="N24" s="96">
        <f t="shared" si="3"/>
        <v>0</v>
      </c>
      <c r="O24" s="96">
        <f t="shared" si="3"/>
        <v>0</v>
      </c>
      <c r="P24" s="96">
        <f t="shared" si="3"/>
        <v>0</v>
      </c>
      <c r="Q24" s="99">
        <f t="shared" si="7"/>
        <v>0</v>
      </c>
      <c r="S24" s="35">
        <f t="shared" ref="S24:S87" si="8">IF(OR(Q24&gt;0,Q24&lt;0,Q24=""),1,0)</f>
        <v>0</v>
      </c>
    </row>
    <row r="25" spans="2:19" ht="23.1" customHeight="1">
      <c r="B25" s="7" t="str">
        <f>LR!B25</f>
        <v>420107 | POTONGAN / PENGURANG PENDAPATAN - TEKNOLOGI / ONLI</v>
      </c>
      <c r="C25" s="100"/>
      <c r="D25" s="144" t="str">
        <f t="shared" si="1"/>
        <v>Pendapatan</v>
      </c>
      <c r="E25" s="96">
        <f t="shared" ref="E25:P40" si="9">IF(INDEX(typ_sn,MATCH(INDEX(akun_type,MATCH($B25,akun_kb,0)),typ_ket,0))="db",SUMIFS(ju_sld,ju_bln,TEXT(E$8,"mmmm"),ju_kr,$B25)-SUMIFS(ju_sld,ju_bln,TEXT(E$8,"mmmm"),ju_debet,$B25),SUMIFS(ju_sld,ju_bln,TEXT(E$8,"mmmm"),ju_kr,$B25)-SUMIFS(ju_sld,ju_bln,TEXT(E$8,"mmmm"),ju_debet,$B25))</f>
        <v>0</v>
      </c>
      <c r="F25" s="96">
        <f t="shared" si="9"/>
        <v>0</v>
      </c>
      <c r="G25" s="96">
        <f t="shared" si="9"/>
        <v>0</v>
      </c>
      <c r="H25" s="96">
        <f t="shared" si="9"/>
        <v>0</v>
      </c>
      <c r="I25" s="96">
        <f t="shared" si="9"/>
        <v>0</v>
      </c>
      <c r="J25" s="96">
        <f t="shared" si="9"/>
        <v>0</v>
      </c>
      <c r="K25" s="96">
        <f t="shared" si="9"/>
        <v>0</v>
      </c>
      <c r="L25" s="96">
        <f t="shared" si="9"/>
        <v>0</v>
      </c>
      <c r="M25" s="96">
        <f t="shared" si="9"/>
        <v>0</v>
      </c>
      <c r="N25" s="96">
        <f t="shared" si="9"/>
        <v>0</v>
      </c>
      <c r="O25" s="96">
        <f t="shared" si="9"/>
        <v>0</v>
      </c>
      <c r="P25" s="96">
        <f t="shared" si="9"/>
        <v>0</v>
      </c>
      <c r="Q25" s="99">
        <f t="shared" si="7"/>
        <v>0</v>
      </c>
      <c r="S25" s="35">
        <f t="shared" si="8"/>
        <v>0</v>
      </c>
    </row>
    <row r="26" spans="2:19" s="2" customFormat="1" ht="23.1" customHeight="1">
      <c r="B26" s="103" t="str">
        <f>LR!B26</f>
        <v>TOTAL POTONGAN/PENGURANG PENDAPATAN</v>
      </c>
      <c r="C26" s="394"/>
      <c r="D26" s="395" t="str">
        <f t="shared" si="1"/>
        <v/>
      </c>
      <c r="E26" s="396">
        <f>SUM(E19:E25)</f>
        <v>-243959500</v>
      </c>
      <c r="F26" s="396">
        <f t="shared" ref="F26:Q26" si="10">SUM(F19:F25)</f>
        <v>-210288800</v>
      </c>
      <c r="G26" s="396">
        <f t="shared" si="10"/>
        <v>-252498400</v>
      </c>
      <c r="H26" s="396">
        <f t="shared" si="10"/>
        <v>-288168400</v>
      </c>
      <c r="I26" s="396">
        <f t="shared" si="10"/>
        <v>-241108400</v>
      </c>
      <c r="J26" s="396">
        <f t="shared" si="10"/>
        <v>-190265500</v>
      </c>
      <c r="K26" s="396">
        <f t="shared" si="10"/>
        <v>-226341000</v>
      </c>
      <c r="L26" s="396">
        <f t="shared" si="10"/>
        <v>-128900900</v>
      </c>
      <c r="M26" s="396">
        <f t="shared" si="10"/>
        <v>-107020900</v>
      </c>
      <c r="N26" s="396">
        <f t="shared" si="10"/>
        <v>-116576700</v>
      </c>
      <c r="O26" s="396">
        <f t="shared" si="10"/>
        <v>-113780000</v>
      </c>
      <c r="P26" s="396">
        <f t="shared" si="10"/>
        <v>-138354300</v>
      </c>
      <c r="Q26" s="396">
        <f t="shared" si="10"/>
        <v>-2257262800</v>
      </c>
      <c r="S26" s="392">
        <f t="shared" si="8"/>
        <v>1</v>
      </c>
    </row>
    <row r="27" spans="2:19" s="2" customFormat="1" ht="23.1" customHeight="1">
      <c r="B27" s="393" t="str">
        <f>LR!B27</f>
        <v>TOTAL PENDAPATAN</v>
      </c>
      <c r="C27" s="394"/>
      <c r="D27" s="395" t="str">
        <f t="shared" si="1"/>
        <v/>
      </c>
      <c r="E27" s="396">
        <f>E17+E26</f>
        <v>1196364000</v>
      </c>
      <c r="F27" s="396">
        <f t="shared" ref="F27:Q27" si="11">F17+F26</f>
        <v>1095081200</v>
      </c>
      <c r="G27" s="396">
        <f t="shared" si="11"/>
        <v>1240103100</v>
      </c>
      <c r="H27" s="396">
        <f t="shared" si="11"/>
        <v>1124920800</v>
      </c>
      <c r="I27" s="396">
        <f t="shared" si="11"/>
        <v>1034758600</v>
      </c>
      <c r="J27" s="396">
        <f t="shared" si="11"/>
        <v>1217250600</v>
      </c>
      <c r="K27" s="396">
        <f t="shared" si="11"/>
        <v>1200419500</v>
      </c>
      <c r="L27" s="396">
        <f t="shared" si="11"/>
        <v>1334495600</v>
      </c>
      <c r="M27" s="396">
        <f t="shared" si="11"/>
        <v>1363331100</v>
      </c>
      <c r="N27" s="396">
        <f t="shared" si="11"/>
        <v>1335326800</v>
      </c>
      <c r="O27" s="396">
        <f t="shared" si="11"/>
        <v>1343121000</v>
      </c>
      <c r="P27" s="396">
        <f t="shared" si="11"/>
        <v>1330146900</v>
      </c>
      <c r="Q27" s="396">
        <f t="shared" si="11"/>
        <v>14815319200</v>
      </c>
      <c r="S27" s="392">
        <f t="shared" si="8"/>
        <v>1</v>
      </c>
    </row>
    <row r="28" spans="2:19" s="2" customFormat="1" ht="23.1" customHeight="1">
      <c r="B28" s="103" t="str">
        <f>LR!B28</f>
        <v>BIAYA OPERASI</v>
      </c>
      <c r="C28" s="388"/>
      <c r="D28" s="389" t="str">
        <f t="shared" si="1"/>
        <v/>
      </c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1"/>
      <c r="S28" s="392">
        <f t="shared" si="8"/>
        <v>1</v>
      </c>
    </row>
    <row r="29" spans="2:19" s="2" customFormat="1" ht="23.1" customHeight="1">
      <c r="B29" s="103" t="str">
        <f>LR!B29</f>
        <v>BIAYA OPERASIONAL</v>
      </c>
      <c r="C29" s="388"/>
      <c r="D29" s="389" t="str">
        <f t="shared" si="1"/>
        <v/>
      </c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1"/>
      <c r="S29" s="392">
        <f t="shared" si="8"/>
        <v>1</v>
      </c>
    </row>
    <row r="30" spans="2:19" ht="23.1" customHeight="1">
      <c r="B30" s="7" t="str">
        <f>LR!B30</f>
        <v>510101 | BIAYA CETAKAN</v>
      </c>
      <c r="C30" s="100"/>
      <c r="D30" s="144" t="str">
        <f t="shared" si="1"/>
        <v>Harga Pokok Penjualan</v>
      </c>
      <c r="E30" s="96">
        <f t="shared" si="9"/>
        <v>0</v>
      </c>
      <c r="F30" s="96">
        <f t="shared" si="9"/>
        <v>-34650000</v>
      </c>
      <c r="G30" s="96">
        <f t="shared" si="9"/>
        <v>-7495000</v>
      </c>
      <c r="H30" s="96">
        <f t="shared" si="9"/>
        <v>0</v>
      </c>
      <c r="I30" s="96">
        <f t="shared" si="9"/>
        <v>0</v>
      </c>
      <c r="J30" s="96">
        <f t="shared" si="9"/>
        <v>-48785000</v>
      </c>
      <c r="K30" s="96">
        <f t="shared" si="9"/>
        <v>-23976000</v>
      </c>
      <c r="L30" s="96">
        <f t="shared" si="9"/>
        <v>-1000000</v>
      </c>
      <c r="M30" s="96">
        <f t="shared" si="9"/>
        <v>-5372000</v>
      </c>
      <c r="N30" s="96">
        <f t="shared" si="9"/>
        <v>0</v>
      </c>
      <c r="O30" s="96">
        <f t="shared" si="9"/>
        <v>-23043600</v>
      </c>
      <c r="P30" s="96">
        <f t="shared" si="9"/>
        <v>-22456000</v>
      </c>
      <c r="Q30" s="99">
        <f t="shared" ref="Q30:Q53" si="12">SUM(E30:P30)</f>
        <v>-166777600</v>
      </c>
      <c r="S30" s="35">
        <f t="shared" si="8"/>
        <v>1</v>
      </c>
    </row>
    <row r="31" spans="2:19" ht="23.1" customHeight="1">
      <c r="B31" s="7" t="str">
        <f>LR!B31</f>
        <v>510102 | BIAYA SURVEY / UJI PETIK</v>
      </c>
      <c r="C31" s="100"/>
      <c r="D31" s="144" t="str">
        <f t="shared" si="1"/>
        <v>Harga Pokok Penjualan</v>
      </c>
      <c r="E31" s="96">
        <f t="shared" si="9"/>
        <v>0</v>
      </c>
      <c r="F31" s="96">
        <f t="shared" si="9"/>
        <v>0</v>
      </c>
      <c r="G31" s="96">
        <f t="shared" si="9"/>
        <v>0</v>
      </c>
      <c r="H31" s="96">
        <f t="shared" si="9"/>
        <v>-4020000</v>
      </c>
      <c r="I31" s="96">
        <f t="shared" si="9"/>
        <v>0</v>
      </c>
      <c r="J31" s="96">
        <f t="shared" si="9"/>
        <v>0</v>
      </c>
      <c r="K31" s="96">
        <f t="shared" si="9"/>
        <v>0</v>
      </c>
      <c r="L31" s="96">
        <f t="shared" si="9"/>
        <v>0</v>
      </c>
      <c r="M31" s="96">
        <f t="shared" si="9"/>
        <v>0</v>
      </c>
      <c r="N31" s="96">
        <f t="shared" si="9"/>
        <v>0</v>
      </c>
      <c r="O31" s="96">
        <f t="shared" si="9"/>
        <v>0</v>
      </c>
      <c r="P31" s="96">
        <f t="shared" si="9"/>
        <v>-8315000</v>
      </c>
      <c r="Q31" s="99">
        <f t="shared" si="12"/>
        <v>-12335000</v>
      </c>
      <c r="S31" s="35">
        <f t="shared" si="8"/>
        <v>1</v>
      </c>
    </row>
    <row r="32" spans="2:19" ht="23.1" customHeight="1">
      <c r="B32" s="7" t="str">
        <f>LR!B32</f>
        <v>510103 | BIAYA OPERASIONAL TIM PATROLI KHUSUS</v>
      </c>
      <c r="C32" s="100"/>
      <c r="D32" s="144" t="str">
        <f t="shared" si="1"/>
        <v>Harga Pokok Penjualan</v>
      </c>
      <c r="E32" s="96">
        <f t="shared" si="9"/>
        <v>0</v>
      </c>
      <c r="F32" s="96">
        <f t="shared" si="9"/>
        <v>0</v>
      </c>
      <c r="G32" s="96">
        <f t="shared" si="9"/>
        <v>0</v>
      </c>
      <c r="H32" s="96">
        <f t="shared" si="9"/>
        <v>0</v>
      </c>
      <c r="I32" s="96">
        <f t="shared" si="9"/>
        <v>0</v>
      </c>
      <c r="J32" s="96">
        <f t="shared" si="9"/>
        <v>0</v>
      </c>
      <c r="K32" s="96">
        <f t="shared" si="9"/>
        <v>0</v>
      </c>
      <c r="L32" s="96">
        <f t="shared" si="9"/>
        <v>0</v>
      </c>
      <c r="M32" s="96">
        <f t="shared" si="9"/>
        <v>0</v>
      </c>
      <c r="N32" s="96">
        <f t="shared" si="9"/>
        <v>0</v>
      </c>
      <c r="O32" s="96">
        <f t="shared" si="9"/>
        <v>0</v>
      </c>
      <c r="P32" s="96">
        <f t="shared" si="9"/>
        <v>0</v>
      </c>
      <c r="Q32" s="99">
        <f t="shared" si="12"/>
        <v>0</v>
      </c>
      <c r="S32" s="35">
        <f t="shared" si="8"/>
        <v>0</v>
      </c>
    </row>
    <row r="33" spans="2:19" ht="23.1" customHeight="1">
      <c r="B33" s="7" t="str">
        <f>LR!B33</f>
        <v>510104 | BIAYA OPERASIONAL TIM PATUH PARKIR</v>
      </c>
      <c r="C33" s="100"/>
      <c r="D33" s="144" t="str">
        <f t="shared" si="1"/>
        <v>Harga Pokok Penjualan</v>
      </c>
      <c r="E33" s="96">
        <f t="shared" si="9"/>
        <v>0</v>
      </c>
      <c r="F33" s="96">
        <f t="shared" si="9"/>
        <v>0</v>
      </c>
      <c r="G33" s="96">
        <f t="shared" si="9"/>
        <v>0</v>
      </c>
      <c r="H33" s="96">
        <f t="shared" si="9"/>
        <v>0</v>
      </c>
      <c r="I33" s="96">
        <f t="shared" si="9"/>
        <v>0</v>
      </c>
      <c r="J33" s="96">
        <f t="shared" si="9"/>
        <v>0</v>
      </c>
      <c r="K33" s="96">
        <f t="shared" si="9"/>
        <v>0</v>
      </c>
      <c r="L33" s="96">
        <f t="shared" si="9"/>
        <v>0</v>
      </c>
      <c r="M33" s="96">
        <f t="shared" si="9"/>
        <v>0</v>
      </c>
      <c r="N33" s="96">
        <f t="shared" si="9"/>
        <v>0</v>
      </c>
      <c r="O33" s="96">
        <f t="shared" si="9"/>
        <v>0</v>
      </c>
      <c r="P33" s="96">
        <f t="shared" si="9"/>
        <v>0</v>
      </c>
      <c r="Q33" s="99">
        <f t="shared" si="12"/>
        <v>0</v>
      </c>
      <c r="S33" s="35">
        <f t="shared" si="8"/>
        <v>0</v>
      </c>
    </row>
    <row r="34" spans="2:19" ht="23.1" customHeight="1">
      <c r="B34" s="7" t="str">
        <f>LR!B34</f>
        <v>510105 | BIAYA OPERASIONAL PEGAWAI</v>
      </c>
      <c r="C34" s="100"/>
      <c r="D34" s="144" t="str">
        <f t="shared" si="1"/>
        <v>Harga Pokok Penjualan</v>
      </c>
      <c r="E34" s="96">
        <f t="shared" si="9"/>
        <v>-24848000</v>
      </c>
      <c r="F34" s="96">
        <f t="shared" si="9"/>
        <v>-24598000</v>
      </c>
      <c r="G34" s="96">
        <f t="shared" si="9"/>
        <v>-23648000</v>
      </c>
      <c r="H34" s="96">
        <f t="shared" si="9"/>
        <v>-24550000</v>
      </c>
      <c r="I34" s="96">
        <f t="shared" si="9"/>
        <v>-23398000</v>
      </c>
      <c r="J34" s="96">
        <f t="shared" si="9"/>
        <v>-10650000</v>
      </c>
      <c r="K34" s="96">
        <f t="shared" si="9"/>
        <v>-6098000</v>
      </c>
      <c r="L34" s="96">
        <f t="shared" si="9"/>
        <v>-14948000</v>
      </c>
      <c r="M34" s="96">
        <f t="shared" si="9"/>
        <v>-10298000</v>
      </c>
      <c r="N34" s="96">
        <f t="shared" si="9"/>
        <v>-10298000</v>
      </c>
      <c r="O34" s="96">
        <f t="shared" si="9"/>
        <v>-10298000</v>
      </c>
      <c r="P34" s="96">
        <f t="shared" si="9"/>
        <v>-10298000</v>
      </c>
      <c r="Q34" s="99">
        <f t="shared" si="12"/>
        <v>-193930000</v>
      </c>
      <c r="S34" s="35">
        <f t="shared" si="8"/>
        <v>1</v>
      </c>
    </row>
    <row r="35" spans="2:19" ht="23.1" customHeight="1">
      <c r="B35" s="7" t="str">
        <f>LR!B35</f>
        <v>510106 | BIAYA PAKET THR</v>
      </c>
      <c r="C35" s="100"/>
      <c r="D35" s="144" t="str">
        <f t="shared" si="1"/>
        <v>Harga Pokok Penjualan</v>
      </c>
      <c r="E35" s="96">
        <f t="shared" si="9"/>
        <v>0</v>
      </c>
      <c r="F35" s="96">
        <f t="shared" si="9"/>
        <v>0</v>
      </c>
      <c r="G35" s="96">
        <f t="shared" si="9"/>
        <v>0</v>
      </c>
      <c r="H35" s="96">
        <f t="shared" si="9"/>
        <v>-248976000</v>
      </c>
      <c r="I35" s="96">
        <f t="shared" si="9"/>
        <v>0</v>
      </c>
      <c r="J35" s="96">
        <f t="shared" si="9"/>
        <v>0</v>
      </c>
      <c r="K35" s="96">
        <f t="shared" si="9"/>
        <v>0</v>
      </c>
      <c r="L35" s="96">
        <f t="shared" si="9"/>
        <v>0</v>
      </c>
      <c r="M35" s="96">
        <f t="shared" si="9"/>
        <v>0</v>
      </c>
      <c r="N35" s="96">
        <f t="shared" si="9"/>
        <v>0</v>
      </c>
      <c r="O35" s="96">
        <f t="shared" si="9"/>
        <v>0</v>
      </c>
      <c r="P35" s="96">
        <f t="shared" si="9"/>
        <v>0</v>
      </c>
      <c r="Q35" s="99">
        <f t="shared" si="12"/>
        <v>-248976000</v>
      </c>
      <c r="S35" s="35">
        <f t="shared" si="8"/>
        <v>1</v>
      </c>
    </row>
    <row r="36" spans="2:19" ht="23.1" customHeight="1">
      <c r="B36" s="7" t="str">
        <f>LR!B36</f>
        <v>510107 | BIAYA SHARING PARKIR ELEKTRONIK</v>
      </c>
      <c r="C36" s="100"/>
      <c r="D36" s="144" t="str">
        <f t="shared" si="1"/>
        <v>Harga Pokok Penjualan</v>
      </c>
      <c r="E36" s="96">
        <f t="shared" si="9"/>
        <v>-3924550</v>
      </c>
      <c r="F36" s="96">
        <f t="shared" si="9"/>
        <v>-3028900</v>
      </c>
      <c r="G36" s="96">
        <f t="shared" si="9"/>
        <v>-3557750</v>
      </c>
      <c r="H36" s="96">
        <f t="shared" si="9"/>
        <v>-4466350</v>
      </c>
      <c r="I36" s="96">
        <f t="shared" si="9"/>
        <v>-2110850</v>
      </c>
      <c r="J36" s="96">
        <f t="shared" si="9"/>
        <v>-3124450</v>
      </c>
      <c r="K36" s="96">
        <f t="shared" si="9"/>
        <v>-4984700</v>
      </c>
      <c r="L36" s="96">
        <f t="shared" si="9"/>
        <v>-4085900</v>
      </c>
      <c r="M36" s="96">
        <f t="shared" si="9"/>
        <v>0</v>
      </c>
      <c r="N36" s="96">
        <f t="shared" si="9"/>
        <v>0</v>
      </c>
      <c r="O36" s="96">
        <f t="shared" si="9"/>
        <v>-18663400</v>
      </c>
      <c r="P36" s="96">
        <f t="shared" si="9"/>
        <v>-8772750</v>
      </c>
      <c r="Q36" s="99">
        <f t="shared" si="12"/>
        <v>-56719600</v>
      </c>
      <c r="S36" s="35">
        <f t="shared" si="8"/>
        <v>1</v>
      </c>
    </row>
    <row r="37" spans="2:19" ht="23.1" customHeight="1">
      <c r="B37" s="7" t="str">
        <f>LR!B37</f>
        <v>510108 | BIAYA ASURANSI JUKIR</v>
      </c>
      <c r="C37" s="100"/>
      <c r="D37" s="144" t="str">
        <f t="shared" si="1"/>
        <v>Harga Pokok Penjualan</v>
      </c>
      <c r="E37" s="96">
        <f t="shared" si="9"/>
        <v>0</v>
      </c>
      <c r="F37" s="96">
        <f t="shared" si="9"/>
        <v>0</v>
      </c>
      <c r="G37" s="96">
        <f t="shared" si="9"/>
        <v>0</v>
      </c>
      <c r="H37" s="96">
        <f t="shared" si="9"/>
        <v>0</v>
      </c>
      <c r="I37" s="96">
        <f t="shared" si="9"/>
        <v>0</v>
      </c>
      <c r="J37" s="96">
        <f t="shared" si="9"/>
        <v>0</v>
      </c>
      <c r="K37" s="96">
        <f t="shared" si="9"/>
        <v>0</v>
      </c>
      <c r="L37" s="96">
        <f t="shared" si="9"/>
        <v>0</v>
      </c>
      <c r="M37" s="96">
        <f t="shared" si="9"/>
        <v>0</v>
      </c>
      <c r="N37" s="96">
        <f t="shared" si="9"/>
        <v>0</v>
      </c>
      <c r="O37" s="96">
        <f t="shared" si="9"/>
        <v>0</v>
      </c>
      <c r="P37" s="96">
        <f t="shared" si="9"/>
        <v>0</v>
      </c>
      <c r="Q37" s="99">
        <f t="shared" si="12"/>
        <v>0</v>
      </c>
      <c r="S37" s="35">
        <f t="shared" si="8"/>
        <v>0</v>
      </c>
    </row>
    <row r="38" spans="2:19" ht="23.1" customHeight="1">
      <c r="B38" s="7" t="str">
        <f>LR!B38</f>
        <v>510109 | BIAYA PAKAIAN JUKIR</v>
      </c>
      <c r="C38" s="100"/>
      <c r="D38" s="144" t="str">
        <f t="shared" si="1"/>
        <v>Harga Pokok Penjualan</v>
      </c>
      <c r="E38" s="96">
        <f t="shared" si="9"/>
        <v>0</v>
      </c>
      <c r="F38" s="96">
        <f t="shared" si="9"/>
        <v>0</v>
      </c>
      <c r="G38" s="96">
        <f t="shared" si="9"/>
        <v>0</v>
      </c>
      <c r="H38" s="96">
        <f t="shared" si="9"/>
        <v>0</v>
      </c>
      <c r="I38" s="96">
        <f t="shared" si="9"/>
        <v>0</v>
      </c>
      <c r="J38" s="96">
        <f t="shared" si="9"/>
        <v>0</v>
      </c>
      <c r="K38" s="96">
        <f t="shared" si="9"/>
        <v>0</v>
      </c>
      <c r="L38" s="96">
        <f t="shared" si="9"/>
        <v>0</v>
      </c>
      <c r="M38" s="96">
        <f t="shared" si="9"/>
        <v>0</v>
      </c>
      <c r="N38" s="96">
        <f t="shared" si="9"/>
        <v>0</v>
      </c>
      <c r="O38" s="96">
        <f t="shared" si="9"/>
        <v>0</v>
      </c>
      <c r="P38" s="96">
        <f t="shared" si="9"/>
        <v>0</v>
      </c>
      <c r="Q38" s="99">
        <f t="shared" si="12"/>
        <v>0</v>
      </c>
      <c r="S38" s="35">
        <f t="shared" si="8"/>
        <v>0</v>
      </c>
    </row>
    <row r="39" spans="2:19" ht="23.1" customHeight="1">
      <c r="B39" s="7" t="str">
        <f>LR!B39</f>
        <v>510110 | BIAYA TIM PENEGAK PERDA</v>
      </c>
      <c r="C39" s="100"/>
      <c r="D39" s="144" t="str">
        <f t="shared" si="1"/>
        <v>Harga Pokok Penjualan</v>
      </c>
      <c r="E39" s="96">
        <f t="shared" si="9"/>
        <v>-7301250</v>
      </c>
      <c r="F39" s="96">
        <f t="shared" si="9"/>
        <v>-7301250</v>
      </c>
      <c r="G39" s="96">
        <f t="shared" si="9"/>
        <v>-7301250</v>
      </c>
      <c r="H39" s="96">
        <f t="shared" si="9"/>
        <v>-7301250</v>
      </c>
      <c r="I39" s="96">
        <f t="shared" si="9"/>
        <v>-7301250</v>
      </c>
      <c r="J39" s="96">
        <f t="shared" si="9"/>
        <v>-7301250</v>
      </c>
      <c r="K39" s="96">
        <f t="shared" si="9"/>
        <v>-7301250</v>
      </c>
      <c r="L39" s="96">
        <f t="shared" si="9"/>
        <v>-8001250</v>
      </c>
      <c r="M39" s="96">
        <f t="shared" si="9"/>
        <v>-8001250</v>
      </c>
      <c r="N39" s="96">
        <f t="shared" si="9"/>
        <v>-8001250</v>
      </c>
      <c r="O39" s="96">
        <f t="shared" si="9"/>
        <v>-8001250</v>
      </c>
      <c r="P39" s="96">
        <f t="shared" si="9"/>
        <v>-8001250</v>
      </c>
      <c r="Q39" s="99">
        <f t="shared" si="12"/>
        <v>-91115000</v>
      </c>
      <c r="S39" s="35">
        <f t="shared" si="8"/>
        <v>1</v>
      </c>
    </row>
    <row r="40" spans="2:19" ht="23.1" customHeight="1">
      <c r="B40" s="7" t="str">
        <f>LR!B40</f>
        <v>510111 | BIAYA UPAH PUNGUT KOLEKTOR</v>
      </c>
      <c r="C40" s="100"/>
      <c r="D40" s="144" t="str">
        <f t="shared" si="1"/>
        <v>Harga Pokok Penjualan</v>
      </c>
      <c r="E40" s="96">
        <f t="shared" si="9"/>
        <v>0</v>
      </c>
      <c r="F40" s="96">
        <f t="shared" si="9"/>
        <v>0</v>
      </c>
      <c r="G40" s="96">
        <f t="shared" si="9"/>
        <v>0</v>
      </c>
      <c r="H40" s="96">
        <f t="shared" si="9"/>
        <v>0</v>
      </c>
      <c r="I40" s="96">
        <f t="shared" si="9"/>
        <v>0</v>
      </c>
      <c r="J40" s="96">
        <f t="shared" si="9"/>
        <v>0</v>
      </c>
      <c r="K40" s="96">
        <f t="shared" si="9"/>
        <v>0</v>
      </c>
      <c r="L40" s="96">
        <f t="shared" si="9"/>
        <v>0</v>
      </c>
      <c r="M40" s="96">
        <f t="shared" si="9"/>
        <v>0</v>
      </c>
      <c r="N40" s="96">
        <f t="shared" si="9"/>
        <v>0</v>
      </c>
      <c r="O40" s="96">
        <f t="shared" si="9"/>
        <v>0</v>
      </c>
      <c r="P40" s="96">
        <f t="shared" si="9"/>
        <v>0</v>
      </c>
      <c r="Q40" s="99">
        <f t="shared" si="12"/>
        <v>0</v>
      </c>
      <c r="S40" s="35">
        <f t="shared" si="8"/>
        <v>0</v>
      </c>
    </row>
    <row r="41" spans="2:19" ht="23.1" customHeight="1">
      <c r="B41" s="7" t="str">
        <f>LR!B41</f>
        <v>510112 | BIAYA PAJAK PARKIR PLB</v>
      </c>
      <c r="C41" s="100"/>
      <c r="D41" s="144" t="str">
        <f t="shared" ref="D41:D72" si="13">IFERROR(INDEX(akun_type,MATCH(B41,akun_kb,0)),"")</f>
        <v>Harga Pokok Penjualan</v>
      </c>
      <c r="E41" s="96">
        <f t="shared" ref="E41:P56" si="14">IF(INDEX(typ_sn,MATCH(INDEX(akun_type,MATCH($B41,akun_kb,0)),typ_ket,0))="db",SUMIFS(ju_sld,ju_bln,TEXT(E$8,"mmmm"),ju_kr,$B41)-SUMIFS(ju_sld,ju_bln,TEXT(E$8,"mmmm"),ju_debet,$B41),SUMIFS(ju_sld,ju_bln,TEXT(E$8,"mmmm"),ju_kr,$B41)-SUMIFS(ju_sld,ju_bln,TEXT(E$8,"mmmm"),ju_debet,$B41))</f>
        <v>0</v>
      </c>
      <c r="F41" s="96">
        <f t="shared" si="14"/>
        <v>0</v>
      </c>
      <c r="G41" s="96">
        <f t="shared" si="14"/>
        <v>0</v>
      </c>
      <c r="H41" s="96">
        <f t="shared" si="14"/>
        <v>0</v>
      </c>
      <c r="I41" s="96">
        <f t="shared" si="14"/>
        <v>0</v>
      </c>
      <c r="J41" s="96">
        <f t="shared" si="14"/>
        <v>0</v>
      </c>
      <c r="K41" s="96">
        <f t="shared" si="14"/>
        <v>0</v>
      </c>
      <c r="L41" s="96">
        <f t="shared" si="14"/>
        <v>0</v>
      </c>
      <c r="M41" s="96">
        <f t="shared" si="14"/>
        <v>0</v>
      </c>
      <c r="N41" s="96">
        <f t="shared" si="14"/>
        <v>0</v>
      </c>
      <c r="O41" s="96">
        <f t="shared" si="14"/>
        <v>-7620000</v>
      </c>
      <c r="P41" s="96">
        <f t="shared" si="14"/>
        <v>0</v>
      </c>
      <c r="Q41" s="99">
        <f t="shared" si="12"/>
        <v>-7620000</v>
      </c>
      <c r="S41" s="35">
        <f t="shared" si="8"/>
        <v>1</v>
      </c>
    </row>
    <row r="42" spans="2:19" ht="23.1" customHeight="1">
      <c r="B42" s="7" t="str">
        <f>LR!B42</f>
        <v>510113 | BIAYA ID CARD</v>
      </c>
      <c r="C42" s="100"/>
      <c r="D42" s="144" t="str">
        <f t="shared" si="13"/>
        <v>Harga Pokok Penjualan</v>
      </c>
      <c r="E42" s="96">
        <f t="shared" si="14"/>
        <v>0</v>
      </c>
      <c r="F42" s="96">
        <f t="shared" si="14"/>
        <v>-3700000</v>
      </c>
      <c r="G42" s="96">
        <f t="shared" si="14"/>
        <v>-91500</v>
      </c>
      <c r="H42" s="96">
        <f t="shared" si="14"/>
        <v>0</v>
      </c>
      <c r="I42" s="96">
        <f t="shared" si="14"/>
        <v>0</v>
      </c>
      <c r="J42" s="96">
        <f t="shared" si="14"/>
        <v>-2460000</v>
      </c>
      <c r="K42" s="96">
        <f t="shared" si="14"/>
        <v>0</v>
      </c>
      <c r="L42" s="96">
        <f t="shared" si="14"/>
        <v>-250000</v>
      </c>
      <c r="M42" s="96">
        <f t="shared" si="14"/>
        <v>0</v>
      </c>
      <c r="N42" s="96">
        <f t="shared" si="14"/>
        <v>0</v>
      </c>
      <c r="O42" s="96">
        <f t="shared" si="14"/>
        <v>0</v>
      </c>
      <c r="P42" s="96">
        <f t="shared" si="14"/>
        <v>0</v>
      </c>
      <c r="Q42" s="99">
        <f t="shared" si="12"/>
        <v>-6501500</v>
      </c>
      <c r="S42" s="35">
        <f t="shared" si="8"/>
        <v>1</v>
      </c>
    </row>
    <row r="43" spans="2:19" ht="23.1" customHeight="1">
      <c r="B43" s="7" t="str">
        <f>LR!B43</f>
        <v>510114 | BIAYA BAHAN BAKAR KENDARAAN OPERASIONAL</v>
      </c>
      <c r="C43" s="100"/>
      <c r="D43" s="144" t="str">
        <f t="shared" si="13"/>
        <v>Harga Pokok Penjualan</v>
      </c>
      <c r="E43" s="96">
        <f t="shared" si="14"/>
        <v>-3500000</v>
      </c>
      <c r="F43" s="96">
        <f t="shared" si="14"/>
        <v>-3500000</v>
      </c>
      <c r="G43" s="96">
        <f t="shared" si="14"/>
        <v>-3500000</v>
      </c>
      <c r="H43" s="96">
        <f t="shared" si="14"/>
        <v>-3500000</v>
      </c>
      <c r="I43" s="96">
        <f t="shared" si="14"/>
        <v>-3500000</v>
      </c>
      <c r="J43" s="96">
        <f t="shared" si="14"/>
        <v>-3500000</v>
      </c>
      <c r="K43" s="96">
        <f t="shared" si="14"/>
        <v>-3500000</v>
      </c>
      <c r="L43" s="96">
        <f t="shared" si="14"/>
        <v>-4000000</v>
      </c>
      <c r="M43" s="96">
        <f t="shared" si="14"/>
        <v>-4000000</v>
      </c>
      <c r="N43" s="96">
        <f t="shared" si="14"/>
        <v>-4000000</v>
      </c>
      <c r="O43" s="96">
        <f t="shared" si="14"/>
        <v>-4000000</v>
      </c>
      <c r="P43" s="96">
        <f t="shared" si="14"/>
        <v>-4000000</v>
      </c>
      <c r="Q43" s="99">
        <f t="shared" si="12"/>
        <v>-44500000</v>
      </c>
      <c r="S43" s="35">
        <f t="shared" si="8"/>
        <v>1</v>
      </c>
    </row>
    <row r="44" spans="2:19" ht="23.1" customHeight="1">
      <c r="B44" s="7" t="str">
        <f>LR!B44</f>
        <v>510115 | BIAYA MAINTENANCE KENDARAAN OPERASIONAL</v>
      </c>
      <c r="C44" s="100"/>
      <c r="D44" s="144" t="str">
        <f t="shared" si="13"/>
        <v>Harga Pokok Penjualan</v>
      </c>
      <c r="E44" s="96">
        <f t="shared" si="14"/>
        <v>-820000</v>
      </c>
      <c r="F44" s="96">
        <f t="shared" si="14"/>
        <v>-60000</v>
      </c>
      <c r="G44" s="96">
        <f t="shared" si="14"/>
        <v>-667000</v>
      </c>
      <c r="H44" s="96">
        <f t="shared" si="14"/>
        <v>-650000</v>
      </c>
      <c r="I44" s="96">
        <f t="shared" si="14"/>
        <v>-2120000</v>
      </c>
      <c r="J44" s="96">
        <f t="shared" si="14"/>
        <v>-3262959</v>
      </c>
      <c r="K44" s="96">
        <f t="shared" si="14"/>
        <v>-80000</v>
      </c>
      <c r="L44" s="96">
        <f t="shared" si="14"/>
        <v>-8121500</v>
      </c>
      <c r="M44" s="96">
        <f t="shared" si="14"/>
        <v>-1687000</v>
      </c>
      <c r="N44" s="96">
        <f t="shared" si="14"/>
        <v>-6292000</v>
      </c>
      <c r="O44" s="96">
        <f t="shared" si="14"/>
        <v>-1325200</v>
      </c>
      <c r="P44" s="96">
        <f t="shared" si="14"/>
        <v>-75000</v>
      </c>
      <c r="Q44" s="99">
        <f t="shared" si="12"/>
        <v>-25160659</v>
      </c>
      <c r="S44" s="35">
        <f t="shared" si="8"/>
        <v>1</v>
      </c>
    </row>
    <row r="45" spans="2:19" ht="23.1" customHeight="1">
      <c r="B45" s="7" t="str">
        <f>LR!B45</f>
        <v>510116 | BIAYA SURAT KENDARAAN (STNK)</v>
      </c>
      <c r="C45" s="100"/>
      <c r="D45" s="144" t="str">
        <f t="shared" si="13"/>
        <v>Harga Pokok Penjualan</v>
      </c>
      <c r="E45" s="96">
        <f t="shared" si="14"/>
        <v>-6585070</v>
      </c>
      <c r="F45" s="96">
        <f t="shared" si="14"/>
        <v>-5183650</v>
      </c>
      <c r="G45" s="96">
        <f t="shared" si="14"/>
        <v>-8654830</v>
      </c>
      <c r="H45" s="96">
        <f t="shared" si="14"/>
        <v>0</v>
      </c>
      <c r="I45" s="96">
        <f t="shared" si="14"/>
        <v>0</v>
      </c>
      <c r="J45" s="96">
        <f t="shared" si="14"/>
        <v>-3658400</v>
      </c>
      <c r="K45" s="96">
        <f t="shared" si="14"/>
        <v>0</v>
      </c>
      <c r="L45" s="96">
        <f t="shared" si="14"/>
        <v>0</v>
      </c>
      <c r="M45" s="96">
        <f t="shared" si="14"/>
        <v>0</v>
      </c>
      <c r="N45" s="96">
        <f t="shared" si="14"/>
        <v>0</v>
      </c>
      <c r="O45" s="96">
        <f t="shared" si="14"/>
        <v>0</v>
      </c>
      <c r="P45" s="96">
        <f t="shared" si="14"/>
        <v>0</v>
      </c>
      <c r="Q45" s="99">
        <f t="shared" si="12"/>
        <v>-24081950</v>
      </c>
      <c r="S45" s="35">
        <f t="shared" si="8"/>
        <v>1</v>
      </c>
    </row>
    <row r="46" spans="2:19" ht="23.1" customHeight="1">
      <c r="B46" s="7" t="str">
        <f>LR!B46</f>
        <v>510117 | BIAYA SHARING PENETAPAN BARU PLB</v>
      </c>
      <c r="C46" s="100"/>
      <c r="D46" s="144" t="str">
        <f t="shared" si="13"/>
        <v>Harga Pokok Penjualan</v>
      </c>
      <c r="E46" s="96">
        <f t="shared" si="14"/>
        <v>0</v>
      </c>
      <c r="F46" s="96">
        <f t="shared" si="14"/>
        <v>0</v>
      </c>
      <c r="G46" s="96">
        <f t="shared" si="14"/>
        <v>0</v>
      </c>
      <c r="H46" s="96">
        <f t="shared" si="14"/>
        <v>0</v>
      </c>
      <c r="I46" s="96">
        <f t="shared" si="14"/>
        <v>0</v>
      </c>
      <c r="J46" s="96">
        <f t="shared" si="14"/>
        <v>0</v>
      </c>
      <c r="K46" s="96">
        <f t="shared" si="14"/>
        <v>0</v>
      </c>
      <c r="L46" s="96">
        <f t="shared" si="14"/>
        <v>0</v>
      </c>
      <c r="M46" s="96">
        <f t="shared" si="14"/>
        <v>-180000</v>
      </c>
      <c r="N46" s="96">
        <f t="shared" si="14"/>
        <v>-1590000</v>
      </c>
      <c r="O46" s="96">
        <f t="shared" si="14"/>
        <v>-1665000</v>
      </c>
      <c r="P46" s="96">
        <f t="shared" si="14"/>
        <v>-5670000</v>
      </c>
      <c r="Q46" s="99">
        <f t="shared" si="12"/>
        <v>-9105000</v>
      </c>
      <c r="S46" s="35">
        <f t="shared" si="8"/>
        <v>1</v>
      </c>
    </row>
    <row r="47" spans="2:19" ht="23.1" customHeight="1">
      <c r="B47" s="7" t="str">
        <f>LR!B47</f>
        <v>510118 | BIAYA CSR</v>
      </c>
      <c r="C47" s="100"/>
      <c r="D47" s="144" t="str">
        <f t="shared" si="13"/>
        <v>Harga Pokok Penjualan</v>
      </c>
      <c r="E47" s="96">
        <f t="shared" si="14"/>
        <v>0</v>
      </c>
      <c r="F47" s="96">
        <f t="shared" si="14"/>
        <v>0</v>
      </c>
      <c r="G47" s="96">
        <f t="shared" si="14"/>
        <v>0</v>
      </c>
      <c r="H47" s="96">
        <f t="shared" si="14"/>
        <v>0</v>
      </c>
      <c r="I47" s="96">
        <f t="shared" si="14"/>
        <v>0</v>
      </c>
      <c r="J47" s="96">
        <f t="shared" si="14"/>
        <v>0</v>
      </c>
      <c r="K47" s="96">
        <f t="shared" si="14"/>
        <v>0</v>
      </c>
      <c r="L47" s="96">
        <f t="shared" si="14"/>
        <v>0</v>
      </c>
      <c r="M47" s="96">
        <f t="shared" si="14"/>
        <v>0</v>
      </c>
      <c r="N47" s="96">
        <f t="shared" si="14"/>
        <v>0</v>
      </c>
      <c r="O47" s="96">
        <f t="shared" si="14"/>
        <v>0</v>
      </c>
      <c r="P47" s="96">
        <f t="shared" si="14"/>
        <v>0</v>
      </c>
      <c r="Q47" s="99">
        <f t="shared" si="12"/>
        <v>0</v>
      </c>
      <c r="S47" s="35">
        <f t="shared" si="8"/>
        <v>0</v>
      </c>
    </row>
    <row r="48" spans="2:19" ht="23.1" customHeight="1">
      <c r="B48" s="7" t="str">
        <f>LR!B48</f>
        <v>510119 | BIAYA PEMBINAAN LORONG</v>
      </c>
      <c r="C48" s="100"/>
      <c r="D48" s="144" t="str">
        <f t="shared" si="13"/>
        <v>Harga Pokok Penjualan</v>
      </c>
      <c r="E48" s="96">
        <f t="shared" si="14"/>
        <v>0</v>
      </c>
      <c r="F48" s="96">
        <f t="shared" si="14"/>
        <v>0</v>
      </c>
      <c r="G48" s="96">
        <f t="shared" si="14"/>
        <v>0</v>
      </c>
      <c r="H48" s="96">
        <f t="shared" si="14"/>
        <v>0</v>
      </c>
      <c r="I48" s="96">
        <f t="shared" si="14"/>
        <v>0</v>
      </c>
      <c r="J48" s="96">
        <f t="shared" si="14"/>
        <v>0</v>
      </c>
      <c r="K48" s="96">
        <f t="shared" si="14"/>
        <v>0</v>
      </c>
      <c r="L48" s="96">
        <f t="shared" si="14"/>
        <v>0</v>
      </c>
      <c r="M48" s="96">
        <f t="shared" si="14"/>
        <v>0</v>
      </c>
      <c r="N48" s="96">
        <f t="shared" si="14"/>
        <v>0</v>
      </c>
      <c r="O48" s="96">
        <f t="shared" si="14"/>
        <v>0</v>
      </c>
      <c r="P48" s="96">
        <f t="shared" si="14"/>
        <v>0</v>
      </c>
      <c r="Q48" s="99">
        <f t="shared" si="12"/>
        <v>0</v>
      </c>
      <c r="S48" s="35">
        <f t="shared" si="8"/>
        <v>0</v>
      </c>
    </row>
    <row r="49" spans="2:19" ht="23.1" customHeight="1">
      <c r="B49" s="7" t="str">
        <f>LR!B49</f>
        <v>510120 | BIAYA KARTU CASHLESS</v>
      </c>
      <c r="C49" s="100"/>
      <c r="D49" s="144" t="str">
        <f t="shared" si="13"/>
        <v>Harga Pokok Penjualan</v>
      </c>
      <c r="E49" s="96">
        <f t="shared" si="14"/>
        <v>0</v>
      </c>
      <c r="F49" s="96">
        <f t="shared" si="14"/>
        <v>0</v>
      </c>
      <c r="G49" s="96">
        <f t="shared" si="14"/>
        <v>0</v>
      </c>
      <c r="H49" s="96">
        <f t="shared" si="14"/>
        <v>0</v>
      </c>
      <c r="I49" s="96">
        <f t="shared" si="14"/>
        <v>0</v>
      </c>
      <c r="J49" s="96">
        <f t="shared" si="14"/>
        <v>0</v>
      </c>
      <c r="K49" s="96">
        <f t="shared" si="14"/>
        <v>0</v>
      </c>
      <c r="L49" s="96">
        <f t="shared" si="14"/>
        <v>0</v>
      </c>
      <c r="M49" s="96">
        <f t="shared" si="14"/>
        <v>0</v>
      </c>
      <c r="N49" s="96">
        <f t="shared" si="14"/>
        <v>0</v>
      </c>
      <c r="O49" s="96">
        <f t="shared" si="14"/>
        <v>0</v>
      </c>
      <c r="P49" s="96">
        <f t="shared" si="14"/>
        <v>0</v>
      </c>
      <c r="Q49" s="99">
        <f t="shared" si="12"/>
        <v>0</v>
      </c>
      <c r="S49" s="35">
        <f t="shared" si="8"/>
        <v>0</v>
      </c>
    </row>
    <row r="50" spans="2:19" ht="23.1" customHeight="1">
      <c r="B50" s="7" t="str">
        <f>LR!B50</f>
        <v>510121 | BIAYA OPERASIONAL JUKIR</v>
      </c>
      <c r="C50" s="100"/>
      <c r="D50" s="144" t="str">
        <f t="shared" si="13"/>
        <v>Harga Pokok Penjualan</v>
      </c>
      <c r="E50" s="96">
        <f t="shared" si="14"/>
        <v>0</v>
      </c>
      <c r="F50" s="96">
        <f t="shared" si="14"/>
        <v>0</v>
      </c>
      <c r="G50" s="96">
        <f t="shared" si="14"/>
        <v>0</v>
      </c>
      <c r="H50" s="96">
        <f t="shared" si="14"/>
        <v>0</v>
      </c>
      <c r="I50" s="96">
        <f t="shared" si="14"/>
        <v>0</v>
      </c>
      <c r="J50" s="96">
        <f t="shared" si="14"/>
        <v>0</v>
      </c>
      <c r="K50" s="96">
        <f t="shared" si="14"/>
        <v>0</v>
      </c>
      <c r="L50" s="96">
        <f t="shared" si="14"/>
        <v>0</v>
      </c>
      <c r="M50" s="96">
        <f t="shared" si="14"/>
        <v>0</v>
      </c>
      <c r="N50" s="96">
        <f t="shared" si="14"/>
        <v>0</v>
      </c>
      <c r="O50" s="96">
        <f t="shared" si="14"/>
        <v>0</v>
      </c>
      <c r="P50" s="96">
        <f t="shared" si="14"/>
        <v>0</v>
      </c>
      <c r="Q50" s="99">
        <f t="shared" si="12"/>
        <v>0</v>
      </c>
      <c r="S50" s="35">
        <f t="shared" si="8"/>
        <v>0</v>
      </c>
    </row>
    <row r="51" spans="2:19" ht="23.1" customHeight="1">
      <c r="B51" s="7" t="str">
        <f>LR!B51</f>
        <v>510122 | BIAYA PERBAIKAN LAHAN PARKIR</v>
      </c>
      <c r="C51" s="100"/>
      <c r="D51" s="144" t="str">
        <f t="shared" si="13"/>
        <v>Harga Pokok Penjualan</v>
      </c>
      <c r="E51" s="96">
        <f t="shared" si="14"/>
        <v>0</v>
      </c>
      <c r="F51" s="96">
        <f t="shared" si="14"/>
        <v>0</v>
      </c>
      <c r="G51" s="96">
        <f t="shared" si="14"/>
        <v>0</v>
      </c>
      <c r="H51" s="96">
        <f t="shared" si="14"/>
        <v>0</v>
      </c>
      <c r="I51" s="96">
        <f t="shared" si="14"/>
        <v>0</v>
      </c>
      <c r="J51" s="96">
        <f t="shared" si="14"/>
        <v>-135000</v>
      </c>
      <c r="K51" s="96">
        <f t="shared" si="14"/>
        <v>0</v>
      </c>
      <c r="L51" s="96">
        <f t="shared" si="14"/>
        <v>0</v>
      </c>
      <c r="M51" s="96">
        <f t="shared" si="14"/>
        <v>0</v>
      </c>
      <c r="N51" s="96">
        <f t="shared" si="14"/>
        <v>0</v>
      </c>
      <c r="O51" s="96">
        <f t="shared" si="14"/>
        <v>0</v>
      </c>
      <c r="P51" s="96">
        <f t="shared" si="14"/>
        <v>0</v>
      </c>
      <c r="Q51" s="99">
        <f t="shared" si="12"/>
        <v>-135000</v>
      </c>
      <c r="S51" s="35">
        <f t="shared" si="8"/>
        <v>1</v>
      </c>
    </row>
    <row r="52" spans="2:19" ht="23.1" customHeight="1">
      <c r="B52" s="7" t="str">
        <f>LR!B52</f>
        <v>510123 | BIAYA SHARING KTI</v>
      </c>
      <c r="C52" s="100"/>
      <c r="D52" s="144" t="str">
        <f t="shared" si="13"/>
        <v>Harga Pokok Penjualan</v>
      </c>
      <c r="E52" s="96">
        <f t="shared" si="14"/>
        <v>0</v>
      </c>
      <c r="F52" s="96">
        <f t="shared" si="14"/>
        <v>0</v>
      </c>
      <c r="G52" s="96">
        <f t="shared" si="14"/>
        <v>0</v>
      </c>
      <c r="H52" s="96">
        <f t="shared" si="14"/>
        <v>0</v>
      </c>
      <c r="I52" s="96">
        <f t="shared" si="14"/>
        <v>0</v>
      </c>
      <c r="J52" s="96">
        <f t="shared" si="14"/>
        <v>0</v>
      </c>
      <c r="K52" s="96">
        <f t="shared" si="14"/>
        <v>0</v>
      </c>
      <c r="L52" s="96">
        <f t="shared" si="14"/>
        <v>0</v>
      </c>
      <c r="M52" s="96">
        <f t="shared" si="14"/>
        <v>0</v>
      </c>
      <c r="N52" s="96">
        <f t="shared" si="14"/>
        <v>0</v>
      </c>
      <c r="O52" s="96">
        <f t="shared" si="14"/>
        <v>0</v>
      </c>
      <c r="P52" s="96">
        <f t="shared" si="14"/>
        <v>0</v>
      </c>
      <c r="Q52" s="99">
        <f t="shared" si="12"/>
        <v>0</v>
      </c>
      <c r="S52" s="35">
        <f t="shared" si="8"/>
        <v>0</v>
      </c>
    </row>
    <row r="53" spans="2:19" ht="23.1" customHeight="1">
      <c r="B53" s="7" t="str">
        <f>LR!B53</f>
        <v>510124 | BIAYA PENERAPAN MEMBER PARKING KENDARAAN</v>
      </c>
      <c r="C53" s="100"/>
      <c r="D53" s="144" t="str">
        <f t="shared" si="13"/>
        <v>Harga Pokok Penjualan</v>
      </c>
      <c r="E53" s="96">
        <f t="shared" si="14"/>
        <v>0</v>
      </c>
      <c r="F53" s="96">
        <f t="shared" si="14"/>
        <v>0</v>
      </c>
      <c r="G53" s="96">
        <f t="shared" si="14"/>
        <v>0</v>
      </c>
      <c r="H53" s="96">
        <f t="shared" si="14"/>
        <v>0</v>
      </c>
      <c r="I53" s="96">
        <f t="shared" si="14"/>
        <v>0</v>
      </c>
      <c r="J53" s="96">
        <f t="shared" si="14"/>
        <v>0</v>
      </c>
      <c r="K53" s="96">
        <f t="shared" si="14"/>
        <v>0</v>
      </c>
      <c r="L53" s="96">
        <f t="shared" si="14"/>
        <v>0</v>
      </c>
      <c r="M53" s="96">
        <f t="shared" si="14"/>
        <v>0</v>
      </c>
      <c r="N53" s="96">
        <f t="shared" si="14"/>
        <v>0</v>
      </c>
      <c r="O53" s="96">
        <f t="shared" si="14"/>
        <v>0</v>
      </c>
      <c r="P53" s="96">
        <f t="shared" si="14"/>
        <v>0</v>
      </c>
      <c r="Q53" s="99">
        <f t="shared" si="12"/>
        <v>0</v>
      </c>
      <c r="S53" s="35">
        <f t="shared" si="8"/>
        <v>0</v>
      </c>
    </row>
    <row r="54" spans="2:19" s="2" customFormat="1" ht="23.1" customHeight="1">
      <c r="B54" s="103" t="str">
        <f>LR!B54</f>
        <v>TOTAL BIAYA OPERASIONAL</v>
      </c>
      <c r="C54" s="394"/>
      <c r="D54" s="395" t="str">
        <f t="shared" si="13"/>
        <v/>
      </c>
      <c r="E54" s="396">
        <f>SUM(E30:E53)</f>
        <v>-46978870</v>
      </c>
      <c r="F54" s="396">
        <f t="shared" ref="F54:Q54" si="15">SUM(F30:F53)</f>
        <v>-82021800</v>
      </c>
      <c r="G54" s="396">
        <f t="shared" si="15"/>
        <v>-54915330</v>
      </c>
      <c r="H54" s="396">
        <f t="shared" si="15"/>
        <v>-293463600</v>
      </c>
      <c r="I54" s="396">
        <f t="shared" si="15"/>
        <v>-38430100</v>
      </c>
      <c r="J54" s="396">
        <f t="shared" si="15"/>
        <v>-82877059</v>
      </c>
      <c r="K54" s="396">
        <f t="shared" si="15"/>
        <v>-45939950</v>
      </c>
      <c r="L54" s="396">
        <f t="shared" si="15"/>
        <v>-40406650</v>
      </c>
      <c r="M54" s="396">
        <f t="shared" si="15"/>
        <v>-29538250</v>
      </c>
      <c r="N54" s="396">
        <f t="shared" si="15"/>
        <v>-30181250</v>
      </c>
      <c r="O54" s="396">
        <f t="shared" si="15"/>
        <v>-74616450</v>
      </c>
      <c r="P54" s="396">
        <f t="shared" si="15"/>
        <v>-67588000</v>
      </c>
      <c r="Q54" s="396">
        <f t="shared" si="15"/>
        <v>-886957309</v>
      </c>
      <c r="S54" s="392">
        <f t="shared" si="8"/>
        <v>1</v>
      </c>
    </row>
    <row r="55" spans="2:19" s="2" customFormat="1" ht="23.1" customHeight="1">
      <c r="B55" s="103" t="str">
        <f>LR!B55</f>
        <v>BIAYA UPAH PUNGUT KOLEKTOR</v>
      </c>
      <c r="C55" s="388"/>
      <c r="D55" s="389" t="str">
        <f t="shared" si="13"/>
        <v/>
      </c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1"/>
      <c r="S55" s="392">
        <f t="shared" si="8"/>
        <v>1</v>
      </c>
    </row>
    <row r="56" spans="2:19" ht="23.1" customHeight="1">
      <c r="B56" s="7" t="str">
        <f>LR!B56</f>
        <v>510201 | BIAYA TRANSPORT KOLEKTOR TJU</v>
      </c>
      <c r="C56" s="100"/>
      <c r="D56" s="144" t="str">
        <f t="shared" si="13"/>
        <v>Harga Pokok Penjualan</v>
      </c>
      <c r="E56" s="96">
        <f t="shared" si="14"/>
        <v>0</v>
      </c>
      <c r="F56" s="96">
        <f t="shared" si="14"/>
        <v>0</v>
      </c>
      <c r="G56" s="96">
        <f t="shared" si="14"/>
        <v>0</v>
      </c>
      <c r="H56" s="96">
        <f t="shared" si="14"/>
        <v>0</v>
      </c>
      <c r="I56" s="96">
        <f t="shared" si="14"/>
        <v>0</v>
      </c>
      <c r="J56" s="96">
        <f t="shared" si="14"/>
        <v>0</v>
      </c>
      <c r="K56" s="96">
        <f t="shared" si="14"/>
        <v>0</v>
      </c>
      <c r="L56" s="96">
        <f t="shared" si="14"/>
        <v>-9560850</v>
      </c>
      <c r="M56" s="96">
        <f t="shared" si="14"/>
        <v>-10429250</v>
      </c>
      <c r="N56" s="96">
        <f t="shared" si="14"/>
        <v>-9700300</v>
      </c>
      <c r="O56" s="96">
        <f t="shared" si="14"/>
        <v>-10753000</v>
      </c>
      <c r="P56" s="96">
        <f t="shared" si="14"/>
        <v>-6757050</v>
      </c>
      <c r="Q56" s="99">
        <f>SUM(E56:P56)</f>
        <v>-47200450</v>
      </c>
      <c r="S56" s="35">
        <f t="shared" si="8"/>
        <v>1</v>
      </c>
    </row>
    <row r="57" spans="2:19" ht="23.1" customHeight="1">
      <c r="B57" s="7" t="str">
        <f>LR!B57</f>
        <v>510202 | BIAYA TRANSPORT INSIDENTIL</v>
      </c>
      <c r="C57" s="100"/>
      <c r="D57" s="144" t="str">
        <f t="shared" si="13"/>
        <v>Harga Pokok Penjualan</v>
      </c>
      <c r="E57" s="96">
        <f t="shared" ref="E57:P72" si="16">IF(INDEX(typ_sn,MATCH(INDEX(akun_type,MATCH($B57,akun_kb,0)),typ_ket,0))="db",SUMIFS(ju_sld,ju_bln,TEXT(E$8,"mmmm"),ju_kr,$B57)-SUMIFS(ju_sld,ju_bln,TEXT(E$8,"mmmm"),ju_debet,$B57),SUMIFS(ju_sld,ju_bln,TEXT(E$8,"mmmm"),ju_kr,$B57)-SUMIFS(ju_sld,ju_bln,TEXT(E$8,"mmmm"),ju_debet,$B57))</f>
        <v>0</v>
      </c>
      <c r="F57" s="96">
        <f t="shared" si="16"/>
        <v>0</v>
      </c>
      <c r="G57" s="96">
        <f t="shared" si="16"/>
        <v>0</v>
      </c>
      <c r="H57" s="96">
        <f t="shared" si="16"/>
        <v>0</v>
      </c>
      <c r="I57" s="96">
        <f t="shared" si="16"/>
        <v>0</v>
      </c>
      <c r="J57" s="96">
        <f t="shared" si="16"/>
        <v>0</v>
      </c>
      <c r="K57" s="96">
        <f t="shared" si="16"/>
        <v>0</v>
      </c>
      <c r="L57" s="96">
        <f t="shared" si="16"/>
        <v>0</v>
      </c>
      <c r="M57" s="96">
        <f t="shared" si="16"/>
        <v>0</v>
      </c>
      <c r="N57" s="96">
        <f t="shared" si="16"/>
        <v>0</v>
      </c>
      <c r="O57" s="96">
        <f t="shared" si="16"/>
        <v>0</v>
      </c>
      <c r="P57" s="96">
        <f t="shared" si="16"/>
        <v>0</v>
      </c>
      <c r="Q57" s="99">
        <f>SUM(E57:P57)</f>
        <v>0</v>
      </c>
      <c r="S57" s="35">
        <f t="shared" si="8"/>
        <v>0</v>
      </c>
    </row>
    <row r="58" spans="2:19" ht="23.1" customHeight="1">
      <c r="B58" s="7" t="str">
        <f>LR!B58</f>
        <v>510203 | BIAYA TRANSPORT KOMERSIAL</v>
      </c>
      <c r="C58" s="100"/>
      <c r="D58" s="144" t="str">
        <f t="shared" si="13"/>
        <v>Harga Pokok Penjualan</v>
      </c>
      <c r="E58" s="96">
        <f t="shared" si="16"/>
        <v>0</v>
      </c>
      <c r="F58" s="96">
        <f t="shared" si="16"/>
        <v>0</v>
      </c>
      <c r="G58" s="96">
        <f t="shared" si="16"/>
        <v>0</v>
      </c>
      <c r="H58" s="96">
        <f t="shared" si="16"/>
        <v>0</v>
      </c>
      <c r="I58" s="96">
        <f t="shared" si="16"/>
        <v>0</v>
      </c>
      <c r="J58" s="96">
        <f t="shared" si="16"/>
        <v>0</v>
      </c>
      <c r="K58" s="96">
        <f t="shared" si="16"/>
        <v>0</v>
      </c>
      <c r="L58" s="96">
        <f t="shared" si="16"/>
        <v>-11131250</v>
      </c>
      <c r="M58" s="96">
        <f t="shared" si="16"/>
        <v>-11827500</v>
      </c>
      <c r="N58" s="96">
        <f t="shared" si="16"/>
        <v>-10147200</v>
      </c>
      <c r="O58" s="96">
        <f t="shared" si="16"/>
        <v>-13027500</v>
      </c>
      <c r="P58" s="96">
        <f t="shared" si="16"/>
        <v>-9765000</v>
      </c>
      <c r="Q58" s="99">
        <f>SUM(E58:P58)</f>
        <v>-55898450</v>
      </c>
      <c r="S58" s="35">
        <f t="shared" si="8"/>
        <v>1</v>
      </c>
    </row>
    <row r="59" spans="2:19" ht="23.1" customHeight="1">
      <c r="B59" s="7" t="str">
        <f>LR!B59</f>
        <v>510204 | BIAYA TRANSPORT KOLEKTOR PLB</v>
      </c>
      <c r="C59" s="100"/>
      <c r="D59" s="144" t="str">
        <f t="shared" si="13"/>
        <v>Harga Pokok Penjualan</v>
      </c>
      <c r="E59" s="96">
        <f t="shared" si="16"/>
        <v>0</v>
      </c>
      <c r="F59" s="96">
        <f t="shared" si="16"/>
        <v>0</v>
      </c>
      <c r="G59" s="96">
        <f t="shared" si="16"/>
        <v>0</v>
      </c>
      <c r="H59" s="96">
        <f t="shared" si="16"/>
        <v>0</v>
      </c>
      <c r="I59" s="96">
        <f t="shared" si="16"/>
        <v>0</v>
      </c>
      <c r="J59" s="96">
        <f t="shared" si="16"/>
        <v>0</v>
      </c>
      <c r="K59" s="96">
        <f t="shared" si="16"/>
        <v>0</v>
      </c>
      <c r="L59" s="96">
        <f t="shared" si="16"/>
        <v>0</v>
      </c>
      <c r="M59" s="96">
        <f t="shared" si="16"/>
        <v>-11318303</v>
      </c>
      <c r="N59" s="96">
        <f t="shared" si="16"/>
        <v>-10950313</v>
      </c>
      <c r="O59" s="96">
        <f t="shared" si="16"/>
        <v>-11426047</v>
      </c>
      <c r="P59" s="96">
        <f t="shared" si="16"/>
        <v>-10610150</v>
      </c>
      <c r="Q59" s="99">
        <f>SUM(E59:P59)</f>
        <v>-44304813</v>
      </c>
      <c r="S59" s="35">
        <f t="shared" si="8"/>
        <v>1</v>
      </c>
    </row>
    <row r="60" spans="2:19" ht="23.1" customHeight="1">
      <c r="B60" s="7" t="str">
        <f>LR!B60</f>
        <v>510205 | BIAYA TRANSPORT PARKIR IT</v>
      </c>
      <c r="C60" s="100"/>
      <c r="D60" s="144" t="str">
        <f t="shared" si="13"/>
        <v>Harga Pokok Penjualan</v>
      </c>
      <c r="E60" s="96">
        <f t="shared" si="16"/>
        <v>0</v>
      </c>
      <c r="F60" s="96">
        <f t="shared" si="16"/>
        <v>0</v>
      </c>
      <c r="G60" s="96">
        <f t="shared" si="16"/>
        <v>0</v>
      </c>
      <c r="H60" s="96">
        <f t="shared" si="16"/>
        <v>0</v>
      </c>
      <c r="I60" s="96">
        <f t="shared" si="16"/>
        <v>0</v>
      </c>
      <c r="J60" s="96">
        <f t="shared" si="16"/>
        <v>0</v>
      </c>
      <c r="K60" s="96">
        <f t="shared" si="16"/>
        <v>0</v>
      </c>
      <c r="L60" s="96">
        <f t="shared" si="16"/>
        <v>0</v>
      </c>
      <c r="M60" s="96">
        <f t="shared" si="16"/>
        <v>0</v>
      </c>
      <c r="N60" s="96">
        <f t="shared" si="16"/>
        <v>0</v>
      </c>
      <c r="O60" s="96">
        <f t="shared" si="16"/>
        <v>0</v>
      </c>
      <c r="P60" s="96">
        <f t="shared" si="16"/>
        <v>0</v>
      </c>
      <c r="Q60" s="99">
        <f>SUM(E60:P60)</f>
        <v>0</v>
      </c>
      <c r="S60" s="35">
        <f t="shared" si="8"/>
        <v>0</v>
      </c>
    </row>
    <row r="61" spans="2:19" s="2" customFormat="1" ht="23.1" customHeight="1">
      <c r="B61" s="103" t="str">
        <f>LR!B61</f>
        <v>TOTAL BIAYA UPAH PUNGUT KOLEKTOR</v>
      </c>
      <c r="C61" s="394"/>
      <c r="D61" s="395" t="str">
        <f t="shared" si="13"/>
        <v/>
      </c>
      <c r="E61" s="396">
        <f>SUM(E56:E60)</f>
        <v>0</v>
      </c>
      <c r="F61" s="396">
        <f t="shared" ref="F61:Q61" si="17">SUM(F56:F60)</f>
        <v>0</v>
      </c>
      <c r="G61" s="396">
        <f t="shared" si="17"/>
        <v>0</v>
      </c>
      <c r="H61" s="396">
        <f t="shared" si="17"/>
        <v>0</v>
      </c>
      <c r="I61" s="396">
        <f t="shared" si="17"/>
        <v>0</v>
      </c>
      <c r="J61" s="396">
        <f t="shared" si="17"/>
        <v>0</v>
      </c>
      <c r="K61" s="396">
        <f t="shared" si="17"/>
        <v>0</v>
      </c>
      <c r="L61" s="396">
        <f t="shared" si="17"/>
        <v>-20692100</v>
      </c>
      <c r="M61" s="396">
        <f t="shared" si="17"/>
        <v>-33575053</v>
      </c>
      <c r="N61" s="396">
        <f t="shared" si="17"/>
        <v>-30797813</v>
      </c>
      <c r="O61" s="396">
        <f t="shared" si="17"/>
        <v>-35206547</v>
      </c>
      <c r="P61" s="396">
        <f t="shared" si="17"/>
        <v>-27132200</v>
      </c>
      <c r="Q61" s="396">
        <f t="shared" si="17"/>
        <v>-147403713</v>
      </c>
      <c r="S61" s="392">
        <f t="shared" si="8"/>
        <v>1</v>
      </c>
    </row>
    <row r="62" spans="2:19" s="2" customFormat="1" ht="23.1" customHeight="1">
      <c r="B62" s="393" t="str">
        <f>LR!B62</f>
        <v>TOTAL BIAYA OPERASI</v>
      </c>
      <c r="C62" s="394"/>
      <c r="D62" s="395" t="str">
        <f t="shared" si="13"/>
        <v/>
      </c>
      <c r="E62" s="396">
        <f>E54+E61</f>
        <v>-46978870</v>
      </c>
      <c r="F62" s="396">
        <f t="shared" ref="F62:Q62" si="18">F54+F61</f>
        <v>-82021800</v>
      </c>
      <c r="G62" s="396">
        <f t="shared" si="18"/>
        <v>-54915330</v>
      </c>
      <c r="H62" s="396">
        <f t="shared" si="18"/>
        <v>-293463600</v>
      </c>
      <c r="I62" s="396">
        <f t="shared" si="18"/>
        <v>-38430100</v>
      </c>
      <c r="J62" s="396">
        <f t="shared" si="18"/>
        <v>-82877059</v>
      </c>
      <c r="K62" s="396">
        <f t="shared" si="18"/>
        <v>-45939950</v>
      </c>
      <c r="L62" s="396">
        <f t="shared" si="18"/>
        <v>-61098750</v>
      </c>
      <c r="M62" s="396">
        <f t="shared" si="18"/>
        <v>-63113303</v>
      </c>
      <c r="N62" s="396">
        <f t="shared" si="18"/>
        <v>-60979063</v>
      </c>
      <c r="O62" s="396">
        <f t="shared" si="18"/>
        <v>-109822997</v>
      </c>
      <c r="P62" s="396">
        <f t="shared" si="18"/>
        <v>-94720200</v>
      </c>
      <c r="Q62" s="396">
        <f t="shared" si="18"/>
        <v>-1034361022</v>
      </c>
      <c r="S62" s="392">
        <f t="shared" si="8"/>
        <v>1</v>
      </c>
    </row>
    <row r="63" spans="2:19" s="2" customFormat="1" ht="23.1" customHeight="1">
      <c r="B63" s="393" t="str">
        <f>LR!B63</f>
        <v>LABA KOTOR</v>
      </c>
      <c r="C63" s="394"/>
      <c r="D63" s="395" t="str">
        <f t="shared" si="13"/>
        <v/>
      </c>
      <c r="E63" s="396">
        <f>E27+E62</f>
        <v>1149385130</v>
      </c>
      <c r="F63" s="396">
        <f t="shared" ref="F63:Q63" si="19">F27+F62</f>
        <v>1013059400</v>
      </c>
      <c r="G63" s="396">
        <f t="shared" si="19"/>
        <v>1185187770</v>
      </c>
      <c r="H63" s="396">
        <f t="shared" si="19"/>
        <v>831457200</v>
      </c>
      <c r="I63" s="396">
        <f t="shared" si="19"/>
        <v>996328500</v>
      </c>
      <c r="J63" s="396">
        <f t="shared" si="19"/>
        <v>1134373541</v>
      </c>
      <c r="K63" s="396">
        <f t="shared" si="19"/>
        <v>1154479550</v>
      </c>
      <c r="L63" s="396">
        <f t="shared" si="19"/>
        <v>1273396850</v>
      </c>
      <c r="M63" s="396">
        <f t="shared" si="19"/>
        <v>1300217797</v>
      </c>
      <c r="N63" s="396">
        <f t="shared" si="19"/>
        <v>1274347737</v>
      </c>
      <c r="O63" s="396">
        <f t="shared" si="19"/>
        <v>1233298003</v>
      </c>
      <c r="P63" s="396">
        <f t="shared" si="19"/>
        <v>1235426700</v>
      </c>
      <c r="Q63" s="396">
        <f t="shared" si="19"/>
        <v>13780958178</v>
      </c>
      <c r="S63" s="392">
        <f t="shared" si="8"/>
        <v>1</v>
      </c>
    </row>
    <row r="64" spans="2:19" s="2" customFormat="1" ht="23.1" customHeight="1">
      <c r="B64" s="103" t="str">
        <f>LR!B64</f>
        <v>BIAYA ADMINISTRASI UMUM</v>
      </c>
      <c r="C64" s="388"/>
      <c r="D64" s="389" t="str">
        <f t="shared" si="13"/>
        <v/>
      </c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1"/>
      <c r="S64" s="392">
        <f t="shared" si="8"/>
        <v>1</v>
      </c>
    </row>
    <row r="65" spans="2:19" s="2" customFormat="1" ht="23.1" customHeight="1">
      <c r="B65" s="103" t="str">
        <f>LR!B65</f>
        <v>BIAYA GAJI</v>
      </c>
      <c r="C65" s="388"/>
      <c r="D65" s="389" t="str">
        <f t="shared" si="13"/>
        <v/>
      </c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1"/>
      <c r="S65" s="392">
        <f t="shared" si="8"/>
        <v>1</v>
      </c>
    </row>
    <row r="66" spans="2:19" ht="23.1" customHeight="1">
      <c r="B66" s="7" t="str">
        <f>LR!B66</f>
        <v>610101 | BIAYA HONOR BADAN PENGAWAS DAN STAF BP</v>
      </c>
      <c r="C66" s="100"/>
      <c r="D66" s="144" t="str">
        <f t="shared" si="13"/>
        <v>Beban</v>
      </c>
      <c r="E66" s="96">
        <f t="shared" si="16"/>
        <v>-12801422</v>
      </c>
      <c r="F66" s="96">
        <f t="shared" si="16"/>
        <v>-12852942</v>
      </c>
      <c r="G66" s="96">
        <f t="shared" si="16"/>
        <v>-12852942</v>
      </c>
      <c r="H66" s="96">
        <f t="shared" si="16"/>
        <v>-12852942</v>
      </c>
      <c r="I66" s="96">
        <f t="shared" si="16"/>
        <v>-12852942</v>
      </c>
      <c r="J66" s="96">
        <f t="shared" si="16"/>
        <v>-12852942</v>
      </c>
      <c r="K66" s="96">
        <f t="shared" si="16"/>
        <v>-12852942</v>
      </c>
      <c r="L66" s="96">
        <f t="shared" si="16"/>
        <v>-40699000</v>
      </c>
      <c r="M66" s="96">
        <f t="shared" si="16"/>
        <v>-40699000</v>
      </c>
      <c r="N66" s="96">
        <f t="shared" si="16"/>
        <v>-40699000</v>
      </c>
      <c r="O66" s="96">
        <f t="shared" si="16"/>
        <v>-40699000</v>
      </c>
      <c r="P66" s="96">
        <f t="shared" si="16"/>
        <v>-40699000</v>
      </c>
      <c r="Q66" s="99">
        <f t="shared" ref="Q66:Q92" si="20">SUM(E66:P66)</f>
        <v>-293414074</v>
      </c>
      <c r="S66" s="35">
        <f t="shared" si="8"/>
        <v>1</v>
      </c>
    </row>
    <row r="67" spans="2:19" ht="23.1" customHeight="1">
      <c r="B67" s="7" t="str">
        <f>LR!B67</f>
        <v>610102 | BIAYA TUNJANGAN BBM BADAN PENGAWAS</v>
      </c>
      <c r="C67" s="100"/>
      <c r="D67" s="144" t="str">
        <f t="shared" si="13"/>
        <v>Beban</v>
      </c>
      <c r="E67" s="96">
        <f t="shared" si="16"/>
        <v>-2318400</v>
      </c>
      <c r="F67" s="96">
        <f t="shared" si="16"/>
        <v>-2428800</v>
      </c>
      <c r="G67" s="96">
        <f t="shared" si="16"/>
        <v>-2428800</v>
      </c>
      <c r="H67" s="96">
        <f t="shared" si="16"/>
        <v>-2428800</v>
      </c>
      <c r="I67" s="96">
        <f t="shared" si="16"/>
        <v>-2428800</v>
      </c>
      <c r="J67" s="96">
        <f t="shared" si="16"/>
        <v>-2428800</v>
      </c>
      <c r="K67" s="96">
        <f t="shared" si="16"/>
        <v>-2428800</v>
      </c>
      <c r="L67" s="96">
        <f t="shared" si="16"/>
        <v>0</v>
      </c>
      <c r="M67" s="96">
        <f t="shared" si="16"/>
        <v>0</v>
      </c>
      <c r="N67" s="96">
        <f t="shared" si="16"/>
        <v>0</v>
      </c>
      <c r="O67" s="96">
        <f t="shared" si="16"/>
        <v>0</v>
      </c>
      <c r="P67" s="96">
        <f t="shared" si="16"/>
        <v>0</v>
      </c>
      <c r="Q67" s="99">
        <f t="shared" si="20"/>
        <v>-16891200</v>
      </c>
      <c r="S67" s="35">
        <f t="shared" si="8"/>
        <v>1</v>
      </c>
    </row>
    <row r="68" spans="2:19" ht="23.1" customHeight="1">
      <c r="B68" s="7" t="str">
        <f>LR!B68</f>
        <v>610103 | BIAYA TUNJANGAN MONITORING, EVALUASI DAN PELAPORAN</v>
      </c>
      <c r="C68" s="100"/>
      <c r="D68" s="144" t="str">
        <f t="shared" si="13"/>
        <v>Beban</v>
      </c>
      <c r="E68" s="96">
        <f t="shared" si="16"/>
        <v>-1200000</v>
      </c>
      <c r="F68" s="96">
        <f t="shared" si="16"/>
        <v>-1200000</v>
      </c>
      <c r="G68" s="96">
        <f t="shared" si="16"/>
        <v>-1200000</v>
      </c>
      <c r="H68" s="96">
        <f t="shared" si="16"/>
        <v>-1200000</v>
      </c>
      <c r="I68" s="96">
        <f t="shared" si="16"/>
        <v>-1200000</v>
      </c>
      <c r="J68" s="96">
        <f t="shared" si="16"/>
        <v>-1200000</v>
      </c>
      <c r="K68" s="96">
        <f t="shared" si="16"/>
        <v>-1200000</v>
      </c>
      <c r="L68" s="96">
        <f t="shared" si="16"/>
        <v>0</v>
      </c>
      <c r="M68" s="96">
        <f t="shared" si="16"/>
        <v>0</v>
      </c>
      <c r="N68" s="96">
        <f t="shared" si="16"/>
        <v>0</v>
      </c>
      <c r="O68" s="96">
        <f t="shared" si="16"/>
        <v>0</v>
      </c>
      <c r="P68" s="96">
        <f t="shared" si="16"/>
        <v>0</v>
      </c>
      <c r="Q68" s="99">
        <f t="shared" si="20"/>
        <v>-8400000</v>
      </c>
      <c r="S68" s="35">
        <f t="shared" si="8"/>
        <v>1</v>
      </c>
    </row>
    <row r="69" spans="2:19" ht="23.1" customHeight="1">
      <c r="B69" s="7" t="str">
        <f>LR!B69</f>
        <v>610104 | BIAYA GAJI DIREKSI</v>
      </c>
      <c r="C69" s="100"/>
      <c r="D69" s="144" t="str">
        <f t="shared" si="13"/>
        <v>Beban</v>
      </c>
      <c r="E69" s="96">
        <f t="shared" si="16"/>
        <v>-32003556</v>
      </c>
      <c r="F69" s="96">
        <f t="shared" si="16"/>
        <v>-32132356</v>
      </c>
      <c r="G69" s="96">
        <f t="shared" si="16"/>
        <v>-32132356</v>
      </c>
      <c r="H69" s="96">
        <f t="shared" si="16"/>
        <v>-32132356</v>
      </c>
      <c r="I69" s="96">
        <f t="shared" si="16"/>
        <v>-32132356</v>
      </c>
      <c r="J69" s="96">
        <f t="shared" si="16"/>
        <v>-32132356</v>
      </c>
      <c r="K69" s="96">
        <f t="shared" si="16"/>
        <v>-32132356</v>
      </c>
      <c r="L69" s="96">
        <f t="shared" si="16"/>
        <v>-98576200</v>
      </c>
      <c r="M69" s="96">
        <f t="shared" si="16"/>
        <v>-98576200</v>
      </c>
      <c r="N69" s="96">
        <f t="shared" si="16"/>
        <v>-98576200</v>
      </c>
      <c r="O69" s="96">
        <f t="shared" si="16"/>
        <v>-98576200</v>
      </c>
      <c r="P69" s="96">
        <f t="shared" si="16"/>
        <v>-98576200</v>
      </c>
      <c r="Q69" s="99">
        <f t="shared" si="20"/>
        <v>-717678692</v>
      </c>
      <c r="S69" s="35">
        <f t="shared" si="8"/>
        <v>1</v>
      </c>
    </row>
    <row r="70" spans="2:19" ht="23.1" customHeight="1">
      <c r="B70" s="7" t="str">
        <f>LR!B70</f>
        <v>610105 | BIAYA GAJI DAN TUNJANGAN PEGAWAI ORGANIK</v>
      </c>
      <c r="C70" s="100"/>
      <c r="D70" s="144" t="str">
        <f t="shared" si="13"/>
        <v>Beban</v>
      </c>
      <c r="E70" s="96">
        <f t="shared" si="16"/>
        <v>-197007203</v>
      </c>
      <c r="F70" s="96">
        <f t="shared" si="16"/>
        <v>-200812603</v>
      </c>
      <c r="G70" s="96">
        <f t="shared" si="16"/>
        <v>-200072403</v>
      </c>
      <c r="H70" s="96">
        <f t="shared" si="16"/>
        <v>-200195803</v>
      </c>
      <c r="I70" s="96">
        <f t="shared" si="16"/>
        <v>-200319203</v>
      </c>
      <c r="J70" s="96">
        <f t="shared" si="16"/>
        <v>-200095003</v>
      </c>
      <c r="K70" s="96">
        <f t="shared" si="16"/>
        <v>-199515603</v>
      </c>
      <c r="L70" s="96">
        <f t="shared" si="16"/>
        <v>-217856645</v>
      </c>
      <c r="M70" s="96">
        <f t="shared" si="16"/>
        <v>-218695761</v>
      </c>
      <c r="N70" s="96">
        <f t="shared" si="16"/>
        <v>-218711771</v>
      </c>
      <c r="O70" s="96">
        <f t="shared" si="16"/>
        <v>-214317796</v>
      </c>
      <c r="P70" s="96">
        <f t="shared" si="16"/>
        <v>-213755046</v>
      </c>
      <c r="Q70" s="99">
        <f t="shared" si="20"/>
        <v>-2481354840</v>
      </c>
      <c r="S70" s="35">
        <f t="shared" si="8"/>
        <v>1</v>
      </c>
    </row>
    <row r="71" spans="2:19" ht="23.1" customHeight="1">
      <c r="B71" s="7" t="str">
        <f>LR!B71</f>
        <v>610106 | BIAYA UPAH TENAGA KONTRAK</v>
      </c>
      <c r="C71" s="100"/>
      <c r="D71" s="144" t="str">
        <f t="shared" si="13"/>
        <v>Beban</v>
      </c>
      <c r="E71" s="96">
        <f t="shared" si="16"/>
        <v>-206116168</v>
      </c>
      <c r="F71" s="96">
        <f t="shared" si="16"/>
        <v>-209823766</v>
      </c>
      <c r="G71" s="96">
        <f t="shared" si="16"/>
        <v>-209593366</v>
      </c>
      <c r="H71" s="96">
        <f t="shared" si="16"/>
        <v>-209670166</v>
      </c>
      <c r="I71" s="96">
        <f t="shared" si="16"/>
        <v>-209132566</v>
      </c>
      <c r="J71" s="96">
        <f t="shared" si="16"/>
        <v>-209209366</v>
      </c>
      <c r="K71" s="96">
        <f t="shared" si="16"/>
        <v>-208172566</v>
      </c>
      <c r="L71" s="96">
        <f t="shared" si="16"/>
        <v>-219996766</v>
      </c>
      <c r="M71" s="96">
        <f t="shared" si="16"/>
        <v>-218555064</v>
      </c>
      <c r="N71" s="96">
        <f t="shared" si="16"/>
        <v>-218555064</v>
      </c>
      <c r="O71" s="96">
        <f t="shared" si="16"/>
        <v>-216567362</v>
      </c>
      <c r="P71" s="96">
        <f t="shared" si="16"/>
        <v>-215793862</v>
      </c>
      <c r="Q71" s="99">
        <f t="shared" si="20"/>
        <v>-2551186082</v>
      </c>
      <c r="S71" s="35">
        <f t="shared" si="8"/>
        <v>1</v>
      </c>
    </row>
    <row r="72" spans="2:19" ht="23.1" customHeight="1">
      <c r="B72" s="7" t="str">
        <f>LR!B72</f>
        <v>610107 | BIAYA UPAH TENAGA HONOR</v>
      </c>
      <c r="C72" s="100"/>
      <c r="D72" s="144" t="str">
        <f t="shared" si="13"/>
        <v>Beban</v>
      </c>
      <c r="E72" s="96">
        <f t="shared" si="16"/>
        <v>-13353616</v>
      </c>
      <c r="F72" s="96">
        <f t="shared" si="16"/>
        <v>-13353616</v>
      </c>
      <c r="G72" s="96">
        <f t="shared" si="16"/>
        <v>-13353616</v>
      </c>
      <c r="H72" s="96">
        <f t="shared" si="16"/>
        <v>-11684414</v>
      </c>
      <c r="I72" s="96">
        <f t="shared" si="16"/>
        <v>-11684414</v>
      </c>
      <c r="J72" s="96">
        <f t="shared" si="16"/>
        <v>-26115212</v>
      </c>
      <c r="K72" s="96">
        <f t="shared" si="16"/>
        <v>-26115212</v>
      </c>
      <c r="L72" s="96">
        <f t="shared" si="16"/>
        <v>-32714838</v>
      </c>
      <c r="M72" s="96">
        <f t="shared" si="16"/>
        <v>-32714838</v>
      </c>
      <c r="N72" s="96">
        <f t="shared" si="16"/>
        <v>-32714838</v>
      </c>
      <c r="O72" s="96">
        <f t="shared" si="16"/>
        <v>-32714838</v>
      </c>
      <c r="P72" s="96">
        <f t="shared" si="16"/>
        <v>-32714838</v>
      </c>
      <c r="Q72" s="99">
        <f t="shared" si="20"/>
        <v>-279234290</v>
      </c>
      <c r="S72" s="35">
        <f t="shared" si="8"/>
        <v>1</v>
      </c>
    </row>
    <row r="73" spans="2:19" ht="23.1" customHeight="1">
      <c r="B73" s="7" t="str">
        <f>LR!B73</f>
        <v>610108 | BIAYA INSENTIF DIREKSI DAN KARYAWAN</v>
      </c>
      <c r="C73" s="100"/>
      <c r="D73" s="144" t="str">
        <f t="shared" ref="D73:D104" si="21">IFERROR(INDEX(akun_type,MATCH(B73,akun_kb,0)),"")</f>
        <v>Beban</v>
      </c>
      <c r="E73" s="96">
        <f t="shared" ref="E73:P88" si="22">IF(INDEX(typ_sn,MATCH(INDEX(akun_type,MATCH($B73,akun_kb,0)),typ_ket,0))="db",SUMIFS(ju_sld,ju_bln,TEXT(E$8,"mmmm"),ju_kr,$B73)-SUMIFS(ju_sld,ju_bln,TEXT(E$8,"mmmm"),ju_debet,$B73),SUMIFS(ju_sld,ju_bln,TEXT(E$8,"mmmm"),ju_kr,$B73)-SUMIFS(ju_sld,ju_bln,TEXT(E$8,"mmmm"),ju_debet,$B73))</f>
        <v>0</v>
      </c>
      <c r="F73" s="96">
        <f t="shared" si="22"/>
        <v>0</v>
      </c>
      <c r="G73" s="96">
        <f t="shared" si="22"/>
        <v>0</v>
      </c>
      <c r="H73" s="96">
        <f t="shared" si="22"/>
        <v>0</v>
      </c>
      <c r="I73" s="96">
        <f t="shared" si="22"/>
        <v>0</v>
      </c>
      <c r="J73" s="96">
        <f t="shared" si="22"/>
        <v>0</v>
      </c>
      <c r="K73" s="96">
        <f t="shared" si="22"/>
        <v>0</v>
      </c>
      <c r="L73" s="96">
        <f t="shared" si="22"/>
        <v>0</v>
      </c>
      <c r="M73" s="96">
        <f t="shared" si="22"/>
        <v>0</v>
      </c>
      <c r="N73" s="96">
        <f t="shared" si="22"/>
        <v>0</v>
      </c>
      <c r="O73" s="96">
        <f t="shared" si="22"/>
        <v>0</v>
      </c>
      <c r="P73" s="96">
        <f t="shared" si="22"/>
        <v>0</v>
      </c>
      <c r="Q73" s="99">
        <f t="shared" si="20"/>
        <v>0</v>
      </c>
      <c r="S73" s="35">
        <f t="shared" si="8"/>
        <v>0</v>
      </c>
    </row>
    <row r="74" spans="2:19" ht="23.1" customHeight="1">
      <c r="B74" s="7" t="str">
        <f>LR!B74</f>
        <v>610109 | BIAYA TUNJANGAN TELEKOMUNIKASI DIREKSI DAN KABAG</v>
      </c>
      <c r="C74" s="100"/>
      <c r="D74" s="144" t="str">
        <f t="shared" si="21"/>
        <v>Beban</v>
      </c>
      <c r="E74" s="96">
        <f t="shared" si="22"/>
        <v>0</v>
      </c>
      <c r="F74" s="96">
        <f t="shared" si="22"/>
        <v>0</v>
      </c>
      <c r="G74" s="96">
        <f t="shared" si="22"/>
        <v>0</v>
      </c>
      <c r="H74" s="96">
        <f t="shared" si="22"/>
        <v>0</v>
      </c>
      <c r="I74" s="96">
        <f t="shared" si="22"/>
        <v>0</v>
      </c>
      <c r="J74" s="96">
        <f t="shared" si="22"/>
        <v>0</v>
      </c>
      <c r="K74" s="96">
        <f t="shared" si="22"/>
        <v>0</v>
      </c>
      <c r="L74" s="96">
        <f t="shared" si="22"/>
        <v>0</v>
      </c>
      <c r="M74" s="96">
        <f t="shared" si="22"/>
        <v>0</v>
      </c>
      <c r="N74" s="96">
        <f t="shared" si="22"/>
        <v>0</v>
      </c>
      <c r="O74" s="96">
        <f t="shared" si="22"/>
        <v>0</v>
      </c>
      <c r="P74" s="96">
        <f t="shared" si="22"/>
        <v>0</v>
      </c>
      <c r="Q74" s="99">
        <f t="shared" si="20"/>
        <v>0</v>
      </c>
      <c r="S74" s="35">
        <f t="shared" si="8"/>
        <v>0</v>
      </c>
    </row>
    <row r="75" spans="2:19" ht="23.1" customHeight="1">
      <c r="B75" s="7" t="str">
        <f>LR!B75</f>
        <v>610110 | BIAYA TUNJANGAN KOORDINASI DIREKSI</v>
      </c>
      <c r="C75" s="100"/>
      <c r="D75" s="144" t="str">
        <f t="shared" si="21"/>
        <v>Beban</v>
      </c>
      <c r="E75" s="96">
        <f t="shared" si="22"/>
        <v>0</v>
      </c>
      <c r="F75" s="96">
        <f t="shared" si="22"/>
        <v>0</v>
      </c>
      <c r="G75" s="96">
        <f t="shared" si="22"/>
        <v>0</v>
      </c>
      <c r="H75" s="96">
        <f t="shared" si="22"/>
        <v>0</v>
      </c>
      <c r="I75" s="96">
        <f t="shared" si="22"/>
        <v>0</v>
      </c>
      <c r="J75" s="96">
        <f t="shared" si="22"/>
        <v>0</v>
      </c>
      <c r="K75" s="96">
        <f t="shared" si="22"/>
        <v>0</v>
      </c>
      <c r="L75" s="96">
        <f t="shared" si="22"/>
        <v>0</v>
      </c>
      <c r="M75" s="96">
        <f t="shared" si="22"/>
        <v>0</v>
      </c>
      <c r="N75" s="96">
        <f t="shared" si="22"/>
        <v>0</v>
      </c>
      <c r="O75" s="96">
        <f t="shared" si="22"/>
        <v>0</v>
      </c>
      <c r="P75" s="96">
        <f t="shared" si="22"/>
        <v>0</v>
      </c>
      <c r="Q75" s="99">
        <f t="shared" si="20"/>
        <v>0</v>
      </c>
      <c r="S75" s="35">
        <f t="shared" si="8"/>
        <v>0</v>
      </c>
    </row>
    <row r="76" spans="2:19" ht="23.1" customHeight="1">
      <c r="B76" s="7" t="str">
        <f>LR!B76</f>
        <v>610111 | BIAYA HONOR KONSULTAN HUKUM, KEUANGAN Dan IT</v>
      </c>
      <c r="C76" s="100"/>
      <c r="D76" s="144" t="str">
        <f t="shared" si="21"/>
        <v>Beban</v>
      </c>
      <c r="E76" s="96">
        <f t="shared" si="22"/>
        <v>-3500000</v>
      </c>
      <c r="F76" s="96">
        <f t="shared" si="22"/>
        <v>0</v>
      </c>
      <c r="G76" s="96">
        <f t="shared" si="22"/>
        <v>0</v>
      </c>
      <c r="H76" s="96">
        <f t="shared" si="22"/>
        <v>0</v>
      </c>
      <c r="I76" s="96">
        <f t="shared" si="22"/>
        <v>0</v>
      </c>
      <c r="J76" s="96">
        <f t="shared" si="22"/>
        <v>0</v>
      </c>
      <c r="K76" s="96">
        <f t="shared" si="22"/>
        <v>0</v>
      </c>
      <c r="L76" s="96">
        <f t="shared" si="22"/>
        <v>0</v>
      </c>
      <c r="M76" s="96">
        <f t="shared" si="22"/>
        <v>-2500000</v>
      </c>
      <c r="N76" s="96">
        <f t="shared" si="22"/>
        <v>-2500000</v>
      </c>
      <c r="O76" s="96">
        <f t="shared" si="22"/>
        <v>-2500000</v>
      </c>
      <c r="P76" s="96">
        <f t="shared" si="22"/>
        <v>-5000000</v>
      </c>
      <c r="Q76" s="99">
        <f t="shared" si="20"/>
        <v>-16000000</v>
      </c>
      <c r="S76" s="35">
        <f t="shared" si="8"/>
        <v>1</v>
      </c>
    </row>
    <row r="77" spans="2:19" ht="23.1" customHeight="1">
      <c r="B77" s="7" t="str">
        <f>LR!B77</f>
        <v>610112 | BIAYA CUTI DIREKSI</v>
      </c>
      <c r="C77" s="100"/>
      <c r="D77" s="144" t="str">
        <f t="shared" si="21"/>
        <v>Beban</v>
      </c>
      <c r="E77" s="96">
        <f t="shared" si="22"/>
        <v>0</v>
      </c>
      <c r="F77" s="96">
        <f t="shared" si="22"/>
        <v>0</v>
      </c>
      <c r="G77" s="96">
        <f t="shared" si="22"/>
        <v>0</v>
      </c>
      <c r="H77" s="96">
        <f t="shared" si="22"/>
        <v>0</v>
      </c>
      <c r="I77" s="96">
        <f t="shared" si="22"/>
        <v>0</v>
      </c>
      <c r="J77" s="96">
        <f t="shared" si="22"/>
        <v>0</v>
      </c>
      <c r="K77" s="96">
        <f t="shared" si="22"/>
        <v>0</v>
      </c>
      <c r="L77" s="96">
        <f t="shared" si="22"/>
        <v>0</v>
      </c>
      <c r="M77" s="96">
        <f t="shared" si="22"/>
        <v>0</v>
      </c>
      <c r="N77" s="96">
        <f t="shared" si="22"/>
        <v>0</v>
      </c>
      <c r="O77" s="96">
        <f t="shared" si="22"/>
        <v>0</v>
      </c>
      <c r="P77" s="96">
        <f t="shared" si="22"/>
        <v>0</v>
      </c>
      <c r="Q77" s="99">
        <f t="shared" si="20"/>
        <v>0</v>
      </c>
      <c r="S77" s="35">
        <f t="shared" si="8"/>
        <v>0</v>
      </c>
    </row>
    <row r="78" spans="2:19" ht="23.1" customHeight="1">
      <c r="B78" s="7" t="str">
        <f>LR!B78</f>
        <v>610113 | BIAYA LEMBUR DIREKSI DAN PEGAWAI</v>
      </c>
      <c r="C78" s="100"/>
      <c r="D78" s="144" t="str">
        <f t="shared" si="21"/>
        <v>Beban</v>
      </c>
      <c r="E78" s="96">
        <f t="shared" si="22"/>
        <v>0</v>
      </c>
      <c r="F78" s="96">
        <f t="shared" si="22"/>
        <v>0</v>
      </c>
      <c r="G78" s="96">
        <f t="shared" si="22"/>
        <v>0</v>
      </c>
      <c r="H78" s="96">
        <f t="shared" si="22"/>
        <v>0</v>
      </c>
      <c r="I78" s="96">
        <f t="shared" si="22"/>
        <v>0</v>
      </c>
      <c r="J78" s="96">
        <f t="shared" si="22"/>
        <v>0</v>
      </c>
      <c r="K78" s="96">
        <f t="shared" si="22"/>
        <v>0</v>
      </c>
      <c r="L78" s="96">
        <f t="shared" si="22"/>
        <v>0</v>
      </c>
      <c r="M78" s="96">
        <f t="shared" si="22"/>
        <v>0</v>
      </c>
      <c r="N78" s="96">
        <f t="shared" si="22"/>
        <v>0</v>
      </c>
      <c r="O78" s="96">
        <f t="shared" si="22"/>
        <v>0</v>
      </c>
      <c r="P78" s="96">
        <f t="shared" si="22"/>
        <v>0</v>
      </c>
      <c r="Q78" s="99">
        <f t="shared" si="20"/>
        <v>0</v>
      </c>
      <c r="S78" s="35">
        <f t="shared" si="8"/>
        <v>0</v>
      </c>
    </row>
    <row r="79" spans="2:19" ht="23.1" customHeight="1">
      <c r="B79" s="7" t="str">
        <f>LR!B79</f>
        <v>610114 | BIAYA TUNJANGAN HARI RAYA (GAJI 13)</v>
      </c>
      <c r="C79" s="100"/>
      <c r="D79" s="144" t="str">
        <f t="shared" si="21"/>
        <v>Beban</v>
      </c>
      <c r="E79" s="96">
        <f t="shared" si="22"/>
        <v>0</v>
      </c>
      <c r="F79" s="96">
        <f t="shared" si="22"/>
        <v>0</v>
      </c>
      <c r="G79" s="96">
        <f t="shared" si="22"/>
        <v>0</v>
      </c>
      <c r="H79" s="96">
        <f t="shared" si="22"/>
        <v>-492066281</v>
      </c>
      <c r="I79" s="96">
        <f t="shared" si="22"/>
        <v>0</v>
      </c>
      <c r="J79" s="96">
        <f t="shared" si="22"/>
        <v>0</v>
      </c>
      <c r="K79" s="96">
        <f t="shared" si="22"/>
        <v>0</v>
      </c>
      <c r="L79" s="96">
        <f t="shared" si="22"/>
        <v>0</v>
      </c>
      <c r="M79" s="96">
        <f t="shared" si="22"/>
        <v>0</v>
      </c>
      <c r="N79" s="96">
        <f t="shared" si="22"/>
        <v>0</v>
      </c>
      <c r="O79" s="96">
        <f t="shared" si="22"/>
        <v>0</v>
      </c>
      <c r="P79" s="96">
        <f t="shared" si="22"/>
        <v>0</v>
      </c>
      <c r="Q79" s="99">
        <f t="shared" si="20"/>
        <v>-492066281</v>
      </c>
      <c r="S79" s="35">
        <f t="shared" si="8"/>
        <v>1</v>
      </c>
    </row>
    <row r="80" spans="2:19" ht="23.1" customHeight="1">
      <c r="B80" s="7" t="str">
        <f>LR!B80</f>
        <v>610115 | BIAYA HONOR TIM PENYUSUN RANPERDA PERUMDA</v>
      </c>
      <c r="C80" s="100"/>
      <c r="D80" s="144" t="str">
        <f t="shared" si="21"/>
        <v>Beban</v>
      </c>
      <c r="E80" s="96">
        <f t="shared" si="22"/>
        <v>0</v>
      </c>
      <c r="F80" s="96">
        <f t="shared" si="22"/>
        <v>0</v>
      </c>
      <c r="G80" s="96">
        <f t="shared" si="22"/>
        <v>0</v>
      </c>
      <c r="H80" s="96">
        <f t="shared" si="22"/>
        <v>0</v>
      </c>
      <c r="I80" s="96">
        <f t="shared" si="22"/>
        <v>0</v>
      </c>
      <c r="J80" s="96">
        <f t="shared" si="22"/>
        <v>0</v>
      </c>
      <c r="K80" s="96">
        <f t="shared" si="22"/>
        <v>0</v>
      </c>
      <c r="L80" s="96">
        <f t="shared" si="22"/>
        <v>0</v>
      </c>
      <c r="M80" s="96">
        <f t="shared" si="22"/>
        <v>0</v>
      </c>
      <c r="N80" s="96">
        <f t="shared" si="22"/>
        <v>0</v>
      </c>
      <c r="O80" s="96">
        <f t="shared" si="22"/>
        <v>0</v>
      </c>
      <c r="P80" s="96">
        <f t="shared" si="22"/>
        <v>0</v>
      </c>
      <c r="Q80" s="99">
        <f t="shared" si="20"/>
        <v>0</v>
      </c>
      <c r="S80" s="35">
        <f t="shared" si="8"/>
        <v>0</v>
      </c>
    </row>
    <row r="81" spans="2:19" ht="23.1" customHeight="1">
      <c r="B81" s="7" t="str">
        <f>LR!B81</f>
        <v>610116 | BIAYA HONOR TENAGA SUKARELA</v>
      </c>
      <c r="C81" s="100"/>
      <c r="D81" s="144" t="str">
        <f t="shared" si="21"/>
        <v>Beban</v>
      </c>
      <c r="E81" s="96">
        <f t="shared" si="22"/>
        <v>0</v>
      </c>
      <c r="F81" s="96">
        <f t="shared" si="22"/>
        <v>0</v>
      </c>
      <c r="G81" s="96">
        <f t="shared" si="22"/>
        <v>0</v>
      </c>
      <c r="H81" s="96">
        <f t="shared" si="22"/>
        <v>0</v>
      </c>
      <c r="I81" s="96">
        <f t="shared" si="22"/>
        <v>0</v>
      </c>
      <c r="J81" s="96">
        <f t="shared" si="22"/>
        <v>0</v>
      </c>
      <c r="K81" s="96">
        <f t="shared" si="22"/>
        <v>0</v>
      </c>
      <c r="L81" s="96">
        <f t="shared" si="22"/>
        <v>0</v>
      </c>
      <c r="M81" s="96">
        <f t="shared" si="22"/>
        <v>0</v>
      </c>
      <c r="N81" s="96">
        <f t="shared" si="22"/>
        <v>0</v>
      </c>
      <c r="O81" s="96">
        <f t="shared" si="22"/>
        <v>0</v>
      </c>
      <c r="P81" s="96">
        <f t="shared" si="22"/>
        <v>0</v>
      </c>
      <c r="Q81" s="99">
        <f t="shared" si="20"/>
        <v>0</v>
      </c>
      <c r="S81" s="35">
        <f t="shared" si="8"/>
        <v>0</v>
      </c>
    </row>
    <row r="82" spans="2:19" ht="23.1" customHeight="1">
      <c r="B82" s="7" t="str">
        <f>LR!B82</f>
        <v>610117 | BIAYA TUNJANGAN JABATAN</v>
      </c>
      <c r="C82" s="100"/>
      <c r="D82" s="144" t="str">
        <f t="shared" si="21"/>
        <v>Beban</v>
      </c>
      <c r="E82" s="96">
        <f t="shared" si="22"/>
        <v>0</v>
      </c>
      <c r="F82" s="96">
        <f t="shared" si="22"/>
        <v>0</v>
      </c>
      <c r="G82" s="96">
        <f t="shared" si="22"/>
        <v>0</v>
      </c>
      <c r="H82" s="96">
        <f t="shared" si="22"/>
        <v>0</v>
      </c>
      <c r="I82" s="96">
        <f t="shared" si="22"/>
        <v>0</v>
      </c>
      <c r="J82" s="96">
        <f t="shared" si="22"/>
        <v>0</v>
      </c>
      <c r="K82" s="96">
        <f t="shared" si="22"/>
        <v>0</v>
      </c>
      <c r="L82" s="96">
        <f t="shared" si="22"/>
        <v>0</v>
      </c>
      <c r="M82" s="96">
        <f t="shared" si="22"/>
        <v>0</v>
      </c>
      <c r="N82" s="96">
        <f t="shared" si="22"/>
        <v>0</v>
      </c>
      <c r="O82" s="96">
        <f t="shared" si="22"/>
        <v>0</v>
      </c>
      <c r="P82" s="96">
        <f t="shared" si="22"/>
        <v>0</v>
      </c>
      <c r="Q82" s="99">
        <f t="shared" si="20"/>
        <v>0</v>
      </c>
      <c r="S82" s="35">
        <f t="shared" si="8"/>
        <v>0</v>
      </c>
    </row>
    <row r="83" spans="2:19" ht="23.1" customHeight="1">
      <c r="B83" s="7" t="str">
        <f>LR!B83</f>
        <v>610118 | TUNJANGAN JAMSOSTEK KESEHATAN</v>
      </c>
      <c r="C83" s="100"/>
      <c r="D83" s="144" t="str">
        <f t="shared" si="21"/>
        <v>Beban</v>
      </c>
      <c r="E83" s="96">
        <f t="shared" si="22"/>
        <v>0</v>
      </c>
      <c r="F83" s="96">
        <f t="shared" si="22"/>
        <v>0</v>
      </c>
      <c r="G83" s="96">
        <f t="shared" si="22"/>
        <v>0</v>
      </c>
      <c r="H83" s="96">
        <f t="shared" si="22"/>
        <v>0</v>
      </c>
      <c r="I83" s="96">
        <f t="shared" si="22"/>
        <v>0</v>
      </c>
      <c r="J83" s="96">
        <f t="shared" si="22"/>
        <v>0</v>
      </c>
      <c r="K83" s="96">
        <f t="shared" si="22"/>
        <v>0</v>
      </c>
      <c r="L83" s="96">
        <f t="shared" si="22"/>
        <v>0</v>
      </c>
      <c r="M83" s="96">
        <f t="shared" si="22"/>
        <v>0</v>
      </c>
      <c r="N83" s="96">
        <f t="shared" si="22"/>
        <v>0</v>
      </c>
      <c r="O83" s="96">
        <f t="shared" si="22"/>
        <v>0</v>
      </c>
      <c r="P83" s="96">
        <f t="shared" si="22"/>
        <v>0</v>
      </c>
      <c r="Q83" s="99">
        <f t="shared" si="20"/>
        <v>0</v>
      </c>
      <c r="S83" s="35">
        <f t="shared" si="8"/>
        <v>0</v>
      </c>
    </row>
    <row r="84" spans="2:19" ht="23.1" customHeight="1">
      <c r="B84" s="7" t="str">
        <f>LR!B84</f>
        <v>610119 | TUNJANGAN JAMSOSTEK KETENAGAKERJAAN</v>
      </c>
      <c r="C84" s="100"/>
      <c r="D84" s="144" t="str">
        <f t="shared" si="21"/>
        <v>Beban</v>
      </c>
      <c r="E84" s="96">
        <f t="shared" si="22"/>
        <v>0</v>
      </c>
      <c r="F84" s="96">
        <f t="shared" si="22"/>
        <v>0</v>
      </c>
      <c r="G84" s="96">
        <f t="shared" si="22"/>
        <v>0</v>
      </c>
      <c r="H84" s="96">
        <f t="shared" si="22"/>
        <v>0</v>
      </c>
      <c r="I84" s="96">
        <f t="shared" si="22"/>
        <v>0</v>
      </c>
      <c r="J84" s="96">
        <f t="shared" si="22"/>
        <v>0</v>
      </c>
      <c r="K84" s="96">
        <f t="shared" si="22"/>
        <v>0</v>
      </c>
      <c r="L84" s="96">
        <f t="shared" si="22"/>
        <v>0</v>
      </c>
      <c r="M84" s="96">
        <f t="shared" si="22"/>
        <v>0</v>
      </c>
      <c r="N84" s="96">
        <f t="shared" si="22"/>
        <v>0</v>
      </c>
      <c r="O84" s="96">
        <f t="shared" si="22"/>
        <v>0</v>
      </c>
      <c r="P84" s="96">
        <f t="shared" si="22"/>
        <v>0</v>
      </c>
      <c r="Q84" s="99">
        <f t="shared" si="20"/>
        <v>0</v>
      </c>
      <c r="S84" s="35">
        <f t="shared" si="8"/>
        <v>0</v>
      </c>
    </row>
    <row r="85" spans="2:19" ht="23.1" customHeight="1">
      <c r="B85" s="7" t="str">
        <f>LR!B85</f>
        <v>610120 | TUNJANGAN ISTRI DAN ANAK</v>
      </c>
      <c r="C85" s="100"/>
      <c r="D85" s="144" t="str">
        <f t="shared" si="21"/>
        <v>Beban</v>
      </c>
      <c r="E85" s="96">
        <f t="shared" si="22"/>
        <v>0</v>
      </c>
      <c r="F85" s="96">
        <f t="shared" si="22"/>
        <v>0</v>
      </c>
      <c r="G85" s="96">
        <f t="shared" si="22"/>
        <v>0</v>
      </c>
      <c r="H85" s="96">
        <f t="shared" si="22"/>
        <v>0</v>
      </c>
      <c r="I85" s="96">
        <f t="shared" si="22"/>
        <v>0</v>
      </c>
      <c r="J85" s="96">
        <f t="shared" si="22"/>
        <v>0</v>
      </c>
      <c r="K85" s="96">
        <f t="shared" si="22"/>
        <v>0</v>
      </c>
      <c r="L85" s="96">
        <f t="shared" si="22"/>
        <v>0</v>
      </c>
      <c r="M85" s="96">
        <f t="shared" si="22"/>
        <v>0</v>
      </c>
      <c r="N85" s="96">
        <f t="shared" si="22"/>
        <v>0</v>
      </c>
      <c r="O85" s="96">
        <f t="shared" si="22"/>
        <v>0</v>
      </c>
      <c r="P85" s="96">
        <f t="shared" si="22"/>
        <v>0</v>
      </c>
      <c r="Q85" s="99">
        <f t="shared" si="20"/>
        <v>0</v>
      </c>
      <c r="S85" s="35">
        <f t="shared" si="8"/>
        <v>0</v>
      </c>
    </row>
    <row r="86" spans="2:19" ht="23.1" customHeight="1">
      <c r="B86" s="7" t="str">
        <f>LR!B86</f>
        <v>610121 | TUNJANGAN TRANSPORT</v>
      </c>
      <c r="C86" s="100"/>
      <c r="D86" s="144" t="str">
        <f t="shared" si="21"/>
        <v>Beban</v>
      </c>
      <c r="E86" s="96">
        <f t="shared" si="22"/>
        <v>0</v>
      </c>
      <c r="F86" s="96">
        <f t="shared" si="22"/>
        <v>0</v>
      </c>
      <c r="G86" s="96">
        <f t="shared" si="22"/>
        <v>0</v>
      </c>
      <c r="H86" s="96">
        <f t="shared" si="22"/>
        <v>0</v>
      </c>
      <c r="I86" s="96">
        <f t="shared" si="22"/>
        <v>0</v>
      </c>
      <c r="J86" s="96">
        <f t="shared" si="22"/>
        <v>0</v>
      </c>
      <c r="K86" s="96">
        <f t="shared" si="22"/>
        <v>0</v>
      </c>
      <c r="L86" s="96">
        <f t="shared" si="22"/>
        <v>0</v>
      </c>
      <c r="M86" s="96">
        <f t="shared" si="22"/>
        <v>0</v>
      </c>
      <c r="N86" s="96">
        <f t="shared" si="22"/>
        <v>0</v>
      </c>
      <c r="O86" s="96">
        <f t="shared" si="22"/>
        <v>0</v>
      </c>
      <c r="P86" s="96">
        <f t="shared" si="22"/>
        <v>0</v>
      </c>
      <c r="Q86" s="99">
        <f t="shared" si="20"/>
        <v>0</v>
      </c>
      <c r="S86" s="35">
        <f t="shared" si="8"/>
        <v>0</v>
      </c>
    </row>
    <row r="87" spans="2:19" ht="23.1" customHeight="1">
      <c r="B87" s="7" t="str">
        <f>LR!B87</f>
        <v>610122 | REFRESENTASI DIREKSI</v>
      </c>
      <c r="C87" s="100"/>
      <c r="D87" s="144" t="str">
        <f t="shared" si="21"/>
        <v>Beban</v>
      </c>
      <c r="E87" s="96">
        <f t="shared" si="22"/>
        <v>0</v>
      </c>
      <c r="F87" s="96">
        <f t="shared" si="22"/>
        <v>0</v>
      </c>
      <c r="G87" s="96">
        <f t="shared" si="22"/>
        <v>0</v>
      </c>
      <c r="H87" s="96">
        <f t="shared" si="22"/>
        <v>0</v>
      </c>
      <c r="I87" s="96">
        <f t="shared" si="22"/>
        <v>0</v>
      </c>
      <c r="J87" s="96">
        <f t="shared" si="22"/>
        <v>0</v>
      </c>
      <c r="K87" s="96">
        <f t="shared" si="22"/>
        <v>0</v>
      </c>
      <c r="L87" s="96">
        <f t="shared" si="22"/>
        <v>0</v>
      </c>
      <c r="M87" s="96">
        <f t="shared" si="22"/>
        <v>0</v>
      </c>
      <c r="N87" s="96">
        <f t="shared" si="22"/>
        <v>0</v>
      </c>
      <c r="O87" s="96">
        <f t="shared" si="22"/>
        <v>0</v>
      </c>
      <c r="P87" s="96">
        <f t="shared" si="22"/>
        <v>0</v>
      </c>
      <c r="Q87" s="99">
        <f t="shared" si="20"/>
        <v>0</v>
      </c>
      <c r="S87" s="35">
        <f t="shared" si="8"/>
        <v>0</v>
      </c>
    </row>
    <row r="88" spans="2:19" ht="23.1" customHeight="1">
      <c r="B88" s="7" t="str">
        <f>LR!B88</f>
        <v>610123 | GAJI POKOK PEGAWAI</v>
      </c>
      <c r="C88" s="100"/>
      <c r="D88" s="144" t="str">
        <f t="shared" si="21"/>
        <v>Beban</v>
      </c>
      <c r="E88" s="96">
        <f t="shared" si="22"/>
        <v>0</v>
      </c>
      <c r="F88" s="96">
        <f t="shared" si="22"/>
        <v>0</v>
      </c>
      <c r="G88" s="96">
        <f t="shared" si="22"/>
        <v>0</v>
      </c>
      <c r="H88" s="96">
        <f t="shared" si="22"/>
        <v>0</v>
      </c>
      <c r="I88" s="96">
        <f t="shared" si="22"/>
        <v>0</v>
      </c>
      <c r="J88" s="96">
        <f t="shared" si="22"/>
        <v>0</v>
      </c>
      <c r="K88" s="96">
        <f t="shared" si="22"/>
        <v>0</v>
      </c>
      <c r="L88" s="96">
        <f t="shared" si="22"/>
        <v>0</v>
      </c>
      <c r="M88" s="96">
        <f t="shared" si="22"/>
        <v>0</v>
      </c>
      <c r="N88" s="96">
        <f t="shared" si="22"/>
        <v>0</v>
      </c>
      <c r="O88" s="96">
        <f t="shared" si="22"/>
        <v>0</v>
      </c>
      <c r="P88" s="96">
        <f t="shared" si="22"/>
        <v>0</v>
      </c>
      <c r="Q88" s="99">
        <f t="shared" si="20"/>
        <v>0</v>
      </c>
      <c r="S88" s="35">
        <f t="shared" ref="S88:S151" si="23">IF(OR(Q88&gt;0,Q88&lt;0,Q88=""),1,0)</f>
        <v>0</v>
      </c>
    </row>
    <row r="89" spans="2:19" ht="23.1" customHeight="1">
      <c r="B89" s="7" t="str">
        <f>LR!B89</f>
        <v>610125 | TUNJANGAN KESEHATAN DAN BPJS TK-PEGAWAI</v>
      </c>
      <c r="C89" s="100"/>
      <c r="D89" s="144" t="str">
        <f t="shared" si="21"/>
        <v>Beban</v>
      </c>
      <c r="E89" s="96">
        <f t="shared" ref="E89:P104" si="24">IF(INDEX(typ_sn,MATCH(INDEX(akun_type,MATCH($B89,akun_kb,0)),typ_ket,0))="db",SUMIFS(ju_sld,ju_bln,TEXT(E$8,"mmmm"),ju_kr,$B89)-SUMIFS(ju_sld,ju_bln,TEXT(E$8,"mmmm"),ju_debet,$B89),SUMIFS(ju_sld,ju_bln,TEXT(E$8,"mmmm"),ju_kr,$B89)-SUMIFS(ju_sld,ju_bln,TEXT(E$8,"mmmm"),ju_debet,$B89))</f>
        <v>0</v>
      </c>
      <c r="F89" s="96">
        <f t="shared" si="24"/>
        <v>0</v>
      </c>
      <c r="G89" s="96">
        <f t="shared" si="24"/>
        <v>0</v>
      </c>
      <c r="H89" s="96">
        <f t="shared" si="24"/>
        <v>0</v>
      </c>
      <c r="I89" s="96">
        <f t="shared" si="24"/>
        <v>0</v>
      </c>
      <c r="J89" s="96">
        <f t="shared" si="24"/>
        <v>0</v>
      </c>
      <c r="K89" s="96">
        <f t="shared" si="24"/>
        <v>0</v>
      </c>
      <c r="L89" s="96">
        <f t="shared" si="24"/>
        <v>0</v>
      </c>
      <c r="M89" s="96">
        <f t="shared" si="24"/>
        <v>0</v>
      </c>
      <c r="N89" s="96">
        <f t="shared" si="24"/>
        <v>0</v>
      </c>
      <c r="O89" s="96">
        <f t="shared" si="24"/>
        <v>0</v>
      </c>
      <c r="P89" s="96">
        <f t="shared" si="24"/>
        <v>0</v>
      </c>
      <c r="Q89" s="99">
        <f t="shared" si="20"/>
        <v>0</v>
      </c>
      <c r="S89" s="35">
        <f t="shared" si="23"/>
        <v>0</v>
      </c>
    </row>
    <row r="90" spans="2:19" ht="23.1" customHeight="1">
      <c r="B90" s="7" t="str">
        <f>LR!B90</f>
        <v>610127 | TUNJANGAN MAKAN MINUM TRANSPORTASI &amp; T. KELUARGA</v>
      </c>
      <c r="C90" s="100"/>
      <c r="D90" s="144" t="str">
        <f t="shared" si="21"/>
        <v>Beban</v>
      </c>
      <c r="E90" s="96">
        <f t="shared" si="24"/>
        <v>0</v>
      </c>
      <c r="F90" s="96">
        <f t="shared" si="24"/>
        <v>0</v>
      </c>
      <c r="G90" s="96">
        <f t="shared" si="24"/>
        <v>0</v>
      </c>
      <c r="H90" s="96">
        <f t="shared" si="24"/>
        <v>0</v>
      </c>
      <c r="I90" s="96">
        <f t="shared" si="24"/>
        <v>0</v>
      </c>
      <c r="J90" s="96">
        <f t="shared" si="24"/>
        <v>0</v>
      </c>
      <c r="K90" s="96">
        <f t="shared" si="24"/>
        <v>0</v>
      </c>
      <c r="L90" s="96">
        <f t="shared" si="24"/>
        <v>0</v>
      </c>
      <c r="M90" s="96">
        <f t="shared" si="24"/>
        <v>0</v>
      </c>
      <c r="N90" s="96">
        <f t="shared" si="24"/>
        <v>0</v>
      </c>
      <c r="O90" s="96">
        <f t="shared" si="24"/>
        <v>0</v>
      </c>
      <c r="P90" s="96">
        <f t="shared" si="24"/>
        <v>0</v>
      </c>
      <c r="Q90" s="99">
        <f t="shared" si="20"/>
        <v>0</v>
      </c>
      <c r="S90" s="35">
        <f t="shared" si="23"/>
        <v>0</v>
      </c>
    </row>
    <row r="91" spans="2:19" ht="23.1" customHeight="1">
      <c r="B91" s="7" t="str">
        <f>LR!B91</f>
        <v>610129 | BIAYA TUNJANGAN HARI RAYA</v>
      </c>
      <c r="C91" s="100"/>
      <c r="D91" s="144" t="str">
        <f t="shared" si="21"/>
        <v>Beban</v>
      </c>
      <c r="E91" s="96">
        <f t="shared" si="24"/>
        <v>0</v>
      </c>
      <c r="F91" s="96">
        <f t="shared" si="24"/>
        <v>0</v>
      </c>
      <c r="G91" s="96">
        <f t="shared" si="24"/>
        <v>0</v>
      </c>
      <c r="H91" s="96">
        <f t="shared" si="24"/>
        <v>0</v>
      </c>
      <c r="I91" s="96">
        <f t="shared" si="24"/>
        <v>0</v>
      </c>
      <c r="J91" s="96">
        <f t="shared" si="24"/>
        <v>0</v>
      </c>
      <c r="K91" s="96">
        <f t="shared" si="24"/>
        <v>0</v>
      </c>
      <c r="L91" s="96">
        <f t="shared" si="24"/>
        <v>0</v>
      </c>
      <c r="M91" s="96">
        <f t="shared" si="24"/>
        <v>0</v>
      </c>
      <c r="N91" s="96">
        <f t="shared" si="24"/>
        <v>0</v>
      </c>
      <c r="O91" s="96">
        <f t="shared" si="24"/>
        <v>0</v>
      </c>
      <c r="P91" s="96">
        <f t="shared" si="24"/>
        <v>0</v>
      </c>
      <c r="Q91" s="99">
        <f t="shared" si="20"/>
        <v>0</v>
      </c>
      <c r="S91" s="35">
        <f t="shared" si="23"/>
        <v>0</v>
      </c>
    </row>
    <row r="92" spans="2:19" ht="23.1" customHeight="1">
      <c r="B92" s="7" t="str">
        <f>LR!B92</f>
        <v>610130 | BIAYA HONOR KOMITE AUDIT</v>
      </c>
      <c r="C92" s="100"/>
      <c r="D92" s="144" t="str">
        <f t="shared" si="21"/>
        <v>Beban</v>
      </c>
      <c r="E92" s="96">
        <f t="shared" si="24"/>
        <v>0</v>
      </c>
      <c r="F92" s="96">
        <f t="shared" si="24"/>
        <v>0</v>
      </c>
      <c r="G92" s="96">
        <f t="shared" si="24"/>
        <v>0</v>
      </c>
      <c r="H92" s="96">
        <f t="shared" si="24"/>
        <v>0</v>
      </c>
      <c r="I92" s="96">
        <f t="shared" si="24"/>
        <v>0</v>
      </c>
      <c r="J92" s="96">
        <f t="shared" si="24"/>
        <v>0</v>
      </c>
      <c r="K92" s="96">
        <f t="shared" si="24"/>
        <v>0</v>
      </c>
      <c r="L92" s="96">
        <f t="shared" si="24"/>
        <v>-7654500</v>
      </c>
      <c r="M92" s="96">
        <f t="shared" si="24"/>
        <v>-7654500</v>
      </c>
      <c r="N92" s="96">
        <f t="shared" si="24"/>
        <v>-7654500</v>
      </c>
      <c r="O92" s="96">
        <f t="shared" si="24"/>
        <v>-7654500</v>
      </c>
      <c r="P92" s="96">
        <f t="shared" si="24"/>
        <v>-7654500</v>
      </c>
      <c r="Q92" s="99">
        <f t="shared" si="20"/>
        <v>-38272500</v>
      </c>
      <c r="S92" s="35">
        <f t="shared" si="23"/>
        <v>1</v>
      </c>
    </row>
    <row r="93" spans="2:19" s="2" customFormat="1" ht="23.1" customHeight="1">
      <c r="B93" s="393" t="str">
        <f>LR!B93</f>
        <v>TOTAL BIAYA GAJI</v>
      </c>
      <c r="C93" s="394"/>
      <c r="D93" s="395" t="str">
        <f t="shared" si="21"/>
        <v/>
      </c>
      <c r="E93" s="396">
        <f>SUM(E66:E92)</f>
        <v>-468300365</v>
      </c>
      <c r="F93" s="396">
        <f t="shared" ref="F93:Q93" si="25">SUM(F66:F92)</f>
        <v>-472604083</v>
      </c>
      <c r="G93" s="396">
        <f t="shared" si="25"/>
        <v>-471633483</v>
      </c>
      <c r="H93" s="396">
        <f t="shared" si="25"/>
        <v>-962230762</v>
      </c>
      <c r="I93" s="396">
        <f t="shared" si="25"/>
        <v>-469750281</v>
      </c>
      <c r="J93" s="396">
        <f t="shared" si="25"/>
        <v>-484033679</v>
      </c>
      <c r="K93" s="396">
        <f t="shared" si="25"/>
        <v>-482417479</v>
      </c>
      <c r="L93" s="396">
        <f t="shared" si="25"/>
        <v>-617497949</v>
      </c>
      <c r="M93" s="396">
        <f t="shared" si="25"/>
        <v>-619395363</v>
      </c>
      <c r="N93" s="396">
        <f t="shared" si="25"/>
        <v>-619411373</v>
      </c>
      <c r="O93" s="396">
        <f t="shared" si="25"/>
        <v>-613029696</v>
      </c>
      <c r="P93" s="396">
        <f t="shared" si="25"/>
        <v>-614193446</v>
      </c>
      <c r="Q93" s="396">
        <f t="shared" si="25"/>
        <v>-6894497959</v>
      </c>
      <c r="S93" s="392">
        <f t="shared" si="23"/>
        <v>1</v>
      </c>
    </row>
    <row r="94" spans="2:19" s="2" customFormat="1" ht="23.1" customHeight="1">
      <c r="B94" s="103" t="str">
        <f>LR!B94</f>
        <v>BIAYA ADM UMUM</v>
      </c>
      <c r="C94" s="388"/>
      <c r="D94" s="389" t="str">
        <f t="shared" si="21"/>
        <v/>
      </c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1"/>
      <c r="S94" s="392">
        <f t="shared" si="23"/>
        <v>1</v>
      </c>
    </row>
    <row r="95" spans="2:19" ht="23.1" customHeight="1">
      <c r="B95" s="7" t="str">
        <f>LR!B95</f>
        <v>610201 | BIAYA DANA REFRESENTASI DIREKSI</v>
      </c>
      <c r="C95" s="100"/>
      <c r="D95" s="144" t="str">
        <f t="shared" si="21"/>
        <v>Beban</v>
      </c>
      <c r="E95" s="96">
        <f t="shared" si="24"/>
        <v>0</v>
      </c>
      <c r="F95" s="96">
        <f t="shared" si="24"/>
        <v>0</v>
      </c>
      <c r="G95" s="96">
        <f t="shared" si="24"/>
        <v>0</v>
      </c>
      <c r="H95" s="96">
        <f t="shared" si="24"/>
        <v>0</v>
      </c>
      <c r="I95" s="96">
        <f t="shared" si="24"/>
        <v>0</v>
      </c>
      <c r="J95" s="96">
        <f t="shared" si="24"/>
        <v>0</v>
      </c>
      <c r="K95" s="96">
        <f t="shared" si="24"/>
        <v>0</v>
      </c>
      <c r="L95" s="96">
        <f t="shared" si="24"/>
        <v>-69003340</v>
      </c>
      <c r="M95" s="96">
        <f t="shared" si="24"/>
        <v>-69003340</v>
      </c>
      <c r="N95" s="96">
        <f t="shared" si="24"/>
        <v>-69003340</v>
      </c>
      <c r="O95" s="96">
        <f t="shared" si="24"/>
        <v>-69003340</v>
      </c>
      <c r="P95" s="96">
        <f t="shared" si="24"/>
        <v>-69003340</v>
      </c>
      <c r="Q95" s="99">
        <f t="shared" ref="Q95:Q136" si="26">SUM(E95:P95)</f>
        <v>-345016700</v>
      </c>
      <c r="S95" s="35">
        <f t="shared" si="23"/>
        <v>1</v>
      </c>
    </row>
    <row r="96" spans="2:19" ht="23.1" customHeight="1">
      <c r="B96" s="7" t="str">
        <f>LR!B96</f>
        <v>610202 | BIAYA KOORDINASI PEMBINA PERUSDA</v>
      </c>
      <c r="C96" s="100"/>
      <c r="D96" s="144" t="str">
        <f t="shared" si="21"/>
        <v>Beban</v>
      </c>
      <c r="E96" s="96">
        <f t="shared" si="24"/>
        <v>-21900000</v>
      </c>
      <c r="F96" s="96">
        <f t="shared" si="24"/>
        <v>-21900000</v>
      </c>
      <c r="G96" s="96">
        <f t="shared" si="24"/>
        <v>-21900000</v>
      </c>
      <c r="H96" s="96">
        <f t="shared" si="24"/>
        <v>-21900000</v>
      </c>
      <c r="I96" s="96">
        <f t="shared" si="24"/>
        <v>-21900000</v>
      </c>
      <c r="J96" s="96">
        <f t="shared" si="24"/>
        <v>-21900000</v>
      </c>
      <c r="K96" s="96">
        <f t="shared" si="24"/>
        <v>-21900000</v>
      </c>
      <c r="L96" s="96">
        <f t="shared" si="24"/>
        <v>-21900000</v>
      </c>
      <c r="M96" s="96">
        <f t="shared" si="24"/>
        <v>-21900000</v>
      </c>
      <c r="N96" s="96">
        <f t="shared" si="24"/>
        <v>-21900000</v>
      </c>
      <c r="O96" s="96">
        <f t="shared" si="24"/>
        <v>-21900000</v>
      </c>
      <c r="P96" s="96">
        <f t="shared" si="24"/>
        <v>-21900000</v>
      </c>
      <c r="Q96" s="99">
        <f t="shared" si="26"/>
        <v>-262800000</v>
      </c>
      <c r="S96" s="35">
        <f t="shared" si="23"/>
        <v>1</v>
      </c>
    </row>
    <row r="97" spans="2:19" ht="23.1" customHeight="1">
      <c r="B97" s="7" t="str">
        <f>LR!B97</f>
        <v>610203 | BIAYA PENINGKATAN SDM PEGAWAI</v>
      </c>
      <c r="C97" s="100"/>
      <c r="D97" s="144" t="str">
        <f t="shared" si="21"/>
        <v>Beban</v>
      </c>
      <c r="E97" s="96">
        <f t="shared" si="24"/>
        <v>0</v>
      </c>
      <c r="F97" s="96">
        <f t="shared" si="24"/>
        <v>0</v>
      </c>
      <c r="G97" s="96">
        <f t="shared" si="24"/>
        <v>0</v>
      </c>
      <c r="H97" s="96">
        <f t="shared" si="24"/>
        <v>0</v>
      </c>
      <c r="I97" s="96">
        <f t="shared" si="24"/>
        <v>0</v>
      </c>
      <c r="J97" s="96">
        <f t="shared" si="24"/>
        <v>0</v>
      </c>
      <c r="K97" s="96">
        <f t="shared" si="24"/>
        <v>0</v>
      </c>
      <c r="L97" s="96">
        <f t="shared" si="24"/>
        <v>0</v>
      </c>
      <c r="M97" s="96">
        <f t="shared" si="24"/>
        <v>0</v>
      </c>
      <c r="N97" s="96">
        <f t="shared" si="24"/>
        <v>0</v>
      </c>
      <c r="O97" s="96">
        <f t="shared" si="24"/>
        <v>0</v>
      </c>
      <c r="P97" s="96">
        <f t="shared" si="24"/>
        <v>0</v>
      </c>
      <c r="Q97" s="99">
        <f t="shared" si="26"/>
        <v>0</v>
      </c>
      <c r="S97" s="35">
        <f t="shared" si="23"/>
        <v>0</v>
      </c>
    </row>
    <row r="98" spans="2:19" ht="23.1" customHeight="1">
      <c r="B98" s="7" t="str">
        <f>LR!B98</f>
        <v>610204 | BIAYA SOSIALISASI</v>
      </c>
      <c r="C98" s="100"/>
      <c r="D98" s="144" t="str">
        <f t="shared" si="21"/>
        <v>Beban</v>
      </c>
      <c r="E98" s="96">
        <f t="shared" si="24"/>
        <v>0</v>
      </c>
      <c r="F98" s="96">
        <f t="shared" si="24"/>
        <v>-3500000</v>
      </c>
      <c r="G98" s="96">
        <f t="shared" si="24"/>
        <v>-6407000</v>
      </c>
      <c r="H98" s="96">
        <f t="shared" si="24"/>
        <v>-1500000</v>
      </c>
      <c r="I98" s="96">
        <f t="shared" si="24"/>
        <v>-1000000</v>
      </c>
      <c r="J98" s="96">
        <f t="shared" si="24"/>
        <v>-1600000</v>
      </c>
      <c r="K98" s="96">
        <f t="shared" si="24"/>
        <v>-500000</v>
      </c>
      <c r="L98" s="96">
        <f t="shared" si="24"/>
        <v>-1602000</v>
      </c>
      <c r="M98" s="96">
        <f t="shared" si="24"/>
        <v>-1000000</v>
      </c>
      <c r="N98" s="96">
        <f t="shared" si="24"/>
        <v>-155000</v>
      </c>
      <c r="O98" s="96">
        <f t="shared" si="24"/>
        <v>-12848087</v>
      </c>
      <c r="P98" s="96">
        <f t="shared" si="24"/>
        <v>-2000000</v>
      </c>
      <c r="Q98" s="99">
        <f t="shared" si="26"/>
        <v>-32112087</v>
      </c>
      <c r="S98" s="35">
        <f t="shared" si="23"/>
        <v>1</v>
      </c>
    </row>
    <row r="99" spans="2:19" ht="23.1" customHeight="1">
      <c r="B99" s="7" t="str">
        <f>LR!B99</f>
        <v>610205 | BIAYA MEDIA CETAK DAN ELEKTRONIK</v>
      </c>
      <c r="C99" s="100"/>
      <c r="D99" s="144" t="str">
        <f t="shared" si="21"/>
        <v>Beban</v>
      </c>
      <c r="E99" s="96">
        <f t="shared" si="24"/>
        <v>-10400000</v>
      </c>
      <c r="F99" s="96">
        <f t="shared" si="24"/>
        <v>-25085000</v>
      </c>
      <c r="G99" s="96">
        <f t="shared" si="24"/>
        <v>-24632000</v>
      </c>
      <c r="H99" s="96">
        <f t="shared" si="24"/>
        <v>-21475000</v>
      </c>
      <c r="I99" s="96">
        <f t="shared" si="24"/>
        <v>-25285000</v>
      </c>
      <c r="J99" s="96">
        <f t="shared" si="24"/>
        <v>-25445000</v>
      </c>
      <c r="K99" s="96">
        <f t="shared" si="24"/>
        <v>-5285000</v>
      </c>
      <c r="L99" s="96">
        <f t="shared" si="24"/>
        <v>-665000</v>
      </c>
      <c r="M99" s="96">
        <f t="shared" si="24"/>
        <v>-4285000</v>
      </c>
      <c r="N99" s="96">
        <f t="shared" si="24"/>
        <v>-4492200</v>
      </c>
      <c r="O99" s="96">
        <f t="shared" si="24"/>
        <v>-4965000</v>
      </c>
      <c r="P99" s="96">
        <f t="shared" si="24"/>
        <v>-16230000</v>
      </c>
      <c r="Q99" s="99">
        <f t="shared" si="26"/>
        <v>-168244200</v>
      </c>
      <c r="S99" s="35">
        <f t="shared" si="23"/>
        <v>1</v>
      </c>
    </row>
    <row r="100" spans="2:19" ht="23.1" customHeight="1">
      <c r="B100" s="7" t="str">
        <f>LR!B100</f>
        <v>610206 | BIAYA HONOR PANITIA DAN PEMERIKSA BARANG</v>
      </c>
      <c r="C100" s="100"/>
      <c r="D100" s="144" t="str">
        <f t="shared" si="21"/>
        <v>Beban</v>
      </c>
      <c r="E100" s="96">
        <f t="shared" si="24"/>
        <v>0</v>
      </c>
      <c r="F100" s="96">
        <f t="shared" si="24"/>
        <v>0</v>
      </c>
      <c r="G100" s="96">
        <f t="shared" si="24"/>
        <v>0</v>
      </c>
      <c r="H100" s="96">
        <f t="shared" si="24"/>
        <v>0</v>
      </c>
      <c r="I100" s="96">
        <f t="shared" si="24"/>
        <v>0</v>
      </c>
      <c r="J100" s="96">
        <f t="shared" si="24"/>
        <v>0</v>
      </c>
      <c r="K100" s="96">
        <f t="shared" si="24"/>
        <v>0</v>
      </c>
      <c r="L100" s="96">
        <f t="shared" si="24"/>
        <v>0</v>
      </c>
      <c r="M100" s="96">
        <f t="shared" si="24"/>
        <v>0</v>
      </c>
      <c r="N100" s="96">
        <f t="shared" si="24"/>
        <v>0</v>
      </c>
      <c r="O100" s="96">
        <f t="shared" si="24"/>
        <v>0</v>
      </c>
      <c r="P100" s="96">
        <f t="shared" si="24"/>
        <v>0</v>
      </c>
      <c r="Q100" s="99">
        <f t="shared" si="26"/>
        <v>0</v>
      </c>
      <c r="S100" s="35">
        <f t="shared" si="23"/>
        <v>0</v>
      </c>
    </row>
    <row r="101" spans="2:19" ht="23.1" customHeight="1">
      <c r="B101" s="7" t="str">
        <f>LR!B101</f>
        <v>610207 | BIAYA ALAT TULIS KANTOR (ATK)</v>
      </c>
      <c r="C101" s="100"/>
      <c r="D101" s="144" t="str">
        <f t="shared" si="21"/>
        <v>Beban</v>
      </c>
      <c r="E101" s="96">
        <f t="shared" si="24"/>
        <v>-4417600</v>
      </c>
      <c r="F101" s="96">
        <f t="shared" si="24"/>
        <v>-2950320</v>
      </c>
      <c r="G101" s="96">
        <f t="shared" si="24"/>
        <v>-3394500</v>
      </c>
      <c r="H101" s="96">
        <f t="shared" si="24"/>
        <v>-3434000</v>
      </c>
      <c r="I101" s="96">
        <f t="shared" si="24"/>
        <v>-3097500</v>
      </c>
      <c r="J101" s="96">
        <f t="shared" si="24"/>
        <v>-2735500</v>
      </c>
      <c r="K101" s="96">
        <f t="shared" si="24"/>
        <v>-2694500</v>
      </c>
      <c r="L101" s="96">
        <f t="shared" si="24"/>
        <v>-4895500</v>
      </c>
      <c r="M101" s="96">
        <f t="shared" si="24"/>
        <v>-5156000</v>
      </c>
      <c r="N101" s="96">
        <f t="shared" si="24"/>
        <v>-3595000</v>
      </c>
      <c r="O101" s="96">
        <f t="shared" si="24"/>
        <v>-3278250</v>
      </c>
      <c r="P101" s="96">
        <f t="shared" si="24"/>
        <v>-3946200</v>
      </c>
      <c r="Q101" s="99">
        <f t="shared" si="26"/>
        <v>-43594870</v>
      </c>
      <c r="S101" s="35">
        <f t="shared" si="23"/>
        <v>1</v>
      </c>
    </row>
    <row r="102" spans="2:19" ht="23.1" customHeight="1">
      <c r="B102" s="7" t="str">
        <f>LR!B102</f>
        <v>610208 | BIAYA BENDA BENDA POS DAN MATERAI</v>
      </c>
      <c r="C102" s="100"/>
      <c r="D102" s="144" t="str">
        <f t="shared" si="21"/>
        <v>Beban</v>
      </c>
      <c r="E102" s="96">
        <f t="shared" si="24"/>
        <v>-400000</v>
      </c>
      <c r="F102" s="96">
        <f t="shared" si="24"/>
        <v>-550000</v>
      </c>
      <c r="G102" s="96">
        <f t="shared" si="24"/>
        <v>-350000</v>
      </c>
      <c r="H102" s="96">
        <f t="shared" si="24"/>
        <v>-350000</v>
      </c>
      <c r="I102" s="96">
        <f t="shared" si="24"/>
        <v>-550000</v>
      </c>
      <c r="J102" s="96">
        <f t="shared" si="24"/>
        <v>-550000</v>
      </c>
      <c r="K102" s="96">
        <f t="shared" si="24"/>
        <v>-350000</v>
      </c>
      <c r="L102" s="96">
        <f t="shared" si="24"/>
        <v>-540000</v>
      </c>
      <c r="M102" s="96">
        <f t="shared" si="24"/>
        <v>-350000</v>
      </c>
      <c r="N102" s="96">
        <f t="shared" si="24"/>
        <v>-550000</v>
      </c>
      <c r="O102" s="96">
        <f t="shared" si="24"/>
        <v>-378000</v>
      </c>
      <c r="P102" s="96">
        <f t="shared" si="24"/>
        <v>-350000</v>
      </c>
      <c r="Q102" s="99">
        <f t="shared" si="26"/>
        <v>-5268000</v>
      </c>
      <c r="S102" s="35">
        <f t="shared" si="23"/>
        <v>1</v>
      </c>
    </row>
    <row r="103" spans="2:19" ht="23.1" customHeight="1">
      <c r="B103" s="7" t="str">
        <f>LR!B103</f>
        <v>610209 | BIAYA PEMELIHARAAN BANGUNAN KANTOR</v>
      </c>
      <c r="C103" s="100"/>
      <c r="D103" s="144" t="str">
        <f t="shared" si="21"/>
        <v>Beban</v>
      </c>
      <c r="E103" s="96">
        <f t="shared" si="24"/>
        <v>0</v>
      </c>
      <c r="F103" s="96">
        <f t="shared" si="24"/>
        <v>0</v>
      </c>
      <c r="G103" s="96">
        <f t="shared" si="24"/>
        <v>0</v>
      </c>
      <c r="H103" s="96">
        <f t="shared" si="24"/>
        <v>0</v>
      </c>
      <c r="I103" s="96">
        <f t="shared" si="24"/>
        <v>0</v>
      </c>
      <c r="J103" s="96">
        <f t="shared" si="24"/>
        <v>0</v>
      </c>
      <c r="K103" s="96">
        <f t="shared" si="24"/>
        <v>0</v>
      </c>
      <c r="L103" s="96">
        <f t="shared" si="24"/>
        <v>0</v>
      </c>
      <c r="M103" s="96">
        <f t="shared" si="24"/>
        <v>-14963564</v>
      </c>
      <c r="N103" s="96">
        <f t="shared" si="24"/>
        <v>-6241250</v>
      </c>
      <c r="O103" s="96">
        <f t="shared" si="24"/>
        <v>0</v>
      </c>
      <c r="P103" s="96">
        <f t="shared" si="24"/>
        <v>-3150400</v>
      </c>
      <c r="Q103" s="99">
        <f t="shared" si="26"/>
        <v>-24355214</v>
      </c>
      <c r="S103" s="35">
        <f t="shared" si="23"/>
        <v>1</v>
      </c>
    </row>
    <row r="104" spans="2:19" ht="23.1" customHeight="1">
      <c r="B104" s="7" t="str">
        <f>LR!B104</f>
        <v>610210 | BIAYA PEMELIHARAAN INVENTARIS KANTOR</v>
      </c>
      <c r="C104" s="100"/>
      <c r="D104" s="144" t="str">
        <f t="shared" si="21"/>
        <v>Beban</v>
      </c>
      <c r="E104" s="96">
        <f t="shared" si="24"/>
        <v>-500000</v>
      </c>
      <c r="F104" s="96">
        <f t="shared" si="24"/>
        <v>-8905000</v>
      </c>
      <c r="G104" s="96">
        <f t="shared" si="24"/>
        <v>-25000000</v>
      </c>
      <c r="H104" s="96">
        <f t="shared" si="24"/>
        <v>-900000</v>
      </c>
      <c r="I104" s="96">
        <f t="shared" si="24"/>
        <v>-1090000</v>
      </c>
      <c r="J104" s="96">
        <f t="shared" si="24"/>
        <v>-190000</v>
      </c>
      <c r="K104" s="96">
        <f t="shared" si="24"/>
        <v>-1100000</v>
      </c>
      <c r="L104" s="96">
        <f t="shared" si="24"/>
        <v>-1050000</v>
      </c>
      <c r="M104" s="96">
        <f t="shared" si="24"/>
        <v>-625000</v>
      </c>
      <c r="N104" s="96">
        <f t="shared" si="24"/>
        <v>-60000</v>
      </c>
      <c r="O104" s="96">
        <f t="shared" si="24"/>
        <v>-630000</v>
      </c>
      <c r="P104" s="96">
        <f t="shared" si="24"/>
        <v>-175000</v>
      </c>
      <c r="Q104" s="99">
        <f t="shared" si="26"/>
        <v>-40225000</v>
      </c>
      <c r="S104" s="35">
        <f t="shared" si="23"/>
        <v>1</v>
      </c>
    </row>
    <row r="105" spans="2:19" ht="23.1" customHeight="1">
      <c r="B105" s="7" t="str">
        <f>LR!B105</f>
        <v>610211 | BIAYA TELEPON KANTOR</v>
      </c>
      <c r="C105" s="100"/>
      <c r="D105" s="144" t="str">
        <f t="shared" ref="D105:D136" si="27">IFERROR(INDEX(akun_type,MATCH(B105,akun_kb,0)),"")</f>
        <v>Beban</v>
      </c>
      <c r="E105" s="96">
        <f t="shared" ref="E105:P120" si="28">IF(INDEX(typ_sn,MATCH(INDEX(akun_type,MATCH($B105,akun_kb,0)),typ_ket,0))="db",SUMIFS(ju_sld,ju_bln,TEXT(E$8,"mmmm"),ju_kr,$B105)-SUMIFS(ju_sld,ju_bln,TEXT(E$8,"mmmm"),ju_debet,$B105),SUMIFS(ju_sld,ju_bln,TEXT(E$8,"mmmm"),ju_kr,$B105)-SUMIFS(ju_sld,ju_bln,TEXT(E$8,"mmmm"),ju_debet,$B105))</f>
        <v>-2022640</v>
      </c>
      <c r="F105" s="96">
        <f t="shared" si="28"/>
        <v>-2022640</v>
      </c>
      <c r="G105" s="96">
        <f t="shared" si="28"/>
        <v>-1972640</v>
      </c>
      <c r="H105" s="96">
        <f t="shared" si="28"/>
        <v>-1990314</v>
      </c>
      <c r="I105" s="96">
        <f t="shared" si="28"/>
        <v>-2069314</v>
      </c>
      <c r="J105" s="96">
        <f t="shared" si="28"/>
        <v>-2019314</v>
      </c>
      <c r="K105" s="96">
        <f t="shared" si="28"/>
        <v>-1969314</v>
      </c>
      <c r="L105" s="96">
        <f t="shared" si="28"/>
        <v>-2019314</v>
      </c>
      <c r="M105" s="96">
        <f t="shared" si="28"/>
        <v>-2019314</v>
      </c>
      <c r="N105" s="96">
        <f t="shared" si="28"/>
        <v>-2069314</v>
      </c>
      <c r="O105" s="96">
        <f t="shared" si="28"/>
        <v>-1969314</v>
      </c>
      <c r="P105" s="96">
        <f t="shared" si="28"/>
        <v>-2069611</v>
      </c>
      <c r="Q105" s="99">
        <f t="shared" si="26"/>
        <v>-24213043</v>
      </c>
      <c r="S105" s="35">
        <f t="shared" si="23"/>
        <v>1</v>
      </c>
    </row>
    <row r="106" spans="2:19" ht="23.1" customHeight="1">
      <c r="B106" s="7" t="str">
        <f>LR!B106</f>
        <v>610212 | BIAYA LISTRIK DAN ENERGI KANTOR</v>
      </c>
      <c r="C106" s="100"/>
      <c r="D106" s="144" t="str">
        <f t="shared" si="27"/>
        <v>Beban</v>
      </c>
      <c r="E106" s="96">
        <f t="shared" si="28"/>
        <v>-3340368</v>
      </c>
      <c r="F106" s="96">
        <f t="shared" si="28"/>
        <v>-5894374</v>
      </c>
      <c r="G106" s="96">
        <f t="shared" si="28"/>
        <v>-4098836</v>
      </c>
      <c r="H106" s="96">
        <f t="shared" si="28"/>
        <v>-4932427</v>
      </c>
      <c r="I106" s="96">
        <f t="shared" si="28"/>
        <v>-5120238</v>
      </c>
      <c r="J106" s="96">
        <f t="shared" si="28"/>
        <v>-4974324</v>
      </c>
      <c r="K106" s="96">
        <f t="shared" si="28"/>
        <v>-5466966</v>
      </c>
      <c r="L106" s="96">
        <f t="shared" si="28"/>
        <v>-8635119</v>
      </c>
      <c r="M106" s="96">
        <f t="shared" si="28"/>
        <v>-6304261</v>
      </c>
      <c r="N106" s="96">
        <f t="shared" si="28"/>
        <v>-6409632</v>
      </c>
      <c r="O106" s="96">
        <f t="shared" si="28"/>
        <v>-6452120</v>
      </c>
      <c r="P106" s="96">
        <f t="shared" si="28"/>
        <v>-5831791</v>
      </c>
      <c r="Q106" s="99">
        <f t="shared" si="26"/>
        <v>-67460456</v>
      </c>
      <c r="S106" s="35">
        <f t="shared" si="23"/>
        <v>1</v>
      </c>
    </row>
    <row r="107" spans="2:19" ht="23.1" customHeight="1">
      <c r="B107" s="7" t="str">
        <f>LR!B107</f>
        <v>610213 | BIAYA SEWA FOTO COPY DAN PERJILIDAN</v>
      </c>
      <c r="C107" s="100"/>
      <c r="D107" s="144" t="str">
        <f t="shared" si="27"/>
        <v>Beban</v>
      </c>
      <c r="E107" s="96">
        <f t="shared" si="28"/>
        <v>-577500</v>
      </c>
      <c r="F107" s="96">
        <f t="shared" si="28"/>
        <v>-581900</v>
      </c>
      <c r="G107" s="96">
        <f t="shared" si="28"/>
        <v>-500000</v>
      </c>
      <c r="H107" s="96">
        <f t="shared" si="28"/>
        <v>-806500</v>
      </c>
      <c r="I107" s="96">
        <f t="shared" si="28"/>
        <v>-588000</v>
      </c>
      <c r="J107" s="96">
        <f t="shared" si="28"/>
        <v>-557000</v>
      </c>
      <c r="K107" s="96">
        <f t="shared" si="28"/>
        <v>-585000</v>
      </c>
      <c r="L107" s="96">
        <f t="shared" si="28"/>
        <v>-575000</v>
      </c>
      <c r="M107" s="96">
        <f t="shared" si="28"/>
        <v>-3391500</v>
      </c>
      <c r="N107" s="96">
        <f t="shared" si="28"/>
        <v>-918000</v>
      </c>
      <c r="O107" s="96">
        <f t="shared" si="28"/>
        <v>-757000</v>
      </c>
      <c r="P107" s="96">
        <f t="shared" si="28"/>
        <v>-742100</v>
      </c>
      <c r="Q107" s="99">
        <f t="shared" si="26"/>
        <v>-10579500</v>
      </c>
      <c r="S107" s="35">
        <f t="shared" si="23"/>
        <v>1</v>
      </c>
    </row>
    <row r="108" spans="2:19" ht="23.1" customHeight="1">
      <c r="B108" s="7" t="str">
        <f>LR!B108</f>
        <v>610214 | TUNJANGAN UANG MAKAN DIREKSI</v>
      </c>
      <c r="C108" s="100"/>
      <c r="D108" s="144" t="str">
        <f t="shared" si="27"/>
        <v>Beban</v>
      </c>
      <c r="E108" s="96">
        <f t="shared" si="28"/>
        <v>0</v>
      </c>
      <c r="F108" s="96">
        <f t="shared" si="28"/>
        <v>0</v>
      </c>
      <c r="G108" s="96">
        <f t="shared" si="28"/>
        <v>0</v>
      </c>
      <c r="H108" s="96">
        <f t="shared" si="28"/>
        <v>0</v>
      </c>
      <c r="I108" s="96">
        <f t="shared" si="28"/>
        <v>0</v>
      </c>
      <c r="J108" s="96">
        <f t="shared" si="28"/>
        <v>0</v>
      </c>
      <c r="K108" s="96">
        <f t="shared" si="28"/>
        <v>0</v>
      </c>
      <c r="L108" s="96">
        <f t="shared" si="28"/>
        <v>0</v>
      </c>
      <c r="M108" s="96">
        <f t="shared" si="28"/>
        <v>0</v>
      </c>
      <c r="N108" s="96">
        <f t="shared" si="28"/>
        <v>0</v>
      </c>
      <c r="O108" s="96">
        <f t="shared" si="28"/>
        <v>0</v>
      </c>
      <c r="P108" s="96">
        <f t="shared" si="28"/>
        <v>0</v>
      </c>
      <c r="Q108" s="99">
        <f t="shared" si="26"/>
        <v>0</v>
      </c>
      <c r="S108" s="35">
        <f t="shared" si="23"/>
        <v>0</v>
      </c>
    </row>
    <row r="109" spans="2:19" ht="23.1" customHeight="1">
      <c r="B109" s="7" t="str">
        <f>LR!B109</f>
        <v>610215 | BIAYA TAMU</v>
      </c>
      <c r="C109" s="100"/>
      <c r="D109" s="144" t="str">
        <f t="shared" si="27"/>
        <v>Beban</v>
      </c>
      <c r="E109" s="96">
        <f t="shared" si="28"/>
        <v>-14632485</v>
      </c>
      <c r="F109" s="96">
        <f t="shared" si="28"/>
        <v>-9396116</v>
      </c>
      <c r="G109" s="96">
        <f t="shared" si="28"/>
        <v>-7850250</v>
      </c>
      <c r="H109" s="96">
        <f t="shared" si="28"/>
        <v>-4560875</v>
      </c>
      <c r="I109" s="96">
        <f t="shared" si="28"/>
        <v>-3742400</v>
      </c>
      <c r="J109" s="96">
        <f t="shared" si="28"/>
        <v>-9138900</v>
      </c>
      <c r="K109" s="96">
        <f t="shared" si="28"/>
        <v>-5812100</v>
      </c>
      <c r="L109" s="96">
        <f t="shared" si="28"/>
        <v>-12297805</v>
      </c>
      <c r="M109" s="96">
        <f t="shared" si="28"/>
        <v>-10899612</v>
      </c>
      <c r="N109" s="96">
        <f t="shared" si="28"/>
        <v>-11649030</v>
      </c>
      <c r="O109" s="96">
        <f t="shared" si="28"/>
        <v>-11380503</v>
      </c>
      <c r="P109" s="96">
        <f t="shared" si="28"/>
        <v>-4888330</v>
      </c>
      <c r="Q109" s="99">
        <f t="shared" si="26"/>
        <v>-106248406</v>
      </c>
      <c r="S109" s="35">
        <f t="shared" si="23"/>
        <v>1</v>
      </c>
    </row>
    <row r="110" spans="2:19" ht="23.1" customHeight="1">
      <c r="B110" s="7" t="str">
        <f>LR!B110</f>
        <v>610216 | BIAYA PERALATAN DAN PERLENGKAPAN KANTOR</v>
      </c>
      <c r="C110" s="100"/>
      <c r="D110" s="144" t="str">
        <f t="shared" si="27"/>
        <v>Beban</v>
      </c>
      <c r="E110" s="96">
        <f t="shared" si="28"/>
        <v>-4012100</v>
      </c>
      <c r="F110" s="96">
        <f t="shared" si="28"/>
        <v>-3393000</v>
      </c>
      <c r="G110" s="96">
        <f t="shared" si="28"/>
        <v>-3239062</v>
      </c>
      <c r="H110" s="96">
        <f t="shared" si="28"/>
        <v>-2345500</v>
      </c>
      <c r="I110" s="96">
        <f t="shared" si="28"/>
        <v>-4344960</v>
      </c>
      <c r="J110" s="96">
        <f t="shared" si="28"/>
        <v>-2845000</v>
      </c>
      <c r="K110" s="96">
        <f t="shared" si="28"/>
        <v>-2131200</v>
      </c>
      <c r="L110" s="96">
        <f t="shared" si="28"/>
        <v>-3134136</v>
      </c>
      <c r="M110" s="96">
        <f t="shared" si="28"/>
        <v>-8839200</v>
      </c>
      <c r="N110" s="96">
        <f t="shared" si="28"/>
        <v>-6637011</v>
      </c>
      <c r="O110" s="96">
        <f t="shared" si="28"/>
        <v>-4463282</v>
      </c>
      <c r="P110" s="96">
        <f t="shared" si="28"/>
        <v>-1205300</v>
      </c>
      <c r="Q110" s="99">
        <f t="shared" si="26"/>
        <v>-46589751</v>
      </c>
      <c r="S110" s="35">
        <f t="shared" si="23"/>
        <v>1</v>
      </c>
    </row>
    <row r="111" spans="2:19" ht="23.1" customHeight="1">
      <c r="B111" s="7" t="str">
        <f>LR!B111</f>
        <v>610217 | BIAYA PERJALANAN DINAS</v>
      </c>
      <c r="C111" s="100"/>
      <c r="D111" s="144" t="str">
        <f t="shared" si="27"/>
        <v>Beban</v>
      </c>
      <c r="E111" s="96">
        <f t="shared" si="28"/>
        <v>0</v>
      </c>
      <c r="F111" s="96">
        <f t="shared" si="28"/>
        <v>0</v>
      </c>
      <c r="G111" s="96">
        <f t="shared" si="28"/>
        <v>0</v>
      </c>
      <c r="H111" s="96">
        <f t="shared" si="28"/>
        <v>0</v>
      </c>
      <c r="I111" s="96">
        <f t="shared" si="28"/>
        <v>0</v>
      </c>
      <c r="J111" s="96">
        <f t="shared" si="28"/>
        <v>-24071700</v>
      </c>
      <c r="K111" s="96">
        <f t="shared" si="28"/>
        <v>-6000000</v>
      </c>
      <c r="L111" s="96">
        <f t="shared" si="28"/>
        <v>-27378600</v>
      </c>
      <c r="M111" s="96">
        <f t="shared" si="28"/>
        <v>0</v>
      </c>
      <c r="N111" s="96">
        <f t="shared" si="28"/>
        <v>-12151400</v>
      </c>
      <c r="O111" s="96">
        <f t="shared" si="28"/>
        <v>-24860000</v>
      </c>
      <c r="P111" s="96">
        <f t="shared" si="28"/>
        <v>-11860000</v>
      </c>
      <c r="Q111" s="99">
        <f t="shared" si="26"/>
        <v>-106321700</v>
      </c>
      <c r="S111" s="35">
        <f t="shared" si="23"/>
        <v>1</v>
      </c>
    </row>
    <row r="112" spans="2:19" ht="23.1" customHeight="1">
      <c r="B112" s="7" t="str">
        <f>LR!B112</f>
        <v>610218 | BIAYA PAKAIAN DINAS DAN UPACARA RESMI</v>
      </c>
      <c r="C112" s="100"/>
      <c r="D112" s="144" t="str">
        <f t="shared" si="27"/>
        <v>Beban</v>
      </c>
      <c r="E112" s="96">
        <f t="shared" si="28"/>
        <v>0</v>
      </c>
      <c r="F112" s="96">
        <f t="shared" si="28"/>
        <v>0</v>
      </c>
      <c r="G112" s="96">
        <f t="shared" si="28"/>
        <v>0</v>
      </c>
      <c r="H112" s="96">
        <f t="shared" si="28"/>
        <v>0</v>
      </c>
      <c r="I112" s="96">
        <f t="shared" si="28"/>
        <v>0</v>
      </c>
      <c r="J112" s="96">
        <f t="shared" si="28"/>
        <v>0</v>
      </c>
      <c r="K112" s="96">
        <f t="shared" si="28"/>
        <v>0</v>
      </c>
      <c r="L112" s="96">
        <f t="shared" si="28"/>
        <v>0</v>
      </c>
      <c r="M112" s="96">
        <f t="shared" si="28"/>
        <v>-126859459</v>
      </c>
      <c r="N112" s="96">
        <f t="shared" si="28"/>
        <v>0</v>
      </c>
      <c r="O112" s="96">
        <f t="shared" si="28"/>
        <v>0</v>
      </c>
      <c r="P112" s="96">
        <f t="shared" si="28"/>
        <v>0</v>
      </c>
      <c r="Q112" s="99">
        <f t="shared" si="26"/>
        <v>-126859459</v>
      </c>
      <c r="S112" s="35">
        <f t="shared" si="23"/>
        <v>1</v>
      </c>
    </row>
    <row r="113" spans="2:19" ht="23.1" customHeight="1">
      <c r="B113" s="7" t="str">
        <f>LR!B113</f>
        <v>610219 | BIAYA PAKAIAN OLAHRAGA</v>
      </c>
      <c r="C113" s="100"/>
      <c r="D113" s="144" t="str">
        <f t="shared" si="27"/>
        <v>Beban</v>
      </c>
      <c r="E113" s="96">
        <f t="shared" si="28"/>
        <v>0</v>
      </c>
      <c r="F113" s="96">
        <f t="shared" si="28"/>
        <v>0</v>
      </c>
      <c r="G113" s="96">
        <f t="shared" si="28"/>
        <v>0</v>
      </c>
      <c r="H113" s="96">
        <f t="shared" si="28"/>
        <v>0</v>
      </c>
      <c r="I113" s="96">
        <f t="shared" si="28"/>
        <v>0</v>
      </c>
      <c r="J113" s="96">
        <f t="shared" si="28"/>
        <v>0</v>
      </c>
      <c r="K113" s="96">
        <f t="shared" si="28"/>
        <v>0</v>
      </c>
      <c r="L113" s="96">
        <f t="shared" si="28"/>
        <v>0</v>
      </c>
      <c r="M113" s="96">
        <f t="shared" si="28"/>
        <v>0</v>
      </c>
      <c r="N113" s="96">
        <f t="shared" si="28"/>
        <v>0</v>
      </c>
      <c r="O113" s="96">
        <f t="shared" si="28"/>
        <v>0</v>
      </c>
      <c r="P113" s="96">
        <f t="shared" si="28"/>
        <v>0</v>
      </c>
      <c r="Q113" s="99">
        <f t="shared" si="26"/>
        <v>0</v>
      </c>
      <c r="S113" s="35">
        <f t="shared" si="23"/>
        <v>0</v>
      </c>
    </row>
    <row r="114" spans="2:19" ht="23.1" customHeight="1">
      <c r="B114" s="7" t="str">
        <f>LR!B114</f>
        <v>610220 | BIAYA KEGIATAN DHARMA WANITA DAN KORPRI</v>
      </c>
      <c r="C114" s="100"/>
      <c r="D114" s="144" t="str">
        <f t="shared" si="27"/>
        <v>Beban</v>
      </c>
      <c r="E114" s="96">
        <f t="shared" si="28"/>
        <v>0</v>
      </c>
      <c r="F114" s="96">
        <f t="shared" si="28"/>
        <v>0</v>
      </c>
      <c r="G114" s="96">
        <f t="shared" si="28"/>
        <v>0</v>
      </c>
      <c r="H114" s="96">
        <f t="shared" si="28"/>
        <v>0</v>
      </c>
      <c r="I114" s="96">
        <f t="shared" si="28"/>
        <v>0</v>
      </c>
      <c r="J114" s="96">
        <f t="shared" si="28"/>
        <v>0</v>
      </c>
      <c r="K114" s="96">
        <f t="shared" si="28"/>
        <v>0</v>
      </c>
      <c r="L114" s="96">
        <f t="shared" si="28"/>
        <v>0</v>
      </c>
      <c r="M114" s="96">
        <f t="shared" si="28"/>
        <v>0</v>
      </c>
      <c r="N114" s="96">
        <f t="shared" si="28"/>
        <v>0</v>
      </c>
      <c r="O114" s="96">
        <f t="shared" si="28"/>
        <v>0</v>
      </c>
      <c r="P114" s="96">
        <f t="shared" si="28"/>
        <v>0</v>
      </c>
      <c r="Q114" s="99">
        <f t="shared" si="26"/>
        <v>0</v>
      </c>
      <c r="S114" s="35">
        <f t="shared" si="23"/>
        <v>0</v>
      </c>
    </row>
    <row r="115" spans="2:19" ht="23.1" customHeight="1">
      <c r="B115" s="7" t="str">
        <f>LR!B115</f>
        <v>610221 | BIAYA PEMBINAAN KEAGAMAAN DAN OLAHRAGA</v>
      </c>
      <c r="C115" s="100"/>
      <c r="D115" s="144" t="str">
        <f t="shared" si="27"/>
        <v>Beban</v>
      </c>
      <c r="E115" s="96">
        <f t="shared" si="28"/>
        <v>0</v>
      </c>
      <c r="F115" s="96">
        <f t="shared" si="28"/>
        <v>0</v>
      </c>
      <c r="G115" s="96">
        <f t="shared" si="28"/>
        <v>0</v>
      </c>
      <c r="H115" s="96">
        <f t="shared" si="28"/>
        <v>-2000000</v>
      </c>
      <c r="I115" s="96">
        <f t="shared" si="28"/>
        <v>0</v>
      </c>
      <c r="J115" s="96">
        <f t="shared" si="28"/>
        <v>0</v>
      </c>
      <c r="K115" s="96">
        <f t="shared" si="28"/>
        <v>-3845000</v>
      </c>
      <c r="L115" s="96">
        <f t="shared" si="28"/>
        <v>-978000</v>
      </c>
      <c r="M115" s="96">
        <f t="shared" si="28"/>
        <v>-400000</v>
      </c>
      <c r="N115" s="96">
        <f t="shared" si="28"/>
        <v>0</v>
      </c>
      <c r="O115" s="96">
        <f t="shared" si="28"/>
        <v>0</v>
      </c>
      <c r="P115" s="96">
        <f t="shared" si="28"/>
        <v>-200000</v>
      </c>
      <c r="Q115" s="99">
        <f t="shared" si="26"/>
        <v>-7423000</v>
      </c>
      <c r="S115" s="35">
        <f t="shared" si="23"/>
        <v>1</v>
      </c>
    </row>
    <row r="116" spans="2:19" ht="23.1" customHeight="1">
      <c r="B116" s="7" t="str">
        <f>LR!B116</f>
        <v>610222 | BIAYA PERAYAAN DAERAH DAN NASIONAL</v>
      </c>
      <c r="C116" s="100"/>
      <c r="D116" s="144" t="str">
        <f t="shared" si="27"/>
        <v>Beban</v>
      </c>
      <c r="E116" s="96">
        <f t="shared" si="28"/>
        <v>0</v>
      </c>
      <c r="F116" s="96">
        <f t="shared" si="28"/>
        <v>0</v>
      </c>
      <c r="G116" s="96">
        <f t="shared" si="28"/>
        <v>-1439500</v>
      </c>
      <c r="H116" s="96">
        <f t="shared" si="28"/>
        <v>0</v>
      </c>
      <c r="I116" s="96">
        <f t="shared" si="28"/>
        <v>0</v>
      </c>
      <c r="J116" s="96">
        <f t="shared" si="28"/>
        <v>0</v>
      </c>
      <c r="K116" s="96">
        <f t="shared" si="28"/>
        <v>0</v>
      </c>
      <c r="L116" s="96">
        <f t="shared" si="28"/>
        <v>-1000000</v>
      </c>
      <c r="M116" s="96">
        <f t="shared" si="28"/>
        <v>-23596000</v>
      </c>
      <c r="N116" s="96">
        <f t="shared" si="28"/>
        <v>-16250000</v>
      </c>
      <c r="O116" s="96">
        <f t="shared" si="28"/>
        <v>0</v>
      </c>
      <c r="P116" s="96">
        <f t="shared" si="28"/>
        <v>-2500000</v>
      </c>
      <c r="Q116" s="99">
        <f t="shared" si="26"/>
        <v>-44785500</v>
      </c>
      <c r="S116" s="35">
        <f t="shared" si="23"/>
        <v>1</v>
      </c>
    </row>
    <row r="117" spans="2:19" ht="23.1" customHeight="1">
      <c r="B117" s="7" t="str">
        <f>LR!B117</f>
        <v>610223 | BIAYA JASA AUDIT</v>
      </c>
      <c r="C117" s="100"/>
      <c r="D117" s="144" t="str">
        <f t="shared" si="27"/>
        <v>Beban</v>
      </c>
      <c r="E117" s="96">
        <f t="shared" si="28"/>
        <v>0</v>
      </c>
      <c r="F117" s="96">
        <f t="shared" si="28"/>
        <v>0</v>
      </c>
      <c r="G117" s="96">
        <f t="shared" si="28"/>
        <v>-60500000</v>
      </c>
      <c r="H117" s="96">
        <f t="shared" si="28"/>
        <v>0</v>
      </c>
      <c r="I117" s="96">
        <f t="shared" si="28"/>
        <v>0</v>
      </c>
      <c r="J117" s="96">
        <f t="shared" si="28"/>
        <v>0</v>
      </c>
      <c r="K117" s="96">
        <f t="shared" si="28"/>
        <v>0</v>
      </c>
      <c r="L117" s="96">
        <f t="shared" si="28"/>
        <v>0</v>
      </c>
      <c r="M117" s="96">
        <f t="shared" si="28"/>
        <v>0</v>
      </c>
      <c r="N117" s="96">
        <f t="shared" si="28"/>
        <v>0</v>
      </c>
      <c r="O117" s="96">
        <f t="shared" si="28"/>
        <v>0</v>
      </c>
      <c r="P117" s="96">
        <f t="shared" si="28"/>
        <v>0</v>
      </c>
      <c r="Q117" s="99">
        <f t="shared" si="26"/>
        <v>-60500000</v>
      </c>
      <c r="S117" s="35">
        <f t="shared" si="23"/>
        <v>1</v>
      </c>
    </row>
    <row r="118" spans="2:19" ht="23.1" customHeight="1">
      <c r="B118" s="7" t="str">
        <f>LR!B118</f>
        <v>610225 | BIAYA FAMILY GATHERING</v>
      </c>
      <c r="C118" s="100"/>
      <c r="D118" s="144" t="str">
        <f t="shared" si="27"/>
        <v>Beban</v>
      </c>
      <c r="E118" s="96">
        <f t="shared" si="28"/>
        <v>0</v>
      </c>
      <c r="F118" s="96">
        <f t="shared" si="28"/>
        <v>0</v>
      </c>
      <c r="G118" s="96">
        <f t="shared" si="28"/>
        <v>0</v>
      </c>
      <c r="H118" s="96">
        <f t="shared" si="28"/>
        <v>0</v>
      </c>
      <c r="I118" s="96">
        <f t="shared" si="28"/>
        <v>0</v>
      </c>
      <c r="J118" s="96">
        <f t="shared" si="28"/>
        <v>0</v>
      </c>
      <c r="K118" s="96">
        <f t="shared" si="28"/>
        <v>0</v>
      </c>
      <c r="L118" s="96">
        <f t="shared" si="28"/>
        <v>0</v>
      </c>
      <c r="M118" s="96">
        <f t="shared" si="28"/>
        <v>0</v>
      </c>
      <c r="N118" s="96">
        <f t="shared" si="28"/>
        <v>0</v>
      </c>
      <c r="O118" s="96">
        <f t="shared" si="28"/>
        <v>0</v>
      </c>
      <c r="P118" s="96">
        <f t="shared" si="28"/>
        <v>-31364000</v>
      </c>
      <c r="Q118" s="99">
        <f t="shared" si="26"/>
        <v>-31364000</v>
      </c>
      <c r="S118" s="35">
        <f t="shared" si="23"/>
        <v>1</v>
      </c>
    </row>
    <row r="119" spans="2:19" ht="23.1" customHeight="1">
      <c r="B119" s="7" t="str">
        <f>LR!B119</f>
        <v>610226 | BIAYA PENDIDIKAN</v>
      </c>
      <c r="C119" s="100"/>
      <c r="D119" s="144" t="str">
        <f t="shared" si="27"/>
        <v>Beban</v>
      </c>
      <c r="E119" s="96">
        <f t="shared" si="28"/>
        <v>0</v>
      </c>
      <c r="F119" s="96">
        <f t="shared" si="28"/>
        <v>0</v>
      </c>
      <c r="G119" s="96">
        <f t="shared" si="28"/>
        <v>0</v>
      </c>
      <c r="H119" s="96">
        <f t="shared" si="28"/>
        <v>0</v>
      </c>
      <c r="I119" s="96">
        <f t="shared" si="28"/>
        <v>0</v>
      </c>
      <c r="J119" s="96">
        <f t="shared" si="28"/>
        <v>0</v>
      </c>
      <c r="K119" s="96">
        <f t="shared" si="28"/>
        <v>0</v>
      </c>
      <c r="L119" s="96">
        <f t="shared" si="28"/>
        <v>0</v>
      </c>
      <c r="M119" s="96">
        <f t="shared" si="28"/>
        <v>0</v>
      </c>
      <c r="N119" s="96">
        <f t="shared" si="28"/>
        <v>0</v>
      </c>
      <c r="O119" s="96">
        <f t="shared" si="28"/>
        <v>0</v>
      </c>
      <c r="P119" s="96">
        <f t="shared" si="28"/>
        <v>0</v>
      </c>
      <c r="Q119" s="99">
        <f t="shared" si="26"/>
        <v>0</v>
      </c>
      <c r="S119" s="35">
        <f t="shared" si="23"/>
        <v>0</v>
      </c>
    </row>
    <row r="120" spans="2:19" ht="23.1" customHeight="1">
      <c r="B120" s="7" t="str">
        <f>LR!B120</f>
        <v>610227 | BIAYA REWARD PEGAWAI</v>
      </c>
      <c r="C120" s="100"/>
      <c r="D120" s="144" t="str">
        <f t="shared" si="27"/>
        <v>Beban</v>
      </c>
      <c r="E120" s="96">
        <f t="shared" si="28"/>
        <v>-4505488</v>
      </c>
      <c r="F120" s="96">
        <f t="shared" si="28"/>
        <v>-2044800</v>
      </c>
      <c r="G120" s="96">
        <f t="shared" si="28"/>
        <v>0</v>
      </c>
      <c r="H120" s="96">
        <f t="shared" si="28"/>
        <v>0</v>
      </c>
      <c r="I120" s="96">
        <f t="shared" si="28"/>
        <v>0</v>
      </c>
      <c r="J120" s="96">
        <f t="shared" si="28"/>
        <v>0</v>
      </c>
      <c r="K120" s="96">
        <f t="shared" si="28"/>
        <v>0</v>
      </c>
      <c r="L120" s="96">
        <f t="shared" si="28"/>
        <v>0</v>
      </c>
      <c r="M120" s="96">
        <f t="shared" si="28"/>
        <v>0</v>
      </c>
      <c r="N120" s="96">
        <f t="shared" si="28"/>
        <v>0</v>
      </c>
      <c r="O120" s="96">
        <f t="shared" si="28"/>
        <v>0</v>
      </c>
      <c r="P120" s="96">
        <f t="shared" si="28"/>
        <v>0</v>
      </c>
      <c r="Q120" s="99">
        <f t="shared" si="26"/>
        <v>-6550288</v>
      </c>
      <c r="S120" s="35">
        <f t="shared" si="23"/>
        <v>1</v>
      </c>
    </row>
    <row r="121" spans="2:19" ht="23.1" customHeight="1">
      <c r="B121" s="7" t="str">
        <f>LR!B121</f>
        <v>610228 | BIAYA ASURANSI DAN SANTUNAN JUKIR DAN PEGAWAI</v>
      </c>
      <c r="C121" s="100"/>
      <c r="D121" s="144" t="str">
        <f t="shared" si="27"/>
        <v>Beban</v>
      </c>
      <c r="E121" s="96">
        <f t="shared" ref="E121:P136" si="29">IF(INDEX(typ_sn,MATCH(INDEX(akun_type,MATCH($B121,akun_kb,0)),typ_ket,0))="db",SUMIFS(ju_sld,ju_bln,TEXT(E$8,"mmmm"),ju_kr,$B121)-SUMIFS(ju_sld,ju_bln,TEXT(E$8,"mmmm"),ju_debet,$B121),SUMIFS(ju_sld,ju_bln,TEXT(E$8,"mmmm"),ju_kr,$B121)-SUMIFS(ju_sld,ju_bln,TEXT(E$8,"mmmm"),ju_debet,$B121))</f>
        <v>-23151200</v>
      </c>
      <c r="F121" s="96">
        <f t="shared" si="29"/>
        <v>-22086000</v>
      </c>
      <c r="G121" s="96">
        <f t="shared" si="29"/>
        <v>-23386400</v>
      </c>
      <c r="H121" s="96">
        <f t="shared" si="29"/>
        <v>-21201600</v>
      </c>
      <c r="I121" s="96">
        <f t="shared" si="29"/>
        <v>-21604800</v>
      </c>
      <c r="J121" s="96">
        <f t="shared" si="29"/>
        <v>-22237200</v>
      </c>
      <c r="K121" s="96">
        <f t="shared" si="29"/>
        <v>-21487200</v>
      </c>
      <c r="L121" s="96">
        <f t="shared" si="29"/>
        <v>-33508400</v>
      </c>
      <c r="M121" s="96">
        <f t="shared" si="29"/>
        <v>0</v>
      </c>
      <c r="N121" s="96">
        <f t="shared" si="29"/>
        <v>-26644800</v>
      </c>
      <c r="O121" s="96">
        <f t="shared" si="29"/>
        <v>-8340404</v>
      </c>
      <c r="P121" s="96">
        <f t="shared" si="29"/>
        <v>-32582004</v>
      </c>
      <c r="Q121" s="99">
        <f t="shared" si="26"/>
        <v>-256230008</v>
      </c>
      <c r="S121" s="35">
        <f t="shared" si="23"/>
        <v>1</v>
      </c>
    </row>
    <row r="122" spans="2:19" ht="23.1" customHeight="1">
      <c r="B122" s="7" t="str">
        <f>LR!B122</f>
        <v>610229 | BIAYA PAJAK PPH BADAN</v>
      </c>
      <c r="C122" s="100"/>
      <c r="D122" s="144" t="str">
        <f t="shared" si="27"/>
        <v>Beban</v>
      </c>
      <c r="E122" s="96">
        <f t="shared" si="29"/>
        <v>0</v>
      </c>
      <c r="F122" s="96">
        <f t="shared" si="29"/>
        <v>0</v>
      </c>
      <c r="G122" s="96">
        <f t="shared" si="29"/>
        <v>0</v>
      </c>
      <c r="H122" s="96">
        <f t="shared" si="29"/>
        <v>0</v>
      </c>
      <c r="I122" s="96">
        <f t="shared" si="29"/>
        <v>0</v>
      </c>
      <c r="J122" s="96">
        <f t="shared" si="29"/>
        <v>0</v>
      </c>
      <c r="K122" s="96">
        <f t="shared" si="29"/>
        <v>0</v>
      </c>
      <c r="L122" s="96">
        <f t="shared" si="29"/>
        <v>0</v>
      </c>
      <c r="M122" s="96">
        <f t="shared" si="29"/>
        <v>0</v>
      </c>
      <c r="N122" s="96">
        <f t="shared" si="29"/>
        <v>0</v>
      </c>
      <c r="O122" s="96">
        <f t="shared" si="29"/>
        <v>0</v>
      </c>
      <c r="P122" s="96">
        <f t="shared" si="29"/>
        <v>0</v>
      </c>
      <c r="Q122" s="99">
        <f t="shared" si="26"/>
        <v>0</v>
      </c>
      <c r="S122" s="35">
        <f t="shared" si="23"/>
        <v>0</v>
      </c>
    </row>
    <row r="123" spans="2:19" ht="23.1" customHeight="1">
      <c r="B123" s="7" t="str">
        <f>LR!B123</f>
        <v>610230 | BIAYA INSENTIF PEMBUATAN RKAP DAN PERDA</v>
      </c>
      <c r="C123" s="100"/>
      <c r="D123" s="144" t="str">
        <f t="shared" si="27"/>
        <v>Beban</v>
      </c>
      <c r="E123" s="96">
        <f t="shared" si="29"/>
        <v>0</v>
      </c>
      <c r="F123" s="96">
        <f t="shared" si="29"/>
        <v>0</v>
      </c>
      <c r="G123" s="96">
        <f t="shared" si="29"/>
        <v>0</v>
      </c>
      <c r="H123" s="96">
        <f t="shared" si="29"/>
        <v>0</v>
      </c>
      <c r="I123" s="96">
        <f t="shared" si="29"/>
        <v>0</v>
      </c>
      <c r="J123" s="96">
        <f t="shared" si="29"/>
        <v>0</v>
      </c>
      <c r="K123" s="96">
        <f t="shared" si="29"/>
        <v>0</v>
      </c>
      <c r="L123" s="96">
        <f t="shared" si="29"/>
        <v>0</v>
      </c>
      <c r="M123" s="96">
        <f t="shared" si="29"/>
        <v>0</v>
      </c>
      <c r="N123" s="96">
        <f t="shared" si="29"/>
        <v>0</v>
      </c>
      <c r="O123" s="96">
        <f t="shared" si="29"/>
        <v>-5100000</v>
      </c>
      <c r="P123" s="96">
        <f t="shared" si="29"/>
        <v>0</v>
      </c>
      <c r="Q123" s="99">
        <f t="shared" si="26"/>
        <v>-5100000</v>
      </c>
      <c r="S123" s="35">
        <f t="shared" si="23"/>
        <v>1</v>
      </c>
    </row>
    <row r="124" spans="2:19" ht="23.1" customHeight="1">
      <c r="B124" s="7" t="str">
        <f>LR!B124</f>
        <v>610231 | BIAYA HONOR TIM AHLI</v>
      </c>
      <c r="C124" s="100"/>
      <c r="D124" s="144" t="str">
        <f t="shared" si="27"/>
        <v>Beban</v>
      </c>
      <c r="E124" s="96">
        <f t="shared" si="29"/>
        <v>0</v>
      </c>
      <c r="F124" s="96">
        <f t="shared" si="29"/>
        <v>0</v>
      </c>
      <c r="G124" s="96">
        <f t="shared" si="29"/>
        <v>0</v>
      </c>
      <c r="H124" s="96">
        <f t="shared" si="29"/>
        <v>0</v>
      </c>
      <c r="I124" s="96">
        <f t="shared" si="29"/>
        <v>0</v>
      </c>
      <c r="J124" s="96">
        <f t="shared" si="29"/>
        <v>0</v>
      </c>
      <c r="K124" s="96">
        <f t="shared" si="29"/>
        <v>0</v>
      </c>
      <c r="L124" s="96">
        <f t="shared" si="29"/>
        <v>0</v>
      </c>
      <c r="M124" s="96">
        <f t="shared" si="29"/>
        <v>0</v>
      </c>
      <c r="N124" s="96">
        <f t="shared" si="29"/>
        <v>0</v>
      </c>
      <c r="O124" s="96">
        <f t="shared" si="29"/>
        <v>0</v>
      </c>
      <c r="P124" s="96">
        <f t="shared" si="29"/>
        <v>0</v>
      </c>
      <c r="Q124" s="99">
        <f t="shared" si="26"/>
        <v>0</v>
      </c>
      <c r="S124" s="35">
        <f t="shared" si="23"/>
        <v>0</v>
      </c>
    </row>
    <row r="125" spans="2:19" ht="23.1" customHeight="1">
      <c r="B125" s="7" t="str">
        <f>LR!B125</f>
        <v>610232 | BIAYA ASSESMENT PEGAWAI</v>
      </c>
      <c r="C125" s="100"/>
      <c r="D125" s="144" t="str">
        <f t="shared" si="27"/>
        <v>Beban</v>
      </c>
      <c r="E125" s="96">
        <f t="shared" si="29"/>
        <v>-132000000</v>
      </c>
      <c r="F125" s="96">
        <f t="shared" si="29"/>
        <v>0</v>
      </c>
      <c r="G125" s="96">
        <f t="shared" si="29"/>
        <v>0</v>
      </c>
      <c r="H125" s="96">
        <f t="shared" si="29"/>
        <v>0</v>
      </c>
      <c r="I125" s="96">
        <f t="shared" si="29"/>
        <v>0</v>
      </c>
      <c r="J125" s="96">
        <f t="shared" si="29"/>
        <v>0</v>
      </c>
      <c r="K125" s="96">
        <f t="shared" si="29"/>
        <v>0</v>
      </c>
      <c r="L125" s="96">
        <f t="shared" si="29"/>
        <v>0</v>
      </c>
      <c r="M125" s="96">
        <f t="shared" si="29"/>
        <v>0</v>
      </c>
      <c r="N125" s="96">
        <f t="shared" si="29"/>
        <v>0</v>
      </c>
      <c r="O125" s="96">
        <f t="shared" si="29"/>
        <v>0</v>
      </c>
      <c r="P125" s="96">
        <f t="shared" si="29"/>
        <v>0</v>
      </c>
      <c r="Q125" s="99">
        <f t="shared" si="26"/>
        <v>-132000000</v>
      </c>
      <c r="S125" s="35">
        <f t="shared" si="23"/>
        <v>1</v>
      </c>
    </row>
    <row r="126" spans="2:19" ht="23.1" customHeight="1">
      <c r="B126" s="7" t="str">
        <f>LR!B126</f>
        <v>610233 | BIAYA RAKORD DAN RAPAT KERJA PD. PARKIR</v>
      </c>
      <c r="C126" s="100"/>
      <c r="D126" s="144" t="str">
        <f t="shared" si="27"/>
        <v>Beban</v>
      </c>
      <c r="E126" s="96">
        <f t="shared" si="29"/>
        <v>0</v>
      </c>
      <c r="F126" s="96">
        <f t="shared" si="29"/>
        <v>0</v>
      </c>
      <c r="G126" s="96">
        <f t="shared" si="29"/>
        <v>-24856320</v>
      </c>
      <c r="H126" s="96">
        <f t="shared" si="29"/>
        <v>0</v>
      </c>
      <c r="I126" s="96">
        <f t="shared" si="29"/>
        <v>0</v>
      </c>
      <c r="J126" s="96">
        <f t="shared" si="29"/>
        <v>0</v>
      </c>
      <c r="K126" s="96">
        <f t="shared" si="29"/>
        <v>0</v>
      </c>
      <c r="L126" s="96">
        <f t="shared" si="29"/>
        <v>0</v>
      </c>
      <c r="M126" s="96">
        <f t="shared" si="29"/>
        <v>0</v>
      </c>
      <c r="N126" s="96">
        <f t="shared" si="29"/>
        <v>0</v>
      </c>
      <c r="O126" s="96">
        <f t="shared" si="29"/>
        <v>0</v>
      </c>
      <c r="P126" s="96">
        <f t="shared" si="29"/>
        <v>0</v>
      </c>
      <c r="Q126" s="99">
        <f t="shared" si="26"/>
        <v>-24856320</v>
      </c>
      <c r="S126" s="35">
        <f t="shared" si="23"/>
        <v>1</v>
      </c>
    </row>
    <row r="127" spans="2:19" ht="23.1" customHeight="1">
      <c r="B127" s="7" t="str">
        <f>LR!B127</f>
        <v>610234 | BEBAN PESANGON</v>
      </c>
      <c r="C127" s="100"/>
      <c r="D127" s="144" t="str">
        <f t="shared" si="27"/>
        <v>Beban</v>
      </c>
      <c r="E127" s="96">
        <f t="shared" si="29"/>
        <v>0</v>
      </c>
      <c r="F127" s="96">
        <f t="shared" si="29"/>
        <v>0</v>
      </c>
      <c r="G127" s="96">
        <f t="shared" si="29"/>
        <v>0</v>
      </c>
      <c r="H127" s="96">
        <f t="shared" si="29"/>
        <v>0</v>
      </c>
      <c r="I127" s="96">
        <f t="shared" si="29"/>
        <v>0</v>
      </c>
      <c r="J127" s="96">
        <f t="shared" si="29"/>
        <v>0</v>
      </c>
      <c r="K127" s="96">
        <f t="shared" si="29"/>
        <v>0</v>
      </c>
      <c r="L127" s="96">
        <f t="shared" si="29"/>
        <v>0</v>
      </c>
      <c r="M127" s="96">
        <f t="shared" si="29"/>
        <v>-203530675</v>
      </c>
      <c r="N127" s="96">
        <f t="shared" si="29"/>
        <v>0</v>
      </c>
      <c r="O127" s="96">
        <f t="shared" si="29"/>
        <v>0</v>
      </c>
      <c r="P127" s="96">
        <f t="shared" si="29"/>
        <v>0</v>
      </c>
      <c r="Q127" s="99">
        <f t="shared" si="26"/>
        <v>-203530675</v>
      </c>
      <c r="S127" s="35">
        <f t="shared" si="23"/>
        <v>1</v>
      </c>
    </row>
    <row r="128" spans="2:19" ht="23.1" customHeight="1">
      <c r="B128" s="7" t="str">
        <f>LR!B128</f>
        <v>610235 | BIAYA PENGHARGAAN</v>
      </c>
      <c r="C128" s="100"/>
      <c r="D128" s="144" t="str">
        <f t="shared" si="27"/>
        <v>Beban</v>
      </c>
      <c r="E128" s="96">
        <f t="shared" si="29"/>
        <v>0</v>
      </c>
      <c r="F128" s="96">
        <f t="shared" si="29"/>
        <v>0</v>
      </c>
      <c r="G128" s="96">
        <f t="shared" si="29"/>
        <v>0</v>
      </c>
      <c r="H128" s="96">
        <f t="shared" si="29"/>
        <v>0</v>
      </c>
      <c r="I128" s="96">
        <f t="shared" si="29"/>
        <v>0</v>
      </c>
      <c r="J128" s="96">
        <f t="shared" si="29"/>
        <v>0</v>
      </c>
      <c r="K128" s="96">
        <f t="shared" si="29"/>
        <v>0</v>
      </c>
      <c r="L128" s="96">
        <f t="shared" si="29"/>
        <v>0</v>
      </c>
      <c r="M128" s="96">
        <f t="shared" si="29"/>
        <v>0</v>
      </c>
      <c r="N128" s="96">
        <f t="shared" si="29"/>
        <v>0</v>
      </c>
      <c r="O128" s="96">
        <f t="shared" si="29"/>
        <v>0</v>
      </c>
      <c r="P128" s="96">
        <f t="shared" si="29"/>
        <v>0</v>
      </c>
      <c r="Q128" s="99">
        <f t="shared" si="26"/>
        <v>0</v>
      </c>
      <c r="S128" s="35">
        <f t="shared" si="23"/>
        <v>0</v>
      </c>
    </row>
    <row r="129" spans="2:19" ht="23.1" customHeight="1">
      <c r="B129" s="7" t="str">
        <f>LR!B129</f>
        <v>610236 | BEBAN PENGHAPUSAN PIUTANG TAK TERTAGIH</v>
      </c>
      <c r="C129" s="100"/>
      <c r="D129" s="144" t="str">
        <f t="shared" si="27"/>
        <v>Beban</v>
      </c>
      <c r="E129" s="96">
        <f t="shared" si="29"/>
        <v>0</v>
      </c>
      <c r="F129" s="96">
        <f t="shared" si="29"/>
        <v>0</v>
      </c>
      <c r="G129" s="96">
        <f t="shared" si="29"/>
        <v>0</v>
      </c>
      <c r="H129" s="96">
        <f t="shared" si="29"/>
        <v>0</v>
      </c>
      <c r="I129" s="96">
        <f t="shared" si="29"/>
        <v>0</v>
      </c>
      <c r="J129" s="96">
        <f t="shared" si="29"/>
        <v>0</v>
      </c>
      <c r="K129" s="96">
        <f t="shared" si="29"/>
        <v>0</v>
      </c>
      <c r="L129" s="96">
        <f t="shared" si="29"/>
        <v>0</v>
      </c>
      <c r="M129" s="96">
        <f t="shared" si="29"/>
        <v>0</v>
      </c>
      <c r="N129" s="96">
        <f t="shared" si="29"/>
        <v>0</v>
      </c>
      <c r="O129" s="96">
        <f t="shared" si="29"/>
        <v>0</v>
      </c>
      <c r="P129" s="96">
        <f t="shared" si="29"/>
        <v>0</v>
      </c>
      <c r="Q129" s="99">
        <f t="shared" si="26"/>
        <v>0</v>
      </c>
      <c r="S129" s="35">
        <f t="shared" si="23"/>
        <v>0</v>
      </c>
    </row>
    <row r="130" spans="2:19" ht="23.1" customHeight="1">
      <c r="B130" s="7" t="str">
        <f>LR!B130</f>
        <v>610237 | BEBAN DENDA PAJAK</v>
      </c>
      <c r="C130" s="100"/>
      <c r="D130" s="144" t="str">
        <f t="shared" si="27"/>
        <v>Beban</v>
      </c>
      <c r="E130" s="96">
        <f t="shared" si="29"/>
        <v>-1242433</v>
      </c>
      <c r="F130" s="96">
        <f t="shared" si="29"/>
        <v>0</v>
      </c>
      <c r="G130" s="96">
        <f t="shared" si="29"/>
        <v>0</v>
      </c>
      <c r="H130" s="96">
        <f t="shared" si="29"/>
        <v>0</v>
      </c>
      <c r="I130" s="96">
        <f t="shared" si="29"/>
        <v>0</v>
      </c>
      <c r="J130" s="96">
        <f t="shared" si="29"/>
        <v>0</v>
      </c>
      <c r="K130" s="96">
        <f t="shared" si="29"/>
        <v>0</v>
      </c>
      <c r="L130" s="96">
        <f t="shared" si="29"/>
        <v>0</v>
      </c>
      <c r="M130" s="96">
        <f t="shared" si="29"/>
        <v>0</v>
      </c>
      <c r="N130" s="96">
        <f t="shared" si="29"/>
        <v>0</v>
      </c>
      <c r="O130" s="96">
        <f t="shared" si="29"/>
        <v>0</v>
      </c>
      <c r="P130" s="96">
        <f t="shared" si="29"/>
        <v>-4448947</v>
      </c>
      <c r="Q130" s="99">
        <f t="shared" si="26"/>
        <v>-5691380</v>
      </c>
      <c r="S130" s="35">
        <f t="shared" si="23"/>
        <v>1</v>
      </c>
    </row>
    <row r="131" spans="2:19" ht="23.1" customHeight="1">
      <c r="B131" s="7" t="str">
        <f>LR!B131</f>
        <v xml:space="preserve">610238 | BEBAN PAJAK TERUTANG </v>
      </c>
      <c r="C131" s="100"/>
      <c r="D131" s="144" t="str">
        <f t="shared" si="27"/>
        <v>Beban</v>
      </c>
      <c r="E131" s="96">
        <f t="shared" si="29"/>
        <v>0</v>
      </c>
      <c r="F131" s="96">
        <f t="shared" si="29"/>
        <v>0</v>
      </c>
      <c r="G131" s="96">
        <f t="shared" si="29"/>
        <v>0</v>
      </c>
      <c r="H131" s="96">
        <f t="shared" si="29"/>
        <v>0</v>
      </c>
      <c r="I131" s="96">
        <f t="shared" si="29"/>
        <v>0</v>
      </c>
      <c r="J131" s="96">
        <f t="shared" si="29"/>
        <v>0</v>
      </c>
      <c r="K131" s="96">
        <f t="shared" si="29"/>
        <v>0</v>
      </c>
      <c r="L131" s="96">
        <f t="shared" si="29"/>
        <v>0</v>
      </c>
      <c r="M131" s="96">
        <f t="shared" si="29"/>
        <v>0</v>
      </c>
      <c r="N131" s="96">
        <f t="shared" si="29"/>
        <v>0</v>
      </c>
      <c r="O131" s="96">
        <f t="shared" si="29"/>
        <v>-17326610</v>
      </c>
      <c r="P131" s="96">
        <f t="shared" si="29"/>
        <v>0</v>
      </c>
      <c r="Q131" s="99">
        <f t="shared" si="26"/>
        <v>-17326610</v>
      </c>
      <c r="S131" s="35">
        <f t="shared" si="23"/>
        <v>1</v>
      </c>
    </row>
    <row r="132" spans="2:19" ht="23.1" customHeight="1">
      <c r="B132" s="7" t="str">
        <f>LR!B132</f>
        <v>610239 | BEBAN DIVIDEN</v>
      </c>
      <c r="C132" s="100"/>
      <c r="D132" s="144" t="str">
        <f t="shared" si="27"/>
        <v>Beban</v>
      </c>
      <c r="E132" s="96">
        <f t="shared" si="29"/>
        <v>0</v>
      </c>
      <c r="F132" s="96">
        <f t="shared" si="29"/>
        <v>0</v>
      </c>
      <c r="G132" s="96">
        <f t="shared" si="29"/>
        <v>0</v>
      </c>
      <c r="H132" s="96">
        <f t="shared" si="29"/>
        <v>0</v>
      </c>
      <c r="I132" s="96">
        <f t="shared" si="29"/>
        <v>0</v>
      </c>
      <c r="J132" s="96">
        <f t="shared" si="29"/>
        <v>0</v>
      </c>
      <c r="K132" s="96">
        <f t="shared" si="29"/>
        <v>0</v>
      </c>
      <c r="L132" s="96">
        <f t="shared" si="29"/>
        <v>0</v>
      </c>
      <c r="M132" s="96">
        <f t="shared" si="29"/>
        <v>0</v>
      </c>
      <c r="N132" s="96">
        <f t="shared" si="29"/>
        <v>0</v>
      </c>
      <c r="O132" s="96">
        <f t="shared" si="29"/>
        <v>0</v>
      </c>
      <c r="P132" s="96">
        <f t="shared" si="29"/>
        <v>0</v>
      </c>
      <c r="Q132" s="99">
        <f t="shared" si="26"/>
        <v>0</v>
      </c>
      <c r="S132" s="35">
        <f t="shared" si="23"/>
        <v>0</v>
      </c>
    </row>
    <row r="133" spans="2:19" ht="23.1" customHeight="1">
      <c r="B133" s="7" t="str">
        <f>LR!B133</f>
        <v>610240 | BEBAN PEMBUATAN BISNIS PLAN</v>
      </c>
      <c r="C133" s="100"/>
      <c r="D133" s="144" t="str">
        <f t="shared" si="27"/>
        <v>Beban</v>
      </c>
      <c r="E133" s="96">
        <f t="shared" si="29"/>
        <v>0</v>
      </c>
      <c r="F133" s="96">
        <f t="shared" si="29"/>
        <v>0</v>
      </c>
      <c r="G133" s="96">
        <f t="shared" si="29"/>
        <v>0</v>
      </c>
      <c r="H133" s="96">
        <f t="shared" si="29"/>
        <v>0</v>
      </c>
      <c r="I133" s="96">
        <f t="shared" si="29"/>
        <v>0</v>
      </c>
      <c r="J133" s="96">
        <f t="shared" si="29"/>
        <v>0</v>
      </c>
      <c r="K133" s="96">
        <f t="shared" si="29"/>
        <v>0</v>
      </c>
      <c r="L133" s="96">
        <f t="shared" si="29"/>
        <v>0</v>
      </c>
      <c r="M133" s="96">
        <f t="shared" si="29"/>
        <v>0</v>
      </c>
      <c r="N133" s="96">
        <f t="shared" si="29"/>
        <v>0</v>
      </c>
      <c r="O133" s="96">
        <f t="shared" si="29"/>
        <v>-39960000</v>
      </c>
      <c r="P133" s="96">
        <f t="shared" si="29"/>
        <v>0</v>
      </c>
      <c r="Q133" s="99">
        <f t="shared" si="26"/>
        <v>-39960000</v>
      </c>
      <c r="S133" s="35">
        <f t="shared" si="23"/>
        <v>1</v>
      </c>
    </row>
    <row r="134" spans="2:19" ht="23.1" customHeight="1">
      <c r="B134" s="7" t="str">
        <f>LR!B134</f>
        <v>610241 | BEBAN PENGAKUAN DPLK DIREKSI (ASURANSI)</v>
      </c>
      <c r="C134" s="100"/>
      <c r="D134" s="144" t="str">
        <f t="shared" si="27"/>
        <v>Beban</v>
      </c>
      <c r="E134" s="96">
        <f t="shared" si="29"/>
        <v>0</v>
      </c>
      <c r="F134" s="96">
        <f t="shared" si="29"/>
        <v>0</v>
      </c>
      <c r="G134" s="96">
        <f t="shared" si="29"/>
        <v>0</v>
      </c>
      <c r="H134" s="96">
        <f t="shared" si="29"/>
        <v>0</v>
      </c>
      <c r="I134" s="96">
        <f t="shared" si="29"/>
        <v>0</v>
      </c>
      <c r="J134" s="96">
        <f t="shared" si="29"/>
        <v>0</v>
      </c>
      <c r="K134" s="96">
        <f t="shared" si="29"/>
        <v>0</v>
      </c>
      <c r="L134" s="96">
        <f t="shared" si="29"/>
        <v>0</v>
      </c>
      <c r="M134" s="96">
        <f t="shared" si="29"/>
        <v>0</v>
      </c>
      <c r="N134" s="96">
        <f t="shared" si="29"/>
        <v>0</v>
      </c>
      <c r="O134" s="96">
        <f t="shared" si="29"/>
        <v>0</v>
      </c>
      <c r="P134" s="96">
        <f t="shared" si="29"/>
        <v>-510000000</v>
      </c>
      <c r="Q134" s="99">
        <f t="shared" si="26"/>
        <v>-510000000</v>
      </c>
      <c r="S134" s="35">
        <f t="shared" si="23"/>
        <v>1</v>
      </c>
    </row>
    <row r="135" spans="2:19" ht="23.1" customHeight="1">
      <c r="B135" s="7" t="str">
        <f>LR!B135</f>
        <v>610242 | BEBAN PENGAKUAN DPLK KARYAWAN (ASURANSI)</v>
      </c>
      <c r="C135" s="100"/>
      <c r="D135" s="144" t="str">
        <f t="shared" si="27"/>
        <v>Beban</v>
      </c>
      <c r="E135" s="96">
        <f t="shared" si="29"/>
        <v>0</v>
      </c>
      <c r="F135" s="96">
        <f t="shared" si="29"/>
        <v>0</v>
      </c>
      <c r="G135" s="96">
        <f t="shared" si="29"/>
        <v>0</v>
      </c>
      <c r="H135" s="96">
        <f t="shared" si="29"/>
        <v>0</v>
      </c>
      <c r="I135" s="96">
        <f t="shared" si="29"/>
        <v>0</v>
      </c>
      <c r="J135" s="96">
        <f t="shared" si="29"/>
        <v>0</v>
      </c>
      <c r="K135" s="96">
        <f t="shared" si="29"/>
        <v>0</v>
      </c>
      <c r="L135" s="96">
        <f t="shared" si="29"/>
        <v>0</v>
      </c>
      <c r="M135" s="96">
        <f t="shared" si="29"/>
        <v>0</v>
      </c>
      <c r="N135" s="96">
        <f t="shared" si="29"/>
        <v>0</v>
      </c>
      <c r="O135" s="96">
        <f t="shared" si="29"/>
        <v>0</v>
      </c>
      <c r="P135" s="96">
        <f t="shared" si="29"/>
        <v>0</v>
      </c>
      <c r="Q135" s="99">
        <f t="shared" si="26"/>
        <v>0</v>
      </c>
      <c r="S135" s="35">
        <f t="shared" si="23"/>
        <v>0</v>
      </c>
    </row>
    <row r="136" spans="2:19" ht="23.1" customHeight="1">
      <c r="B136" s="7" t="str">
        <f>LR!B136</f>
        <v>610243 | BEBAN PEMBUATAN DOKUMENT 6</v>
      </c>
      <c r="C136" s="100"/>
      <c r="D136" s="144" t="str">
        <f t="shared" si="27"/>
        <v>Beban</v>
      </c>
      <c r="E136" s="96">
        <f t="shared" si="29"/>
        <v>0</v>
      </c>
      <c r="F136" s="96">
        <f t="shared" si="29"/>
        <v>0</v>
      </c>
      <c r="G136" s="96">
        <f t="shared" si="29"/>
        <v>0</v>
      </c>
      <c r="H136" s="96">
        <f t="shared" si="29"/>
        <v>0</v>
      </c>
      <c r="I136" s="96">
        <f t="shared" si="29"/>
        <v>0</v>
      </c>
      <c r="J136" s="96">
        <f t="shared" si="29"/>
        <v>0</v>
      </c>
      <c r="K136" s="96">
        <f t="shared" si="29"/>
        <v>0</v>
      </c>
      <c r="L136" s="96">
        <f t="shared" si="29"/>
        <v>0</v>
      </c>
      <c r="M136" s="96">
        <f t="shared" si="29"/>
        <v>0</v>
      </c>
      <c r="N136" s="96">
        <f t="shared" si="29"/>
        <v>0</v>
      </c>
      <c r="O136" s="96">
        <f t="shared" si="29"/>
        <v>0</v>
      </c>
      <c r="P136" s="96">
        <f t="shared" si="29"/>
        <v>0</v>
      </c>
      <c r="Q136" s="99">
        <f t="shared" si="26"/>
        <v>0</v>
      </c>
      <c r="S136" s="35">
        <f t="shared" si="23"/>
        <v>0</v>
      </c>
    </row>
    <row r="137" spans="2:19" s="2" customFormat="1" ht="23.1" customHeight="1">
      <c r="B137" s="103" t="str">
        <f>LR!B137</f>
        <v>TOTAL BIAYA UMUM</v>
      </c>
      <c r="C137" s="394"/>
      <c r="D137" s="395" t="str">
        <f t="shared" ref="D137:D164" si="30">IFERROR(INDEX(akun_type,MATCH(B137,akun_kb,0)),"")</f>
        <v/>
      </c>
      <c r="E137" s="396">
        <f>SUM(E95:E136)</f>
        <v>-223101814</v>
      </c>
      <c r="F137" s="396">
        <f t="shared" ref="F137:Q137" si="31">SUM(F95:F136)</f>
        <v>-108309150</v>
      </c>
      <c r="G137" s="396">
        <f t="shared" si="31"/>
        <v>-209526508</v>
      </c>
      <c r="H137" s="396">
        <f t="shared" si="31"/>
        <v>-87396216</v>
      </c>
      <c r="I137" s="396">
        <f t="shared" si="31"/>
        <v>-90392212</v>
      </c>
      <c r="J137" s="396">
        <f t="shared" si="31"/>
        <v>-118263938</v>
      </c>
      <c r="K137" s="396">
        <f t="shared" si="31"/>
        <v>-79126280</v>
      </c>
      <c r="L137" s="396">
        <f t="shared" si="31"/>
        <v>-189182214</v>
      </c>
      <c r="M137" s="396">
        <f t="shared" si="31"/>
        <v>-503122925</v>
      </c>
      <c r="N137" s="396">
        <f t="shared" si="31"/>
        <v>-188725977</v>
      </c>
      <c r="O137" s="396">
        <f t="shared" si="31"/>
        <v>-233611910</v>
      </c>
      <c r="P137" s="396">
        <f t="shared" si="31"/>
        <v>-724447023</v>
      </c>
      <c r="Q137" s="396">
        <f t="shared" si="31"/>
        <v>-2755206167</v>
      </c>
      <c r="S137" s="392">
        <f t="shared" si="23"/>
        <v>1</v>
      </c>
    </row>
    <row r="138" spans="2:19" s="2" customFormat="1" ht="23.1" customHeight="1">
      <c r="B138" s="103" t="str">
        <f>LR!B138</f>
        <v>BIAYA KEUANGAN (FINANCING)</v>
      </c>
      <c r="C138" s="388"/>
      <c r="D138" s="389" t="str">
        <f t="shared" si="30"/>
        <v/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1"/>
      <c r="S138" s="392">
        <f t="shared" si="23"/>
        <v>1</v>
      </c>
    </row>
    <row r="139" spans="2:19" ht="23.1" customHeight="1">
      <c r="B139" s="7" t="str">
        <f>LR!B139</f>
        <v>610301 | BUNGA PINJAMAN (KREDIT INVESTASI)</v>
      </c>
      <c r="C139" s="100"/>
      <c r="D139" s="144" t="str">
        <f t="shared" si="30"/>
        <v>Beban</v>
      </c>
      <c r="E139" s="96">
        <f t="shared" ref="E139:P151" si="32">IF(INDEX(typ_sn,MATCH(INDEX(akun_type,MATCH($B139,akun_kb,0)),typ_ket,0))="db",SUMIFS(ju_sld,ju_bln,TEXT(E$8,"mmmm"),ju_kr,$B139)-SUMIFS(ju_sld,ju_bln,TEXT(E$8,"mmmm"),ju_debet,$B139),SUMIFS(ju_sld,ju_bln,TEXT(E$8,"mmmm"),ju_kr,$B139)-SUMIFS(ju_sld,ju_bln,TEXT(E$8,"mmmm"),ju_debet,$B139))</f>
        <v>0</v>
      </c>
      <c r="F139" s="96">
        <f t="shared" si="32"/>
        <v>0</v>
      </c>
      <c r="G139" s="96">
        <f t="shared" si="32"/>
        <v>0</v>
      </c>
      <c r="H139" s="96">
        <f t="shared" si="32"/>
        <v>0</v>
      </c>
      <c r="I139" s="96">
        <f t="shared" si="32"/>
        <v>0</v>
      </c>
      <c r="J139" s="96">
        <f t="shared" si="32"/>
        <v>0</v>
      </c>
      <c r="K139" s="96">
        <f t="shared" si="32"/>
        <v>0</v>
      </c>
      <c r="L139" s="96">
        <f t="shared" si="32"/>
        <v>0</v>
      </c>
      <c r="M139" s="96">
        <f t="shared" si="32"/>
        <v>0</v>
      </c>
      <c r="N139" s="96">
        <f t="shared" si="32"/>
        <v>0</v>
      </c>
      <c r="O139" s="96">
        <f t="shared" si="32"/>
        <v>0</v>
      </c>
      <c r="P139" s="96">
        <f t="shared" si="32"/>
        <v>0</v>
      </c>
      <c r="Q139" s="99">
        <f>SUM(E139:P139)</f>
        <v>0</v>
      </c>
      <c r="S139" s="35">
        <f t="shared" si="23"/>
        <v>0</v>
      </c>
    </row>
    <row r="140" spans="2:19" ht="23.1" customHeight="1">
      <c r="B140" s="7" t="str">
        <f>LR!B140</f>
        <v>610302 | BUNGA PINJAMAN (MODAL KERJA)</v>
      </c>
      <c r="C140" s="100"/>
      <c r="D140" s="144" t="str">
        <f t="shared" si="30"/>
        <v>Beban</v>
      </c>
      <c r="E140" s="96">
        <f t="shared" si="32"/>
        <v>0</v>
      </c>
      <c r="F140" s="96">
        <f t="shared" si="32"/>
        <v>0</v>
      </c>
      <c r="G140" s="96">
        <f t="shared" si="32"/>
        <v>0</v>
      </c>
      <c r="H140" s="96">
        <f t="shared" si="32"/>
        <v>0</v>
      </c>
      <c r="I140" s="96">
        <f t="shared" si="32"/>
        <v>0</v>
      </c>
      <c r="J140" s="96">
        <f t="shared" si="32"/>
        <v>0</v>
      </c>
      <c r="K140" s="96">
        <f t="shared" si="32"/>
        <v>0</v>
      </c>
      <c r="L140" s="96">
        <f t="shared" si="32"/>
        <v>0</v>
      </c>
      <c r="M140" s="96">
        <f t="shared" si="32"/>
        <v>0</v>
      </c>
      <c r="N140" s="96">
        <f t="shared" si="32"/>
        <v>0</v>
      </c>
      <c r="O140" s="96">
        <f t="shared" si="32"/>
        <v>0</v>
      </c>
      <c r="P140" s="96">
        <f t="shared" si="32"/>
        <v>0</v>
      </c>
      <c r="Q140" s="99">
        <f>SUM(E140:P140)</f>
        <v>0</v>
      </c>
      <c r="S140" s="35">
        <f t="shared" si="23"/>
        <v>0</v>
      </c>
    </row>
    <row r="141" spans="2:19" ht="23.1" customHeight="1">
      <c r="B141" s="7" t="str">
        <f>LR!B141</f>
        <v>610303 | BUNGA LEASING</v>
      </c>
      <c r="C141" s="100"/>
      <c r="D141" s="144" t="str">
        <f t="shared" si="30"/>
        <v>Beban</v>
      </c>
      <c r="E141" s="96">
        <f t="shared" si="32"/>
        <v>0</v>
      </c>
      <c r="F141" s="96">
        <f t="shared" si="32"/>
        <v>0</v>
      </c>
      <c r="G141" s="96">
        <f t="shared" si="32"/>
        <v>0</v>
      </c>
      <c r="H141" s="96">
        <f t="shared" si="32"/>
        <v>0</v>
      </c>
      <c r="I141" s="96">
        <f t="shared" si="32"/>
        <v>0</v>
      </c>
      <c r="J141" s="96">
        <f t="shared" si="32"/>
        <v>0</v>
      </c>
      <c r="K141" s="96">
        <f t="shared" si="32"/>
        <v>0</v>
      </c>
      <c r="L141" s="96">
        <f t="shared" si="32"/>
        <v>0</v>
      </c>
      <c r="M141" s="96">
        <f t="shared" si="32"/>
        <v>0</v>
      </c>
      <c r="N141" s="96">
        <f t="shared" si="32"/>
        <v>0</v>
      </c>
      <c r="O141" s="96">
        <f t="shared" si="32"/>
        <v>0</v>
      </c>
      <c r="P141" s="96">
        <f t="shared" si="32"/>
        <v>0</v>
      </c>
      <c r="Q141" s="99">
        <f>SUM(E141:P141)</f>
        <v>0</v>
      </c>
      <c r="S141" s="35">
        <f t="shared" si="23"/>
        <v>0</v>
      </c>
    </row>
    <row r="142" spans="2:19" s="2" customFormat="1" ht="23.1" customHeight="1">
      <c r="B142" s="103" t="str">
        <f>LR!B142</f>
        <v>TOTAL BIAYA KEUANGAN</v>
      </c>
      <c r="C142" s="394"/>
      <c r="D142" s="395" t="str">
        <f t="shared" si="30"/>
        <v/>
      </c>
      <c r="E142" s="396">
        <f>SUM(E139:E141)</f>
        <v>0</v>
      </c>
      <c r="F142" s="396">
        <f t="shared" ref="F142:Q142" si="33">SUM(F139:F141)</f>
        <v>0</v>
      </c>
      <c r="G142" s="396">
        <f t="shared" si="33"/>
        <v>0</v>
      </c>
      <c r="H142" s="396">
        <f t="shared" si="33"/>
        <v>0</v>
      </c>
      <c r="I142" s="396">
        <f t="shared" si="33"/>
        <v>0</v>
      </c>
      <c r="J142" s="396">
        <f t="shared" si="33"/>
        <v>0</v>
      </c>
      <c r="K142" s="396">
        <f t="shared" si="33"/>
        <v>0</v>
      </c>
      <c r="L142" s="396">
        <f t="shared" si="33"/>
        <v>0</v>
      </c>
      <c r="M142" s="396">
        <f t="shared" si="33"/>
        <v>0</v>
      </c>
      <c r="N142" s="396">
        <f t="shared" si="33"/>
        <v>0</v>
      </c>
      <c r="O142" s="396">
        <f t="shared" si="33"/>
        <v>0</v>
      </c>
      <c r="P142" s="396">
        <f t="shared" si="33"/>
        <v>0</v>
      </c>
      <c r="Q142" s="396">
        <f t="shared" si="33"/>
        <v>0</v>
      </c>
      <c r="S142" s="392">
        <f t="shared" si="23"/>
        <v>0</v>
      </c>
    </row>
    <row r="143" spans="2:19" s="2" customFormat="1" ht="23.1" customHeight="1">
      <c r="B143" s="103" t="str">
        <f>LR!B143</f>
        <v>BIAYA PENYUSUTAN DAN AMORTISASI</v>
      </c>
      <c r="C143" s="388"/>
      <c r="D143" s="389" t="str">
        <f t="shared" si="30"/>
        <v/>
      </c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1"/>
      <c r="S143" s="392">
        <f t="shared" si="23"/>
        <v>1</v>
      </c>
    </row>
    <row r="144" spans="2:19" ht="23.1" customHeight="1">
      <c r="B144" s="7" t="str">
        <f>LR!B144</f>
        <v>610401 | BEBAN PENYUSUTAN BANGUNAN KANTOR</v>
      </c>
      <c r="C144" s="100"/>
      <c r="D144" s="144" t="str">
        <f t="shared" si="30"/>
        <v>Beban</v>
      </c>
      <c r="E144" s="96">
        <f t="shared" si="32"/>
        <v>-2806459</v>
      </c>
      <c r="F144" s="96">
        <f t="shared" si="32"/>
        <v>-2806459</v>
      </c>
      <c r="G144" s="96">
        <f t="shared" si="32"/>
        <v>-2806459</v>
      </c>
      <c r="H144" s="96">
        <f t="shared" si="32"/>
        <v>-2806459</v>
      </c>
      <c r="I144" s="96">
        <f t="shared" si="32"/>
        <v>-2806459</v>
      </c>
      <c r="J144" s="96">
        <f t="shared" si="32"/>
        <v>-2806459</v>
      </c>
      <c r="K144" s="96">
        <f t="shared" si="32"/>
        <v>-2806459</v>
      </c>
      <c r="L144" s="96">
        <f t="shared" si="32"/>
        <v>-2806459</v>
      </c>
      <c r="M144" s="96">
        <f t="shared" si="32"/>
        <v>-2806459</v>
      </c>
      <c r="N144" s="96">
        <f t="shared" si="32"/>
        <v>-2806459</v>
      </c>
      <c r="O144" s="96">
        <f t="shared" si="32"/>
        <v>-2806459</v>
      </c>
      <c r="P144" s="96">
        <f t="shared" si="32"/>
        <v>-2806459</v>
      </c>
      <c r="Q144" s="99">
        <f t="shared" ref="Q144:Q151" si="34">SUM(E144:P144)</f>
        <v>-33677508</v>
      </c>
      <c r="S144" s="35">
        <f t="shared" si="23"/>
        <v>1</v>
      </c>
    </row>
    <row r="145" spans="2:19" ht="23.1" customHeight="1">
      <c r="B145" s="7" t="str">
        <f>LR!B145</f>
        <v>610402 | BEBAN PENYUSUTAN KENDARAAN</v>
      </c>
      <c r="C145" s="100"/>
      <c r="D145" s="144" t="str">
        <f t="shared" si="30"/>
        <v>Beban</v>
      </c>
      <c r="E145" s="96">
        <f t="shared" si="32"/>
        <v>-29031950</v>
      </c>
      <c r="F145" s="96">
        <f t="shared" si="32"/>
        <v>-29031950</v>
      </c>
      <c r="G145" s="96">
        <f t="shared" si="32"/>
        <v>-29031950</v>
      </c>
      <c r="H145" s="96">
        <f t="shared" si="32"/>
        <v>-29031950</v>
      </c>
      <c r="I145" s="96">
        <f t="shared" si="32"/>
        <v>-29031950</v>
      </c>
      <c r="J145" s="96">
        <f t="shared" si="32"/>
        <v>-29031950</v>
      </c>
      <c r="K145" s="96">
        <f t="shared" si="32"/>
        <v>-29031950</v>
      </c>
      <c r="L145" s="96">
        <f t="shared" si="32"/>
        <v>-29031950</v>
      </c>
      <c r="M145" s="96">
        <f t="shared" si="32"/>
        <v>-29031950</v>
      </c>
      <c r="N145" s="96">
        <f t="shared" si="32"/>
        <v>-29031950</v>
      </c>
      <c r="O145" s="96">
        <f t="shared" si="32"/>
        <v>-29031950</v>
      </c>
      <c r="P145" s="96">
        <f t="shared" si="32"/>
        <v>-29031950</v>
      </c>
      <c r="Q145" s="99">
        <f t="shared" si="34"/>
        <v>-348383400</v>
      </c>
      <c r="S145" s="35">
        <f t="shared" si="23"/>
        <v>1</v>
      </c>
    </row>
    <row r="146" spans="2:19" ht="23.1" customHeight="1">
      <c r="B146" s="7" t="str">
        <f>LR!B146</f>
        <v>610403 | BEBAN PENYUSUTAN RAMBU RAMBU</v>
      </c>
      <c r="C146" s="100"/>
      <c r="D146" s="144" t="str">
        <f t="shared" si="30"/>
        <v>Beban</v>
      </c>
      <c r="E146" s="96">
        <f t="shared" si="32"/>
        <v>-41666</v>
      </c>
      <c r="F146" s="96">
        <f t="shared" si="32"/>
        <v>-41666</v>
      </c>
      <c r="G146" s="96">
        <f t="shared" si="32"/>
        <v>-41666</v>
      </c>
      <c r="H146" s="96">
        <f t="shared" si="32"/>
        <v>-41666</v>
      </c>
      <c r="I146" s="96">
        <f t="shared" si="32"/>
        <v>-41666</v>
      </c>
      <c r="J146" s="96">
        <f t="shared" si="32"/>
        <v>-41666</v>
      </c>
      <c r="K146" s="96">
        <f t="shared" si="32"/>
        <v>-41666</v>
      </c>
      <c r="L146" s="96">
        <f t="shared" si="32"/>
        <v>-41666</v>
      </c>
      <c r="M146" s="96">
        <f t="shared" si="32"/>
        <v>-41666</v>
      </c>
      <c r="N146" s="96">
        <f t="shared" si="32"/>
        <v>-41666</v>
      </c>
      <c r="O146" s="96">
        <f t="shared" si="32"/>
        <v>-41666</v>
      </c>
      <c r="P146" s="96">
        <f t="shared" si="32"/>
        <v>-41666</v>
      </c>
      <c r="Q146" s="99">
        <f t="shared" si="34"/>
        <v>-499992</v>
      </c>
      <c r="S146" s="35">
        <f t="shared" si="23"/>
        <v>1</v>
      </c>
    </row>
    <row r="147" spans="2:19" ht="23.1" customHeight="1">
      <c r="B147" s="7" t="str">
        <f>LR!B147</f>
        <v>610404 | BEBAN PENYUSUTAN INVENTARIS KANTOR</v>
      </c>
      <c r="C147" s="100"/>
      <c r="D147" s="144" t="str">
        <f t="shared" si="30"/>
        <v>Beban</v>
      </c>
      <c r="E147" s="96">
        <f t="shared" si="32"/>
        <v>-5654493</v>
      </c>
      <c r="F147" s="96">
        <f t="shared" si="32"/>
        <v>-5654493</v>
      </c>
      <c r="G147" s="96">
        <f t="shared" si="32"/>
        <v>-5654493</v>
      </c>
      <c r="H147" s="96">
        <f t="shared" si="32"/>
        <v>-5711159.6633333331</v>
      </c>
      <c r="I147" s="96">
        <f t="shared" si="32"/>
        <v>-5711159.6633333331</v>
      </c>
      <c r="J147" s="96">
        <f t="shared" si="32"/>
        <v>-5711159.6633333331</v>
      </c>
      <c r="K147" s="96">
        <f t="shared" si="32"/>
        <v>-5711159.6633333331</v>
      </c>
      <c r="L147" s="96">
        <f t="shared" si="32"/>
        <v>-5711159.6633333331</v>
      </c>
      <c r="M147" s="96">
        <f t="shared" si="32"/>
        <v>-6037790</v>
      </c>
      <c r="N147" s="96">
        <f t="shared" si="32"/>
        <v>-6953809</v>
      </c>
      <c r="O147" s="96">
        <f t="shared" si="32"/>
        <v>-6953809</v>
      </c>
      <c r="P147" s="96">
        <f t="shared" si="32"/>
        <v>-6953809</v>
      </c>
      <c r="Q147" s="99">
        <f t="shared" si="34"/>
        <v>-72418494.316666663</v>
      </c>
      <c r="S147" s="35">
        <f t="shared" si="23"/>
        <v>1</v>
      </c>
    </row>
    <row r="148" spans="2:19" ht="23.1" customHeight="1">
      <c r="B148" s="7" t="str">
        <f>LR!B148</f>
        <v>610405 | BEBAN AMORTISASI GOODWIL</v>
      </c>
      <c r="C148" s="100"/>
      <c r="D148" s="144" t="str">
        <f t="shared" si="30"/>
        <v>Beban</v>
      </c>
      <c r="E148" s="96">
        <f t="shared" si="32"/>
        <v>-17325229</v>
      </c>
      <c r="F148" s="96">
        <f t="shared" si="32"/>
        <v>-17325229</v>
      </c>
      <c r="G148" s="96">
        <f t="shared" si="32"/>
        <v>-17325229</v>
      </c>
      <c r="H148" s="96">
        <f t="shared" si="32"/>
        <v>-17325229</v>
      </c>
      <c r="I148" s="96">
        <f t="shared" si="32"/>
        <v>-17325229</v>
      </c>
      <c r="J148" s="96">
        <f t="shared" si="32"/>
        <v>-17325229</v>
      </c>
      <c r="K148" s="96">
        <f t="shared" si="32"/>
        <v>-17325229</v>
      </c>
      <c r="L148" s="96">
        <f t="shared" si="32"/>
        <v>-17325229</v>
      </c>
      <c r="M148" s="96">
        <f t="shared" si="32"/>
        <v>-17325229</v>
      </c>
      <c r="N148" s="96">
        <f t="shared" si="32"/>
        <v>-17325229</v>
      </c>
      <c r="O148" s="96">
        <f t="shared" si="32"/>
        <v>-17325229</v>
      </c>
      <c r="P148" s="96">
        <f t="shared" si="32"/>
        <v>-17325231</v>
      </c>
      <c r="Q148" s="99">
        <f t="shared" si="34"/>
        <v>-207902750</v>
      </c>
      <c r="S148" s="35">
        <f t="shared" si="23"/>
        <v>1</v>
      </c>
    </row>
    <row r="149" spans="2:19" ht="23.1" customHeight="1">
      <c r="B149" s="7" t="str">
        <f>LR!B149</f>
        <v>610406 | AMORTISASI BEBAN DITANGGUHKAN</v>
      </c>
      <c r="C149" s="100"/>
      <c r="D149" s="144" t="str">
        <f t="shared" si="30"/>
        <v>Beban</v>
      </c>
      <c r="E149" s="96">
        <f t="shared" si="32"/>
        <v>-5265000</v>
      </c>
      <c r="F149" s="96">
        <f t="shared" si="32"/>
        <v>-5265000</v>
      </c>
      <c r="G149" s="96">
        <f t="shared" si="32"/>
        <v>-5265000</v>
      </c>
      <c r="H149" s="96">
        <f t="shared" si="32"/>
        <v>-5265000</v>
      </c>
      <c r="I149" s="96">
        <f t="shared" si="32"/>
        <v>-5451666.666666667</v>
      </c>
      <c r="J149" s="96">
        <f t="shared" si="32"/>
        <v>-5451666.666666667</v>
      </c>
      <c r="K149" s="96">
        <f t="shared" si="32"/>
        <v>-5451666.666666667</v>
      </c>
      <c r="L149" s="96">
        <f t="shared" si="32"/>
        <v>-5451666.666666667</v>
      </c>
      <c r="M149" s="96">
        <f t="shared" si="32"/>
        <v>-5451666.666666667</v>
      </c>
      <c r="N149" s="96">
        <f t="shared" si="32"/>
        <v>-5451666.666666667</v>
      </c>
      <c r="O149" s="96">
        <f t="shared" si="32"/>
        <v>-5451666.666666667</v>
      </c>
      <c r="P149" s="96">
        <f t="shared" si="32"/>
        <v>-5451666.666666667</v>
      </c>
      <c r="Q149" s="99">
        <f t="shared" si="34"/>
        <v>-64673333.333333321</v>
      </c>
      <c r="S149" s="35">
        <f t="shared" si="23"/>
        <v>1</v>
      </c>
    </row>
    <row r="150" spans="2:19" ht="23.1" customHeight="1">
      <c r="B150" s="7" t="str">
        <f>LR!B150</f>
        <v>610407 | BEBAN AMORTISASI LAINNYA</v>
      </c>
      <c r="C150" s="100"/>
      <c r="D150" s="144" t="str">
        <f t="shared" si="30"/>
        <v>Beban</v>
      </c>
      <c r="E150" s="96">
        <f t="shared" si="32"/>
        <v>0</v>
      </c>
      <c r="F150" s="96">
        <f t="shared" si="32"/>
        <v>0</v>
      </c>
      <c r="G150" s="96">
        <f t="shared" si="32"/>
        <v>0</v>
      </c>
      <c r="H150" s="96">
        <f t="shared" si="32"/>
        <v>0</v>
      </c>
      <c r="I150" s="96">
        <f t="shared" si="32"/>
        <v>0</v>
      </c>
      <c r="J150" s="96">
        <f t="shared" si="32"/>
        <v>0</v>
      </c>
      <c r="K150" s="96">
        <f t="shared" si="32"/>
        <v>0</v>
      </c>
      <c r="L150" s="96">
        <f t="shared" si="32"/>
        <v>0</v>
      </c>
      <c r="M150" s="96">
        <f t="shared" si="32"/>
        <v>0</v>
      </c>
      <c r="N150" s="96">
        <f t="shared" si="32"/>
        <v>0</v>
      </c>
      <c r="O150" s="96">
        <f t="shared" si="32"/>
        <v>0</v>
      </c>
      <c r="P150" s="96">
        <f t="shared" si="32"/>
        <v>0</v>
      </c>
      <c r="Q150" s="99">
        <f t="shared" si="34"/>
        <v>0</v>
      </c>
      <c r="S150" s="35">
        <f t="shared" si="23"/>
        <v>0</v>
      </c>
    </row>
    <row r="151" spans="2:19" ht="23.1" customHeight="1">
      <c r="B151" s="7" t="str">
        <f>LR!B151</f>
        <v>610408 | BEBAN PENYUSUTAN CMS</v>
      </c>
      <c r="C151" s="100"/>
      <c r="D151" s="144" t="str">
        <f t="shared" si="30"/>
        <v>Beban</v>
      </c>
      <c r="E151" s="96">
        <f t="shared" si="32"/>
        <v>0</v>
      </c>
      <c r="F151" s="96">
        <f t="shared" si="32"/>
        <v>0</v>
      </c>
      <c r="G151" s="96">
        <f t="shared" si="32"/>
        <v>0</v>
      </c>
      <c r="H151" s="96">
        <f t="shared" si="32"/>
        <v>0</v>
      </c>
      <c r="I151" s="96">
        <f t="shared" si="32"/>
        <v>0</v>
      </c>
      <c r="J151" s="96">
        <f t="shared" si="32"/>
        <v>0</v>
      </c>
      <c r="K151" s="96">
        <f t="shared" si="32"/>
        <v>0</v>
      </c>
      <c r="L151" s="96">
        <f t="shared" si="32"/>
        <v>0</v>
      </c>
      <c r="M151" s="96">
        <f t="shared" si="32"/>
        <v>0</v>
      </c>
      <c r="N151" s="96">
        <f t="shared" si="32"/>
        <v>0</v>
      </c>
      <c r="O151" s="96">
        <f t="shared" si="32"/>
        <v>0</v>
      </c>
      <c r="P151" s="96">
        <f t="shared" si="32"/>
        <v>0</v>
      </c>
      <c r="Q151" s="99">
        <f t="shared" si="34"/>
        <v>0</v>
      </c>
      <c r="S151" s="35">
        <f t="shared" si="23"/>
        <v>0</v>
      </c>
    </row>
    <row r="152" spans="2:19" s="2" customFormat="1" ht="23.1" customHeight="1">
      <c r="B152" s="103" t="str">
        <f>LR!B152</f>
        <v>TOTAL BIAYA PENYUSUTAN</v>
      </c>
      <c r="C152" s="388"/>
      <c r="D152" s="389" t="str">
        <f t="shared" si="30"/>
        <v/>
      </c>
      <c r="E152" s="390">
        <f>SUM(E144:E151)</f>
        <v>-60124797</v>
      </c>
      <c r="F152" s="390">
        <f t="shared" ref="F152:Q152" si="35">SUM(F144:F151)</f>
        <v>-60124797</v>
      </c>
      <c r="G152" s="390">
        <f t="shared" si="35"/>
        <v>-60124797</v>
      </c>
      <c r="H152" s="390">
        <f t="shared" si="35"/>
        <v>-60181463.663333334</v>
      </c>
      <c r="I152" s="390">
        <f t="shared" si="35"/>
        <v>-60368130.329999998</v>
      </c>
      <c r="J152" s="390">
        <f t="shared" si="35"/>
        <v>-60368130.329999998</v>
      </c>
      <c r="K152" s="390">
        <f t="shared" si="35"/>
        <v>-60368130.329999998</v>
      </c>
      <c r="L152" s="390">
        <f t="shared" si="35"/>
        <v>-60368130.329999998</v>
      </c>
      <c r="M152" s="390">
        <f t="shared" si="35"/>
        <v>-60694760.666666664</v>
      </c>
      <c r="N152" s="390">
        <f t="shared" si="35"/>
        <v>-61610779.666666664</v>
      </c>
      <c r="O152" s="390">
        <f t="shared" si="35"/>
        <v>-61610779.666666664</v>
      </c>
      <c r="P152" s="390">
        <f t="shared" si="35"/>
        <v>-61610781.666666664</v>
      </c>
      <c r="Q152" s="390">
        <f t="shared" si="35"/>
        <v>-727555477.64999998</v>
      </c>
      <c r="S152" s="392">
        <f t="shared" ref="S152:S164" si="36">IF(OR(Q152&gt;0,Q152&lt;0,Q152=""),1,0)</f>
        <v>1</v>
      </c>
    </row>
    <row r="153" spans="2:19" s="2" customFormat="1" ht="23.1" customHeight="1">
      <c r="B153" s="397" t="str">
        <f>LR!B153</f>
        <v>TOTAL BIAYA OPERASIONAL</v>
      </c>
      <c r="C153" s="388"/>
      <c r="D153" s="389" t="str">
        <f t="shared" si="30"/>
        <v/>
      </c>
      <c r="E153" s="396">
        <f>E93+E137+E142+E152</f>
        <v>-751526976</v>
      </c>
      <c r="F153" s="396">
        <f t="shared" ref="F153:Q153" si="37">F93+F137+F142+F152</f>
        <v>-641038030</v>
      </c>
      <c r="G153" s="396">
        <f t="shared" si="37"/>
        <v>-741284788</v>
      </c>
      <c r="H153" s="396">
        <f t="shared" si="37"/>
        <v>-1109808441.6633334</v>
      </c>
      <c r="I153" s="396">
        <f t="shared" si="37"/>
        <v>-620510623.33000004</v>
      </c>
      <c r="J153" s="396">
        <f t="shared" si="37"/>
        <v>-662665747.33000004</v>
      </c>
      <c r="K153" s="396">
        <f t="shared" si="37"/>
        <v>-621911889.33000004</v>
      </c>
      <c r="L153" s="396">
        <f t="shared" si="37"/>
        <v>-867048293.33000004</v>
      </c>
      <c r="M153" s="396">
        <f t="shared" si="37"/>
        <v>-1183213048.6666667</v>
      </c>
      <c r="N153" s="396">
        <f t="shared" si="37"/>
        <v>-869748129.66666663</v>
      </c>
      <c r="O153" s="396">
        <f t="shared" si="37"/>
        <v>-908252385.66666663</v>
      </c>
      <c r="P153" s="396">
        <f t="shared" si="37"/>
        <v>-1400251250.6666667</v>
      </c>
      <c r="Q153" s="396">
        <f t="shared" si="37"/>
        <v>-10377259603.65</v>
      </c>
      <c r="S153" s="392">
        <f t="shared" si="36"/>
        <v>1</v>
      </c>
    </row>
    <row r="154" spans="2:19" s="2" customFormat="1" ht="23.1" customHeight="1">
      <c r="B154" s="393" t="str">
        <f>LR!B154</f>
        <v>LABA OPERASIONAL</v>
      </c>
      <c r="C154" s="394"/>
      <c r="D154" s="395" t="str">
        <f t="shared" si="30"/>
        <v/>
      </c>
      <c r="E154" s="396">
        <f>E63+E153</f>
        <v>397858154</v>
      </c>
      <c r="F154" s="396">
        <f t="shared" ref="F154:Q154" si="38">F63+F153</f>
        <v>372021370</v>
      </c>
      <c r="G154" s="396">
        <f t="shared" si="38"/>
        <v>443902982</v>
      </c>
      <c r="H154" s="396">
        <f t="shared" si="38"/>
        <v>-278351241.66333342</v>
      </c>
      <c r="I154" s="396">
        <f t="shared" si="38"/>
        <v>375817876.66999996</v>
      </c>
      <c r="J154" s="396">
        <f t="shared" si="38"/>
        <v>471707793.66999996</v>
      </c>
      <c r="K154" s="396">
        <f t="shared" si="38"/>
        <v>532567660.66999996</v>
      </c>
      <c r="L154" s="396">
        <f t="shared" si="38"/>
        <v>406348556.66999996</v>
      </c>
      <c r="M154" s="396">
        <f t="shared" si="38"/>
        <v>117004748.33333325</v>
      </c>
      <c r="N154" s="396">
        <f t="shared" si="38"/>
        <v>404599607.33333337</v>
      </c>
      <c r="O154" s="396">
        <f t="shared" si="38"/>
        <v>325045617.33333337</v>
      </c>
      <c r="P154" s="396">
        <f t="shared" si="38"/>
        <v>-164824550.66666675</v>
      </c>
      <c r="Q154" s="396">
        <f t="shared" si="38"/>
        <v>3403698574.3500004</v>
      </c>
      <c r="S154" s="392">
        <f t="shared" si="36"/>
        <v>1</v>
      </c>
    </row>
    <row r="155" spans="2:19" s="2" customFormat="1" ht="23.1" customHeight="1">
      <c r="B155" s="103" t="str">
        <f>LR!B155</f>
        <v>PENDAPATAN (BEBAN) LAINNYA</v>
      </c>
      <c r="C155" s="388"/>
      <c r="D155" s="389" t="str">
        <f t="shared" si="30"/>
        <v/>
      </c>
      <c r="E155" s="390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1"/>
      <c r="S155" s="392">
        <f t="shared" si="36"/>
        <v>1</v>
      </c>
    </row>
    <row r="156" spans="2:19" s="2" customFormat="1" ht="23.1" customHeight="1">
      <c r="B156" s="103" t="str">
        <f>LR!B156</f>
        <v>PENDAPATAN LAINNYA</v>
      </c>
      <c r="C156" s="388"/>
      <c r="D156" s="389" t="str">
        <f t="shared" si="30"/>
        <v/>
      </c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1"/>
      <c r="S156" s="392">
        <f t="shared" si="36"/>
        <v>1</v>
      </c>
    </row>
    <row r="157" spans="2:19" ht="23.1" customHeight="1">
      <c r="B157" s="7" t="str">
        <f>LR!B157</f>
        <v>710101 | PENDAPATAN JASA GIRO</v>
      </c>
      <c r="C157" s="100"/>
      <c r="D157" s="144" t="str">
        <f t="shared" si="30"/>
        <v>Pendapatan Lainnya</v>
      </c>
      <c r="E157" s="96">
        <f t="shared" ref="E157:P162" si="39">IF(INDEX(typ_sn,MATCH(INDEX(akun_type,MATCH($B157,akun_kb,0)),typ_ket,0))="db",SUMIFS(ju_sld,ju_bln,TEXT(E$8,"mmmm"),ju_kr,$B157)-SUMIFS(ju_sld,ju_bln,TEXT(E$8,"mmmm"),ju_debet,$B157),SUMIFS(ju_sld,ju_bln,TEXT(E$8,"mmmm"),ju_kr,$B157)-SUMIFS(ju_sld,ju_bln,TEXT(E$8,"mmmm"),ju_debet,$B157))</f>
        <v>2954792.2</v>
      </c>
      <c r="F157" s="96">
        <f t="shared" si="39"/>
        <v>3978409.5</v>
      </c>
      <c r="G157" s="96">
        <f t="shared" si="39"/>
        <v>2538602.77</v>
      </c>
      <c r="H157" s="96">
        <f t="shared" si="39"/>
        <v>4634958.17</v>
      </c>
      <c r="I157" s="96">
        <f t="shared" si="39"/>
        <v>4661921.8600000003</v>
      </c>
      <c r="J157" s="96">
        <f t="shared" si="39"/>
        <v>4523021.01</v>
      </c>
      <c r="K157" s="96">
        <f t="shared" si="39"/>
        <v>6753232.8300000001</v>
      </c>
      <c r="L157" s="96">
        <f t="shared" si="39"/>
        <v>4149759.75</v>
      </c>
      <c r="M157" s="96">
        <f t="shared" si="39"/>
        <v>8293096.0499999998</v>
      </c>
      <c r="N157" s="96">
        <f t="shared" si="39"/>
        <v>5027659.0599999996</v>
      </c>
      <c r="O157" s="96">
        <f t="shared" si="39"/>
        <v>4348832.72</v>
      </c>
      <c r="P157" s="96">
        <f t="shared" si="39"/>
        <v>4172993.48</v>
      </c>
      <c r="Q157" s="99">
        <f>SUM(E157:P157)</f>
        <v>56037279.399999991</v>
      </c>
      <c r="S157" s="35">
        <f t="shared" si="36"/>
        <v>1</v>
      </c>
    </row>
    <row r="158" spans="2:19" ht="23.1" customHeight="1">
      <c r="B158" s="7" t="str">
        <f>LR!B158</f>
        <v>710102 | PENDAPATAN PENJUALAN ASSET</v>
      </c>
      <c r="C158" s="100"/>
      <c r="D158" s="144" t="str">
        <f t="shared" si="30"/>
        <v>Pendapatan Lainnya</v>
      </c>
      <c r="E158" s="96">
        <f t="shared" si="39"/>
        <v>0</v>
      </c>
      <c r="F158" s="96">
        <f t="shared" si="39"/>
        <v>0</v>
      </c>
      <c r="G158" s="96">
        <f t="shared" si="39"/>
        <v>0</v>
      </c>
      <c r="H158" s="96">
        <f t="shared" si="39"/>
        <v>0</v>
      </c>
      <c r="I158" s="96">
        <f t="shared" si="39"/>
        <v>0</v>
      </c>
      <c r="J158" s="96">
        <f t="shared" si="39"/>
        <v>0</v>
      </c>
      <c r="K158" s="96">
        <f t="shared" si="39"/>
        <v>0</v>
      </c>
      <c r="L158" s="96">
        <f t="shared" si="39"/>
        <v>0</v>
      </c>
      <c r="M158" s="96">
        <f t="shared" si="39"/>
        <v>0</v>
      </c>
      <c r="N158" s="96">
        <f t="shared" si="39"/>
        <v>0</v>
      </c>
      <c r="O158" s="96">
        <f t="shared" si="39"/>
        <v>0</v>
      </c>
      <c r="P158" s="96">
        <f t="shared" si="39"/>
        <v>0</v>
      </c>
      <c r="Q158" s="99">
        <f>SUM(E158:P158)</f>
        <v>0</v>
      </c>
      <c r="S158" s="35">
        <f t="shared" si="36"/>
        <v>0</v>
      </c>
    </row>
    <row r="159" spans="2:19" ht="23.1" customHeight="1">
      <c r="B159" s="7" t="str">
        <f>LR!B159</f>
        <v>710103 | PENDAPATAN LAIN LAIN</v>
      </c>
      <c r="C159" s="100"/>
      <c r="D159" s="144" t="str">
        <f t="shared" si="30"/>
        <v>Pendapatan Lainnya</v>
      </c>
      <c r="E159" s="96">
        <f t="shared" si="39"/>
        <v>996600</v>
      </c>
      <c r="F159" s="96">
        <f t="shared" si="39"/>
        <v>114</v>
      </c>
      <c r="G159" s="96">
        <f t="shared" si="39"/>
        <v>0</v>
      </c>
      <c r="H159" s="96">
        <f t="shared" si="39"/>
        <v>0</v>
      </c>
      <c r="I159" s="96">
        <f t="shared" si="39"/>
        <v>0</v>
      </c>
      <c r="J159" s="96">
        <f t="shared" si="39"/>
        <v>0</v>
      </c>
      <c r="K159" s="96">
        <f t="shared" si="39"/>
        <v>10000</v>
      </c>
      <c r="L159" s="96">
        <f t="shared" si="39"/>
        <v>0</v>
      </c>
      <c r="M159" s="96">
        <f t="shared" si="39"/>
        <v>47342466</v>
      </c>
      <c r="N159" s="96">
        <f t="shared" si="39"/>
        <v>0</v>
      </c>
      <c r="O159" s="96">
        <f t="shared" si="39"/>
        <v>0</v>
      </c>
      <c r="P159" s="96">
        <f t="shared" si="39"/>
        <v>0</v>
      </c>
      <c r="Q159" s="99">
        <f>SUM(E159:P159)</f>
        <v>48349180</v>
      </c>
      <c r="S159" s="35">
        <f t="shared" si="36"/>
        <v>1</v>
      </c>
    </row>
    <row r="160" spans="2:19" s="2" customFormat="1" ht="23.1" customHeight="1">
      <c r="B160" s="103" t="str">
        <f>LR!B160</f>
        <v>BEBAN LAINNYA</v>
      </c>
      <c r="C160" s="388"/>
      <c r="D160" s="389" t="str">
        <f t="shared" si="30"/>
        <v/>
      </c>
      <c r="E160" s="390"/>
      <c r="F160" s="390"/>
      <c r="G160" s="390"/>
      <c r="H160" s="390"/>
      <c r="I160" s="390"/>
      <c r="J160" s="390"/>
      <c r="K160" s="390"/>
      <c r="L160" s="390"/>
      <c r="M160" s="390"/>
      <c r="N160" s="390"/>
      <c r="O160" s="390"/>
      <c r="P160" s="390"/>
      <c r="Q160" s="391"/>
      <c r="S160" s="392">
        <f t="shared" si="36"/>
        <v>1</v>
      </c>
    </row>
    <row r="161" spans="2:19" ht="23.1" customHeight="1">
      <c r="B161" s="7" t="str">
        <f>LR!B161</f>
        <v>720101 | BIAYA ADMINISTRASI BANK</v>
      </c>
      <c r="C161" s="100"/>
      <c r="D161" s="144" t="str">
        <f t="shared" si="30"/>
        <v>Beban Lainnya</v>
      </c>
      <c r="E161" s="96">
        <f t="shared" si="39"/>
        <v>-1250202</v>
      </c>
      <c r="F161" s="96">
        <f t="shared" si="39"/>
        <v>-585000</v>
      </c>
      <c r="G161" s="96">
        <f t="shared" si="39"/>
        <v>-294597</v>
      </c>
      <c r="H161" s="96">
        <f t="shared" si="39"/>
        <v>-256000</v>
      </c>
      <c r="I161" s="96">
        <f t="shared" si="39"/>
        <v>-461000.41999999993</v>
      </c>
      <c r="J161" s="96">
        <f t="shared" si="39"/>
        <v>-415558</v>
      </c>
      <c r="K161" s="96">
        <f t="shared" si="39"/>
        <v>-258000</v>
      </c>
      <c r="L161" s="96">
        <f t="shared" si="39"/>
        <v>-376000</v>
      </c>
      <c r="M161" s="96">
        <f t="shared" si="39"/>
        <v>-266000</v>
      </c>
      <c r="N161" s="96">
        <f t="shared" si="39"/>
        <v>-1159626.02</v>
      </c>
      <c r="O161" s="96">
        <f t="shared" si="39"/>
        <v>-133000</v>
      </c>
      <c r="P161" s="96">
        <f t="shared" si="39"/>
        <v>-454500</v>
      </c>
      <c r="Q161" s="99">
        <f>SUM(E161:P161)</f>
        <v>-5909483.4399999995</v>
      </c>
      <c r="S161" s="35">
        <f t="shared" si="36"/>
        <v>1</v>
      </c>
    </row>
    <row r="162" spans="2:19" ht="23.1" customHeight="1">
      <c r="B162" s="7" t="str">
        <f>LR!B162</f>
        <v>720102 | BIAYA PAJAK JASA GIRO</v>
      </c>
      <c r="C162" s="100"/>
      <c r="D162" s="144" t="str">
        <f t="shared" si="30"/>
        <v>Beban Lainnya</v>
      </c>
      <c r="E162" s="96">
        <f t="shared" si="39"/>
        <v>-551333.13000000012</v>
      </c>
      <c r="F162" s="96">
        <f t="shared" si="39"/>
        <v>-730749.01</v>
      </c>
      <c r="G162" s="96">
        <f t="shared" si="39"/>
        <v>-420013.70999999996</v>
      </c>
      <c r="H162" s="96">
        <f t="shared" si="39"/>
        <v>-834013.41999999993</v>
      </c>
      <c r="I162" s="96">
        <f t="shared" si="39"/>
        <v>-837600.85000000009</v>
      </c>
      <c r="J162" s="96">
        <f t="shared" si="39"/>
        <v>-807809.5</v>
      </c>
      <c r="K162" s="96">
        <f t="shared" si="39"/>
        <v>-1243981.3400000001</v>
      </c>
      <c r="L162" s="96">
        <f t="shared" si="39"/>
        <v>-718965.02</v>
      </c>
      <c r="M162" s="96">
        <f t="shared" si="39"/>
        <v>-1617760.6800000002</v>
      </c>
      <c r="N162" s="96">
        <f t="shared" si="39"/>
        <v>-975563.55999999994</v>
      </c>
      <c r="O162" s="96">
        <f t="shared" si="39"/>
        <v>-869527.75</v>
      </c>
      <c r="P162" s="96">
        <f t="shared" si="39"/>
        <v>-834439.89999999991</v>
      </c>
      <c r="Q162" s="99">
        <f>SUM(E162:P162)</f>
        <v>-10441757.870000001</v>
      </c>
      <c r="S162" s="35">
        <f t="shared" si="36"/>
        <v>1</v>
      </c>
    </row>
    <row r="163" spans="2:19" s="2" customFormat="1" ht="23.1" customHeight="1">
      <c r="B163" s="103" t="str">
        <f>LR!B163</f>
        <v>TOTAL PENDAPATAN (BEBAN) LAINNYA</v>
      </c>
      <c r="C163" s="394"/>
      <c r="D163" s="395" t="str">
        <f t="shared" si="30"/>
        <v/>
      </c>
      <c r="E163" s="396">
        <f>SUM(E157:E162)</f>
        <v>2149857.0700000003</v>
      </c>
      <c r="F163" s="396">
        <f t="shared" ref="F163:Q163" si="40">SUM(F157:F162)</f>
        <v>2662774.4900000002</v>
      </c>
      <c r="G163" s="396">
        <f t="shared" si="40"/>
        <v>1823992.06</v>
      </c>
      <c r="H163" s="396">
        <f t="shared" si="40"/>
        <v>3544944.75</v>
      </c>
      <c r="I163" s="396">
        <f t="shared" si="40"/>
        <v>3363320.5900000003</v>
      </c>
      <c r="J163" s="396">
        <f t="shared" si="40"/>
        <v>3299653.51</v>
      </c>
      <c r="K163" s="396">
        <f t="shared" si="40"/>
        <v>5261251.49</v>
      </c>
      <c r="L163" s="396">
        <f t="shared" si="40"/>
        <v>3054794.73</v>
      </c>
      <c r="M163" s="396">
        <f t="shared" si="40"/>
        <v>53751801.369999997</v>
      </c>
      <c r="N163" s="396">
        <f t="shared" si="40"/>
        <v>2892469.4799999995</v>
      </c>
      <c r="O163" s="396">
        <f t="shared" si="40"/>
        <v>3346304.9699999997</v>
      </c>
      <c r="P163" s="396">
        <f t="shared" si="40"/>
        <v>2884053.58</v>
      </c>
      <c r="Q163" s="396">
        <f t="shared" si="40"/>
        <v>88035218.089999989</v>
      </c>
      <c r="S163" s="392">
        <f t="shared" si="36"/>
        <v>1</v>
      </c>
    </row>
    <row r="164" spans="2:19" s="2" customFormat="1" ht="23.1" customHeight="1">
      <c r="B164" s="103" t="str">
        <f>LR!B164</f>
        <v>LABA (RUGI)</v>
      </c>
      <c r="C164" s="388"/>
      <c r="D164" s="389" t="str">
        <f t="shared" si="30"/>
        <v/>
      </c>
      <c r="E164" s="390">
        <f>E154+E163</f>
        <v>400008011.06999999</v>
      </c>
      <c r="F164" s="390">
        <f t="shared" ref="F164:Q164" si="41">F154+F163</f>
        <v>374684144.49000001</v>
      </c>
      <c r="G164" s="390">
        <f t="shared" si="41"/>
        <v>445726974.06</v>
      </c>
      <c r="H164" s="390">
        <f t="shared" si="41"/>
        <v>-274806296.91333342</v>
      </c>
      <c r="I164" s="390">
        <f t="shared" si="41"/>
        <v>379181197.25999993</v>
      </c>
      <c r="J164" s="390">
        <f t="shared" si="41"/>
        <v>475007447.17999995</v>
      </c>
      <c r="K164" s="390">
        <f t="shared" si="41"/>
        <v>537828912.15999997</v>
      </c>
      <c r="L164" s="390">
        <f t="shared" si="41"/>
        <v>409403351.39999998</v>
      </c>
      <c r="M164" s="390">
        <f t="shared" si="41"/>
        <v>170756549.70333326</v>
      </c>
      <c r="N164" s="390">
        <f t="shared" si="41"/>
        <v>407492076.81333339</v>
      </c>
      <c r="O164" s="390">
        <f t="shared" si="41"/>
        <v>328391922.3033334</v>
      </c>
      <c r="P164" s="390">
        <f t="shared" si="41"/>
        <v>-161940497.08666673</v>
      </c>
      <c r="Q164" s="390">
        <f t="shared" si="41"/>
        <v>3491733792.4400005</v>
      </c>
      <c r="S164" s="392">
        <f t="shared" si="36"/>
        <v>1</v>
      </c>
    </row>
  </sheetData>
  <autoFilter ref="S6:S92" xr:uid="{BEC2AE5C-FC76-2A43-92F0-B5602BFD7700}"/>
  <mergeCells count="3">
    <mergeCell ref="B4:Q4"/>
    <mergeCell ref="B5:Q5"/>
    <mergeCell ref="B6:Q6"/>
  </mergeCells>
  <hyperlinks>
    <hyperlink ref="B2" location="MENU!D8" display="MENU" xr:uid="{5C71E79A-A810-0C4F-A72A-96251372DC49}"/>
  </hyperlinks>
  <pageMargins left="0.7" right="0.7" top="0.75" bottom="0.75" header="0.3" footer="0.3"/>
  <pageSetup paperSize="9" scale="32" fitToHeight="5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6A61-9F7C-EB41-804F-B12D4597CDEF}">
  <sheetPr codeName="Sheet27">
    <pageSetUpPr fitToPage="1"/>
  </sheetPr>
  <dimension ref="B1:I46"/>
  <sheetViews>
    <sheetView showGridLines="0" showRowColHeaders="0" workbookViewId="0">
      <pane ySplit="12" topLeftCell="A13" activePane="bottomLeft" state="frozen"/>
      <selection pane="bottomLeft" activeCell="D30" sqref="D30"/>
    </sheetView>
  </sheetViews>
  <sheetFormatPr defaultColWidth="10.875" defaultRowHeight="23.1" customHeight="1"/>
  <cols>
    <col min="1" max="1" width="2.125" style="1" customWidth="1"/>
    <col min="2" max="2" width="15.625" style="3" customWidth="1"/>
    <col min="3" max="3" width="13.375" style="3" customWidth="1"/>
    <col min="4" max="4" width="59.5" style="3" customWidth="1"/>
    <col min="5" max="6" width="16.625" style="37" customWidth="1"/>
    <col min="7" max="7" width="17.125" style="37" customWidth="1"/>
    <col min="8" max="16384" width="10.875" style="1"/>
  </cols>
  <sheetData>
    <row r="1" spans="2:9" ht="9.9499999999999993" customHeight="1"/>
    <row r="2" spans="2:9" ht="23.1" customHeight="1" thickBot="1">
      <c r="B2" s="90" t="s">
        <v>58</v>
      </c>
      <c r="C2" s="140" t="str">
        <f>'LR12'!C2</f>
        <v>Kahfizul13@gmail.com</v>
      </c>
      <c r="D2" s="36"/>
      <c r="E2" s="46"/>
      <c r="F2" s="46"/>
      <c r="G2" s="38"/>
      <c r="I2" s="5"/>
    </row>
    <row r="4" spans="2:9" ht="23.1" customHeight="1">
      <c r="B4" s="409" t="str">
        <f>prof_nama</f>
        <v>PERUMDA PARKIR MAKASSAR RAYA</v>
      </c>
      <c r="C4" s="410"/>
      <c r="D4" s="410"/>
      <c r="E4" s="410"/>
      <c r="F4" s="410"/>
      <c r="G4" s="411"/>
    </row>
    <row r="5" spans="2:9" ht="23.1" customHeight="1">
      <c r="B5" s="412" t="s">
        <v>105</v>
      </c>
      <c r="C5" s="413"/>
      <c r="D5" s="413"/>
      <c r="E5" s="413"/>
      <c r="F5" s="413"/>
      <c r="G5" s="414"/>
    </row>
    <row r="6" spans="2:9" ht="21" customHeight="1">
      <c r="B6" s="415" t="str">
        <f>"Periode "&amp;TEXT(awal,"dd-mmm-yyy")&amp;" - "&amp;TEXT(akhir,"dd-mmm-yyy")</f>
        <v>Periode 01-Jan-2022 - 31-Dec-2022</v>
      </c>
      <c r="C6" s="416"/>
      <c r="D6" s="416"/>
      <c r="E6" s="416"/>
      <c r="F6" s="416"/>
      <c r="G6" s="417"/>
    </row>
    <row r="7" spans="2:9" ht="8.1" customHeight="1"/>
    <row r="8" spans="2:9" ht="23.1" customHeight="1">
      <c r="B8" s="3" t="s">
        <v>96</v>
      </c>
      <c r="C8" s="463" t="s">
        <v>278</v>
      </c>
      <c r="D8" s="463"/>
      <c r="E8" s="47"/>
      <c r="F8" s="41" t="s">
        <v>36</v>
      </c>
      <c r="G8" s="37">
        <f>IF(C8="","Pilih Kode !",INDEX(kb_awal,MATCH(C8,kb_kd2,0)))</f>
        <v>0</v>
      </c>
    </row>
    <row r="9" spans="2:9" ht="20.100000000000001" customHeight="1">
      <c r="B9" s="3" t="s">
        <v>97</v>
      </c>
      <c r="C9" s="463" t="str">
        <f>IF(C8="","Pilih Kode !",INDEX(kb_jenis,MATCH(C8,kb_kd2,0)))</f>
        <v>Hutang</v>
      </c>
      <c r="D9" s="463"/>
      <c r="E9" s="48"/>
      <c r="F9" s="41" t="s">
        <v>39</v>
      </c>
      <c r="G9" s="37">
        <f>IF(C9="piutang",G8+SUM(E:E)-SUM(F:F),G8+SUM(F:F)-SUM(E:E))</f>
        <v>0</v>
      </c>
    </row>
    <row r="10" spans="2:9" ht="8.1" customHeight="1"/>
    <row r="11" spans="2:9" ht="23.1" customHeight="1" thickBot="1">
      <c r="B11" s="25" t="s">
        <v>1</v>
      </c>
      <c r="C11" s="25" t="s">
        <v>79</v>
      </c>
      <c r="D11" s="25" t="s">
        <v>9</v>
      </c>
      <c r="E11" s="42" t="s">
        <v>5</v>
      </c>
      <c r="F11" s="42" t="s">
        <v>6</v>
      </c>
      <c r="G11" s="42" t="s">
        <v>85</v>
      </c>
    </row>
    <row r="12" spans="2:9" ht="6" customHeight="1"/>
    <row r="13" spans="2:9" ht="23.1" customHeight="1">
      <c r="B13" s="45" t="str">
        <f>IFERROR(INDEX(ju_tgl,MATCH(ROW(J1),ju_kdb,0)),"")</f>
        <v/>
      </c>
      <c r="C13" s="7" t="str">
        <f t="shared" ref="C13:C46" si="0">IFERROR(INDEX(ju_ref,MATCH(ROW(J1),ju_kdb,0)),"")</f>
        <v/>
      </c>
      <c r="D13" s="7" t="str">
        <f t="shared" ref="D13:D46" si="1">IFERROR(INDEX(ju_ket,MATCH(ROW(J1),ju_kdb,0)),"")</f>
        <v/>
      </c>
      <c r="E13" s="39" t="str">
        <f t="shared" ref="E13:E46" si="2">IFERROR(IF(INDEX(ju_typdb,MATCH(ROW(J1),ju_kdb,0))="akun Piutang",INDEX(ju_sld,MATCH(ROW(K1),ju_kdb,0)),IF(INDEX(ju_typdb,MATCH(ROW(J1),ju_kdb,0))="akun Hutang",INDEX(ju_sld,MATCH(ROW(K1),ju_kdb,0)),0)),"")</f>
        <v/>
      </c>
      <c r="F13" s="39" t="str">
        <f t="shared" ref="F13:F46" si="3">IFERROR(IF(AND(E13&lt;&gt;"",E13&gt;0),0,INDEX(ju_sld,MATCH(ROW(J1),ju_kdb,0))),"")</f>
        <v/>
      </c>
      <c r="G13" s="39" t="str">
        <f>IF(B13="","",IF($C$9="Piutang",$G$8+SUM($E$13:E13)-SUM($F$13:F13),$G$8+SUM($F$13:F13)-SUM($E$13:E13)))</f>
        <v/>
      </c>
    </row>
    <row r="14" spans="2:9" ht="23.1" customHeight="1">
      <c r="B14" s="45" t="str">
        <f>IFERROR(INDEX(ju_tgl,MATCH(ROW(J2),ju_kdb,0)),"")</f>
        <v/>
      </c>
      <c r="C14" s="7" t="str">
        <f t="shared" si="0"/>
        <v/>
      </c>
      <c r="D14" s="7" t="str">
        <f t="shared" si="1"/>
        <v/>
      </c>
      <c r="E14" s="39" t="str">
        <f t="shared" si="2"/>
        <v/>
      </c>
      <c r="F14" s="39" t="str">
        <f t="shared" si="3"/>
        <v/>
      </c>
      <c r="G14" s="39" t="str">
        <f>IF(B14="","",IF($C$9="Piutang",$G$8+SUM($E$13:E14)-SUM($F$13:F14),$G$8+SUM($F$13:F14)-SUM($E$13:E14)))</f>
        <v/>
      </c>
    </row>
    <row r="15" spans="2:9" ht="23.1" customHeight="1">
      <c r="B15" s="45" t="str">
        <f t="shared" ref="B15:B46" si="4">IFERROR(INDEX(ju_tgl,MATCH(ROW(J3),ju_kdb,0)),"")</f>
        <v/>
      </c>
      <c r="C15" s="7" t="str">
        <f t="shared" si="0"/>
        <v/>
      </c>
      <c r="D15" s="7" t="str">
        <f t="shared" si="1"/>
        <v/>
      </c>
      <c r="E15" s="39" t="str">
        <f t="shared" si="2"/>
        <v/>
      </c>
      <c r="F15" s="39" t="str">
        <f t="shared" si="3"/>
        <v/>
      </c>
      <c r="G15" s="39" t="str">
        <f>IF(B15="","",IF($C$9="Piutang",$G$8+SUM($E$13:E15)-SUM($F$13:F15),$G$8+SUM($F$13:F15)-SUM($E$13:E15)))</f>
        <v/>
      </c>
    </row>
    <row r="16" spans="2:9" ht="23.1" customHeight="1">
      <c r="B16" s="45" t="str">
        <f t="shared" si="4"/>
        <v/>
      </c>
      <c r="C16" s="7" t="str">
        <f t="shared" si="0"/>
        <v/>
      </c>
      <c r="D16" s="7" t="str">
        <f t="shared" si="1"/>
        <v/>
      </c>
      <c r="E16" s="39" t="str">
        <f t="shared" si="2"/>
        <v/>
      </c>
      <c r="F16" s="39" t="str">
        <f t="shared" si="3"/>
        <v/>
      </c>
      <c r="G16" s="39" t="str">
        <f>IF(B16="","",IF($C$9="Piutang",$G$8+SUM($E$13:E16)-SUM($F$13:F16),$G$8+SUM($F$13:F16)-SUM($E$13:E16)))</f>
        <v/>
      </c>
    </row>
    <row r="17" spans="2:7" ht="23.1" customHeight="1">
      <c r="B17" s="45" t="str">
        <f t="shared" si="4"/>
        <v/>
      </c>
      <c r="C17" s="7" t="str">
        <f t="shared" si="0"/>
        <v/>
      </c>
      <c r="D17" s="7" t="str">
        <f t="shared" si="1"/>
        <v/>
      </c>
      <c r="E17" s="39" t="str">
        <f t="shared" si="2"/>
        <v/>
      </c>
      <c r="F17" s="39" t="str">
        <f t="shared" si="3"/>
        <v/>
      </c>
      <c r="G17" s="39" t="str">
        <f>IF(B17="","",IF($C$9="Piutang",$G$8+SUM($E$13:E17)-SUM($F$13:F17),$G$8+SUM($F$13:F17)-SUM($E$13:E17)))</f>
        <v/>
      </c>
    </row>
    <row r="18" spans="2:7" ht="23.1" customHeight="1">
      <c r="B18" s="45" t="str">
        <f t="shared" si="4"/>
        <v/>
      </c>
      <c r="C18" s="7" t="str">
        <f t="shared" si="0"/>
        <v/>
      </c>
      <c r="D18" s="7" t="str">
        <f t="shared" si="1"/>
        <v/>
      </c>
      <c r="E18" s="39" t="str">
        <f t="shared" si="2"/>
        <v/>
      </c>
      <c r="F18" s="39" t="str">
        <f t="shared" si="3"/>
        <v/>
      </c>
      <c r="G18" s="39" t="str">
        <f>IF(B18="","",IF($C$9="Piutang",$G$8+SUM($E$13:E18)-SUM($F$13:F18),$G$8+SUM($F$13:F18)-SUM($E$13:E18)))</f>
        <v/>
      </c>
    </row>
    <row r="19" spans="2:7" ht="23.1" customHeight="1">
      <c r="B19" s="45" t="str">
        <f t="shared" si="4"/>
        <v/>
      </c>
      <c r="C19" s="7" t="str">
        <f t="shared" si="0"/>
        <v/>
      </c>
      <c r="D19" s="7" t="str">
        <f t="shared" si="1"/>
        <v/>
      </c>
      <c r="E19" s="39" t="str">
        <f t="shared" si="2"/>
        <v/>
      </c>
      <c r="F19" s="39" t="str">
        <f t="shared" si="3"/>
        <v/>
      </c>
      <c r="G19" s="39" t="str">
        <f>IF(B19="","",IF($C$9="Piutang",$G$8+SUM($E$13:E19)-SUM($F$13:F19),$G$8+SUM($F$13:F19)-SUM($E$13:E19)))</f>
        <v/>
      </c>
    </row>
    <row r="20" spans="2:7" ht="23.1" customHeight="1">
      <c r="B20" s="45" t="str">
        <f t="shared" si="4"/>
        <v/>
      </c>
      <c r="C20" s="7" t="str">
        <f t="shared" si="0"/>
        <v/>
      </c>
      <c r="D20" s="7" t="str">
        <f t="shared" si="1"/>
        <v/>
      </c>
      <c r="E20" s="39" t="str">
        <f t="shared" si="2"/>
        <v/>
      </c>
      <c r="F20" s="39" t="str">
        <f t="shared" si="3"/>
        <v/>
      </c>
      <c r="G20" s="39" t="str">
        <f>IF(B20="","",IF($C$9="Piutang",$G$8+SUM($E$13:E20)-SUM($F$13:F20),$G$8+SUM($F$13:F20)-SUM($E$13:E20)))</f>
        <v/>
      </c>
    </row>
    <row r="21" spans="2:7" ht="23.1" customHeight="1">
      <c r="B21" s="45" t="str">
        <f t="shared" si="4"/>
        <v/>
      </c>
      <c r="C21" s="7" t="str">
        <f t="shared" si="0"/>
        <v/>
      </c>
      <c r="D21" s="7" t="str">
        <f t="shared" si="1"/>
        <v/>
      </c>
      <c r="E21" s="39" t="str">
        <f t="shared" si="2"/>
        <v/>
      </c>
      <c r="F21" s="39" t="str">
        <f t="shared" si="3"/>
        <v/>
      </c>
      <c r="G21" s="39" t="str">
        <f>IF(B21="","",IF($C$9="Piutang",$G$8+SUM($E$13:E21)-SUM($F$13:F21),$G$8+SUM($F$13:F21)-SUM($E$13:E21)))</f>
        <v/>
      </c>
    </row>
    <row r="22" spans="2:7" ht="23.1" customHeight="1">
      <c r="B22" s="45" t="str">
        <f t="shared" si="4"/>
        <v/>
      </c>
      <c r="C22" s="7" t="str">
        <f t="shared" si="0"/>
        <v/>
      </c>
      <c r="D22" s="7" t="str">
        <f t="shared" si="1"/>
        <v/>
      </c>
      <c r="E22" s="39" t="str">
        <f t="shared" si="2"/>
        <v/>
      </c>
      <c r="F22" s="39" t="str">
        <f t="shared" si="3"/>
        <v/>
      </c>
      <c r="G22" s="39" t="str">
        <f>IF(B22="","",IF($C$9="Piutang",$G$8+SUM($E$13:E22)-SUM($F$13:F22),$G$8+SUM($F$13:F22)-SUM($E$13:E22)))</f>
        <v/>
      </c>
    </row>
    <row r="23" spans="2:7" ht="23.1" customHeight="1">
      <c r="B23" s="45" t="str">
        <f t="shared" si="4"/>
        <v/>
      </c>
      <c r="C23" s="7" t="str">
        <f t="shared" si="0"/>
        <v/>
      </c>
      <c r="D23" s="7" t="str">
        <f t="shared" si="1"/>
        <v/>
      </c>
      <c r="E23" s="39" t="str">
        <f t="shared" si="2"/>
        <v/>
      </c>
      <c r="F23" s="39" t="str">
        <f t="shared" si="3"/>
        <v/>
      </c>
      <c r="G23" s="39" t="str">
        <f>IF(B23="","",IF($C$9="Piutang",$G$8+SUM($E$13:E23)-SUM($F$13:F23),$G$8+SUM($F$13:F23)-SUM($E$13:E23)))</f>
        <v/>
      </c>
    </row>
    <row r="24" spans="2:7" ht="23.1" customHeight="1">
      <c r="B24" s="45" t="str">
        <f t="shared" si="4"/>
        <v/>
      </c>
      <c r="C24" s="7" t="str">
        <f t="shared" si="0"/>
        <v/>
      </c>
      <c r="D24" s="7" t="str">
        <f t="shared" si="1"/>
        <v/>
      </c>
      <c r="E24" s="39" t="str">
        <f t="shared" si="2"/>
        <v/>
      </c>
      <c r="F24" s="39" t="str">
        <f t="shared" si="3"/>
        <v/>
      </c>
      <c r="G24" s="39" t="str">
        <f>IF(B24="","",IF($C$9="Piutang",$G$8+SUM($E$13:E24)-SUM($F$13:F24),$G$8+SUM($F$13:F24)-SUM($E$13:E24)))</f>
        <v/>
      </c>
    </row>
    <row r="25" spans="2:7" ht="23.1" customHeight="1">
      <c r="B25" s="45" t="str">
        <f t="shared" si="4"/>
        <v/>
      </c>
      <c r="C25" s="7" t="str">
        <f t="shared" si="0"/>
        <v/>
      </c>
      <c r="D25" s="7" t="str">
        <f t="shared" si="1"/>
        <v/>
      </c>
      <c r="E25" s="39" t="str">
        <f t="shared" si="2"/>
        <v/>
      </c>
      <c r="F25" s="39" t="str">
        <f t="shared" si="3"/>
        <v/>
      </c>
      <c r="G25" s="39" t="str">
        <f>IF(B25="","",IF($C$9="Piutang",$G$8+SUM($E$13:E25)-SUM($F$13:F25),$G$8+SUM($F$13:F25)-SUM($E$13:E25)))</f>
        <v/>
      </c>
    </row>
    <row r="26" spans="2:7" ht="23.1" customHeight="1">
      <c r="B26" s="45" t="str">
        <f t="shared" si="4"/>
        <v/>
      </c>
      <c r="C26" s="7" t="str">
        <f t="shared" si="0"/>
        <v/>
      </c>
      <c r="D26" s="7" t="str">
        <f t="shared" si="1"/>
        <v/>
      </c>
      <c r="E26" s="39" t="str">
        <f t="shared" si="2"/>
        <v/>
      </c>
      <c r="F26" s="39" t="str">
        <f t="shared" si="3"/>
        <v/>
      </c>
      <c r="G26" s="39" t="str">
        <f>IF(B26="","",IF($C$9="Piutang",$G$8+SUM($E$13:E26)-SUM($F$13:F26),$G$8+SUM($F$13:F26)-SUM($E$13:E26)))</f>
        <v/>
      </c>
    </row>
    <row r="27" spans="2:7" ht="23.1" customHeight="1">
      <c r="B27" s="45" t="str">
        <f t="shared" si="4"/>
        <v/>
      </c>
      <c r="C27" s="7" t="str">
        <f t="shared" si="0"/>
        <v/>
      </c>
      <c r="D27" s="7" t="str">
        <f t="shared" si="1"/>
        <v/>
      </c>
      <c r="E27" s="39" t="str">
        <f t="shared" si="2"/>
        <v/>
      </c>
      <c r="F27" s="39" t="str">
        <f t="shared" si="3"/>
        <v/>
      </c>
      <c r="G27" s="39" t="str">
        <f>IF(B27="","",IF($C$9="Piutang",$G$8+SUM($E$13:E27)-SUM($F$13:F27),$G$8+SUM($F$13:F27)-SUM($E$13:E27)))</f>
        <v/>
      </c>
    </row>
    <row r="28" spans="2:7" ht="23.1" customHeight="1">
      <c r="B28" s="45" t="str">
        <f t="shared" si="4"/>
        <v/>
      </c>
      <c r="C28" s="7" t="str">
        <f t="shared" si="0"/>
        <v/>
      </c>
      <c r="D28" s="7" t="str">
        <f t="shared" si="1"/>
        <v/>
      </c>
      <c r="E28" s="39" t="str">
        <f t="shared" si="2"/>
        <v/>
      </c>
      <c r="F28" s="39" t="str">
        <f t="shared" si="3"/>
        <v/>
      </c>
      <c r="G28" s="39" t="str">
        <f>IF(B28="","",IF($C$9="Piutang",$G$8+SUM($E$13:E28)-SUM($F$13:F28),$G$8+SUM($F$13:F28)-SUM($E$13:E28)))</f>
        <v/>
      </c>
    </row>
    <row r="29" spans="2:7" ht="23.1" customHeight="1">
      <c r="B29" s="45" t="str">
        <f t="shared" si="4"/>
        <v/>
      </c>
      <c r="C29" s="7" t="str">
        <f t="shared" si="0"/>
        <v/>
      </c>
      <c r="D29" s="7" t="str">
        <f t="shared" si="1"/>
        <v/>
      </c>
      <c r="E29" s="39" t="str">
        <f t="shared" si="2"/>
        <v/>
      </c>
      <c r="F29" s="39" t="str">
        <f t="shared" si="3"/>
        <v/>
      </c>
      <c r="G29" s="39" t="str">
        <f>IF(B29="","",IF($C$9="Piutang",$G$8+SUM($E$13:E29)-SUM($F$13:F29),$G$8+SUM($F$13:F29)-SUM($E$13:E29)))</f>
        <v/>
      </c>
    </row>
    <row r="30" spans="2:7" ht="23.1" customHeight="1">
      <c r="B30" s="45" t="str">
        <f t="shared" si="4"/>
        <v/>
      </c>
      <c r="C30" s="7" t="str">
        <f t="shared" si="0"/>
        <v/>
      </c>
      <c r="D30" s="7" t="str">
        <f t="shared" si="1"/>
        <v/>
      </c>
      <c r="E30" s="39" t="str">
        <f t="shared" si="2"/>
        <v/>
      </c>
      <c r="F30" s="39" t="str">
        <f t="shared" si="3"/>
        <v/>
      </c>
      <c r="G30" s="39" t="str">
        <f>IF(B30="","",IF($C$9="Piutang",$G$8+SUM($E$13:E30)-SUM($F$13:F30),$G$8+SUM($F$13:F30)-SUM($E$13:E30)))</f>
        <v/>
      </c>
    </row>
    <row r="31" spans="2:7" ht="23.1" customHeight="1">
      <c r="B31" s="45" t="str">
        <f t="shared" si="4"/>
        <v/>
      </c>
      <c r="C31" s="7" t="str">
        <f t="shared" si="0"/>
        <v/>
      </c>
      <c r="D31" s="7" t="str">
        <f t="shared" si="1"/>
        <v/>
      </c>
      <c r="E31" s="39" t="str">
        <f t="shared" si="2"/>
        <v/>
      </c>
      <c r="F31" s="39" t="str">
        <f t="shared" si="3"/>
        <v/>
      </c>
      <c r="G31" s="39" t="str">
        <f>IF(B31="","",IF($C$9="Piutang",$G$8+SUM($E$13:E31)-SUM($F$13:F31),$G$8+SUM($F$13:F31)-SUM($E$13:E31)))</f>
        <v/>
      </c>
    </row>
    <row r="32" spans="2:7" ht="23.1" customHeight="1">
      <c r="B32" s="45" t="str">
        <f t="shared" si="4"/>
        <v/>
      </c>
      <c r="C32" s="7" t="str">
        <f t="shared" si="0"/>
        <v/>
      </c>
      <c r="D32" s="7" t="str">
        <f t="shared" si="1"/>
        <v/>
      </c>
      <c r="E32" s="39" t="str">
        <f t="shared" si="2"/>
        <v/>
      </c>
      <c r="F32" s="39" t="str">
        <f t="shared" si="3"/>
        <v/>
      </c>
      <c r="G32" s="39" t="str">
        <f>IF(B32="","",IF($C$9="Piutang",$G$8+SUM($E$13:E32)-SUM($F$13:F32),$G$8+SUM($F$13:F32)-SUM($E$13:E32)))</f>
        <v/>
      </c>
    </row>
    <row r="33" spans="2:7" ht="23.1" customHeight="1">
      <c r="B33" s="45" t="str">
        <f t="shared" si="4"/>
        <v/>
      </c>
      <c r="C33" s="7" t="str">
        <f t="shared" si="0"/>
        <v/>
      </c>
      <c r="D33" s="7" t="str">
        <f t="shared" si="1"/>
        <v/>
      </c>
      <c r="E33" s="39" t="str">
        <f t="shared" si="2"/>
        <v/>
      </c>
      <c r="F33" s="39" t="str">
        <f t="shared" si="3"/>
        <v/>
      </c>
      <c r="G33" s="39" t="str">
        <f>IF(B33="","",IF($C$9="Piutang",$G$8+SUM($E$13:E33)-SUM($F$13:F33),$G$8+SUM($F$13:F33)-SUM($E$13:E33)))</f>
        <v/>
      </c>
    </row>
    <row r="34" spans="2:7" ht="23.1" customHeight="1">
      <c r="B34" s="45" t="str">
        <f t="shared" si="4"/>
        <v/>
      </c>
      <c r="C34" s="7" t="str">
        <f t="shared" si="0"/>
        <v/>
      </c>
      <c r="D34" s="7" t="str">
        <f t="shared" si="1"/>
        <v/>
      </c>
      <c r="E34" s="39" t="str">
        <f t="shared" si="2"/>
        <v/>
      </c>
      <c r="F34" s="39" t="str">
        <f t="shared" si="3"/>
        <v/>
      </c>
      <c r="G34" s="39" t="str">
        <f>IF(B34="","",IF($C$9="Piutang",$G$8+SUM($E$13:E34)-SUM($F$13:F34),$G$8+SUM($F$13:F34)-SUM($E$13:E34)))</f>
        <v/>
      </c>
    </row>
    <row r="35" spans="2:7" ht="23.1" customHeight="1">
      <c r="B35" s="45" t="str">
        <f t="shared" si="4"/>
        <v/>
      </c>
      <c r="C35" s="7" t="str">
        <f t="shared" si="0"/>
        <v/>
      </c>
      <c r="D35" s="7" t="str">
        <f t="shared" si="1"/>
        <v/>
      </c>
      <c r="E35" s="39" t="str">
        <f t="shared" si="2"/>
        <v/>
      </c>
      <c r="F35" s="39" t="str">
        <f t="shared" si="3"/>
        <v/>
      </c>
      <c r="G35" s="39" t="str">
        <f>IF(B35="","",IF($C$9="Piutang",$G$8+SUM($E$13:E35)-SUM($F$13:F35),$G$8+SUM($F$13:F35)-SUM($E$13:E35)))</f>
        <v/>
      </c>
    </row>
    <row r="36" spans="2:7" ht="23.1" customHeight="1">
      <c r="B36" s="45" t="str">
        <f t="shared" si="4"/>
        <v/>
      </c>
      <c r="C36" s="7" t="str">
        <f t="shared" si="0"/>
        <v/>
      </c>
      <c r="D36" s="7" t="str">
        <f t="shared" si="1"/>
        <v/>
      </c>
      <c r="E36" s="39" t="str">
        <f t="shared" si="2"/>
        <v/>
      </c>
      <c r="F36" s="39" t="str">
        <f t="shared" si="3"/>
        <v/>
      </c>
      <c r="G36" s="39" t="str">
        <f>IF(B36="","",IF($C$9="Piutang",$G$8+SUM($E$13:E36)-SUM($F$13:F36),$G$8+SUM($F$13:F36)-SUM($E$13:E36)))</f>
        <v/>
      </c>
    </row>
    <row r="37" spans="2:7" ht="23.1" customHeight="1">
      <c r="B37" s="45" t="str">
        <f t="shared" si="4"/>
        <v/>
      </c>
      <c r="C37" s="7" t="str">
        <f t="shared" si="0"/>
        <v/>
      </c>
      <c r="D37" s="7" t="str">
        <f t="shared" si="1"/>
        <v/>
      </c>
      <c r="E37" s="39" t="str">
        <f t="shared" si="2"/>
        <v/>
      </c>
      <c r="F37" s="39" t="str">
        <f t="shared" si="3"/>
        <v/>
      </c>
      <c r="G37" s="39" t="str">
        <f>IF(B37="","",IF($C$9="Piutang",$G$8+SUM($E$13:E37)-SUM($F$13:F37),$G$8+SUM($F$13:F37)-SUM($E$13:E37)))</f>
        <v/>
      </c>
    </row>
    <row r="38" spans="2:7" ht="23.1" customHeight="1">
      <c r="B38" s="45" t="str">
        <f t="shared" si="4"/>
        <v/>
      </c>
      <c r="C38" s="7" t="str">
        <f t="shared" si="0"/>
        <v/>
      </c>
      <c r="D38" s="7" t="str">
        <f t="shared" si="1"/>
        <v/>
      </c>
      <c r="E38" s="39" t="str">
        <f t="shared" si="2"/>
        <v/>
      </c>
      <c r="F38" s="39" t="str">
        <f t="shared" si="3"/>
        <v/>
      </c>
      <c r="G38" s="39" t="str">
        <f>IF(B38="","",IF($C$9="Piutang",$G$8+SUM($E$13:E38)-SUM($F$13:F38),$G$8+SUM($F$13:F38)-SUM($E$13:E38)))</f>
        <v/>
      </c>
    </row>
    <row r="39" spans="2:7" ht="23.1" customHeight="1">
      <c r="B39" s="45" t="str">
        <f t="shared" si="4"/>
        <v/>
      </c>
      <c r="C39" s="7" t="str">
        <f t="shared" si="0"/>
        <v/>
      </c>
      <c r="D39" s="7" t="str">
        <f t="shared" si="1"/>
        <v/>
      </c>
      <c r="E39" s="39" t="str">
        <f t="shared" si="2"/>
        <v/>
      </c>
      <c r="F39" s="39" t="str">
        <f t="shared" si="3"/>
        <v/>
      </c>
      <c r="G39" s="39" t="str">
        <f>IF(B39="","",IF($C$9="Piutang",$G$8+SUM($E$13:E39)-SUM($F$13:F39),$G$8+SUM($F$13:F39)-SUM($E$13:E39)))</f>
        <v/>
      </c>
    </row>
    <row r="40" spans="2:7" ht="23.1" customHeight="1">
      <c r="B40" s="45" t="str">
        <f t="shared" si="4"/>
        <v/>
      </c>
      <c r="C40" s="7" t="str">
        <f t="shared" si="0"/>
        <v/>
      </c>
      <c r="D40" s="7" t="str">
        <f t="shared" si="1"/>
        <v/>
      </c>
      <c r="E40" s="39" t="str">
        <f t="shared" si="2"/>
        <v/>
      </c>
      <c r="F40" s="39" t="str">
        <f t="shared" si="3"/>
        <v/>
      </c>
      <c r="G40" s="39" t="str">
        <f>IF(B40="","",IF($C$9="Piutang",$G$8+SUM($E$13:E40)-SUM($F$13:F40),$G$8+SUM($F$13:F40)-SUM($E$13:E40)))</f>
        <v/>
      </c>
    </row>
    <row r="41" spans="2:7" ht="23.1" customHeight="1">
      <c r="B41" s="45" t="str">
        <f t="shared" si="4"/>
        <v/>
      </c>
      <c r="C41" s="7" t="str">
        <f t="shared" si="0"/>
        <v/>
      </c>
      <c r="D41" s="7" t="str">
        <f t="shared" si="1"/>
        <v/>
      </c>
      <c r="E41" s="39" t="str">
        <f t="shared" si="2"/>
        <v/>
      </c>
      <c r="F41" s="39" t="str">
        <f t="shared" si="3"/>
        <v/>
      </c>
      <c r="G41" s="39" t="str">
        <f>IF(B41="","",IF($C$9="Piutang",$G$8+SUM($E$13:E41)-SUM($F$13:F41),$G$8+SUM($F$13:F41)-SUM($E$13:E41)))</f>
        <v/>
      </c>
    </row>
    <row r="42" spans="2:7" ht="23.1" customHeight="1">
      <c r="B42" s="45" t="str">
        <f t="shared" si="4"/>
        <v/>
      </c>
      <c r="C42" s="7" t="str">
        <f t="shared" si="0"/>
        <v/>
      </c>
      <c r="D42" s="7" t="str">
        <f t="shared" si="1"/>
        <v/>
      </c>
      <c r="E42" s="39" t="str">
        <f t="shared" si="2"/>
        <v/>
      </c>
      <c r="F42" s="39" t="str">
        <f t="shared" si="3"/>
        <v/>
      </c>
      <c r="G42" s="39" t="str">
        <f>IF(B42="","",IF($C$9="Piutang",$G$8+SUM($E$13:E42)-SUM($F$13:F42),$G$8+SUM($F$13:F42)-SUM($E$13:E42)))</f>
        <v/>
      </c>
    </row>
    <row r="43" spans="2:7" ht="23.1" customHeight="1">
      <c r="B43" s="45" t="str">
        <f t="shared" si="4"/>
        <v/>
      </c>
      <c r="C43" s="7" t="str">
        <f t="shared" si="0"/>
        <v/>
      </c>
      <c r="D43" s="7" t="str">
        <f t="shared" si="1"/>
        <v/>
      </c>
      <c r="E43" s="39" t="str">
        <f t="shared" si="2"/>
        <v/>
      </c>
      <c r="F43" s="39" t="str">
        <f t="shared" si="3"/>
        <v/>
      </c>
      <c r="G43" s="39" t="str">
        <f>IF(B43="","",IF($C$9="Piutang",$G$8+SUM($E$13:E43)-SUM($F$13:F43),$G$8+SUM($F$13:F43)-SUM($E$13:E43)))</f>
        <v/>
      </c>
    </row>
    <row r="44" spans="2:7" ht="23.1" customHeight="1">
      <c r="B44" s="45" t="str">
        <f t="shared" si="4"/>
        <v/>
      </c>
      <c r="C44" s="7" t="str">
        <f t="shared" si="0"/>
        <v/>
      </c>
      <c r="D44" s="7" t="str">
        <f t="shared" si="1"/>
        <v/>
      </c>
      <c r="E44" s="39" t="str">
        <f t="shared" si="2"/>
        <v/>
      </c>
      <c r="F44" s="39" t="str">
        <f t="shared" si="3"/>
        <v/>
      </c>
      <c r="G44" s="39" t="str">
        <f>IF(B44="","",IF($C$9="Piutang",$G$8+SUM($E$13:E44)-SUM($F$13:F44),$G$8+SUM($F$13:F44)-SUM($E$13:E44)))</f>
        <v/>
      </c>
    </row>
    <row r="45" spans="2:7" ht="23.1" customHeight="1">
      <c r="B45" s="45" t="str">
        <f t="shared" si="4"/>
        <v/>
      </c>
      <c r="C45" s="7" t="str">
        <f t="shared" si="0"/>
        <v/>
      </c>
      <c r="D45" s="7" t="str">
        <f t="shared" si="1"/>
        <v/>
      </c>
      <c r="E45" s="39" t="str">
        <f t="shared" si="2"/>
        <v/>
      </c>
      <c r="F45" s="39" t="str">
        <f t="shared" si="3"/>
        <v/>
      </c>
      <c r="G45" s="39" t="str">
        <f>IF(B45="","",IF($C$9="Piutang",$G$8+SUM($E$13:E45)-SUM($F$13:F45),$G$8+SUM($F$13:F45)-SUM($E$13:E45)))</f>
        <v/>
      </c>
    </row>
    <row r="46" spans="2:7" ht="23.1" customHeight="1">
      <c r="B46" s="45" t="str">
        <f t="shared" si="4"/>
        <v/>
      </c>
      <c r="C46" s="7" t="str">
        <f t="shared" si="0"/>
        <v/>
      </c>
      <c r="D46" s="7" t="str">
        <f t="shared" si="1"/>
        <v/>
      </c>
      <c r="E46" s="39" t="str">
        <f t="shared" si="2"/>
        <v/>
      </c>
      <c r="F46" s="39" t="str">
        <f t="shared" si="3"/>
        <v/>
      </c>
      <c r="G46" s="39" t="str">
        <f>IF(B46="","",IF($C$9="Piutang",$G$8+SUM($E$13:E46)-SUM($F$13:F46),$G$8+SUM($F$13:F46)-SUM($E$13:E46)))</f>
        <v/>
      </c>
    </row>
  </sheetData>
  <autoFilter ref="B11:B46" xr:uid="{30DD6A61-9F7C-EB41-804F-B12D4597CDEF}"/>
  <mergeCells count="5">
    <mergeCell ref="B4:G4"/>
    <mergeCell ref="B5:G5"/>
    <mergeCell ref="B6:G6"/>
    <mergeCell ref="C8:D8"/>
    <mergeCell ref="C9:D9"/>
  </mergeCells>
  <dataValidations count="1">
    <dataValidation type="list" allowBlank="1" showInputMessage="1" showErrorMessage="1" sqref="C8" xr:uid="{48B0E329-25F1-BB4B-86AA-56CA3ECDBA8A}">
      <formula1>val_kb</formula1>
    </dataValidation>
  </dataValidations>
  <hyperlinks>
    <hyperlink ref="B2" location="MENU!D8" display="MENU" xr:uid="{CDAE86DD-0811-544B-AB34-32C9E6EEF74C}"/>
  </hyperlinks>
  <pageMargins left="0.7" right="0.7" top="0.75" bottom="0.75" header="0.3" footer="0.3"/>
  <pageSetup paperSize="9" scale="59" fitToHeight="1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600C-1092-2241-9832-D29D41CCC67B}">
  <sheetPr codeName="Sheet5">
    <pageSetUpPr fitToPage="1"/>
  </sheetPr>
  <dimension ref="B1:I25"/>
  <sheetViews>
    <sheetView showGridLines="0" showRowColHeaders="0" workbookViewId="0">
      <selection activeCell="I12" sqref="I12"/>
    </sheetView>
  </sheetViews>
  <sheetFormatPr defaultColWidth="10.875" defaultRowHeight="23.1" customHeight="1" outlineLevelCol="1"/>
  <cols>
    <col min="1" max="1" width="2.875" style="1" customWidth="1"/>
    <col min="2" max="2" width="10.875" style="3"/>
    <col min="3" max="3" width="29.5" style="3" customWidth="1"/>
    <col min="4" max="4" width="15.625" style="3" customWidth="1"/>
    <col min="5" max="5" width="14.875" style="3" customWidth="1"/>
    <col min="6" max="6" width="14.5" style="3" customWidth="1"/>
    <col min="7" max="7" width="3.125" style="1" customWidth="1"/>
    <col min="8" max="8" width="10.875" style="1" hidden="1" customWidth="1" outlineLevel="1"/>
    <col min="9" max="9" width="10.875" style="1" collapsed="1"/>
    <col min="10" max="16384" width="10.875" style="1"/>
  </cols>
  <sheetData>
    <row r="1" spans="2:8" ht="9.9499999999999993" customHeight="1"/>
    <row r="2" spans="2:8" ht="23.1" customHeight="1" thickBot="1">
      <c r="B2" s="90" t="s">
        <v>58</v>
      </c>
      <c r="C2" s="12" t="str">
        <f>KB!C2</f>
        <v>Kahfizul13@gmail.com</v>
      </c>
    </row>
    <row r="3" spans="2:8" ht="15" customHeight="1"/>
    <row r="4" spans="2:8" ht="24.95" customHeight="1" thickBot="1">
      <c r="B4" s="400" t="s">
        <v>34</v>
      </c>
      <c r="C4" s="401"/>
      <c r="D4" s="401"/>
      <c r="E4" s="401"/>
      <c r="F4" s="402"/>
    </row>
    <row r="5" spans="2:8" ht="9" customHeight="1"/>
    <row r="6" spans="2:8" ht="23.1" customHeight="1" thickBot="1">
      <c r="B6" s="17" t="s">
        <v>3</v>
      </c>
      <c r="C6" s="17" t="s">
        <v>35</v>
      </c>
      <c r="D6" s="17" t="s">
        <v>37</v>
      </c>
      <c r="E6" s="17" t="s">
        <v>38</v>
      </c>
      <c r="F6" s="17" t="s">
        <v>39</v>
      </c>
    </row>
    <row r="7" spans="2:8" ht="9.9499999999999993" customHeight="1">
      <c r="B7" s="10"/>
      <c r="C7" s="10"/>
      <c r="D7" s="10"/>
      <c r="E7" s="10"/>
      <c r="F7" s="10"/>
    </row>
    <row r="8" spans="2:8" ht="23.1" customHeight="1">
      <c r="B8" s="7" t="s">
        <v>41</v>
      </c>
      <c r="C8" s="7" t="s">
        <v>40</v>
      </c>
      <c r="D8" s="8">
        <f t="shared" ref="D8:D23" si="0">IF(B8="","",SUMIFS(ju_sld,ju_tgl,"&gt;="&amp;awal,ju_tgl,"&lt;="&amp;akhir,ju_div2,"kr"&amp;H8))</f>
        <v>0</v>
      </c>
      <c r="E8" s="8">
        <f t="shared" ref="E8:E23" si="1">IF(B8="","",SUMIFS(ju_sld,ju_tgl,"&gt;="&amp;awal,ju_tgl,"&lt;="&amp;akhir,ju_div2,"db"&amp;H8))</f>
        <v>0</v>
      </c>
      <c r="F8" s="113">
        <f>IF(B8="","",D8-E8)</f>
        <v>0</v>
      </c>
      <c r="H8" s="1" t="str">
        <f t="shared" ref="H8:H24" si="2">IF(B8="","",B8&amp;" | "&amp;C8)</f>
        <v>D1 | Pusat</v>
      </c>
    </row>
    <row r="9" spans="2:8" ht="23.1" customHeight="1">
      <c r="B9" s="7" t="s">
        <v>42</v>
      </c>
      <c r="C9" s="7" t="s">
        <v>44</v>
      </c>
      <c r="D9" s="8">
        <f t="shared" si="0"/>
        <v>0</v>
      </c>
      <c r="E9" s="8">
        <f t="shared" si="1"/>
        <v>0</v>
      </c>
      <c r="F9" s="113">
        <f t="shared" ref="F9:F23" si="3">IF(B9="","",D9-E9)</f>
        <v>0</v>
      </c>
      <c r="H9" s="1" t="str">
        <f t="shared" si="2"/>
        <v>D2 | Cabang 1</v>
      </c>
    </row>
    <row r="10" spans="2:8" ht="23.1" customHeight="1">
      <c r="B10" s="7" t="s">
        <v>43</v>
      </c>
      <c r="C10" s="7" t="s">
        <v>45</v>
      </c>
      <c r="D10" s="8">
        <f t="shared" si="0"/>
        <v>0</v>
      </c>
      <c r="E10" s="8">
        <f t="shared" si="1"/>
        <v>0</v>
      </c>
      <c r="F10" s="113">
        <f t="shared" si="3"/>
        <v>0</v>
      </c>
      <c r="H10" s="1" t="str">
        <f t="shared" si="2"/>
        <v>D3 | Cabang 2</v>
      </c>
    </row>
    <row r="11" spans="2:8" ht="23.1" customHeight="1">
      <c r="B11" s="7"/>
      <c r="C11" s="7"/>
      <c r="D11" s="8" t="str">
        <f t="shared" si="0"/>
        <v/>
      </c>
      <c r="E11" s="8" t="str">
        <f t="shared" si="1"/>
        <v/>
      </c>
      <c r="F11" s="113" t="str">
        <f t="shared" si="3"/>
        <v/>
      </c>
      <c r="H11" s="1" t="str">
        <f t="shared" si="2"/>
        <v/>
      </c>
    </row>
    <row r="12" spans="2:8" ht="23.1" customHeight="1">
      <c r="B12" s="7"/>
      <c r="C12" s="7"/>
      <c r="D12" s="8" t="str">
        <f t="shared" si="0"/>
        <v/>
      </c>
      <c r="E12" s="8" t="str">
        <f t="shared" si="1"/>
        <v/>
      </c>
      <c r="F12" s="113" t="str">
        <f t="shared" si="3"/>
        <v/>
      </c>
      <c r="H12" s="1" t="str">
        <f t="shared" si="2"/>
        <v/>
      </c>
    </row>
    <row r="13" spans="2:8" ht="23.1" customHeight="1">
      <c r="B13" s="7"/>
      <c r="C13" s="7"/>
      <c r="D13" s="8" t="str">
        <f t="shared" si="0"/>
        <v/>
      </c>
      <c r="E13" s="8" t="str">
        <f t="shared" si="1"/>
        <v/>
      </c>
      <c r="F13" s="113" t="str">
        <f t="shared" si="3"/>
        <v/>
      </c>
      <c r="H13" s="1" t="str">
        <f t="shared" si="2"/>
        <v/>
      </c>
    </row>
    <row r="14" spans="2:8" ht="23.1" customHeight="1">
      <c r="B14" s="7"/>
      <c r="C14" s="7"/>
      <c r="D14" s="8" t="str">
        <f t="shared" si="0"/>
        <v/>
      </c>
      <c r="E14" s="8" t="str">
        <f t="shared" si="1"/>
        <v/>
      </c>
      <c r="F14" s="113" t="str">
        <f t="shared" si="3"/>
        <v/>
      </c>
      <c r="H14" s="1" t="str">
        <f t="shared" si="2"/>
        <v/>
      </c>
    </row>
    <row r="15" spans="2:8" ht="23.1" customHeight="1">
      <c r="B15" s="7"/>
      <c r="C15" s="7"/>
      <c r="D15" s="8" t="str">
        <f t="shared" si="0"/>
        <v/>
      </c>
      <c r="E15" s="8" t="str">
        <f t="shared" si="1"/>
        <v/>
      </c>
      <c r="F15" s="113" t="str">
        <f t="shared" si="3"/>
        <v/>
      </c>
      <c r="H15" s="1" t="str">
        <f t="shared" si="2"/>
        <v/>
      </c>
    </row>
    <row r="16" spans="2:8" ht="23.1" customHeight="1">
      <c r="B16" s="7"/>
      <c r="C16" s="7"/>
      <c r="D16" s="8" t="str">
        <f t="shared" si="0"/>
        <v/>
      </c>
      <c r="E16" s="8" t="str">
        <f t="shared" si="1"/>
        <v/>
      </c>
      <c r="F16" s="113" t="str">
        <f t="shared" si="3"/>
        <v/>
      </c>
      <c r="H16" s="1" t="str">
        <f t="shared" si="2"/>
        <v/>
      </c>
    </row>
    <row r="17" spans="2:8" ht="23.1" customHeight="1">
      <c r="B17" s="7"/>
      <c r="C17" s="7"/>
      <c r="D17" s="8" t="str">
        <f t="shared" si="0"/>
        <v/>
      </c>
      <c r="E17" s="8" t="str">
        <f t="shared" si="1"/>
        <v/>
      </c>
      <c r="F17" s="113" t="str">
        <f t="shared" si="3"/>
        <v/>
      </c>
      <c r="H17" s="1" t="str">
        <f t="shared" si="2"/>
        <v/>
      </c>
    </row>
    <row r="18" spans="2:8" ht="23.1" customHeight="1">
      <c r="B18" s="7"/>
      <c r="C18" s="7"/>
      <c r="D18" s="8" t="str">
        <f t="shared" si="0"/>
        <v/>
      </c>
      <c r="E18" s="8" t="str">
        <f t="shared" si="1"/>
        <v/>
      </c>
      <c r="F18" s="113" t="str">
        <f t="shared" si="3"/>
        <v/>
      </c>
      <c r="H18" s="1" t="str">
        <f t="shared" si="2"/>
        <v/>
      </c>
    </row>
    <row r="19" spans="2:8" ht="23.1" customHeight="1">
      <c r="B19" s="7"/>
      <c r="C19" s="7"/>
      <c r="D19" s="8" t="str">
        <f t="shared" si="0"/>
        <v/>
      </c>
      <c r="E19" s="8" t="str">
        <f t="shared" si="1"/>
        <v/>
      </c>
      <c r="F19" s="113" t="str">
        <f t="shared" si="3"/>
        <v/>
      </c>
      <c r="H19" s="1" t="str">
        <f t="shared" si="2"/>
        <v/>
      </c>
    </row>
    <row r="20" spans="2:8" ht="23.1" customHeight="1">
      <c r="B20" s="7"/>
      <c r="C20" s="7"/>
      <c r="D20" s="8" t="str">
        <f t="shared" si="0"/>
        <v/>
      </c>
      <c r="E20" s="8" t="str">
        <f t="shared" si="1"/>
        <v/>
      </c>
      <c r="F20" s="113" t="str">
        <f t="shared" si="3"/>
        <v/>
      </c>
      <c r="H20" s="1" t="str">
        <f t="shared" si="2"/>
        <v/>
      </c>
    </row>
    <row r="21" spans="2:8" ht="23.1" customHeight="1">
      <c r="B21" s="7"/>
      <c r="C21" s="7"/>
      <c r="D21" s="8" t="str">
        <f t="shared" si="0"/>
        <v/>
      </c>
      <c r="E21" s="8" t="str">
        <f t="shared" si="1"/>
        <v/>
      </c>
      <c r="F21" s="113" t="str">
        <f t="shared" si="3"/>
        <v/>
      </c>
      <c r="H21" s="1" t="str">
        <f t="shared" si="2"/>
        <v/>
      </c>
    </row>
    <row r="22" spans="2:8" ht="23.1" customHeight="1">
      <c r="B22" s="7"/>
      <c r="C22" s="7"/>
      <c r="D22" s="8" t="str">
        <f t="shared" si="0"/>
        <v/>
      </c>
      <c r="E22" s="8" t="str">
        <f t="shared" si="1"/>
        <v/>
      </c>
      <c r="F22" s="113" t="str">
        <f t="shared" si="3"/>
        <v/>
      </c>
      <c r="H22" s="1" t="str">
        <f t="shared" si="2"/>
        <v/>
      </c>
    </row>
    <row r="23" spans="2:8" ht="23.1" customHeight="1">
      <c r="B23" s="7"/>
      <c r="C23" s="7"/>
      <c r="D23" s="8" t="str">
        <f t="shared" si="0"/>
        <v/>
      </c>
      <c r="E23" s="8" t="str">
        <f t="shared" si="1"/>
        <v/>
      </c>
      <c r="F23" s="113" t="str">
        <f t="shared" si="3"/>
        <v/>
      </c>
      <c r="H23" s="1" t="str">
        <f t="shared" si="2"/>
        <v/>
      </c>
    </row>
    <row r="24" spans="2:8" ht="9" customHeight="1" thickBot="1">
      <c r="B24" s="23"/>
      <c r="C24" s="23"/>
      <c r="D24" s="23"/>
      <c r="E24" s="23"/>
      <c r="F24" s="23"/>
      <c r="H24" s="1" t="str">
        <f t="shared" si="2"/>
        <v/>
      </c>
    </row>
    <row r="25" spans="2:8" ht="23.1" customHeight="1" thickBot="1">
      <c r="B25" s="24" t="s">
        <v>72</v>
      </c>
      <c r="C25" s="27"/>
      <c r="D25" s="92">
        <f>SUM(D8:D23)</f>
        <v>0</v>
      </c>
      <c r="E25" s="92">
        <f>SUM(E8:E23)</f>
        <v>0</v>
      </c>
      <c r="F25" s="92">
        <f>SUM(F8:F23)</f>
        <v>0</v>
      </c>
    </row>
  </sheetData>
  <mergeCells count="1">
    <mergeCell ref="B4:F4"/>
  </mergeCells>
  <phoneticPr fontId="7" type="noConversion"/>
  <hyperlinks>
    <hyperlink ref="B2" location="MENU!D8" display="MENU" xr:uid="{3C75ED6D-5258-C246-97DA-82CD83C77DD3}"/>
  </hyperlinks>
  <pageMargins left="0.7" right="0.7" top="0.75" bottom="0.75" header="0.3" footer="0.3"/>
  <pageSetup paperSize="9"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DABC-3C7A-BA4D-BD3C-84F7D40FBDD2}">
  <sheetPr codeName="Sheet7">
    <pageSetUpPr fitToPage="1"/>
  </sheetPr>
  <dimension ref="B1:Y2104"/>
  <sheetViews>
    <sheetView showGridLines="0" zoomScale="90" zoomScaleNormal="90" workbookViewId="0">
      <pane ySplit="7" topLeftCell="A1063" activePane="bottomLeft" state="frozen"/>
      <selection pane="bottomLeft" activeCell="K1071" sqref="K1071"/>
    </sheetView>
  </sheetViews>
  <sheetFormatPr defaultColWidth="10.875" defaultRowHeight="23.1" customHeight="1" outlineLevelCol="1"/>
  <cols>
    <col min="1" max="1" width="3.375" style="1" customWidth="1"/>
    <col min="2" max="2" width="15.375" style="29" customWidth="1"/>
    <col min="3" max="3" width="5.625" style="1" customWidth="1"/>
    <col min="4" max="4" width="13.5" style="1" customWidth="1"/>
    <col min="5" max="5" width="9.25" style="5" customWidth="1"/>
    <col min="6" max="6" width="4.375" style="3" customWidth="1"/>
    <col min="7" max="7" width="3.875" style="3" customWidth="1"/>
    <col min="8" max="8" width="58.125" style="3" customWidth="1"/>
    <col min="9" max="9" width="41.25" style="3" customWidth="1"/>
    <col min="10" max="10" width="16.125" style="37" customWidth="1"/>
    <col min="11" max="11" width="3.125" style="1" customWidth="1"/>
    <col min="12" max="13" width="9.875" style="1" hidden="1" customWidth="1" outlineLevel="1"/>
    <col min="14" max="15" width="9.875" style="5" hidden="1" customWidth="1" outlineLevel="1"/>
    <col min="16" max="16" width="14.625" style="13" hidden="1" customWidth="1" outlineLevel="1"/>
    <col min="17" max="18" width="9.875" style="1" hidden="1" customWidth="1" outlineLevel="1"/>
    <col min="19" max="19" width="17" style="1" hidden="1" customWidth="1" outlineLevel="1"/>
    <col min="20" max="24" width="9.875" style="1" hidden="1" customWidth="1" outlineLevel="1"/>
    <col min="25" max="25" width="10.875" style="1" collapsed="1"/>
    <col min="26" max="16384" width="10.875" style="1"/>
  </cols>
  <sheetData>
    <row r="1" spans="2:24" ht="9.9499999999999993" customHeight="1"/>
    <row r="2" spans="2:24" ht="23.1" customHeight="1" thickBot="1">
      <c r="B2" s="90" t="s">
        <v>58</v>
      </c>
      <c r="C2" s="134" t="e">
        <f>#REF!</f>
        <v>#REF!</v>
      </c>
      <c r="D2" s="19"/>
      <c r="E2" s="18"/>
      <c r="F2" s="36"/>
      <c r="G2" s="36"/>
      <c r="H2" s="36"/>
      <c r="I2" s="36"/>
      <c r="J2" s="38"/>
    </row>
    <row r="3" spans="2:24" ht="23.1" customHeight="1" thickTop="1">
      <c r="B3" s="30"/>
    </row>
    <row r="4" spans="2:24" ht="24.95" customHeight="1" thickBot="1">
      <c r="B4" s="403" t="s">
        <v>78</v>
      </c>
      <c r="C4" s="404"/>
      <c r="D4" s="404"/>
      <c r="E4" s="404"/>
      <c r="F4" s="404"/>
      <c r="G4" s="404"/>
      <c r="H4" s="404"/>
      <c r="I4" s="404"/>
      <c r="J4" s="405"/>
    </row>
    <row r="5" spans="2:24" ht="6" customHeight="1"/>
    <row r="6" spans="2:24" ht="23.1" customHeight="1" thickBot="1">
      <c r="B6" s="28" t="s">
        <v>1</v>
      </c>
      <c r="C6" s="25" t="s">
        <v>79</v>
      </c>
      <c r="D6" s="25" t="s">
        <v>9</v>
      </c>
      <c r="E6" s="25" t="s">
        <v>80</v>
      </c>
      <c r="F6" s="25" t="s">
        <v>81</v>
      </c>
      <c r="G6" s="25" t="s">
        <v>82</v>
      </c>
      <c r="H6" s="25" t="s">
        <v>83</v>
      </c>
      <c r="I6" s="25" t="s">
        <v>84</v>
      </c>
      <c r="J6" s="26" t="s">
        <v>85</v>
      </c>
      <c r="L6" s="44" t="s">
        <v>123</v>
      </c>
      <c r="M6" s="44" t="s">
        <v>182</v>
      </c>
      <c r="N6" s="44" t="s">
        <v>122</v>
      </c>
      <c r="O6" s="44" t="s">
        <v>55</v>
      </c>
      <c r="P6" s="68" t="s">
        <v>157</v>
      </c>
      <c r="Q6" s="68" t="s">
        <v>158</v>
      </c>
      <c r="R6" s="68" t="s">
        <v>179</v>
      </c>
      <c r="S6" s="68" t="s">
        <v>180</v>
      </c>
      <c r="T6" s="68" t="s">
        <v>183</v>
      </c>
      <c r="U6" s="68" t="s">
        <v>184</v>
      </c>
      <c r="V6" s="68" t="s">
        <v>59</v>
      </c>
      <c r="W6" s="68" t="s">
        <v>187</v>
      </c>
      <c r="X6" s="68" t="s">
        <v>194</v>
      </c>
    </row>
    <row r="7" spans="2:24" ht="8.1" customHeight="1">
      <c r="B7" s="130" t="s">
        <v>222</v>
      </c>
      <c r="C7" s="130" t="s">
        <v>222</v>
      </c>
      <c r="D7" s="130" t="s">
        <v>222</v>
      </c>
      <c r="E7" s="130" t="s">
        <v>222</v>
      </c>
      <c r="F7" s="130" t="s">
        <v>222</v>
      </c>
      <c r="G7" s="130" t="s">
        <v>222</v>
      </c>
      <c r="H7" s="130" t="s">
        <v>222</v>
      </c>
      <c r="I7" s="130" t="s">
        <v>222</v>
      </c>
      <c r="J7" s="130" t="s">
        <v>222</v>
      </c>
      <c r="L7" s="5"/>
      <c r="M7" s="5"/>
      <c r="Q7" s="13"/>
      <c r="R7" s="13"/>
      <c r="S7" s="13"/>
      <c r="T7" s="13"/>
      <c r="U7" s="13"/>
      <c r="V7" s="13"/>
      <c r="W7" s="13"/>
      <c r="X7" s="13"/>
    </row>
    <row r="8" spans="2:24" ht="23.1" customHeight="1">
      <c r="B8" s="31">
        <v>44592</v>
      </c>
      <c r="C8" s="9"/>
      <c r="D8" s="9" t="s">
        <v>550</v>
      </c>
      <c r="E8" s="7"/>
      <c r="F8" s="7"/>
      <c r="G8" s="7"/>
      <c r="H8" s="7" t="s">
        <v>551</v>
      </c>
      <c r="I8" s="7" t="s">
        <v>503</v>
      </c>
      <c r="J8" s="39">
        <v>638124500</v>
      </c>
      <c r="L8" s="16">
        <f t="shared" ref="L8:L39" si="0">IF(AND(B8&gt;=awal,B8&lt;=akhir,B8&lt;&gt;""),1,IF(AND(B8&lt;&gt;"",B8&lt;awal),2,""))</f>
        <v>1</v>
      </c>
      <c r="M8" s="16" t="str">
        <f>IF(B8="","",TEXT(B8,"mmmm"))</f>
        <v>January</v>
      </c>
      <c r="N8" s="16" t="str">
        <f>IF(AND(L8=1,H8=bb_akun),"Awe",IF(AND(L8=1,I8=bb_akun),"Awe",""))</f>
        <v/>
      </c>
      <c r="O8" s="16" t="str">
        <f>IF(N8="","",COUNTIF($N$8:N8,N8))</f>
        <v/>
      </c>
      <c r="P8" s="34" t="str">
        <f>IFERROR(IF(OR(INDEX(akun_type,MATCH(H8,akun_kb,0))="Kas",INDEX(akun_type,MATCH(H8,akun_kb,0))="Bank"),"In"&amp;INDEX(akun_type,MATCH(I8,akun_kb,0)),IF(OR(INDEX(akun_type,MATCH(I8,akun_kb,0))="Kas",INDEX(akun_type,MATCH(I8,akun_kb,0))="Bank"),"out"&amp;INDEX(akun_type,MATCH(H8,akun_kb,0)),"")),"")</f>
        <v/>
      </c>
      <c r="Q8" s="34" t="str">
        <f t="shared" ref="Q8:Q39" si="1">IFERROR(IF(OR(INDEX(akun_type,MATCH(H8,akun_kb,0))="Kas",INDEX(akun_type,MATCH(H8,akun_kb,0))="Bank"),"in"&amp;TEXT(B8,"mmmm")&amp;INDEX(akun_type,MATCH(I8,akun_kb,0)),IF(OR(INDEX(akun_type,MATCH(I8,akun_kb,0))="Kas",INDEX(akun_type,MATCH(I8,akun_kb,0))="Bank"),"out"&amp;TEXT(B8,"mmmm")&amp;INDEX(akun_type,MATCH(H8,akun_kb,0)),"")),"")</f>
        <v/>
      </c>
      <c r="R8" s="34" t="str">
        <f t="shared" ref="R8:R72" si="2">IFERROR(INDEX(akun_type,MATCH(H8,akun_kb,0)),"")</f>
        <v>Akun Piutang</v>
      </c>
      <c r="S8" s="34" t="str">
        <f t="shared" ref="S8:S72" si="3">IFERROR(INDEX(akun_type,MATCH(I8,akun_kb,0)),"")</f>
        <v>Pendapatan</v>
      </c>
      <c r="T8" s="34">
        <f>IF(AND(L8=1,OR(R8="Akun Piutang",R8="akun hutang",S8="akun piutang",S8="akun hutang")),E8,"")</f>
        <v>0</v>
      </c>
      <c r="U8" s="34" t="str">
        <f>IF(AND(L8=1,bp_kode=T8,T8&lt;&gt;""),COUNTIF($T$8:T8,T8),"")</f>
        <v/>
      </c>
      <c r="V8" s="34" t="str">
        <f>IF(OR(R8="Pendapatan",R8="Pendapatan Lainnya",R8="Beban",R8="Harga Pokok Penjualan",R8="Beban Lainnya"),"db"&amp;F8,IF(OR(S8="Pendapatan",S8="Pendapatan Lainnya",S8="Beban",S8="Harga Pokok Penjualan",S8="Beban Lainnya"),"kr"&amp;F8,""))</f>
        <v>kr</v>
      </c>
      <c r="W8" s="34" t="str">
        <f>IF(OR(R8="Pendapatan",R8="Pendapatan Lainnya",R8="Beban",R8="Harga Pokok Penjualan",R8="Beban Lainnya"),"db"&amp;G8,IF(OR(S8="Pendapatan",S8="Pendapatan Lainnya",S8="Beban",S8="Harga Pokok Penjualan",S8="Beban Lainnya"),"kr"&amp;G8,""))</f>
        <v>kr</v>
      </c>
      <c r="X8" s="34" t="str">
        <f>IF(B8="","",COUNTIF($C$8:C8,C8)&amp;C8)</f>
        <v>0</v>
      </c>
    </row>
    <row r="9" spans="2:24" ht="23.1" customHeight="1">
      <c r="B9" s="31">
        <v>44592</v>
      </c>
      <c r="C9" s="9"/>
      <c r="D9" s="9" t="s">
        <v>552</v>
      </c>
      <c r="E9" s="7"/>
      <c r="F9" s="7"/>
      <c r="G9" s="7"/>
      <c r="H9" s="7" t="s">
        <v>554</v>
      </c>
      <c r="I9" s="7" t="s">
        <v>553</v>
      </c>
      <c r="J9" s="39">
        <v>5264000</v>
      </c>
      <c r="L9" s="16">
        <f t="shared" si="0"/>
        <v>1</v>
      </c>
      <c r="M9" s="16" t="str">
        <f t="shared" ref="M9:M73" si="4">IF(B9="","",TEXT(B9,"mmmm"))</f>
        <v>January</v>
      </c>
      <c r="N9" s="16" t="str">
        <f t="shared" ref="N9:N39" si="5">IF(AND(L9=1,H9=bb_akun),"Awe",IF(AND(L9=1,I9=bb_akun),"Awe",""))</f>
        <v/>
      </c>
      <c r="O9" s="16" t="str">
        <f>IF(N9="","",COUNTIF($N$8:N9,N9))</f>
        <v/>
      </c>
      <c r="P9" s="34" t="str">
        <f t="shared" ref="P9:P39" si="6">IFERROR(IF(OR(INDEX(akun_type,MATCH(H9,akun_kb,0))="Kas",INDEX(akun_type,MATCH(H9,akun_kb,0))="Bank"),"In"&amp;INDEX(akun_type,MATCH(I9,akun_kb,0)),IF(OR(INDEX(akun_type,MATCH(I9,akun_kb,0))="Kas",INDEX(akun_type,MATCH(I9,akun_kb,0))="Bank"),"out"&amp;INDEX(akun_type,MATCH(H9,akun_kb,0)),"")),"")</f>
        <v>InPendapatan</v>
      </c>
      <c r="Q9" s="34" t="str">
        <f t="shared" si="1"/>
        <v>inJanuaryPendapatan</v>
      </c>
      <c r="R9" s="34" t="str">
        <f t="shared" si="2"/>
        <v>Kas</v>
      </c>
      <c r="S9" s="34" t="str">
        <f t="shared" si="3"/>
        <v>Pendapatan</v>
      </c>
      <c r="T9" s="34" t="str">
        <f t="shared" ref="T9:T73" si="7">IF(AND(L9=1,OR(R9="Akun Piutang",R9="akun hutang",S9="akun piutang",S9="akun hutang")),E9,"")</f>
        <v/>
      </c>
      <c r="U9" s="34" t="str">
        <f>IF(AND(L9=1,bp_kode=T9,T9&lt;&gt;""),COUNTIF($T$8:T9,T9),"")</f>
        <v/>
      </c>
      <c r="V9" s="34" t="str">
        <f t="shared" ref="V9:V73" si="8">IF(OR(R9="Pendapatan",R9="Pendapatan Lainnya",R9="Beban",R9="Harga Pokok Penjualan",R9="Beban Lainnya"),"db"&amp;F9,IF(OR(S9="Pendapatan",S9="Pendapatan Lainnya",S9="Beban",S9="Harga Pokok Penjualan",S9="Beban Lainnya"),"kr"&amp;F9,""))</f>
        <v>kr</v>
      </c>
      <c r="W9" s="34" t="str">
        <f t="shared" ref="W9:W73" si="9">IF(OR(R9="Pendapatan",R9="Pendapatan Lainnya",R9="Beban",R9="Harga Pokok Penjualan",R9="Beban Lainnya"),"db"&amp;G9,IF(OR(S9="Pendapatan",S9="Pendapatan Lainnya",S9="Beban",S9="Harga Pokok Penjualan",S9="Beban Lainnya"),"kr"&amp;G9,""))</f>
        <v>kr</v>
      </c>
      <c r="X9" s="34" t="str">
        <f>IF(B9="","",COUNTIF($C$8:C9,C9)&amp;C9)</f>
        <v>0</v>
      </c>
    </row>
    <row r="10" spans="2:24" ht="23.1" customHeight="1">
      <c r="B10" s="31">
        <v>44592</v>
      </c>
      <c r="C10" s="9"/>
      <c r="D10" s="9" t="s">
        <v>555</v>
      </c>
      <c r="E10" s="7"/>
      <c r="F10" s="7"/>
      <c r="G10" s="7"/>
      <c r="H10" s="7" t="s">
        <v>554</v>
      </c>
      <c r="I10" s="7" t="s">
        <v>556</v>
      </c>
      <c r="J10" s="39">
        <v>192775000</v>
      </c>
      <c r="L10" s="16">
        <f t="shared" si="0"/>
        <v>1</v>
      </c>
      <c r="M10" s="16" t="str">
        <f t="shared" si="4"/>
        <v>January</v>
      </c>
      <c r="N10" s="16" t="str">
        <f t="shared" si="5"/>
        <v/>
      </c>
      <c r="O10" s="16" t="str">
        <f>IF(N10="","",COUNTIF($N$8:N10,N10))</f>
        <v/>
      </c>
      <c r="P10" s="34" t="str">
        <f t="shared" si="6"/>
        <v>InPendapatan</v>
      </c>
      <c r="Q10" s="34" t="str">
        <f t="shared" si="1"/>
        <v>inJanuaryPendapatan</v>
      </c>
      <c r="R10" s="34" t="str">
        <f t="shared" si="2"/>
        <v>Kas</v>
      </c>
      <c r="S10" s="34" t="str">
        <f t="shared" si="3"/>
        <v>Pendapatan</v>
      </c>
      <c r="T10" s="34" t="str">
        <f t="shared" si="7"/>
        <v/>
      </c>
      <c r="U10" s="34" t="str">
        <f>IF(AND(L10=1,bp_kode=T10,T10&lt;&gt;""),COUNTIF($T$8:T10,T10),"")</f>
        <v/>
      </c>
      <c r="V10" s="34" t="str">
        <f t="shared" si="8"/>
        <v>kr</v>
      </c>
      <c r="W10" s="34" t="str">
        <f t="shared" si="9"/>
        <v>kr</v>
      </c>
      <c r="X10" s="34" t="str">
        <f>IF(B10="","",COUNTIF($C$8:C10,C10)&amp;C10)</f>
        <v>0</v>
      </c>
    </row>
    <row r="11" spans="2:24" ht="23.1" customHeight="1">
      <c r="B11" s="31">
        <v>44592</v>
      </c>
      <c r="C11" s="9"/>
      <c r="D11" s="9" t="s">
        <v>555</v>
      </c>
      <c r="E11" s="7"/>
      <c r="F11" s="7"/>
      <c r="G11" s="7"/>
      <c r="H11" s="7" t="s">
        <v>557</v>
      </c>
      <c r="I11" s="7" t="s">
        <v>556</v>
      </c>
      <c r="J11" s="39">
        <v>2100000</v>
      </c>
      <c r="L11" s="16">
        <f t="shared" si="0"/>
        <v>1</v>
      </c>
      <c r="M11" s="16" t="str">
        <f t="shared" si="4"/>
        <v>January</v>
      </c>
      <c r="N11" s="16" t="str">
        <f t="shared" si="5"/>
        <v/>
      </c>
      <c r="O11" s="16" t="str">
        <f>IF(N11="","",COUNTIF($N$8:N11,N11))</f>
        <v/>
      </c>
      <c r="P11" s="34" t="str">
        <f t="shared" si="6"/>
        <v/>
      </c>
      <c r="Q11" s="34" t="str">
        <f t="shared" si="1"/>
        <v/>
      </c>
      <c r="R11" s="34" t="str">
        <f t="shared" si="2"/>
        <v>Akun Piutang</v>
      </c>
      <c r="S11" s="34" t="str">
        <f t="shared" si="3"/>
        <v>Pendapatan</v>
      </c>
      <c r="T11" s="34">
        <f t="shared" si="7"/>
        <v>0</v>
      </c>
      <c r="U11" s="34" t="str">
        <f>IF(AND(L11=1,bp_kode=T11,T11&lt;&gt;""),COUNTIF($T$8:T11,T11),"")</f>
        <v/>
      </c>
      <c r="V11" s="34" t="str">
        <f t="shared" si="8"/>
        <v>kr</v>
      </c>
      <c r="W11" s="34" t="str">
        <f t="shared" si="9"/>
        <v>kr</v>
      </c>
      <c r="X11" s="34" t="str">
        <f>IF(B11="","",COUNTIF($C$8:C11,C11)&amp;C11)</f>
        <v>0</v>
      </c>
    </row>
    <row r="12" spans="2:24" ht="23.1" customHeight="1">
      <c r="B12" s="31">
        <v>44592</v>
      </c>
      <c r="C12" s="9"/>
      <c r="D12" s="9" t="s">
        <v>558</v>
      </c>
      <c r="E12" s="7"/>
      <c r="F12" s="7"/>
      <c r="G12" s="7"/>
      <c r="H12" s="7" t="s">
        <v>559</v>
      </c>
      <c r="I12" s="7" t="s">
        <v>560</v>
      </c>
      <c r="J12" s="39">
        <v>450197000</v>
      </c>
      <c r="L12" s="16">
        <f t="shared" si="0"/>
        <v>1</v>
      </c>
      <c r="M12" s="16" t="str">
        <f t="shared" si="4"/>
        <v>January</v>
      </c>
      <c r="N12" s="16" t="str">
        <f t="shared" si="5"/>
        <v/>
      </c>
      <c r="O12" s="16" t="str">
        <f>IF(N12="","",COUNTIF($N$8:N12,N12))</f>
        <v/>
      </c>
      <c r="P12" s="34" t="str">
        <f t="shared" si="6"/>
        <v/>
      </c>
      <c r="Q12" s="34" t="str">
        <f t="shared" si="1"/>
        <v/>
      </c>
      <c r="R12" s="34" t="str">
        <f t="shared" si="2"/>
        <v>Akun Piutang</v>
      </c>
      <c r="S12" s="34" t="str">
        <f t="shared" si="3"/>
        <v>Pendapatan</v>
      </c>
      <c r="T12" s="34">
        <f t="shared" si="7"/>
        <v>0</v>
      </c>
      <c r="U12" s="34" t="str">
        <f>IF(AND(L12=1,bp_kode=T12,T12&lt;&gt;""),COUNTIF($T$8:T12,T12),"")</f>
        <v/>
      </c>
      <c r="V12" s="34" t="str">
        <f t="shared" si="8"/>
        <v>kr</v>
      </c>
      <c r="W12" s="34" t="str">
        <f t="shared" si="9"/>
        <v>kr</v>
      </c>
      <c r="X12" s="34" t="str">
        <f>IF(B12="","",COUNTIF($C$8:C12,C12)&amp;C12)</f>
        <v>0</v>
      </c>
    </row>
    <row r="13" spans="2:24" ht="23.1" customHeight="1">
      <c r="B13" s="31">
        <v>44592</v>
      </c>
      <c r="C13" s="9"/>
      <c r="D13" s="9" t="s">
        <v>562</v>
      </c>
      <c r="E13" s="7"/>
      <c r="F13" s="7"/>
      <c r="G13" s="7"/>
      <c r="H13" s="7" t="s">
        <v>561</v>
      </c>
      <c r="I13" s="7" t="s">
        <v>504</v>
      </c>
      <c r="J13" s="39">
        <v>151213000</v>
      </c>
      <c r="L13" s="16">
        <f t="shared" si="0"/>
        <v>1</v>
      </c>
      <c r="M13" s="16" t="str">
        <f t="shared" si="4"/>
        <v>January</v>
      </c>
      <c r="N13" s="16" t="str">
        <f t="shared" si="5"/>
        <v/>
      </c>
      <c r="O13" s="16" t="str">
        <f>IF(N13="","",COUNTIF($N$8:N13,N13))</f>
        <v/>
      </c>
      <c r="P13" s="34" t="str">
        <f t="shared" si="6"/>
        <v/>
      </c>
      <c r="Q13" s="34" t="str">
        <f t="shared" si="1"/>
        <v/>
      </c>
      <c r="R13" s="34" t="str">
        <f t="shared" si="2"/>
        <v>Akun Piutang</v>
      </c>
      <c r="S13" s="34" t="str">
        <f t="shared" si="3"/>
        <v>Pendapatan</v>
      </c>
      <c r="T13" s="34">
        <f t="shared" si="7"/>
        <v>0</v>
      </c>
      <c r="U13" s="34" t="str">
        <f>IF(AND(L13=1,bp_kode=T13,T13&lt;&gt;""),COUNTIF($T$8:T13,T13),"")</f>
        <v/>
      </c>
      <c r="V13" s="34" t="str">
        <f t="shared" si="8"/>
        <v>kr</v>
      </c>
      <c r="W13" s="34" t="str">
        <f t="shared" si="9"/>
        <v>kr</v>
      </c>
      <c r="X13" s="34" t="str">
        <f>IF(B13="","",COUNTIF($C$8:C13,C13)&amp;C13)</f>
        <v>0</v>
      </c>
    </row>
    <row r="14" spans="2:24" ht="23.1" customHeight="1">
      <c r="B14" s="31">
        <v>44592</v>
      </c>
      <c r="C14" s="9"/>
      <c r="D14" s="9" t="s">
        <v>563</v>
      </c>
      <c r="E14" s="7"/>
      <c r="F14" s="7"/>
      <c r="G14" s="7"/>
      <c r="H14" s="7" t="s">
        <v>565</v>
      </c>
      <c r="I14" s="7" t="s">
        <v>551</v>
      </c>
      <c r="J14" s="39">
        <v>226165600</v>
      </c>
      <c r="L14" s="16">
        <f t="shared" si="0"/>
        <v>1</v>
      </c>
      <c r="M14" s="16" t="str">
        <f t="shared" si="4"/>
        <v>January</v>
      </c>
      <c r="N14" s="16" t="str">
        <f t="shared" si="5"/>
        <v/>
      </c>
      <c r="O14" s="16" t="str">
        <f>IF(N14="","",COUNTIF($N$8:N14,N14))</f>
        <v/>
      </c>
      <c r="P14" s="34" t="str">
        <f t="shared" si="6"/>
        <v/>
      </c>
      <c r="Q14" s="34" t="str">
        <f t="shared" si="1"/>
        <v/>
      </c>
      <c r="R14" s="34" t="str">
        <f t="shared" si="2"/>
        <v>Pendapatan</v>
      </c>
      <c r="S14" s="34" t="str">
        <f t="shared" si="3"/>
        <v>Akun Piutang</v>
      </c>
      <c r="T14" s="34">
        <f t="shared" si="7"/>
        <v>0</v>
      </c>
      <c r="U14" s="34" t="str">
        <f>IF(AND(L14=1,bp_kode=T14,T14&lt;&gt;""),COUNTIF($T$8:T14,T14),"")</f>
        <v/>
      </c>
      <c r="V14" s="34" t="str">
        <f t="shared" si="8"/>
        <v>db</v>
      </c>
      <c r="W14" s="34" t="str">
        <f t="shared" si="9"/>
        <v>db</v>
      </c>
      <c r="X14" s="34" t="str">
        <f>IF(B14="","",COUNTIF($C$8:C14,C14)&amp;C14)</f>
        <v>0</v>
      </c>
    </row>
    <row r="15" spans="2:24" ht="23.1" customHeight="1">
      <c r="B15" s="31">
        <v>44592</v>
      </c>
      <c r="C15" s="9"/>
      <c r="D15" s="9" t="s">
        <v>564</v>
      </c>
      <c r="E15" s="7"/>
      <c r="F15" s="7"/>
      <c r="G15" s="7"/>
      <c r="H15" s="7" t="s">
        <v>566</v>
      </c>
      <c r="I15" s="7" t="s">
        <v>559</v>
      </c>
      <c r="J15" s="39">
        <v>17793900</v>
      </c>
      <c r="L15" s="16">
        <f t="shared" si="0"/>
        <v>1</v>
      </c>
      <c r="M15" s="16" t="str">
        <f t="shared" si="4"/>
        <v>January</v>
      </c>
      <c r="N15" s="16" t="str">
        <f t="shared" si="5"/>
        <v/>
      </c>
      <c r="O15" s="16" t="str">
        <f>IF(N15="","",COUNTIF($N$8:N15,N15))</f>
        <v/>
      </c>
      <c r="P15" s="34" t="str">
        <f t="shared" si="6"/>
        <v/>
      </c>
      <c r="Q15" s="34" t="str">
        <f t="shared" si="1"/>
        <v/>
      </c>
      <c r="R15" s="34" t="str">
        <f t="shared" si="2"/>
        <v>Pendapatan</v>
      </c>
      <c r="S15" s="34" t="str">
        <f t="shared" si="3"/>
        <v>Akun Piutang</v>
      </c>
      <c r="T15" s="34">
        <f t="shared" si="7"/>
        <v>0</v>
      </c>
      <c r="U15" s="34" t="str">
        <f>IF(AND(L15=1,bp_kode=T15,T15&lt;&gt;""),COUNTIF($T$8:T15,T15),"")</f>
        <v/>
      </c>
      <c r="V15" s="34" t="str">
        <f t="shared" si="8"/>
        <v>db</v>
      </c>
      <c r="W15" s="34" t="str">
        <f t="shared" si="9"/>
        <v>db</v>
      </c>
      <c r="X15" s="34" t="str">
        <f>IF(B15="","",COUNTIF($C$8:C15,C15)&amp;C15)</f>
        <v>0</v>
      </c>
    </row>
    <row r="16" spans="2:24" ht="23.1" customHeight="1">
      <c r="B16" s="31">
        <v>44592</v>
      </c>
      <c r="C16" s="9"/>
      <c r="D16" s="9" t="s">
        <v>567</v>
      </c>
      <c r="E16" s="7"/>
      <c r="F16" s="7"/>
      <c r="G16" s="7"/>
      <c r="H16" s="7" t="s">
        <v>568</v>
      </c>
      <c r="I16" s="7" t="s">
        <v>569</v>
      </c>
      <c r="J16" s="39">
        <v>88999</v>
      </c>
      <c r="L16" s="16">
        <f t="shared" si="0"/>
        <v>1</v>
      </c>
      <c r="M16" s="16" t="str">
        <f t="shared" si="4"/>
        <v>January</v>
      </c>
      <c r="N16" s="16" t="str">
        <f t="shared" si="5"/>
        <v/>
      </c>
      <c r="O16" s="16" t="str">
        <f>IF(N16="","",COUNTIF($N$8:N16,N16))</f>
        <v/>
      </c>
      <c r="P16" s="34" t="str">
        <f t="shared" si="6"/>
        <v>InPendapatan Lainnya</v>
      </c>
      <c r="Q16" s="34" t="str">
        <f>IFERROR(IF(OR(INDEX(akun_type,MATCH(H16,akun_kb,0))="Kas",INDEX(akun_type,MATCH(H16,akun_kb,0))="Bank"),"in"&amp;TEXT(B16,"mmmm")&amp;INDEX(akun_type,MATCH(I16,akun_kb,0)),IF(OR(INDEX(akun_type,MATCH(I16,akun_kb,0))="Kas",INDEX(akun_type,MATCH(I16,akun_kb,0))="Bank"),"out"&amp;TEXT(B16,"mmmm")&amp;INDEX(akun_type,MATCH(H16,akun_kb,0)),"")),"")</f>
        <v>inJanuaryPendapatan Lainnya</v>
      </c>
      <c r="R16" s="34" t="str">
        <f t="shared" si="2"/>
        <v>Bank</v>
      </c>
      <c r="S16" s="34" t="str">
        <f t="shared" si="3"/>
        <v>Pendapatan Lainnya</v>
      </c>
      <c r="T16" s="34" t="str">
        <f t="shared" si="7"/>
        <v/>
      </c>
      <c r="U16" s="34" t="str">
        <f>IF(AND(L16=1,bp_kode=T16,T16&lt;&gt;""),COUNTIF($T$8:T16,T16),"")</f>
        <v/>
      </c>
      <c r="V16" s="34" t="str">
        <f t="shared" si="8"/>
        <v>kr</v>
      </c>
      <c r="W16" s="34" t="str">
        <f t="shared" si="9"/>
        <v>kr</v>
      </c>
      <c r="X16" s="34" t="str">
        <f>IF(B16="","",COUNTIF($C$8:C16,C16)&amp;C16)</f>
        <v>0</v>
      </c>
    </row>
    <row r="17" spans="2:24" ht="23.1" customHeight="1">
      <c r="B17" s="31">
        <v>44592</v>
      </c>
      <c r="C17" s="9"/>
      <c r="D17" s="9" t="s">
        <v>570</v>
      </c>
      <c r="E17" s="7"/>
      <c r="F17" s="7"/>
      <c r="G17" s="7"/>
      <c r="H17" s="7" t="s">
        <v>571</v>
      </c>
      <c r="I17" s="7" t="s">
        <v>568</v>
      </c>
      <c r="J17" s="39">
        <v>17793</v>
      </c>
      <c r="L17" s="16">
        <f t="shared" si="0"/>
        <v>1</v>
      </c>
      <c r="M17" s="16" t="str">
        <f t="shared" si="4"/>
        <v>January</v>
      </c>
      <c r="N17" s="16" t="str">
        <f t="shared" si="5"/>
        <v/>
      </c>
      <c r="O17" s="16" t="str">
        <f>IF(N17="","",COUNTIF($N$8:N17,N17))</f>
        <v/>
      </c>
      <c r="P17" s="34" t="str">
        <f t="shared" si="6"/>
        <v>outBeban Lainnya</v>
      </c>
      <c r="Q17" s="34" t="str">
        <f t="shared" si="1"/>
        <v>outJanuaryBeban Lainnya</v>
      </c>
      <c r="R17" s="34" t="str">
        <f t="shared" si="2"/>
        <v>Beban Lainnya</v>
      </c>
      <c r="S17" s="34" t="str">
        <f t="shared" si="3"/>
        <v>Bank</v>
      </c>
      <c r="T17" s="34" t="str">
        <f t="shared" si="7"/>
        <v/>
      </c>
      <c r="U17" s="34" t="str">
        <f>IF(AND(L17=1,bp_kode=T17,T17&lt;&gt;""),COUNTIF($T$8:T17,T17),"")</f>
        <v/>
      </c>
      <c r="V17" s="34" t="str">
        <f t="shared" si="8"/>
        <v>db</v>
      </c>
      <c r="W17" s="34" t="str">
        <f t="shared" si="9"/>
        <v>db</v>
      </c>
      <c r="X17" s="34" t="str">
        <f>IF(B17="","",COUNTIF($C$8:C17,C17)&amp;C17)</f>
        <v>0</v>
      </c>
    </row>
    <row r="18" spans="2:24" ht="23.1" customHeight="1">
      <c r="B18" s="31">
        <v>44592</v>
      </c>
      <c r="C18" s="9"/>
      <c r="D18" s="9" t="s">
        <v>572</v>
      </c>
      <c r="E18" s="7"/>
      <c r="F18" s="7"/>
      <c r="G18" s="7"/>
      <c r="H18" s="7" t="s">
        <v>640</v>
      </c>
      <c r="I18" s="7" t="s">
        <v>568</v>
      </c>
      <c r="J18" s="39">
        <v>36500</v>
      </c>
      <c r="L18" s="16">
        <f t="shared" si="0"/>
        <v>1</v>
      </c>
      <c r="M18" s="16" t="str">
        <f t="shared" si="4"/>
        <v>January</v>
      </c>
      <c r="N18" s="16" t="str">
        <f t="shared" si="5"/>
        <v/>
      </c>
      <c r="O18" s="16" t="str">
        <f>IF(N18="","",COUNTIF($N$8:N18,N18))</f>
        <v/>
      </c>
      <c r="P18" s="34" t="str">
        <f t="shared" si="6"/>
        <v>outBeban Lainnya</v>
      </c>
      <c r="Q18" s="34" t="str">
        <f t="shared" si="1"/>
        <v>outJanuaryBeban Lainnya</v>
      </c>
      <c r="R18" s="34" t="str">
        <f t="shared" si="2"/>
        <v>Beban Lainnya</v>
      </c>
      <c r="S18" s="34" t="str">
        <f t="shared" si="3"/>
        <v>Bank</v>
      </c>
      <c r="T18" s="34" t="str">
        <f t="shared" si="7"/>
        <v/>
      </c>
      <c r="U18" s="34" t="str">
        <f>IF(AND(L18=1,bp_kode=T18,T18&lt;&gt;""),COUNTIF($T$8:T18,T18),"")</f>
        <v/>
      </c>
      <c r="V18" s="34" t="str">
        <f t="shared" si="8"/>
        <v>db</v>
      </c>
      <c r="W18" s="34" t="str">
        <f t="shared" si="9"/>
        <v>db</v>
      </c>
      <c r="X18" s="34" t="str">
        <f>IF(B18="","",COUNTIF($C$8:C18,C18)&amp;C18)</f>
        <v>0</v>
      </c>
    </row>
    <row r="19" spans="2:24" ht="23.1" customHeight="1">
      <c r="B19" s="31">
        <v>44592</v>
      </c>
      <c r="C19" s="9"/>
      <c r="D19" s="9" t="s">
        <v>573</v>
      </c>
      <c r="E19" s="7"/>
      <c r="F19" s="7"/>
      <c r="G19" s="7"/>
      <c r="H19" s="7" t="s">
        <v>568</v>
      </c>
      <c r="I19" s="7" t="s">
        <v>559</v>
      </c>
      <c r="J19" s="39">
        <v>23072100</v>
      </c>
      <c r="L19" s="16">
        <f t="shared" si="0"/>
        <v>1</v>
      </c>
      <c r="M19" s="16" t="str">
        <f t="shared" si="4"/>
        <v>January</v>
      </c>
      <c r="N19" s="16" t="str">
        <f t="shared" si="5"/>
        <v/>
      </c>
      <c r="O19" s="16" t="str">
        <f>IF(N19="","",COUNTIF($N$8:N19,N19))</f>
        <v/>
      </c>
      <c r="P19" s="34" t="str">
        <f t="shared" si="6"/>
        <v>InAkun Piutang</v>
      </c>
      <c r="Q19" s="34" t="str">
        <f t="shared" si="1"/>
        <v>inJanuaryAkun Piutang</v>
      </c>
      <c r="R19" s="34" t="str">
        <f t="shared" si="2"/>
        <v>Bank</v>
      </c>
      <c r="S19" s="34" t="str">
        <f t="shared" si="3"/>
        <v>Akun Piutang</v>
      </c>
      <c r="T19" s="34">
        <f t="shared" si="7"/>
        <v>0</v>
      </c>
      <c r="U19" s="34" t="str">
        <f>IF(AND(L19=1,bp_kode=T19,T19&lt;&gt;""),COUNTIF($T$8:T19,T19),"")</f>
        <v/>
      </c>
      <c r="V19" s="34" t="str">
        <f t="shared" si="8"/>
        <v/>
      </c>
      <c r="W19" s="34" t="str">
        <f t="shared" si="9"/>
        <v/>
      </c>
      <c r="X19" s="34" t="str">
        <f>IF(B19="","",COUNTIF($C$8:C19,C19)&amp;C19)</f>
        <v>0</v>
      </c>
    </row>
    <row r="20" spans="2:24" ht="23.1" customHeight="1">
      <c r="B20" s="31">
        <v>44592</v>
      </c>
      <c r="C20" s="9"/>
      <c r="D20" s="9" t="s">
        <v>574</v>
      </c>
      <c r="E20" s="7"/>
      <c r="F20" s="7"/>
      <c r="G20" s="7"/>
      <c r="H20" s="7" t="s">
        <v>640</v>
      </c>
      <c r="I20" s="7" t="s">
        <v>575</v>
      </c>
      <c r="J20" s="39">
        <v>699702</v>
      </c>
      <c r="L20" s="16">
        <f t="shared" si="0"/>
        <v>1</v>
      </c>
      <c r="M20" s="16" t="str">
        <f t="shared" si="4"/>
        <v>January</v>
      </c>
      <c r="N20" s="16" t="str">
        <f t="shared" si="5"/>
        <v/>
      </c>
      <c r="O20" s="16" t="str">
        <f>IF(N20="","",COUNTIF($N$8:N20,N20))</f>
        <v/>
      </c>
      <c r="P20" s="34" t="str">
        <f t="shared" si="6"/>
        <v>outBeban Lainnya</v>
      </c>
      <c r="Q20" s="34" t="str">
        <f t="shared" si="1"/>
        <v>outJanuaryBeban Lainnya</v>
      </c>
      <c r="R20" s="34" t="str">
        <f t="shared" si="2"/>
        <v>Beban Lainnya</v>
      </c>
      <c r="S20" s="34" t="str">
        <f t="shared" si="3"/>
        <v>Bank</v>
      </c>
      <c r="T20" s="34" t="str">
        <f t="shared" si="7"/>
        <v/>
      </c>
      <c r="U20" s="34" t="str">
        <f>IF(AND(L20=1,bp_kode=T20,T20&lt;&gt;""),COUNTIF($T$8:T20,T20),"")</f>
        <v/>
      </c>
      <c r="V20" s="34" t="str">
        <f t="shared" si="8"/>
        <v>db</v>
      </c>
      <c r="W20" s="34" t="str">
        <f t="shared" si="9"/>
        <v>db</v>
      </c>
      <c r="X20" s="34" t="str">
        <f>IF(B20="","",COUNTIF($C$8:C20,C20)&amp;C20)</f>
        <v>0</v>
      </c>
    </row>
    <row r="21" spans="2:24" ht="23.1" customHeight="1">
      <c r="B21" s="31">
        <v>44592</v>
      </c>
      <c r="C21" s="9"/>
      <c r="D21" s="9" t="s">
        <v>576</v>
      </c>
      <c r="E21" s="7"/>
      <c r="F21" s="7"/>
      <c r="G21" s="7"/>
      <c r="H21" s="7" t="s">
        <v>577</v>
      </c>
      <c r="I21" s="7" t="s">
        <v>569</v>
      </c>
      <c r="J21" s="39">
        <v>890175.19</v>
      </c>
      <c r="L21" s="16">
        <f t="shared" si="0"/>
        <v>1</v>
      </c>
      <c r="M21" s="16" t="str">
        <f t="shared" si="4"/>
        <v>January</v>
      </c>
      <c r="N21" s="16" t="str">
        <f t="shared" si="5"/>
        <v/>
      </c>
      <c r="O21" s="16" t="str">
        <f>IF(N21="","",COUNTIF($N$8:N21,N21))</f>
        <v/>
      </c>
      <c r="P21" s="34" t="str">
        <f t="shared" si="6"/>
        <v>InPendapatan Lainnya</v>
      </c>
      <c r="Q21" s="34" t="str">
        <f t="shared" si="1"/>
        <v>inJanuaryPendapatan Lainnya</v>
      </c>
      <c r="R21" s="34" t="str">
        <f t="shared" si="2"/>
        <v>Bank</v>
      </c>
      <c r="S21" s="34" t="str">
        <f t="shared" si="3"/>
        <v>Pendapatan Lainnya</v>
      </c>
      <c r="T21" s="34" t="str">
        <f t="shared" si="7"/>
        <v/>
      </c>
      <c r="U21" s="34" t="str">
        <f>IF(AND(L21=1,bp_kode=T21,T21&lt;&gt;""),COUNTIF($T$8:T21,T21),"")</f>
        <v/>
      </c>
      <c r="V21" s="34" t="str">
        <f t="shared" si="8"/>
        <v>kr</v>
      </c>
      <c r="W21" s="34" t="str">
        <f t="shared" si="9"/>
        <v>kr</v>
      </c>
      <c r="X21" s="34" t="str">
        <f>IF(B21="","",COUNTIF($C$8:C21,C21)&amp;C21)</f>
        <v>0</v>
      </c>
    </row>
    <row r="22" spans="2:24" ht="23.1" customHeight="1">
      <c r="B22" s="31">
        <v>44592</v>
      </c>
      <c r="C22" s="9"/>
      <c r="D22" s="9" t="s">
        <v>570</v>
      </c>
      <c r="E22" s="7"/>
      <c r="F22" s="7"/>
      <c r="G22" s="7"/>
      <c r="H22" s="7" t="s">
        <v>571</v>
      </c>
      <c r="I22" s="7" t="s">
        <v>577</v>
      </c>
      <c r="J22" s="39">
        <v>178035.07</v>
      </c>
      <c r="L22" s="16">
        <f t="shared" si="0"/>
        <v>1</v>
      </c>
      <c r="M22" s="16" t="str">
        <f t="shared" si="4"/>
        <v>January</v>
      </c>
      <c r="N22" s="16" t="str">
        <f t="shared" si="5"/>
        <v/>
      </c>
      <c r="O22" s="16" t="str">
        <f>IF(N22="","",COUNTIF($N$8:N22,N22))</f>
        <v/>
      </c>
      <c r="P22" s="34" t="str">
        <f t="shared" si="6"/>
        <v>outBeban Lainnya</v>
      </c>
      <c r="Q22" s="34" t="str">
        <f t="shared" si="1"/>
        <v>outJanuaryBeban Lainnya</v>
      </c>
      <c r="R22" s="34" t="str">
        <f t="shared" si="2"/>
        <v>Beban Lainnya</v>
      </c>
      <c r="S22" s="34" t="str">
        <f t="shared" si="3"/>
        <v>Bank</v>
      </c>
      <c r="T22" s="34" t="str">
        <f t="shared" si="7"/>
        <v/>
      </c>
      <c r="U22" s="34" t="str">
        <f>IF(AND(L22=1,bp_kode=T22,T22&lt;&gt;""),COUNTIF($T$8:T22,T22),"")</f>
        <v/>
      </c>
      <c r="V22" s="34" t="str">
        <f t="shared" si="8"/>
        <v>db</v>
      </c>
      <c r="W22" s="34" t="str">
        <f t="shared" si="9"/>
        <v>db</v>
      </c>
      <c r="X22" s="34" t="str">
        <f>IF(B22="","",COUNTIF($C$8:C22,C22)&amp;C22)</f>
        <v>0</v>
      </c>
    </row>
    <row r="23" spans="2:24" ht="23.1" customHeight="1">
      <c r="B23" s="31">
        <v>44592</v>
      </c>
      <c r="C23" s="9"/>
      <c r="D23" s="9" t="s">
        <v>572</v>
      </c>
      <c r="E23" s="7"/>
      <c r="F23" s="7"/>
      <c r="G23" s="7"/>
      <c r="H23" s="7" t="s">
        <v>640</v>
      </c>
      <c r="I23" s="7" t="s">
        <v>577</v>
      </c>
      <c r="J23" s="39">
        <v>25000</v>
      </c>
      <c r="L23" s="16">
        <f t="shared" si="0"/>
        <v>1</v>
      </c>
      <c r="M23" s="16" t="str">
        <f t="shared" si="4"/>
        <v>January</v>
      </c>
      <c r="N23" s="16" t="str">
        <f t="shared" si="5"/>
        <v/>
      </c>
      <c r="O23" s="16" t="str">
        <f>IF(N23="","",COUNTIF($N$8:N23,N23))</f>
        <v/>
      </c>
      <c r="P23" s="34" t="str">
        <f t="shared" si="6"/>
        <v>outBeban Lainnya</v>
      </c>
      <c r="Q23" s="34" t="str">
        <f t="shared" si="1"/>
        <v>outJanuaryBeban Lainnya</v>
      </c>
      <c r="R23" s="34" t="str">
        <f t="shared" si="2"/>
        <v>Beban Lainnya</v>
      </c>
      <c r="S23" s="34" t="str">
        <f t="shared" si="3"/>
        <v>Bank</v>
      </c>
      <c r="T23" s="34" t="str">
        <f t="shared" si="7"/>
        <v/>
      </c>
      <c r="U23" s="34" t="str">
        <f>IF(AND(L23=1,bp_kode=T23,T23&lt;&gt;""),COUNTIF($T$8:T23,T23),"")</f>
        <v/>
      </c>
      <c r="V23" s="34" t="str">
        <f t="shared" si="8"/>
        <v>db</v>
      </c>
      <c r="W23" s="34" t="str">
        <f t="shared" si="9"/>
        <v>db</v>
      </c>
      <c r="X23" s="34" t="str">
        <f>IF(B23="","",COUNTIF($C$8:C23,C23)&amp;C23)</f>
        <v>0</v>
      </c>
    </row>
    <row r="24" spans="2:24" ht="23.1" customHeight="1">
      <c r="B24" s="31">
        <v>44592</v>
      </c>
      <c r="C24" s="9"/>
      <c r="D24" s="9" t="s">
        <v>578</v>
      </c>
      <c r="E24" s="7"/>
      <c r="F24" s="7"/>
      <c r="G24" s="7"/>
      <c r="H24" s="7" t="s">
        <v>640</v>
      </c>
      <c r="I24" s="7" t="s">
        <v>577</v>
      </c>
      <c r="J24" s="39">
        <v>10000</v>
      </c>
      <c r="L24" s="16">
        <f t="shared" si="0"/>
        <v>1</v>
      </c>
      <c r="M24" s="16" t="str">
        <f t="shared" si="4"/>
        <v>January</v>
      </c>
      <c r="N24" s="16" t="str">
        <f t="shared" si="5"/>
        <v/>
      </c>
      <c r="O24" s="16" t="str">
        <f>IF(N24="","",COUNTIF($N$8:N24,N24))</f>
        <v/>
      </c>
      <c r="P24" s="34" t="str">
        <f t="shared" si="6"/>
        <v>outBeban Lainnya</v>
      </c>
      <c r="Q24" s="34" t="str">
        <f t="shared" si="1"/>
        <v>outJanuaryBeban Lainnya</v>
      </c>
      <c r="R24" s="34" t="str">
        <f t="shared" si="2"/>
        <v>Beban Lainnya</v>
      </c>
      <c r="S24" s="34" t="str">
        <f t="shared" si="3"/>
        <v>Bank</v>
      </c>
      <c r="T24" s="34" t="str">
        <f t="shared" si="7"/>
        <v/>
      </c>
      <c r="U24" s="34" t="str">
        <f>IF(AND(L24=1,bp_kode=T24,T24&lt;&gt;""),COUNTIF($T$8:T24,T24),"")</f>
        <v/>
      </c>
      <c r="V24" s="34" t="str">
        <f t="shared" si="8"/>
        <v>db</v>
      </c>
      <c r="W24" s="34" t="str">
        <f t="shared" si="9"/>
        <v>db</v>
      </c>
      <c r="X24" s="34" t="str">
        <f>IF(B24="","",COUNTIF($C$8:C24,C24)&amp;C24)</f>
        <v>0</v>
      </c>
    </row>
    <row r="25" spans="2:24" ht="23.1" customHeight="1">
      <c r="B25" s="31">
        <v>44592</v>
      </c>
      <c r="C25" s="9"/>
      <c r="D25" s="9" t="s">
        <v>573</v>
      </c>
      <c r="E25" s="7"/>
      <c r="F25" s="7"/>
      <c r="G25" s="7"/>
      <c r="H25" s="7" t="s">
        <v>577</v>
      </c>
      <c r="I25" s="7" t="s">
        <v>559</v>
      </c>
      <c r="J25" s="39">
        <v>64844200</v>
      </c>
      <c r="L25" s="16">
        <f t="shared" si="0"/>
        <v>1</v>
      </c>
      <c r="M25" s="16" t="str">
        <f t="shared" si="4"/>
        <v>January</v>
      </c>
      <c r="N25" s="16" t="str">
        <f t="shared" si="5"/>
        <v/>
      </c>
      <c r="O25" s="16" t="str">
        <f>IF(N25="","",COUNTIF($N$8:N25,N25))</f>
        <v/>
      </c>
      <c r="P25" s="34" t="str">
        <f t="shared" si="6"/>
        <v>InAkun Piutang</v>
      </c>
      <c r="Q25" s="34" t="str">
        <f t="shared" si="1"/>
        <v>inJanuaryAkun Piutang</v>
      </c>
      <c r="R25" s="34" t="str">
        <f t="shared" si="2"/>
        <v>Bank</v>
      </c>
      <c r="S25" s="34" t="str">
        <f t="shared" si="3"/>
        <v>Akun Piutang</v>
      </c>
      <c r="T25" s="34">
        <f t="shared" si="7"/>
        <v>0</v>
      </c>
      <c r="U25" s="34" t="str">
        <f>IF(AND(L25=1,bp_kode=T25,T25&lt;&gt;""),COUNTIF($T$8:T25,T25),"")</f>
        <v/>
      </c>
      <c r="V25" s="34" t="str">
        <f t="shared" si="8"/>
        <v/>
      </c>
      <c r="W25" s="34" t="str">
        <f t="shared" si="9"/>
        <v/>
      </c>
      <c r="X25" s="34" t="str">
        <f>IF(B25="","",COUNTIF($C$8:C25,C25)&amp;C25)</f>
        <v>0</v>
      </c>
    </row>
    <row r="26" spans="2:24" ht="23.1" customHeight="1">
      <c r="B26" s="31">
        <v>44592</v>
      </c>
      <c r="C26" s="9"/>
      <c r="D26" s="9" t="s">
        <v>576</v>
      </c>
      <c r="E26" s="7"/>
      <c r="F26" s="7"/>
      <c r="G26" s="7"/>
      <c r="H26" s="7" t="s">
        <v>579</v>
      </c>
      <c r="I26" s="7" t="s">
        <v>569</v>
      </c>
      <c r="J26" s="39">
        <v>348337.27</v>
      </c>
      <c r="L26" s="16">
        <f t="shared" si="0"/>
        <v>1</v>
      </c>
      <c r="M26" s="16" t="str">
        <f t="shared" si="4"/>
        <v>January</v>
      </c>
      <c r="N26" s="16" t="str">
        <f t="shared" si="5"/>
        <v/>
      </c>
      <c r="O26" s="16" t="str">
        <f>IF(N26="","",COUNTIF($N$8:N26,N26))</f>
        <v/>
      </c>
      <c r="P26" s="34" t="str">
        <f t="shared" si="6"/>
        <v>InPendapatan Lainnya</v>
      </c>
      <c r="Q26" s="34" t="str">
        <f t="shared" si="1"/>
        <v>inJanuaryPendapatan Lainnya</v>
      </c>
      <c r="R26" s="34" t="str">
        <f t="shared" si="2"/>
        <v>Bank</v>
      </c>
      <c r="S26" s="34" t="str">
        <f t="shared" si="3"/>
        <v>Pendapatan Lainnya</v>
      </c>
      <c r="T26" s="34" t="str">
        <f t="shared" si="7"/>
        <v/>
      </c>
      <c r="U26" s="34" t="str">
        <f>IF(AND(L26=1,bp_kode=T26,T26&lt;&gt;""),COUNTIF($T$8:T26,T26),"")</f>
        <v/>
      </c>
      <c r="V26" s="34" t="str">
        <f t="shared" si="8"/>
        <v>kr</v>
      </c>
      <c r="W26" s="34" t="str">
        <f t="shared" si="9"/>
        <v>kr</v>
      </c>
      <c r="X26" s="34" t="str">
        <f>IF(B26="","",COUNTIF($C$8:C26,C26)&amp;C26)</f>
        <v>0</v>
      </c>
    </row>
    <row r="27" spans="2:24" ht="23.1" customHeight="1">
      <c r="B27" s="31">
        <v>44592</v>
      </c>
      <c r="C27" s="9"/>
      <c r="D27" s="9" t="s">
        <v>570</v>
      </c>
      <c r="E27" s="7"/>
      <c r="F27" s="7"/>
      <c r="G27" s="7"/>
      <c r="H27" s="7" t="s">
        <v>571</v>
      </c>
      <c r="I27" s="7" t="s">
        <v>579</v>
      </c>
      <c r="J27" s="39">
        <v>25000</v>
      </c>
      <c r="L27" s="16">
        <f t="shared" si="0"/>
        <v>1</v>
      </c>
      <c r="M27" s="16" t="str">
        <f t="shared" si="4"/>
        <v>January</v>
      </c>
      <c r="N27" s="16" t="str">
        <f t="shared" si="5"/>
        <v/>
      </c>
      <c r="O27" s="16" t="str">
        <f>IF(N27="","",COUNTIF($N$8:N27,N27))</f>
        <v/>
      </c>
      <c r="P27" s="34" t="str">
        <f t="shared" si="6"/>
        <v>outBeban Lainnya</v>
      </c>
      <c r="Q27" s="34" t="str">
        <f t="shared" si="1"/>
        <v>outJanuaryBeban Lainnya</v>
      </c>
      <c r="R27" s="34" t="str">
        <f t="shared" si="2"/>
        <v>Beban Lainnya</v>
      </c>
      <c r="S27" s="34" t="str">
        <f t="shared" si="3"/>
        <v>Bank</v>
      </c>
      <c r="T27" s="34" t="str">
        <f t="shared" si="7"/>
        <v/>
      </c>
      <c r="U27" s="34" t="str">
        <f>IF(AND(L27=1,bp_kode=T27,T27&lt;&gt;""),COUNTIF($T$8:T27,T27),"")</f>
        <v/>
      </c>
      <c r="V27" s="34" t="str">
        <f t="shared" si="8"/>
        <v>db</v>
      </c>
      <c r="W27" s="34" t="str">
        <f t="shared" si="9"/>
        <v>db</v>
      </c>
      <c r="X27" s="34" t="str">
        <f>IF(B27="","",COUNTIF($C$8:C27,C27)&amp;C27)</f>
        <v>0</v>
      </c>
    </row>
    <row r="28" spans="2:24" ht="23.1" customHeight="1">
      <c r="B28" s="31">
        <v>44592</v>
      </c>
      <c r="C28" s="9"/>
      <c r="D28" s="9" t="s">
        <v>580</v>
      </c>
      <c r="E28" s="7"/>
      <c r="F28" s="7"/>
      <c r="G28" s="7"/>
      <c r="H28" s="7" t="s">
        <v>640</v>
      </c>
      <c r="I28" s="7" t="s">
        <v>579</v>
      </c>
      <c r="J28" s="39">
        <v>300000</v>
      </c>
      <c r="L28" s="16">
        <f t="shared" si="0"/>
        <v>1</v>
      </c>
      <c r="M28" s="16" t="str">
        <f t="shared" si="4"/>
        <v>January</v>
      </c>
      <c r="N28" s="16" t="str">
        <f t="shared" si="5"/>
        <v/>
      </c>
      <c r="O28" s="16" t="str">
        <f>IF(N28="","",COUNTIF($N$8:N28,N28))</f>
        <v/>
      </c>
      <c r="P28" s="34" t="str">
        <f t="shared" si="6"/>
        <v>outBeban Lainnya</v>
      </c>
      <c r="Q28" s="34" t="str">
        <f t="shared" si="1"/>
        <v>outJanuaryBeban Lainnya</v>
      </c>
      <c r="R28" s="34" t="str">
        <f t="shared" si="2"/>
        <v>Beban Lainnya</v>
      </c>
      <c r="S28" s="34" t="str">
        <f t="shared" si="3"/>
        <v>Bank</v>
      </c>
      <c r="T28" s="34" t="str">
        <f t="shared" si="7"/>
        <v/>
      </c>
      <c r="U28" s="34" t="str">
        <f>IF(AND(L28=1,bp_kode=T28,T28&lt;&gt;""),COUNTIF($T$8:T28,T28),"")</f>
        <v/>
      </c>
      <c r="V28" s="34" t="str">
        <f t="shared" si="8"/>
        <v>db</v>
      </c>
      <c r="W28" s="34" t="str">
        <f t="shared" si="9"/>
        <v>db</v>
      </c>
      <c r="X28" s="34" t="str">
        <f>IF(B28="","",COUNTIF($C$8:C28,C28)&amp;C28)</f>
        <v>0</v>
      </c>
    </row>
    <row r="29" spans="2:24" ht="23.1" customHeight="1">
      <c r="B29" s="31">
        <v>44592</v>
      </c>
      <c r="C29" s="9"/>
      <c r="D29" s="9" t="s">
        <v>578</v>
      </c>
      <c r="E29" s="7"/>
      <c r="F29" s="7"/>
      <c r="G29" s="7"/>
      <c r="H29" s="7" t="s">
        <v>640</v>
      </c>
      <c r="I29" s="7" t="s">
        <v>579</v>
      </c>
      <c r="J29" s="39">
        <v>21000</v>
      </c>
      <c r="L29" s="16">
        <f t="shared" si="0"/>
        <v>1</v>
      </c>
      <c r="M29" s="16" t="str">
        <f t="shared" si="4"/>
        <v>January</v>
      </c>
      <c r="N29" s="16" t="str">
        <f t="shared" si="5"/>
        <v/>
      </c>
      <c r="O29" s="16" t="str">
        <f>IF(N29="","",COUNTIF($N$8:N29,N29))</f>
        <v/>
      </c>
      <c r="P29" s="34" t="str">
        <f t="shared" si="6"/>
        <v>outBeban Lainnya</v>
      </c>
      <c r="Q29" s="34" t="str">
        <f t="shared" si="1"/>
        <v>outJanuaryBeban Lainnya</v>
      </c>
      <c r="R29" s="34" t="str">
        <f t="shared" si="2"/>
        <v>Beban Lainnya</v>
      </c>
      <c r="S29" s="34" t="str">
        <f t="shared" si="3"/>
        <v>Bank</v>
      </c>
      <c r="T29" s="34" t="str">
        <f t="shared" si="7"/>
        <v/>
      </c>
      <c r="U29" s="34" t="str">
        <f>IF(AND(L29=1,bp_kode=T29,T29&lt;&gt;""),COUNTIF($T$8:T29,T29),"")</f>
        <v/>
      </c>
      <c r="V29" s="34" t="str">
        <f t="shared" si="8"/>
        <v>db</v>
      </c>
      <c r="W29" s="34" t="str">
        <f t="shared" si="9"/>
        <v>db</v>
      </c>
      <c r="X29" s="34" t="str">
        <f>IF(B29="","",COUNTIF($C$8:C29,C29)&amp;C29)</f>
        <v>0</v>
      </c>
    </row>
    <row r="30" spans="2:24" ht="23.1" customHeight="1">
      <c r="B30" s="31">
        <v>44592</v>
      </c>
      <c r="C30" s="9"/>
      <c r="D30" s="9" t="s">
        <v>573</v>
      </c>
      <c r="E30" s="7"/>
      <c r="F30" s="7"/>
      <c r="G30" s="7"/>
      <c r="H30" s="7" t="s">
        <v>579</v>
      </c>
      <c r="I30" s="7" t="s">
        <v>559</v>
      </c>
      <c r="J30" s="39">
        <v>228368300</v>
      </c>
      <c r="L30" s="16">
        <f t="shared" si="0"/>
        <v>1</v>
      </c>
      <c r="M30" s="16" t="str">
        <f t="shared" si="4"/>
        <v>January</v>
      </c>
      <c r="N30" s="16" t="str">
        <f t="shared" si="5"/>
        <v/>
      </c>
      <c r="O30" s="16" t="str">
        <f>IF(N30="","",COUNTIF($N$8:N30,N30))</f>
        <v/>
      </c>
      <c r="P30" s="34" t="str">
        <f t="shared" si="6"/>
        <v>InAkun Piutang</v>
      </c>
      <c r="Q30" s="34" t="str">
        <f t="shared" si="1"/>
        <v>inJanuaryAkun Piutang</v>
      </c>
      <c r="R30" s="34" t="str">
        <f t="shared" si="2"/>
        <v>Bank</v>
      </c>
      <c r="S30" s="34" t="str">
        <f t="shared" si="3"/>
        <v>Akun Piutang</v>
      </c>
      <c r="T30" s="34">
        <f t="shared" si="7"/>
        <v>0</v>
      </c>
      <c r="U30" s="34" t="str">
        <f>IF(AND(L30=1,bp_kode=T30,T30&lt;&gt;""),COUNTIF($T$8:T30,T30),"")</f>
        <v/>
      </c>
      <c r="V30" s="34" t="str">
        <f t="shared" si="8"/>
        <v/>
      </c>
      <c r="W30" s="34" t="str">
        <f t="shared" si="9"/>
        <v/>
      </c>
      <c r="X30" s="34" t="str">
        <f>IF(B30="","",COUNTIF($C$8:C30,C30)&amp;C30)</f>
        <v>0</v>
      </c>
    </row>
    <row r="31" spans="2:24" ht="23.1" customHeight="1">
      <c r="B31" s="31">
        <v>44592</v>
      </c>
      <c r="C31" s="9"/>
      <c r="D31" s="9" t="s">
        <v>581</v>
      </c>
      <c r="E31" s="7"/>
      <c r="F31" s="7"/>
      <c r="G31" s="7"/>
      <c r="H31" s="7" t="s">
        <v>582</v>
      </c>
      <c r="I31" s="7" t="s">
        <v>579</v>
      </c>
      <c r="J31" s="39">
        <v>301557034</v>
      </c>
      <c r="L31" s="16">
        <f t="shared" si="0"/>
        <v>1</v>
      </c>
      <c r="M31" s="16" t="str">
        <f t="shared" si="4"/>
        <v>January</v>
      </c>
      <c r="N31" s="16" t="str">
        <f t="shared" si="5"/>
        <v/>
      </c>
      <c r="O31" s="16" t="str">
        <f>IF(N31="","",COUNTIF($N$8:N31,N31))</f>
        <v/>
      </c>
      <c r="P31" s="34" t="str">
        <f t="shared" si="6"/>
        <v>InBank</v>
      </c>
      <c r="Q31" s="34" t="str">
        <f t="shared" si="1"/>
        <v>inJanuaryBank</v>
      </c>
      <c r="R31" s="34" t="str">
        <f t="shared" si="2"/>
        <v>Kas</v>
      </c>
      <c r="S31" s="34" t="str">
        <f t="shared" si="3"/>
        <v>Bank</v>
      </c>
      <c r="T31" s="34" t="str">
        <f t="shared" si="7"/>
        <v/>
      </c>
      <c r="U31" s="34" t="str">
        <f>IF(AND(L31=1,bp_kode=T31,T31&lt;&gt;""),COUNTIF($T$8:T31,T31),"")</f>
        <v/>
      </c>
      <c r="V31" s="34" t="str">
        <f t="shared" si="8"/>
        <v/>
      </c>
      <c r="W31" s="34" t="str">
        <f t="shared" si="9"/>
        <v/>
      </c>
      <c r="X31" s="34" t="str">
        <f>IF(B31="","",COUNTIF($C$8:C31,C31)&amp;C31)</f>
        <v>0</v>
      </c>
    </row>
    <row r="32" spans="2:24" ht="23.1" customHeight="1">
      <c r="B32" s="31">
        <v>44592</v>
      </c>
      <c r="C32" s="9"/>
      <c r="D32" s="9" t="s">
        <v>584</v>
      </c>
      <c r="E32" s="7"/>
      <c r="F32" s="7"/>
      <c r="G32" s="7"/>
      <c r="H32" s="7" t="s">
        <v>583</v>
      </c>
      <c r="I32" s="7" t="s">
        <v>561</v>
      </c>
      <c r="J32" s="39">
        <v>141750000</v>
      </c>
      <c r="L32" s="16">
        <f t="shared" si="0"/>
        <v>1</v>
      </c>
      <c r="M32" s="16" t="str">
        <f t="shared" si="4"/>
        <v>January</v>
      </c>
      <c r="N32" s="16" t="str">
        <f t="shared" si="5"/>
        <v/>
      </c>
      <c r="O32" s="16" t="str">
        <f>IF(N32="","",COUNTIF($N$8:N32,N32))</f>
        <v/>
      </c>
      <c r="P32" s="34" t="str">
        <f t="shared" si="6"/>
        <v>InAkun Piutang</v>
      </c>
      <c r="Q32" s="34" t="str">
        <f t="shared" si="1"/>
        <v>inJanuaryAkun Piutang</v>
      </c>
      <c r="R32" s="34" t="str">
        <f t="shared" si="2"/>
        <v>Bank</v>
      </c>
      <c r="S32" s="34" t="str">
        <f t="shared" si="3"/>
        <v>Akun Piutang</v>
      </c>
      <c r="T32" s="34">
        <f t="shared" si="7"/>
        <v>0</v>
      </c>
      <c r="U32" s="34" t="str">
        <f>IF(AND(L32=1,bp_kode=T32,T32&lt;&gt;""),COUNTIF($T$8:T32,T32),"")</f>
        <v/>
      </c>
      <c r="V32" s="34" t="str">
        <f t="shared" si="8"/>
        <v/>
      </c>
      <c r="W32" s="34" t="str">
        <f t="shared" si="9"/>
        <v/>
      </c>
      <c r="X32" s="34" t="str">
        <f>IF(B32="","",COUNTIF($C$8:C32,C32)&amp;C32)</f>
        <v>0</v>
      </c>
    </row>
    <row r="33" spans="2:24" ht="23.1" customHeight="1">
      <c r="B33" s="31">
        <v>44592</v>
      </c>
      <c r="C33" s="9"/>
      <c r="D33" s="9" t="s">
        <v>576</v>
      </c>
      <c r="E33" s="7"/>
      <c r="F33" s="7"/>
      <c r="G33" s="7"/>
      <c r="H33" s="7" t="s">
        <v>583</v>
      </c>
      <c r="I33" s="7" t="s">
        <v>569</v>
      </c>
      <c r="J33" s="39">
        <v>684289.25</v>
      </c>
      <c r="L33" s="16">
        <f t="shared" si="0"/>
        <v>1</v>
      </c>
      <c r="M33" s="16" t="str">
        <f t="shared" si="4"/>
        <v>January</v>
      </c>
      <c r="N33" s="16" t="str">
        <f t="shared" si="5"/>
        <v/>
      </c>
      <c r="O33" s="16" t="str">
        <f>IF(N33="","",COUNTIF($N$8:N33,N33))</f>
        <v/>
      </c>
      <c r="P33" s="34" t="str">
        <f t="shared" si="6"/>
        <v>InPendapatan Lainnya</v>
      </c>
      <c r="Q33" s="34" t="str">
        <f t="shared" si="1"/>
        <v>inJanuaryPendapatan Lainnya</v>
      </c>
      <c r="R33" s="34" t="str">
        <f t="shared" si="2"/>
        <v>Bank</v>
      </c>
      <c r="S33" s="34" t="str">
        <f t="shared" si="3"/>
        <v>Pendapatan Lainnya</v>
      </c>
      <c r="T33" s="34" t="str">
        <f t="shared" si="7"/>
        <v/>
      </c>
      <c r="U33" s="34" t="str">
        <f>IF(AND(L33=1,bp_kode=T33,T33&lt;&gt;""),COUNTIF($T$8:T33,T33),"")</f>
        <v/>
      </c>
      <c r="V33" s="34" t="str">
        <f t="shared" si="8"/>
        <v>kr</v>
      </c>
      <c r="W33" s="34" t="str">
        <f t="shared" si="9"/>
        <v>kr</v>
      </c>
      <c r="X33" s="34" t="str">
        <f>IF(B33="","",COUNTIF($C$8:C33,C33)&amp;C33)</f>
        <v>0</v>
      </c>
    </row>
    <row r="34" spans="2:24" ht="23.1" customHeight="1">
      <c r="B34" s="31">
        <v>44592</v>
      </c>
      <c r="C34" s="9"/>
      <c r="D34" s="9" t="s">
        <v>570</v>
      </c>
      <c r="E34" s="7"/>
      <c r="F34" s="7"/>
      <c r="G34" s="7"/>
      <c r="H34" s="7" t="s">
        <v>571</v>
      </c>
      <c r="I34" s="7" t="s">
        <v>583</v>
      </c>
      <c r="J34" s="39">
        <v>136857.85</v>
      </c>
      <c r="L34" s="16">
        <f t="shared" si="0"/>
        <v>1</v>
      </c>
      <c r="M34" s="16" t="str">
        <f t="shared" si="4"/>
        <v>January</v>
      </c>
      <c r="N34" s="16" t="str">
        <f t="shared" si="5"/>
        <v/>
      </c>
      <c r="O34" s="16" t="str">
        <f>IF(N34="","",COUNTIF($N$8:N34,N34))</f>
        <v/>
      </c>
      <c r="P34" s="34" t="str">
        <f t="shared" si="6"/>
        <v>outBeban Lainnya</v>
      </c>
      <c r="Q34" s="34" t="str">
        <f t="shared" si="1"/>
        <v>outJanuaryBeban Lainnya</v>
      </c>
      <c r="R34" s="34" t="str">
        <f t="shared" si="2"/>
        <v>Beban Lainnya</v>
      </c>
      <c r="S34" s="34" t="str">
        <f t="shared" si="3"/>
        <v>Bank</v>
      </c>
      <c r="T34" s="34" t="str">
        <f t="shared" si="7"/>
        <v/>
      </c>
      <c r="U34" s="34" t="str">
        <f>IF(AND(L34=1,bp_kode=T34,T34&lt;&gt;""),COUNTIF($T$8:T34,T34),"")</f>
        <v/>
      </c>
      <c r="V34" s="34" t="str">
        <f t="shared" si="8"/>
        <v>db</v>
      </c>
      <c r="W34" s="34" t="str">
        <f t="shared" si="9"/>
        <v>db</v>
      </c>
      <c r="X34" s="34" t="str">
        <f>IF(B34="","",COUNTIF($C$8:C34,C34)&amp;C34)</f>
        <v>0</v>
      </c>
    </row>
    <row r="35" spans="2:24" ht="23.1" customHeight="1">
      <c r="B35" s="31">
        <v>44592</v>
      </c>
      <c r="C35" s="9"/>
      <c r="D35" s="9" t="s">
        <v>685</v>
      </c>
      <c r="E35" s="7"/>
      <c r="F35" s="7"/>
      <c r="G35" s="7"/>
      <c r="H35" s="7" t="s">
        <v>640</v>
      </c>
      <c r="I35" s="7" t="s">
        <v>583</v>
      </c>
      <c r="J35" s="39">
        <v>25000</v>
      </c>
      <c r="L35" s="16">
        <f t="shared" ref="L35" si="10">IF(AND(B35&gt;=awal,B35&lt;=akhir,B35&lt;&gt;""),1,IF(AND(B35&lt;&gt;"",B35&lt;awal),2,""))</f>
        <v>1</v>
      </c>
      <c r="M35" s="16" t="str">
        <f t="shared" ref="M35" si="11">IF(B35="","",TEXT(B35,"mmmm"))</f>
        <v>January</v>
      </c>
      <c r="N35" s="16" t="str">
        <f t="shared" ref="N35" si="12">IF(AND(L35=1,H35=bb_akun),"Awe",IF(AND(L35=1,I35=bb_akun),"Awe",""))</f>
        <v/>
      </c>
      <c r="O35" s="16" t="str">
        <f>IF(N35="","",COUNTIF($N$8:N35,N35))</f>
        <v/>
      </c>
      <c r="P35" s="34" t="str">
        <f t="shared" ref="P35" si="13">IFERROR(IF(OR(INDEX(akun_type,MATCH(H35,akun_kb,0))="Kas",INDEX(akun_type,MATCH(H35,akun_kb,0))="Bank"),"In"&amp;INDEX(akun_type,MATCH(I35,akun_kb,0)),IF(OR(INDEX(akun_type,MATCH(I35,akun_kb,0))="Kas",INDEX(akun_type,MATCH(I35,akun_kb,0))="Bank"),"out"&amp;INDEX(akun_type,MATCH(H35,akun_kb,0)),"")),"")</f>
        <v>outBeban Lainnya</v>
      </c>
      <c r="Q35" s="34" t="str">
        <f t="shared" ref="Q35" si="14">IFERROR(IF(OR(INDEX(akun_type,MATCH(H35,akun_kb,0))="Kas",INDEX(akun_type,MATCH(H35,akun_kb,0))="Bank"),"in"&amp;TEXT(B35,"mmmm")&amp;INDEX(akun_type,MATCH(I35,akun_kb,0)),IF(OR(INDEX(akun_type,MATCH(I35,akun_kb,0))="Kas",INDEX(akun_type,MATCH(I35,akun_kb,0))="Bank"),"out"&amp;TEXT(B35,"mmmm")&amp;INDEX(akun_type,MATCH(H35,akun_kb,0)),"")),"")</f>
        <v>outJanuaryBeban Lainnya</v>
      </c>
      <c r="R35" s="34" t="str">
        <f t="shared" ref="R35" si="15">IFERROR(INDEX(akun_type,MATCH(H35,akun_kb,0)),"")</f>
        <v>Beban Lainnya</v>
      </c>
      <c r="S35" s="34" t="str">
        <f t="shared" ref="S35" si="16">IFERROR(INDEX(akun_type,MATCH(I35,akun_kb,0)),"")</f>
        <v>Bank</v>
      </c>
      <c r="T35" s="34" t="str">
        <f t="shared" ref="T35" si="17">IF(AND(L35=1,OR(R35="Akun Piutang",R35="akun hutang",S35="akun piutang",S35="akun hutang")),E35,"")</f>
        <v/>
      </c>
      <c r="U35" s="34" t="str">
        <f>IF(AND(L35=1,bp_kode=T35,T35&lt;&gt;""),COUNTIF($T$8:T35,T35),"")</f>
        <v/>
      </c>
      <c r="V35" s="34" t="str">
        <f t="shared" ref="V35" si="18">IF(OR(R35="Pendapatan",R35="Pendapatan Lainnya",R35="Beban",R35="Harga Pokok Penjualan",R35="Beban Lainnya"),"db"&amp;F35,IF(OR(S35="Pendapatan",S35="Pendapatan Lainnya",S35="Beban",S35="Harga Pokok Penjualan",S35="Beban Lainnya"),"kr"&amp;F35,""))</f>
        <v>db</v>
      </c>
      <c r="W35" s="34" t="str">
        <f t="shared" ref="W35" si="19">IF(OR(R35="Pendapatan",R35="Pendapatan Lainnya",R35="Beban",R35="Harga Pokok Penjualan",R35="Beban Lainnya"),"db"&amp;G35,IF(OR(S35="Pendapatan",S35="Pendapatan Lainnya",S35="Beban",S35="Harga Pokok Penjualan",S35="Beban Lainnya"),"kr"&amp;G35,""))</f>
        <v>db</v>
      </c>
      <c r="X35" s="34" t="str">
        <f>IF(B35="","",COUNTIF($C$8:C35,C35)&amp;C35)</f>
        <v>0</v>
      </c>
    </row>
    <row r="36" spans="2:24" ht="23.1" customHeight="1">
      <c r="B36" s="31">
        <v>44592</v>
      </c>
      <c r="C36" s="9"/>
      <c r="D36" s="9" t="s">
        <v>576</v>
      </c>
      <c r="E36" s="7"/>
      <c r="F36" s="7"/>
      <c r="G36" s="7"/>
      <c r="H36" s="7" t="s">
        <v>585</v>
      </c>
      <c r="I36" s="7" t="s">
        <v>569</v>
      </c>
      <c r="J36" s="39">
        <v>99682.49</v>
      </c>
      <c r="L36" s="16">
        <f t="shared" si="0"/>
        <v>1</v>
      </c>
      <c r="M36" s="16" t="str">
        <f t="shared" si="4"/>
        <v>January</v>
      </c>
      <c r="N36" s="16" t="str">
        <f t="shared" si="5"/>
        <v/>
      </c>
      <c r="O36" s="16" t="str">
        <f>IF(N36="","",COUNTIF($N$8:N36,N36))</f>
        <v/>
      </c>
      <c r="P36" s="34" t="str">
        <f t="shared" si="6"/>
        <v>InPendapatan Lainnya</v>
      </c>
      <c r="Q36" s="34" t="str">
        <f t="shared" si="1"/>
        <v>inJanuaryPendapatan Lainnya</v>
      </c>
      <c r="R36" s="34" t="str">
        <f t="shared" si="2"/>
        <v>Bank</v>
      </c>
      <c r="S36" s="34" t="str">
        <f t="shared" si="3"/>
        <v>Pendapatan Lainnya</v>
      </c>
      <c r="T36" s="34" t="str">
        <f t="shared" si="7"/>
        <v/>
      </c>
      <c r="U36" s="34" t="str">
        <f>IF(AND(L36=1,bp_kode=T36,T36&lt;&gt;""),COUNTIF($T$8:T36,T36),"")</f>
        <v/>
      </c>
      <c r="V36" s="34" t="str">
        <f t="shared" si="8"/>
        <v>kr</v>
      </c>
      <c r="W36" s="34" t="str">
        <f t="shared" si="9"/>
        <v>kr</v>
      </c>
      <c r="X36" s="34" t="str">
        <f>IF(B36="","",COUNTIF($C$8:C36,C36)&amp;C36)</f>
        <v>0</v>
      </c>
    </row>
    <row r="37" spans="2:24" ht="23.1" customHeight="1">
      <c r="B37" s="31">
        <v>44592</v>
      </c>
      <c r="C37" s="9"/>
      <c r="D37" s="9" t="s">
        <v>570</v>
      </c>
      <c r="E37" s="7"/>
      <c r="F37" s="7"/>
      <c r="G37" s="7"/>
      <c r="H37" s="7" t="s">
        <v>571</v>
      </c>
      <c r="I37" s="7" t="s">
        <v>585</v>
      </c>
      <c r="J37" s="39">
        <v>25120.21</v>
      </c>
      <c r="L37" s="16">
        <f t="shared" si="0"/>
        <v>1</v>
      </c>
      <c r="M37" s="16" t="str">
        <f t="shared" si="4"/>
        <v>January</v>
      </c>
      <c r="N37" s="16" t="str">
        <f t="shared" si="5"/>
        <v/>
      </c>
      <c r="O37" s="16" t="str">
        <f>IF(N37="","",COUNTIF($N$8:N37,N37))</f>
        <v/>
      </c>
      <c r="P37" s="34" t="str">
        <f t="shared" si="6"/>
        <v>outBeban Lainnya</v>
      </c>
      <c r="Q37" s="34" t="str">
        <f t="shared" si="1"/>
        <v>outJanuaryBeban Lainnya</v>
      </c>
      <c r="R37" s="34" t="str">
        <f t="shared" si="2"/>
        <v>Beban Lainnya</v>
      </c>
      <c r="S37" s="34" t="str">
        <f t="shared" si="3"/>
        <v>Bank</v>
      </c>
      <c r="T37" s="34" t="str">
        <f t="shared" si="7"/>
        <v/>
      </c>
      <c r="U37" s="34" t="str">
        <f>IF(AND(L37=1,bp_kode=T37,T37&lt;&gt;""),COUNTIF($T$8:T37,T37),"")</f>
        <v/>
      </c>
      <c r="V37" s="34" t="str">
        <f t="shared" si="8"/>
        <v>db</v>
      </c>
      <c r="W37" s="34" t="str">
        <f t="shared" si="9"/>
        <v>db</v>
      </c>
      <c r="X37" s="34" t="str">
        <f>IF(B37="","",COUNTIF($C$8:C37,C37)&amp;C37)</f>
        <v>0</v>
      </c>
    </row>
    <row r="38" spans="2:24" ht="23.1" customHeight="1">
      <c r="B38" s="31">
        <v>44592</v>
      </c>
      <c r="C38" s="9"/>
      <c r="D38" s="9" t="s">
        <v>572</v>
      </c>
      <c r="E38" s="7"/>
      <c r="F38" s="7"/>
      <c r="G38" s="7"/>
      <c r="H38" s="7" t="s">
        <v>640</v>
      </c>
      <c r="I38" s="7" t="s">
        <v>585</v>
      </c>
      <c r="J38" s="39">
        <v>25000</v>
      </c>
      <c r="L38" s="16">
        <f t="shared" si="0"/>
        <v>1</v>
      </c>
      <c r="M38" s="16" t="str">
        <f t="shared" si="4"/>
        <v>January</v>
      </c>
      <c r="N38" s="16" t="str">
        <f t="shared" si="5"/>
        <v/>
      </c>
      <c r="O38" s="16" t="str">
        <f>IF(N38="","",COUNTIF($N$8:N38,N38))</f>
        <v/>
      </c>
      <c r="P38" s="34" t="str">
        <f t="shared" si="6"/>
        <v>outBeban Lainnya</v>
      </c>
      <c r="Q38" s="34" t="str">
        <f t="shared" si="1"/>
        <v>outJanuaryBeban Lainnya</v>
      </c>
      <c r="R38" s="34" t="str">
        <f t="shared" si="2"/>
        <v>Beban Lainnya</v>
      </c>
      <c r="S38" s="34" t="str">
        <f t="shared" si="3"/>
        <v>Bank</v>
      </c>
      <c r="T38" s="34" t="str">
        <f t="shared" si="7"/>
        <v/>
      </c>
      <c r="U38" s="34" t="str">
        <f>IF(AND(L38=1,bp_kode=T38,T38&lt;&gt;""),COUNTIF($T$8:T38,T38),"")</f>
        <v/>
      </c>
      <c r="V38" s="34" t="str">
        <f t="shared" si="8"/>
        <v>db</v>
      </c>
      <c r="W38" s="34" t="str">
        <f t="shared" si="9"/>
        <v>db</v>
      </c>
      <c r="X38" s="34" t="str">
        <f>IF(B38="","",COUNTIF($C$8:C38,C38)&amp;C38)</f>
        <v>0</v>
      </c>
    </row>
    <row r="39" spans="2:24" ht="23.1" customHeight="1">
      <c r="B39" s="31">
        <v>44592</v>
      </c>
      <c r="C39" s="9"/>
      <c r="D39" s="9" t="s">
        <v>578</v>
      </c>
      <c r="E39" s="7"/>
      <c r="F39" s="7"/>
      <c r="G39" s="7"/>
      <c r="H39" s="7" t="s">
        <v>640</v>
      </c>
      <c r="I39" s="7" t="s">
        <v>585</v>
      </c>
      <c r="J39" s="39">
        <v>10000</v>
      </c>
      <c r="L39" s="16">
        <f t="shared" si="0"/>
        <v>1</v>
      </c>
      <c r="M39" s="16" t="str">
        <f t="shared" si="4"/>
        <v>January</v>
      </c>
      <c r="N39" s="16" t="str">
        <f t="shared" si="5"/>
        <v/>
      </c>
      <c r="O39" s="16" t="str">
        <f>IF(N39="","",COUNTIF($N$8:N39,N39))</f>
        <v/>
      </c>
      <c r="P39" s="34" t="str">
        <f t="shared" si="6"/>
        <v>outBeban Lainnya</v>
      </c>
      <c r="Q39" s="34" t="str">
        <f t="shared" si="1"/>
        <v>outJanuaryBeban Lainnya</v>
      </c>
      <c r="R39" s="34" t="str">
        <f t="shared" si="2"/>
        <v>Beban Lainnya</v>
      </c>
      <c r="S39" s="34" t="str">
        <f t="shared" si="3"/>
        <v>Bank</v>
      </c>
      <c r="T39" s="34" t="str">
        <f t="shared" si="7"/>
        <v/>
      </c>
      <c r="U39" s="34" t="str">
        <f>IF(AND(L39=1,bp_kode=T39,T39&lt;&gt;""),COUNTIF($T$8:T39,T39),"")</f>
        <v/>
      </c>
      <c r="V39" s="34" t="str">
        <f t="shared" si="8"/>
        <v>db</v>
      </c>
      <c r="W39" s="34" t="str">
        <f t="shared" si="9"/>
        <v>db</v>
      </c>
      <c r="X39" s="34" t="str">
        <f>IF(B39="","",COUNTIF($C$8:C39,C39)&amp;C39)</f>
        <v>0</v>
      </c>
    </row>
    <row r="40" spans="2:24" ht="23.1" customHeight="1">
      <c r="B40" s="31">
        <v>44592</v>
      </c>
      <c r="C40" s="9"/>
      <c r="D40" s="9" t="s">
        <v>576</v>
      </c>
      <c r="E40" s="7"/>
      <c r="F40" s="7"/>
      <c r="G40" s="7"/>
      <c r="H40" s="7" t="s">
        <v>586</v>
      </c>
      <c r="I40" s="7" t="s">
        <v>569</v>
      </c>
      <c r="J40" s="39">
        <v>833986</v>
      </c>
      <c r="L40" s="16">
        <f t="shared" ref="L40:L103" si="20">IF(AND(B40&gt;=awal,B40&lt;=akhir,B40&lt;&gt;""),1,IF(AND(B40&lt;&gt;"",B40&lt;awal),2,""))</f>
        <v>1</v>
      </c>
      <c r="M40" s="16" t="str">
        <f t="shared" si="4"/>
        <v>January</v>
      </c>
      <c r="N40" s="16" t="str">
        <f t="shared" ref="N40:N103" si="21">IF(AND(L40=1,H40=bb_akun),"Awe",IF(AND(L40=1,I40=bb_akun),"Awe",""))</f>
        <v/>
      </c>
      <c r="O40" s="16" t="str">
        <f>IF(N40="","",COUNTIF($N$8:N40,N40))</f>
        <v/>
      </c>
      <c r="P40" s="34" t="str">
        <f t="shared" ref="P40:P103" si="22">IFERROR(IF(OR(INDEX(akun_type,MATCH(H40,akun_kb,0))="Kas",INDEX(akun_type,MATCH(H40,akun_kb,0))="Bank"),"In"&amp;INDEX(akun_type,MATCH(I40,akun_kb,0)),IF(OR(INDEX(akun_type,MATCH(I40,akun_kb,0))="Kas",INDEX(akun_type,MATCH(I40,akun_kb,0))="Bank"),"out"&amp;INDEX(akun_type,MATCH(H40,akun_kb,0)),"")),"")</f>
        <v>InPendapatan Lainnya</v>
      </c>
      <c r="Q40" s="34" t="str">
        <f t="shared" ref="Q40:Q103" si="23">IFERROR(IF(OR(INDEX(akun_type,MATCH(H40,akun_kb,0))="Kas",INDEX(akun_type,MATCH(H40,akun_kb,0))="Bank"),"in"&amp;TEXT(B40,"mmmm")&amp;INDEX(akun_type,MATCH(I40,akun_kb,0)),IF(OR(INDEX(akun_type,MATCH(I40,akun_kb,0))="Kas",INDEX(akun_type,MATCH(I40,akun_kb,0))="Bank"),"out"&amp;TEXT(B40,"mmmm")&amp;INDEX(akun_type,MATCH(H40,akun_kb,0)),"")),"")</f>
        <v>inJanuaryPendapatan Lainnya</v>
      </c>
      <c r="R40" s="34" t="str">
        <f t="shared" si="2"/>
        <v>Bank</v>
      </c>
      <c r="S40" s="34" t="str">
        <f t="shared" si="3"/>
        <v>Pendapatan Lainnya</v>
      </c>
      <c r="T40" s="34" t="str">
        <f t="shared" si="7"/>
        <v/>
      </c>
      <c r="U40" s="34" t="str">
        <f>IF(AND(L40=1,bp_kode=T40,T40&lt;&gt;""),COUNTIF($T$8:T40,T40),"")</f>
        <v/>
      </c>
      <c r="V40" s="34" t="str">
        <f t="shared" si="8"/>
        <v>kr</v>
      </c>
      <c r="W40" s="34" t="str">
        <f t="shared" si="9"/>
        <v>kr</v>
      </c>
      <c r="X40" s="34" t="str">
        <f>IF(B40="","",COUNTIF($C$8:C40,C40)&amp;C40)</f>
        <v>0</v>
      </c>
    </row>
    <row r="41" spans="2:24" ht="23.1" customHeight="1">
      <c r="B41" s="31">
        <v>44592</v>
      </c>
      <c r="C41" s="9"/>
      <c r="D41" s="9" t="s">
        <v>570</v>
      </c>
      <c r="E41" s="7"/>
      <c r="F41" s="7"/>
      <c r="G41" s="7"/>
      <c r="H41" s="7" t="s">
        <v>571</v>
      </c>
      <c r="I41" s="7" t="s">
        <v>586</v>
      </c>
      <c r="J41" s="39">
        <v>166786</v>
      </c>
      <c r="L41" s="16">
        <f t="shared" si="20"/>
        <v>1</v>
      </c>
      <c r="M41" s="16" t="str">
        <f t="shared" si="4"/>
        <v>January</v>
      </c>
      <c r="N41" s="16" t="str">
        <f t="shared" si="21"/>
        <v/>
      </c>
      <c r="O41" s="16" t="str">
        <f>IF(N41="","",COUNTIF($N$8:N41,N41))</f>
        <v/>
      </c>
      <c r="P41" s="34" t="str">
        <f t="shared" si="22"/>
        <v>outBeban Lainnya</v>
      </c>
      <c r="Q41" s="34" t="str">
        <f t="shared" si="23"/>
        <v>outJanuaryBeban Lainnya</v>
      </c>
      <c r="R41" s="34" t="str">
        <f t="shared" si="2"/>
        <v>Beban Lainnya</v>
      </c>
      <c r="S41" s="34" t="str">
        <f t="shared" si="3"/>
        <v>Bank</v>
      </c>
      <c r="T41" s="34" t="str">
        <f t="shared" si="7"/>
        <v/>
      </c>
      <c r="U41" s="34" t="str">
        <f>IF(AND(L41=1,bp_kode=T41,T41&lt;&gt;""),COUNTIF($T$8:T41,T41),"")</f>
        <v/>
      </c>
      <c r="V41" s="34" t="str">
        <f t="shared" si="8"/>
        <v>db</v>
      </c>
      <c r="W41" s="34" t="str">
        <f t="shared" si="9"/>
        <v>db</v>
      </c>
      <c r="X41" s="34" t="str">
        <f>IF(B41="","",COUNTIF($C$8:C41,C41)&amp;C41)</f>
        <v>0</v>
      </c>
    </row>
    <row r="42" spans="2:24" ht="23.1" customHeight="1">
      <c r="B42" s="31">
        <v>44592</v>
      </c>
      <c r="C42" s="9"/>
      <c r="D42" s="9" t="s">
        <v>572</v>
      </c>
      <c r="E42" s="7"/>
      <c r="F42" s="7"/>
      <c r="G42" s="7"/>
      <c r="H42" s="7" t="s">
        <v>640</v>
      </c>
      <c r="I42" s="7" t="s">
        <v>586</v>
      </c>
      <c r="J42" s="39">
        <v>36500</v>
      </c>
      <c r="L42" s="16">
        <f t="shared" si="20"/>
        <v>1</v>
      </c>
      <c r="M42" s="16" t="str">
        <f t="shared" si="4"/>
        <v>January</v>
      </c>
      <c r="N42" s="16" t="str">
        <f t="shared" si="21"/>
        <v/>
      </c>
      <c r="O42" s="16" t="str">
        <f>IF(N42="","",COUNTIF($N$8:N42,N42))</f>
        <v/>
      </c>
      <c r="P42" s="34" t="str">
        <f t="shared" si="22"/>
        <v>outBeban Lainnya</v>
      </c>
      <c r="Q42" s="34" t="str">
        <f t="shared" si="23"/>
        <v>outJanuaryBeban Lainnya</v>
      </c>
      <c r="R42" s="34" t="str">
        <f t="shared" si="2"/>
        <v>Beban Lainnya</v>
      </c>
      <c r="S42" s="34" t="str">
        <f t="shared" si="3"/>
        <v>Bank</v>
      </c>
      <c r="T42" s="34" t="str">
        <f t="shared" si="7"/>
        <v/>
      </c>
      <c r="U42" s="34" t="str">
        <f>IF(AND(L42=1,bp_kode=T42,T42&lt;&gt;""),COUNTIF($T$8:T42,T42),"")</f>
        <v/>
      </c>
      <c r="V42" s="34" t="str">
        <f t="shared" si="8"/>
        <v>db</v>
      </c>
      <c r="W42" s="34" t="str">
        <f t="shared" si="9"/>
        <v>db</v>
      </c>
      <c r="X42" s="34" t="str">
        <f>IF(B42="","",COUNTIF($C$8:C42,C42)&amp;C42)</f>
        <v>0</v>
      </c>
    </row>
    <row r="43" spans="2:24" ht="23.1" customHeight="1">
      <c r="B43" s="31">
        <v>44592</v>
      </c>
      <c r="C43" s="9"/>
      <c r="D43" s="9" t="s">
        <v>573</v>
      </c>
      <c r="E43" s="7"/>
      <c r="F43" s="7"/>
      <c r="G43" s="7"/>
      <c r="H43" s="7" t="s">
        <v>586</v>
      </c>
      <c r="I43" s="7" t="s">
        <v>559</v>
      </c>
      <c r="J43" s="39">
        <v>18543500</v>
      </c>
      <c r="L43" s="16">
        <f t="shared" si="20"/>
        <v>1</v>
      </c>
      <c r="M43" s="16" t="str">
        <f t="shared" si="4"/>
        <v>January</v>
      </c>
      <c r="N43" s="16" t="str">
        <f t="shared" si="21"/>
        <v/>
      </c>
      <c r="O43" s="16" t="str">
        <f>IF(N43="","",COUNTIF($N$8:N43,N43))</f>
        <v/>
      </c>
      <c r="P43" s="34" t="str">
        <f t="shared" si="22"/>
        <v>InAkun Piutang</v>
      </c>
      <c r="Q43" s="34" t="str">
        <f t="shared" si="23"/>
        <v>inJanuaryAkun Piutang</v>
      </c>
      <c r="R43" s="34" t="str">
        <f t="shared" si="2"/>
        <v>Bank</v>
      </c>
      <c r="S43" s="34" t="str">
        <f t="shared" si="3"/>
        <v>Akun Piutang</v>
      </c>
      <c r="T43" s="34">
        <f t="shared" si="7"/>
        <v>0</v>
      </c>
      <c r="U43" s="34" t="str">
        <f>IF(AND(L43=1,bp_kode=T43,T43&lt;&gt;""),COUNTIF($T$8:T43,T43),"")</f>
        <v/>
      </c>
      <c r="V43" s="34" t="str">
        <f t="shared" si="8"/>
        <v/>
      </c>
      <c r="W43" s="34" t="str">
        <f t="shared" si="9"/>
        <v/>
      </c>
      <c r="X43" s="34" t="str">
        <f>IF(B43="","",COUNTIF($C$8:C43,C43)&amp;C43)</f>
        <v>0</v>
      </c>
    </row>
    <row r="44" spans="2:24" ht="23.1" customHeight="1">
      <c r="B44" s="31">
        <v>44592</v>
      </c>
      <c r="C44" s="9"/>
      <c r="D44" s="9" t="s">
        <v>552</v>
      </c>
      <c r="E44" s="7"/>
      <c r="F44" s="7"/>
      <c r="G44" s="7"/>
      <c r="H44" s="7" t="s">
        <v>587</v>
      </c>
      <c r="I44" s="7" t="s">
        <v>553</v>
      </c>
      <c r="J44" s="39">
        <v>650000</v>
      </c>
      <c r="L44" s="16">
        <f t="shared" si="20"/>
        <v>1</v>
      </c>
      <c r="M44" s="16" t="str">
        <f t="shared" si="4"/>
        <v>January</v>
      </c>
      <c r="N44" s="16" t="str">
        <f t="shared" si="21"/>
        <v/>
      </c>
      <c r="O44" s="16" t="str">
        <f>IF(N44="","",COUNTIF($N$8:N44,N44))</f>
        <v/>
      </c>
      <c r="P44" s="34" t="str">
        <f t="shared" si="22"/>
        <v/>
      </c>
      <c r="Q44" s="34" t="str">
        <f t="shared" si="23"/>
        <v/>
      </c>
      <c r="R44" s="34" t="str">
        <f t="shared" si="2"/>
        <v>Akun Piutang</v>
      </c>
      <c r="S44" s="34" t="str">
        <f t="shared" si="3"/>
        <v>Pendapatan</v>
      </c>
      <c r="T44" s="34">
        <f t="shared" si="7"/>
        <v>0</v>
      </c>
      <c r="U44" s="34" t="str">
        <f>IF(AND(L44=1,bp_kode=T44,T44&lt;&gt;""),COUNTIF($T$8:T44,T44),"")</f>
        <v/>
      </c>
      <c r="V44" s="34" t="str">
        <f t="shared" si="8"/>
        <v>kr</v>
      </c>
      <c r="W44" s="34" t="str">
        <f t="shared" si="9"/>
        <v>kr</v>
      </c>
      <c r="X44" s="34" t="str">
        <f>IF(B44="","",COUNTIF($C$8:C44,C44)&amp;C44)</f>
        <v>0</v>
      </c>
    </row>
    <row r="45" spans="2:24" ht="23.1" customHeight="1">
      <c r="B45" s="31">
        <v>44592</v>
      </c>
      <c r="C45" s="9"/>
      <c r="D45" s="9" t="s">
        <v>588</v>
      </c>
      <c r="E45" s="7"/>
      <c r="F45" s="7"/>
      <c r="G45" s="7"/>
      <c r="H45" s="7" t="s">
        <v>554</v>
      </c>
      <c r="I45" s="7" t="s">
        <v>561</v>
      </c>
      <c r="J45" s="39">
        <v>8800000</v>
      </c>
      <c r="L45" s="16">
        <f t="shared" si="20"/>
        <v>1</v>
      </c>
      <c r="M45" s="16" t="str">
        <f t="shared" si="4"/>
        <v>January</v>
      </c>
      <c r="N45" s="16" t="str">
        <f t="shared" si="21"/>
        <v/>
      </c>
      <c r="O45" s="16" t="str">
        <f>IF(N45="","",COUNTIF($N$8:N45,N45))</f>
        <v/>
      </c>
      <c r="P45" s="34" t="str">
        <f t="shared" si="22"/>
        <v>InAkun Piutang</v>
      </c>
      <c r="Q45" s="34" t="str">
        <f t="shared" si="23"/>
        <v>inJanuaryAkun Piutang</v>
      </c>
      <c r="R45" s="34" t="str">
        <f t="shared" si="2"/>
        <v>Kas</v>
      </c>
      <c r="S45" s="34" t="str">
        <f t="shared" si="3"/>
        <v>Akun Piutang</v>
      </c>
      <c r="T45" s="34">
        <f t="shared" si="7"/>
        <v>0</v>
      </c>
      <c r="U45" s="34" t="str">
        <f>IF(AND(L45=1,bp_kode=T45,T45&lt;&gt;""),COUNTIF($T$8:T45,T45),"")</f>
        <v/>
      </c>
      <c r="V45" s="34" t="str">
        <f t="shared" si="8"/>
        <v/>
      </c>
      <c r="W45" s="34" t="str">
        <f t="shared" si="9"/>
        <v/>
      </c>
      <c r="X45" s="34" t="str">
        <f>IF(B45="","",COUNTIF($C$8:C45,C45)&amp;C45)</f>
        <v>0</v>
      </c>
    </row>
    <row r="46" spans="2:24" ht="23.1" customHeight="1">
      <c r="B46" s="31">
        <v>44592</v>
      </c>
      <c r="C46" s="9"/>
      <c r="D46" s="9" t="s">
        <v>589</v>
      </c>
      <c r="E46" s="7"/>
      <c r="F46" s="7"/>
      <c r="G46" s="7"/>
      <c r="H46" s="7" t="s">
        <v>554</v>
      </c>
      <c r="I46" s="7" t="s">
        <v>551</v>
      </c>
      <c r="J46" s="39">
        <v>412597900</v>
      </c>
      <c r="L46" s="16">
        <f t="shared" si="20"/>
        <v>1</v>
      </c>
      <c r="M46" s="16" t="str">
        <f t="shared" si="4"/>
        <v>January</v>
      </c>
      <c r="N46" s="16" t="str">
        <f t="shared" si="21"/>
        <v/>
      </c>
      <c r="O46" s="16" t="str">
        <f>IF(N46="","",COUNTIF($N$8:N46,N46))</f>
        <v/>
      </c>
      <c r="P46" s="34" t="str">
        <f t="shared" si="22"/>
        <v>InAkun Piutang</v>
      </c>
      <c r="Q46" s="34" t="str">
        <f t="shared" si="23"/>
        <v>inJanuaryAkun Piutang</v>
      </c>
      <c r="R46" s="34" t="str">
        <f t="shared" si="2"/>
        <v>Kas</v>
      </c>
      <c r="S46" s="34" t="str">
        <f t="shared" si="3"/>
        <v>Akun Piutang</v>
      </c>
      <c r="T46" s="34">
        <f t="shared" si="7"/>
        <v>0</v>
      </c>
      <c r="U46" s="34" t="str">
        <f>IF(AND(L46=1,bp_kode=T46,T46&lt;&gt;""),COUNTIF($T$8:T46,T46),"")</f>
        <v/>
      </c>
      <c r="V46" s="34" t="str">
        <f t="shared" si="8"/>
        <v/>
      </c>
      <c r="W46" s="34" t="str">
        <f t="shared" si="9"/>
        <v/>
      </c>
      <c r="X46" s="34" t="str">
        <f>IF(B46="","",COUNTIF($C$8:C46,C46)&amp;C46)</f>
        <v>0</v>
      </c>
    </row>
    <row r="47" spans="2:24" ht="23.1" customHeight="1">
      <c r="B47" s="31">
        <v>44592</v>
      </c>
      <c r="C47" s="9"/>
      <c r="D47" s="9" t="s">
        <v>590</v>
      </c>
      <c r="E47" s="7"/>
      <c r="F47" s="7"/>
      <c r="G47" s="7"/>
      <c r="H47" s="7" t="s">
        <v>586</v>
      </c>
      <c r="I47" s="7" t="s">
        <v>554</v>
      </c>
      <c r="J47" s="39">
        <v>567197105</v>
      </c>
      <c r="L47" s="16">
        <f t="shared" si="20"/>
        <v>1</v>
      </c>
      <c r="M47" s="16" t="str">
        <f t="shared" si="4"/>
        <v>January</v>
      </c>
      <c r="N47" s="16" t="str">
        <f t="shared" si="21"/>
        <v/>
      </c>
      <c r="O47" s="16" t="str">
        <f>IF(N47="","",COUNTIF($N$8:N47,N47))</f>
        <v/>
      </c>
      <c r="P47" s="34" t="str">
        <f t="shared" si="22"/>
        <v>InKas</v>
      </c>
      <c r="Q47" s="34" t="str">
        <f t="shared" si="23"/>
        <v>inJanuaryKas</v>
      </c>
      <c r="R47" s="34" t="str">
        <f t="shared" si="2"/>
        <v>Bank</v>
      </c>
      <c r="S47" s="34" t="str">
        <f t="shared" si="3"/>
        <v>Kas</v>
      </c>
      <c r="T47" s="34" t="str">
        <f t="shared" si="7"/>
        <v/>
      </c>
      <c r="U47" s="34" t="str">
        <f>IF(AND(L47=1,bp_kode=T47,T47&lt;&gt;""),COUNTIF($T$8:T47,T47),"")</f>
        <v/>
      </c>
      <c r="V47" s="34" t="str">
        <f t="shared" si="8"/>
        <v/>
      </c>
      <c r="W47" s="34" t="str">
        <f t="shared" si="9"/>
        <v/>
      </c>
      <c r="X47" s="34" t="str">
        <f>IF(B47="","",COUNTIF($C$8:C47,C47)&amp;C47)</f>
        <v>0</v>
      </c>
    </row>
    <row r="48" spans="2:24" ht="23.1" customHeight="1">
      <c r="B48" s="31">
        <v>44592</v>
      </c>
      <c r="C48" s="9"/>
      <c r="D48" s="9" t="s">
        <v>591</v>
      </c>
      <c r="E48" s="7"/>
      <c r="F48" s="7"/>
      <c r="G48" s="7"/>
      <c r="H48" s="7" t="s">
        <v>582</v>
      </c>
      <c r="I48" s="7" t="s">
        <v>586</v>
      </c>
      <c r="J48" s="39">
        <v>512074193</v>
      </c>
      <c r="L48" s="16">
        <f t="shared" si="20"/>
        <v>1</v>
      </c>
      <c r="M48" s="16" t="str">
        <f t="shared" si="4"/>
        <v>January</v>
      </c>
      <c r="N48" s="16" t="str">
        <f t="shared" si="21"/>
        <v/>
      </c>
      <c r="O48" s="16" t="str">
        <f>IF(N48="","",COUNTIF($N$8:N48,N48))</f>
        <v/>
      </c>
      <c r="P48" s="34" t="str">
        <f t="shared" si="22"/>
        <v>InBank</v>
      </c>
      <c r="Q48" s="34" t="str">
        <f t="shared" si="23"/>
        <v>inJanuaryBank</v>
      </c>
      <c r="R48" s="34" t="str">
        <f t="shared" si="2"/>
        <v>Kas</v>
      </c>
      <c r="S48" s="34" t="str">
        <f t="shared" si="3"/>
        <v>Bank</v>
      </c>
      <c r="T48" s="34" t="str">
        <f t="shared" si="7"/>
        <v/>
      </c>
      <c r="U48" s="34" t="str">
        <f>IF(AND(L48=1,bp_kode=T48,T48&lt;&gt;""),COUNTIF($T$8:T48,T48),"")</f>
        <v/>
      </c>
      <c r="V48" s="34" t="str">
        <f t="shared" si="8"/>
        <v/>
      </c>
      <c r="W48" s="34" t="str">
        <f t="shared" si="9"/>
        <v/>
      </c>
      <c r="X48" s="34" t="str">
        <f>IF(B48="","",COUNTIF($C$8:C48,C48)&amp;C48)</f>
        <v>0</v>
      </c>
    </row>
    <row r="49" spans="2:24" ht="23.1" customHeight="1">
      <c r="B49" s="31">
        <v>44592</v>
      </c>
      <c r="C49" s="9"/>
      <c r="D49" s="9" t="s">
        <v>576</v>
      </c>
      <c r="E49" s="7"/>
      <c r="F49" s="7"/>
      <c r="G49" s="7"/>
      <c r="H49" s="7" t="s">
        <v>592</v>
      </c>
      <c r="I49" s="7" t="s">
        <v>569</v>
      </c>
      <c r="J49" s="39">
        <v>4833</v>
      </c>
      <c r="L49" s="16">
        <f t="shared" si="20"/>
        <v>1</v>
      </c>
      <c r="M49" s="16" t="str">
        <f t="shared" si="4"/>
        <v>January</v>
      </c>
      <c r="N49" s="16" t="str">
        <f t="shared" si="21"/>
        <v/>
      </c>
      <c r="O49" s="16" t="str">
        <f>IF(N49="","",COUNTIF($N$8:N49,N49))</f>
        <v/>
      </c>
      <c r="P49" s="34" t="str">
        <f t="shared" si="22"/>
        <v>InPendapatan Lainnya</v>
      </c>
      <c r="Q49" s="34" t="str">
        <f t="shared" si="23"/>
        <v>inJanuaryPendapatan Lainnya</v>
      </c>
      <c r="R49" s="34" t="str">
        <f t="shared" si="2"/>
        <v>Bank</v>
      </c>
      <c r="S49" s="34" t="str">
        <f t="shared" si="3"/>
        <v>Pendapatan Lainnya</v>
      </c>
      <c r="T49" s="34" t="str">
        <f t="shared" si="7"/>
        <v/>
      </c>
      <c r="U49" s="34" t="str">
        <f>IF(AND(L49=1,bp_kode=T49,T49&lt;&gt;""),COUNTIF($T$8:T49,T49),"")</f>
        <v/>
      </c>
      <c r="V49" s="34" t="str">
        <f t="shared" si="8"/>
        <v>kr</v>
      </c>
      <c r="W49" s="34" t="str">
        <f t="shared" si="9"/>
        <v>kr</v>
      </c>
      <c r="X49" s="34" t="str">
        <f>IF(B49="","",COUNTIF($C$8:C49,C49)&amp;C49)</f>
        <v>0</v>
      </c>
    </row>
    <row r="50" spans="2:24" ht="23.1" customHeight="1">
      <c r="B50" s="31">
        <v>44592</v>
      </c>
      <c r="C50" s="9"/>
      <c r="D50" s="9" t="s">
        <v>570</v>
      </c>
      <c r="E50" s="7"/>
      <c r="F50" s="7"/>
      <c r="G50" s="7"/>
      <c r="H50" s="7" t="s">
        <v>571</v>
      </c>
      <c r="I50" s="7" t="s">
        <v>592</v>
      </c>
      <c r="J50" s="39">
        <v>848</v>
      </c>
      <c r="L50" s="16">
        <f t="shared" si="20"/>
        <v>1</v>
      </c>
      <c r="M50" s="16" t="str">
        <f t="shared" si="4"/>
        <v>January</v>
      </c>
      <c r="N50" s="16" t="str">
        <f t="shared" si="21"/>
        <v/>
      </c>
      <c r="O50" s="16" t="str">
        <f>IF(N50="","",COUNTIF($N$8:N50,N50))</f>
        <v/>
      </c>
      <c r="P50" s="34" t="str">
        <f t="shared" si="22"/>
        <v>outBeban Lainnya</v>
      </c>
      <c r="Q50" s="34" t="str">
        <f t="shared" si="23"/>
        <v>outJanuaryBeban Lainnya</v>
      </c>
      <c r="R50" s="34" t="str">
        <f t="shared" si="2"/>
        <v>Beban Lainnya</v>
      </c>
      <c r="S50" s="34" t="str">
        <f t="shared" si="3"/>
        <v>Bank</v>
      </c>
      <c r="T50" s="34" t="str">
        <f t="shared" si="7"/>
        <v/>
      </c>
      <c r="U50" s="34" t="str">
        <f>IF(AND(L50=1,bp_kode=T50,T50&lt;&gt;""),COUNTIF($T$8:T50,T50),"")</f>
        <v/>
      </c>
      <c r="V50" s="34" t="str">
        <f t="shared" si="8"/>
        <v>db</v>
      </c>
      <c r="W50" s="34" t="str">
        <f t="shared" si="9"/>
        <v>db</v>
      </c>
      <c r="X50" s="34" t="str">
        <f>IF(B50="","",COUNTIF($C$8:C50,C50)&amp;C50)</f>
        <v>0</v>
      </c>
    </row>
    <row r="51" spans="2:24" ht="23.1" customHeight="1">
      <c r="B51" s="31">
        <v>44592</v>
      </c>
      <c r="C51" s="9"/>
      <c r="D51" s="9" t="s">
        <v>572</v>
      </c>
      <c r="E51" s="7"/>
      <c r="F51" s="7"/>
      <c r="G51" s="7"/>
      <c r="H51" s="7" t="s">
        <v>640</v>
      </c>
      <c r="I51" s="7" t="s">
        <v>592</v>
      </c>
      <c r="J51" s="39">
        <v>25000</v>
      </c>
      <c r="L51" s="16">
        <f t="shared" si="20"/>
        <v>1</v>
      </c>
      <c r="M51" s="16" t="str">
        <f t="shared" si="4"/>
        <v>January</v>
      </c>
      <c r="N51" s="16" t="str">
        <f t="shared" si="21"/>
        <v/>
      </c>
      <c r="O51" s="16" t="str">
        <f>IF(N51="","",COUNTIF($N$8:N51,N51))</f>
        <v/>
      </c>
      <c r="P51" s="34" t="str">
        <f t="shared" si="22"/>
        <v>outBeban Lainnya</v>
      </c>
      <c r="Q51" s="34" t="str">
        <f t="shared" si="23"/>
        <v>outJanuaryBeban Lainnya</v>
      </c>
      <c r="R51" s="34" t="str">
        <f t="shared" si="2"/>
        <v>Beban Lainnya</v>
      </c>
      <c r="S51" s="34" t="str">
        <f t="shared" si="3"/>
        <v>Bank</v>
      </c>
      <c r="T51" s="34" t="str">
        <f t="shared" si="7"/>
        <v/>
      </c>
      <c r="U51" s="34" t="str">
        <f>IF(AND(L51=1,bp_kode=T51,T51&lt;&gt;""),COUNTIF($T$8:T51,T51),"")</f>
        <v/>
      </c>
      <c r="V51" s="34" t="str">
        <f t="shared" si="8"/>
        <v>db</v>
      </c>
      <c r="W51" s="34" t="str">
        <f t="shared" si="9"/>
        <v>db</v>
      </c>
      <c r="X51" s="34" t="str">
        <f>IF(B51="","",COUNTIF($C$8:C51,C51)&amp;C51)</f>
        <v>0</v>
      </c>
    </row>
    <row r="52" spans="2:24" ht="23.1" customHeight="1">
      <c r="B52" s="31">
        <v>44592</v>
      </c>
      <c r="C52" s="9"/>
      <c r="D52" s="9" t="s">
        <v>576</v>
      </c>
      <c r="E52" s="7"/>
      <c r="F52" s="7"/>
      <c r="G52" s="7"/>
      <c r="H52" s="7" t="s">
        <v>593</v>
      </c>
      <c r="I52" s="7" t="s">
        <v>569</v>
      </c>
      <c r="J52" s="39">
        <v>4490</v>
      </c>
      <c r="L52" s="16">
        <f t="shared" si="20"/>
        <v>1</v>
      </c>
      <c r="M52" s="16" t="str">
        <f t="shared" si="4"/>
        <v>January</v>
      </c>
      <c r="N52" s="16" t="str">
        <f t="shared" si="21"/>
        <v/>
      </c>
      <c r="O52" s="16" t="str">
        <f>IF(N52="","",COUNTIF($N$8:N52,N52))</f>
        <v/>
      </c>
      <c r="P52" s="34" t="str">
        <f t="shared" si="22"/>
        <v>InPendapatan Lainnya</v>
      </c>
      <c r="Q52" s="34" t="str">
        <f t="shared" si="23"/>
        <v>inJanuaryPendapatan Lainnya</v>
      </c>
      <c r="R52" s="34" t="str">
        <f t="shared" si="2"/>
        <v>Bank</v>
      </c>
      <c r="S52" s="34" t="str">
        <f t="shared" si="3"/>
        <v>Pendapatan Lainnya</v>
      </c>
      <c r="T52" s="34" t="str">
        <f t="shared" si="7"/>
        <v/>
      </c>
      <c r="U52" s="34" t="str">
        <f>IF(AND(L52=1,bp_kode=T52,T52&lt;&gt;""),COUNTIF($T$8:T52,T52),"")</f>
        <v/>
      </c>
      <c r="V52" s="34" t="str">
        <f t="shared" si="8"/>
        <v>kr</v>
      </c>
      <c r="W52" s="34" t="str">
        <f t="shared" si="9"/>
        <v>kr</v>
      </c>
      <c r="X52" s="34" t="str">
        <f>IF(B52="","",COUNTIF($C$8:C52,C52)&amp;C52)</f>
        <v>0</v>
      </c>
    </row>
    <row r="53" spans="2:24" ht="23.1" customHeight="1">
      <c r="B53" s="31">
        <v>44592</v>
      </c>
      <c r="C53" s="9"/>
      <c r="D53" s="9" t="s">
        <v>570</v>
      </c>
      <c r="E53" s="7"/>
      <c r="F53" s="7"/>
      <c r="G53" s="7"/>
      <c r="H53" s="7" t="s">
        <v>571</v>
      </c>
      <c r="I53" s="7" t="s">
        <v>593</v>
      </c>
      <c r="J53" s="39">
        <v>893</v>
      </c>
      <c r="L53" s="16">
        <f t="shared" si="20"/>
        <v>1</v>
      </c>
      <c r="M53" s="16" t="str">
        <f t="shared" si="4"/>
        <v>January</v>
      </c>
      <c r="N53" s="16" t="str">
        <f t="shared" si="21"/>
        <v/>
      </c>
      <c r="O53" s="16" t="str">
        <f>IF(N53="","",COUNTIF($N$8:N53,N53))</f>
        <v/>
      </c>
      <c r="P53" s="34" t="str">
        <f t="shared" si="22"/>
        <v>outBeban Lainnya</v>
      </c>
      <c r="Q53" s="34" t="str">
        <f t="shared" si="23"/>
        <v>outJanuaryBeban Lainnya</v>
      </c>
      <c r="R53" s="34" t="str">
        <f t="shared" si="2"/>
        <v>Beban Lainnya</v>
      </c>
      <c r="S53" s="34" t="str">
        <f t="shared" si="3"/>
        <v>Bank</v>
      </c>
      <c r="T53" s="34" t="str">
        <f t="shared" si="7"/>
        <v/>
      </c>
      <c r="U53" s="34" t="str">
        <f>IF(AND(L53=1,bp_kode=T53,T53&lt;&gt;""),COUNTIF($T$8:T53,T53),"")</f>
        <v/>
      </c>
      <c r="V53" s="34" t="str">
        <f t="shared" si="8"/>
        <v>db</v>
      </c>
      <c r="W53" s="34" t="str">
        <f t="shared" si="9"/>
        <v>db</v>
      </c>
      <c r="X53" s="34" t="str">
        <f>IF(B53="","",COUNTIF($C$8:C53,C53)&amp;C53)</f>
        <v>0</v>
      </c>
    </row>
    <row r="54" spans="2:24" ht="23.1" customHeight="1">
      <c r="B54" s="31">
        <v>44592</v>
      </c>
      <c r="C54" s="9"/>
      <c r="D54" s="9" t="s">
        <v>572</v>
      </c>
      <c r="E54" s="7"/>
      <c r="F54" s="7"/>
      <c r="G54" s="7"/>
      <c r="H54" s="7" t="s">
        <v>640</v>
      </c>
      <c r="I54" s="7" t="s">
        <v>593</v>
      </c>
      <c r="J54" s="39">
        <v>36500</v>
      </c>
      <c r="L54" s="16">
        <f t="shared" si="20"/>
        <v>1</v>
      </c>
      <c r="M54" s="16" t="str">
        <f t="shared" si="4"/>
        <v>January</v>
      </c>
      <c r="N54" s="16" t="str">
        <f t="shared" si="21"/>
        <v/>
      </c>
      <c r="O54" s="16" t="str">
        <f>IF(N54="","",COUNTIF($N$8:N54,N54))</f>
        <v/>
      </c>
      <c r="P54" s="34" t="str">
        <f t="shared" si="22"/>
        <v>outBeban Lainnya</v>
      </c>
      <c r="Q54" s="34" t="str">
        <f t="shared" si="23"/>
        <v>outJanuaryBeban Lainnya</v>
      </c>
      <c r="R54" s="34" t="str">
        <f t="shared" si="2"/>
        <v>Beban Lainnya</v>
      </c>
      <c r="S54" s="34" t="str">
        <f t="shared" si="3"/>
        <v>Bank</v>
      </c>
      <c r="T54" s="34" t="str">
        <f t="shared" si="7"/>
        <v/>
      </c>
      <c r="U54" s="34" t="str">
        <f>IF(AND(L54=1,bp_kode=T54,T54&lt;&gt;""),COUNTIF($T$8:T54,T54),"")</f>
        <v/>
      </c>
      <c r="V54" s="34" t="str">
        <f t="shared" si="8"/>
        <v>db</v>
      </c>
      <c r="W54" s="34" t="str">
        <f t="shared" si="9"/>
        <v>db</v>
      </c>
      <c r="X54" s="34" t="str">
        <f>IF(B54="","",COUNTIF($C$8:C54,C54)&amp;C54)</f>
        <v>0</v>
      </c>
    </row>
    <row r="55" spans="2:24" ht="23.1" customHeight="1">
      <c r="B55" s="31">
        <v>44592</v>
      </c>
      <c r="C55" s="9"/>
      <c r="D55" s="9" t="s">
        <v>595</v>
      </c>
      <c r="E55" s="7"/>
      <c r="F55" s="7"/>
      <c r="G55" s="7"/>
      <c r="H55" s="7" t="s">
        <v>594</v>
      </c>
      <c r="I55" s="7" t="s">
        <v>582</v>
      </c>
      <c r="J55" s="39">
        <v>25601126</v>
      </c>
      <c r="L55" s="16">
        <f t="shared" si="20"/>
        <v>1</v>
      </c>
      <c r="M55" s="16" t="str">
        <f t="shared" si="4"/>
        <v>January</v>
      </c>
      <c r="N55" s="16" t="str">
        <f t="shared" si="21"/>
        <v/>
      </c>
      <c r="O55" s="16" t="str">
        <f>IF(N55="","",COUNTIF($N$8:N55,N55))</f>
        <v/>
      </c>
      <c r="P55" s="34" t="str">
        <f t="shared" si="22"/>
        <v>outAktiva Lancar Lainnya</v>
      </c>
      <c r="Q55" s="34" t="str">
        <f t="shared" si="23"/>
        <v>outJanuaryAktiva Lancar Lainnya</v>
      </c>
      <c r="R55" s="34" t="str">
        <f t="shared" si="2"/>
        <v>Aktiva Lancar Lainnya</v>
      </c>
      <c r="S55" s="34" t="str">
        <f t="shared" si="3"/>
        <v>Kas</v>
      </c>
      <c r="T55" s="34" t="str">
        <f t="shared" si="7"/>
        <v/>
      </c>
      <c r="U55" s="34" t="str">
        <f>IF(AND(L55=1,bp_kode=T55,T55&lt;&gt;""),COUNTIF($T$8:T55,T55),"")</f>
        <v/>
      </c>
      <c r="V55" s="34" t="str">
        <f t="shared" si="8"/>
        <v/>
      </c>
      <c r="W55" s="34" t="str">
        <f t="shared" si="9"/>
        <v/>
      </c>
      <c r="X55" s="34" t="str">
        <f>IF(B55="","",COUNTIF($C$8:C55,C55)&amp;C55)</f>
        <v>0</v>
      </c>
    </row>
    <row r="56" spans="2:24" ht="23.1" customHeight="1">
      <c r="B56" s="31">
        <v>44592</v>
      </c>
      <c r="C56" s="9"/>
      <c r="D56" s="9" t="s">
        <v>596</v>
      </c>
      <c r="E56" s="7"/>
      <c r="F56" s="7"/>
      <c r="G56" s="7"/>
      <c r="H56" s="7" t="s">
        <v>597</v>
      </c>
      <c r="I56" s="7" t="s">
        <v>582</v>
      </c>
      <c r="J56" s="39">
        <v>7300000</v>
      </c>
      <c r="L56" s="16">
        <f t="shared" si="20"/>
        <v>1</v>
      </c>
      <c r="M56" s="16" t="str">
        <f t="shared" si="4"/>
        <v>January</v>
      </c>
      <c r="N56" s="16" t="str">
        <f t="shared" si="21"/>
        <v/>
      </c>
      <c r="O56" s="16" t="str">
        <f>IF(N56="","",COUNTIF($N$8:N56,N56))</f>
        <v/>
      </c>
      <c r="P56" s="34" t="str">
        <f t="shared" si="22"/>
        <v>outAktiva Lainnya</v>
      </c>
      <c r="Q56" s="34" t="str">
        <f t="shared" si="23"/>
        <v>outJanuaryAktiva Lainnya</v>
      </c>
      <c r="R56" s="34" t="str">
        <f t="shared" si="2"/>
        <v>Aktiva Lainnya</v>
      </c>
      <c r="S56" s="34" t="str">
        <f t="shared" si="3"/>
        <v>Kas</v>
      </c>
      <c r="T56" s="34" t="str">
        <f t="shared" si="7"/>
        <v/>
      </c>
      <c r="U56" s="34" t="str">
        <f>IF(AND(L56=1,bp_kode=T56,T56&lt;&gt;""),COUNTIF($T$8:T56,T56),"")</f>
        <v/>
      </c>
      <c r="V56" s="34" t="str">
        <f t="shared" si="8"/>
        <v/>
      </c>
      <c r="W56" s="34" t="str">
        <f t="shared" si="9"/>
        <v/>
      </c>
      <c r="X56" s="34" t="str">
        <f>IF(B56="","",COUNTIF($C$8:C56,C56)&amp;C56)</f>
        <v>0</v>
      </c>
    </row>
    <row r="57" spans="2:24" ht="23.1" customHeight="1">
      <c r="B57" s="31">
        <v>44592</v>
      </c>
      <c r="C57" s="9"/>
      <c r="D57" s="9" t="s">
        <v>598</v>
      </c>
      <c r="E57" s="7"/>
      <c r="F57" s="7"/>
      <c r="G57" s="7"/>
      <c r="H57" s="7" t="s">
        <v>599</v>
      </c>
      <c r="I57" s="7" t="s">
        <v>582</v>
      </c>
      <c r="J57" s="39">
        <v>5050000</v>
      </c>
      <c r="L57" s="16">
        <f t="shared" si="20"/>
        <v>1</v>
      </c>
      <c r="M57" s="16" t="str">
        <f t="shared" si="4"/>
        <v>January</v>
      </c>
      <c r="N57" s="16" t="str">
        <f t="shared" si="21"/>
        <v/>
      </c>
      <c r="O57" s="16" t="str">
        <f>IF(N57="","",COUNTIF($N$8:N57,N57))</f>
        <v/>
      </c>
      <c r="P57" s="34" t="str">
        <f t="shared" si="22"/>
        <v>outAkun Hutang</v>
      </c>
      <c r="Q57" s="34" t="str">
        <f t="shared" si="23"/>
        <v>outJanuaryAkun Hutang</v>
      </c>
      <c r="R57" s="34" t="str">
        <f t="shared" si="2"/>
        <v>Akun Hutang</v>
      </c>
      <c r="S57" s="34" t="str">
        <f t="shared" si="3"/>
        <v>Kas</v>
      </c>
      <c r="T57" s="34">
        <f t="shared" si="7"/>
        <v>0</v>
      </c>
      <c r="U57" s="34" t="str">
        <f>IF(AND(L57=1,bp_kode=T57,T57&lt;&gt;""),COUNTIF($T$8:T57,T57),"")</f>
        <v/>
      </c>
      <c r="V57" s="34" t="str">
        <f t="shared" si="8"/>
        <v/>
      </c>
      <c r="W57" s="34" t="str">
        <f t="shared" si="9"/>
        <v/>
      </c>
      <c r="X57" s="34" t="str">
        <f>IF(B57="","",COUNTIF($C$8:C57,C57)&amp;C57)</f>
        <v>0</v>
      </c>
    </row>
    <row r="58" spans="2:24" ht="23.1" customHeight="1">
      <c r="B58" s="31">
        <v>44592</v>
      </c>
      <c r="C58" s="9"/>
      <c r="D58" s="9" t="s">
        <v>600</v>
      </c>
      <c r="E58" s="7"/>
      <c r="F58" s="7"/>
      <c r="G58" s="7"/>
      <c r="H58" s="7" t="s">
        <v>601</v>
      </c>
      <c r="I58" s="7" t="s">
        <v>582</v>
      </c>
      <c r="J58" s="39">
        <v>20932800</v>
      </c>
      <c r="L58" s="16">
        <f t="shared" si="20"/>
        <v>1</v>
      </c>
      <c r="M58" s="16" t="str">
        <f t="shared" si="4"/>
        <v>January</v>
      </c>
      <c r="N58" s="16" t="str">
        <f t="shared" si="21"/>
        <v/>
      </c>
      <c r="O58" s="16" t="str">
        <f>IF(N58="","",COUNTIF($N$8:N58,N58))</f>
        <v/>
      </c>
      <c r="P58" s="34" t="str">
        <f t="shared" si="22"/>
        <v>outKewajiban Lancar Lainnya</v>
      </c>
      <c r="Q58" s="34" t="str">
        <f t="shared" si="23"/>
        <v>outJanuaryKewajiban Lancar Lainnya</v>
      </c>
      <c r="R58" s="34" t="str">
        <f t="shared" si="2"/>
        <v>Kewajiban Lancar Lainnya</v>
      </c>
      <c r="S58" s="34" t="str">
        <f t="shared" si="3"/>
        <v>Kas</v>
      </c>
      <c r="T58" s="34" t="str">
        <f t="shared" si="7"/>
        <v/>
      </c>
      <c r="U58" s="34" t="str">
        <f>IF(AND(L58=1,bp_kode=T58,T58&lt;&gt;""),COUNTIF($T$8:T58,T58),"")</f>
        <v/>
      </c>
      <c r="V58" s="34" t="str">
        <f t="shared" si="8"/>
        <v/>
      </c>
      <c r="W58" s="34" t="str">
        <f t="shared" si="9"/>
        <v/>
      </c>
      <c r="X58" s="34" t="str">
        <f>IF(B58="","",COUNTIF($C$8:C58,C58)&amp;C58)</f>
        <v>0</v>
      </c>
    </row>
    <row r="59" spans="2:24" ht="23.1" customHeight="1">
      <c r="B59" s="31">
        <v>44592</v>
      </c>
      <c r="C59" s="9"/>
      <c r="D59" s="9" t="s">
        <v>604</v>
      </c>
      <c r="E59" s="7"/>
      <c r="F59" s="7"/>
      <c r="G59" s="7"/>
      <c r="H59" s="7" t="s">
        <v>602</v>
      </c>
      <c r="I59" s="7" t="s">
        <v>582</v>
      </c>
      <c r="J59" s="39">
        <v>3924550</v>
      </c>
      <c r="L59" s="16">
        <f t="shared" si="20"/>
        <v>1</v>
      </c>
      <c r="M59" s="16" t="str">
        <f t="shared" si="4"/>
        <v>January</v>
      </c>
      <c r="N59" s="16" t="str">
        <f t="shared" si="21"/>
        <v/>
      </c>
      <c r="O59" s="16" t="str">
        <f>IF(N59="","",COUNTIF($N$8:N59,N59))</f>
        <v/>
      </c>
      <c r="P59" s="34" t="str">
        <f t="shared" si="22"/>
        <v>outHarga Pokok Penjualan</v>
      </c>
      <c r="Q59" s="34" t="str">
        <f t="shared" si="23"/>
        <v>outJanuaryHarga Pokok Penjualan</v>
      </c>
      <c r="R59" s="34" t="str">
        <f t="shared" si="2"/>
        <v>Harga Pokok Penjualan</v>
      </c>
      <c r="S59" s="34" t="str">
        <f t="shared" si="3"/>
        <v>Kas</v>
      </c>
      <c r="T59" s="34" t="str">
        <f t="shared" si="7"/>
        <v/>
      </c>
      <c r="U59" s="34" t="str">
        <f>IF(AND(L59=1,bp_kode=T59,T59&lt;&gt;""),COUNTIF($T$8:T59,T59),"")</f>
        <v/>
      </c>
      <c r="V59" s="34" t="str">
        <f t="shared" si="8"/>
        <v>db</v>
      </c>
      <c r="W59" s="34" t="str">
        <f t="shared" si="9"/>
        <v>db</v>
      </c>
      <c r="X59" s="34" t="str">
        <f>IF(B59="","",COUNTIF($C$8:C59,C59)&amp;C59)</f>
        <v>0</v>
      </c>
    </row>
    <row r="60" spans="2:24" ht="23.1" customHeight="1">
      <c r="B60" s="31">
        <v>44592</v>
      </c>
      <c r="C60" s="9"/>
      <c r="D60" s="9" t="s">
        <v>605</v>
      </c>
      <c r="E60" s="7"/>
      <c r="F60" s="7"/>
      <c r="G60" s="7"/>
      <c r="H60" s="7" t="s">
        <v>603</v>
      </c>
      <c r="I60" s="7" t="s">
        <v>582</v>
      </c>
      <c r="J60" s="39">
        <v>7301250</v>
      </c>
      <c r="L60" s="16">
        <f t="shared" si="20"/>
        <v>1</v>
      </c>
      <c r="M60" s="16" t="str">
        <f t="shared" si="4"/>
        <v>January</v>
      </c>
      <c r="N60" s="16" t="str">
        <f t="shared" si="21"/>
        <v/>
      </c>
      <c r="O60" s="16" t="str">
        <f>IF(N60="","",COUNTIF($N$8:N60,N60))</f>
        <v/>
      </c>
      <c r="P60" s="34" t="str">
        <f t="shared" si="22"/>
        <v>outHarga Pokok Penjualan</v>
      </c>
      <c r="Q60" s="34" t="str">
        <f t="shared" si="23"/>
        <v>outJanuaryHarga Pokok Penjualan</v>
      </c>
      <c r="R60" s="34" t="str">
        <f t="shared" si="2"/>
        <v>Harga Pokok Penjualan</v>
      </c>
      <c r="S60" s="34" t="str">
        <f t="shared" si="3"/>
        <v>Kas</v>
      </c>
      <c r="T60" s="34" t="str">
        <f t="shared" si="7"/>
        <v/>
      </c>
      <c r="U60" s="34" t="str">
        <f>IF(AND(L60=1,bp_kode=T60,T60&lt;&gt;""),COUNTIF($T$8:T60,T60),"")</f>
        <v/>
      </c>
      <c r="V60" s="34" t="str">
        <f t="shared" si="8"/>
        <v>db</v>
      </c>
      <c r="W60" s="34" t="str">
        <f t="shared" si="9"/>
        <v>db</v>
      </c>
      <c r="X60" s="34" t="str">
        <f>IF(B60="","",COUNTIF($C$8:C60,C60)&amp;C60)</f>
        <v>0</v>
      </c>
    </row>
    <row r="61" spans="2:24" ht="23.1" customHeight="1">
      <c r="B61" s="31">
        <v>44592</v>
      </c>
      <c r="C61" s="9"/>
      <c r="D61" s="9" t="s">
        <v>609</v>
      </c>
      <c r="E61" s="7"/>
      <c r="F61" s="7"/>
      <c r="G61" s="7"/>
      <c r="H61" s="7" t="s">
        <v>606</v>
      </c>
      <c r="I61" s="7" t="s">
        <v>582</v>
      </c>
      <c r="J61" s="39">
        <v>3500000</v>
      </c>
      <c r="L61" s="16">
        <f t="shared" si="20"/>
        <v>1</v>
      </c>
      <c r="M61" s="16" t="str">
        <f t="shared" si="4"/>
        <v>January</v>
      </c>
      <c r="N61" s="16" t="str">
        <f t="shared" si="21"/>
        <v/>
      </c>
      <c r="O61" s="16" t="str">
        <f>IF(N61="","",COUNTIF($N$8:N61,N61))</f>
        <v/>
      </c>
      <c r="P61" s="34" t="str">
        <f t="shared" si="22"/>
        <v>outHarga Pokok Penjualan</v>
      </c>
      <c r="Q61" s="34" t="str">
        <f t="shared" si="23"/>
        <v>outJanuaryHarga Pokok Penjualan</v>
      </c>
      <c r="R61" s="34" t="str">
        <f t="shared" si="2"/>
        <v>Harga Pokok Penjualan</v>
      </c>
      <c r="S61" s="34" t="str">
        <f t="shared" si="3"/>
        <v>Kas</v>
      </c>
      <c r="T61" s="34" t="str">
        <f t="shared" si="7"/>
        <v/>
      </c>
      <c r="U61" s="34" t="str">
        <f>IF(AND(L61=1,bp_kode=T61,T61&lt;&gt;""),COUNTIF($T$8:T61,T61),"")</f>
        <v/>
      </c>
      <c r="V61" s="34" t="str">
        <f t="shared" si="8"/>
        <v>db</v>
      </c>
      <c r="W61" s="34" t="str">
        <f t="shared" si="9"/>
        <v>db</v>
      </c>
      <c r="X61" s="34" t="str">
        <f>IF(B61="","",COUNTIF($C$8:C61,C61)&amp;C61)</f>
        <v>0</v>
      </c>
    </row>
    <row r="62" spans="2:24" ht="23.1" customHeight="1">
      <c r="B62" s="31">
        <v>44592</v>
      </c>
      <c r="C62" s="9"/>
      <c r="D62" s="9" t="s">
        <v>610</v>
      </c>
      <c r="E62" s="7"/>
      <c r="F62" s="7"/>
      <c r="G62" s="7"/>
      <c r="H62" s="7" t="s">
        <v>607</v>
      </c>
      <c r="I62" s="7" t="s">
        <v>582</v>
      </c>
      <c r="J62" s="39">
        <v>820000</v>
      </c>
      <c r="L62" s="16">
        <f t="shared" si="20"/>
        <v>1</v>
      </c>
      <c r="M62" s="16" t="str">
        <f t="shared" si="4"/>
        <v>January</v>
      </c>
      <c r="N62" s="16" t="str">
        <f t="shared" si="21"/>
        <v/>
      </c>
      <c r="O62" s="16" t="str">
        <f>IF(N62="","",COUNTIF($N$8:N62,N62))</f>
        <v/>
      </c>
      <c r="P62" s="34" t="str">
        <f t="shared" si="22"/>
        <v>outHarga Pokok Penjualan</v>
      </c>
      <c r="Q62" s="34" t="str">
        <f t="shared" si="23"/>
        <v>outJanuaryHarga Pokok Penjualan</v>
      </c>
      <c r="R62" s="34" t="str">
        <f t="shared" si="2"/>
        <v>Harga Pokok Penjualan</v>
      </c>
      <c r="S62" s="34" t="str">
        <f t="shared" si="3"/>
        <v>Kas</v>
      </c>
      <c r="T62" s="34" t="str">
        <f t="shared" si="7"/>
        <v/>
      </c>
      <c r="U62" s="34" t="str">
        <f>IF(AND(L62=1,bp_kode=T62,T62&lt;&gt;""),COUNTIF($T$8:T62,T62),"")</f>
        <v/>
      </c>
      <c r="V62" s="34" t="str">
        <f t="shared" si="8"/>
        <v>db</v>
      </c>
      <c r="W62" s="34" t="str">
        <f t="shared" si="9"/>
        <v>db</v>
      </c>
      <c r="X62" s="34" t="str">
        <f>IF(B62="","",COUNTIF($C$8:C62,C62)&amp;C62)</f>
        <v>0</v>
      </c>
    </row>
    <row r="63" spans="2:24" ht="23.1" customHeight="1">
      <c r="B63" s="31">
        <v>44592</v>
      </c>
      <c r="C63" s="9"/>
      <c r="D63" s="9" t="s">
        <v>611</v>
      </c>
      <c r="E63" s="7"/>
      <c r="F63" s="7"/>
      <c r="G63" s="7"/>
      <c r="H63" s="7" t="s">
        <v>608</v>
      </c>
      <c r="I63" s="7" t="s">
        <v>582</v>
      </c>
      <c r="J63" s="39">
        <v>6585070</v>
      </c>
      <c r="L63" s="16">
        <f t="shared" si="20"/>
        <v>1</v>
      </c>
      <c r="M63" s="16" t="str">
        <f t="shared" si="4"/>
        <v>January</v>
      </c>
      <c r="N63" s="16" t="str">
        <f t="shared" si="21"/>
        <v/>
      </c>
      <c r="O63" s="16" t="str">
        <f>IF(N63="","",COUNTIF($N$8:N63,N63))</f>
        <v/>
      </c>
      <c r="P63" s="34" t="str">
        <f t="shared" si="22"/>
        <v>outHarga Pokok Penjualan</v>
      </c>
      <c r="Q63" s="34" t="str">
        <f t="shared" si="23"/>
        <v>outJanuaryHarga Pokok Penjualan</v>
      </c>
      <c r="R63" s="34" t="str">
        <f t="shared" si="2"/>
        <v>Harga Pokok Penjualan</v>
      </c>
      <c r="S63" s="34" t="str">
        <f t="shared" si="3"/>
        <v>Kas</v>
      </c>
      <c r="T63" s="34" t="str">
        <f t="shared" si="7"/>
        <v/>
      </c>
      <c r="U63" s="34" t="str">
        <f>IF(AND(L63=1,bp_kode=T63,T63&lt;&gt;""),COUNTIF($T$8:T63,T63),"")</f>
        <v/>
      </c>
      <c r="V63" s="34" t="str">
        <f t="shared" si="8"/>
        <v>db</v>
      </c>
      <c r="W63" s="34" t="str">
        <f t="shared" si="9"/>
        <v>db</v>
      </c>
      <c r="X63" s="34" t="str">
        <f>IF(B63="","",COUNTIF($C$8:C63,C63)&amp;C63)</f>
        <v>0</v>
      </c>
    </row>
    <row r="64" spans="2:24" ht="23.1" customHeight="1">
      <c r="B64" s="31">
        <v>44592</v>
      </c>
      <c r="C64" s="9"/>
      <c r="D64" s="9" t="s">
        <v>612</v>
      </c>
      <c r="E64" s="7"/>
      <c r="F64" s="7"/>
      <c r="G64" s="7"/>
      <c r="H64" s="7" t="s">
        <v>613</v>
      </c>
      <c r="I64" s="7" t="s">
        <v>582</v>
      </c>
      <c r="J64" s="39">
        <v>24848000</v>
      </c>
      <c r="L64" s="16">
        <f t="shared" si="20"/>
        <v>1</v>
      </c>
      <c r="M64" s="16" t="str">
        <f t="shared" si="4"/>
        <v>January</v>
      </c>
      <c r="N64" s="16" t="str">
        <f t="shared" si="21"/>
        <v/>
      </c>
      <c r="O64" s="16" t="str">
        <f>IF(N64="","",COUNTIF($N$8:N64,N64))</f>
        <v/>
      </c>
      <c r="P64" s="34" t="str">
        <f t="shared" si="22"/>
        <v>outHarga Pokok Penjualan</v>
      </c>
      <c r="Q64" s="34" t="str">
        <f t="shared" si="23"/>
        <v>outJanuaryHarga Pokok Penjualan</v>
      </c>
      <c r="R64" s="34" t="str">
        <f t="shared" si="2"/>
        <v>Harga Pokok Penjualan</v>
      </c>
      <c r="S64" s="34" t="str">
        <f t="shared" si="3"/>
        <v>Kas</v>
      </c>
      <c r="T64" s="34" t="str">
        <f t="shared" si="7"/>
        <v/>
      </c>
      <c r="U64" s="34" t="str">
        <f>IF(AND(L64=1,bp_kode=T64,T64&lt;&gt;""),COUNTIF($T$8:T64,T64),"")</f>
        <v/>
      </c>
      <c r="V64" s="34" t="str">
        <f t="shared" si="8"/>
        <v>db</v>
      </c>
      <c r="W64" s="34" t="str">
        <f t="shared" si="9"/>
        <v>db</v>
      </c>
      <c r="X64" s="34" t="str">
        <f>IF(B64="","",COUNTIF($C$8:C64,C64)&amp;C64)</f>
        <v>0</v>
      </c>
    </row>
    <row r="65" spans="2:24" ht="23.1" customHeight="1">
      <c r="B65" s="31">
        <v>44592</v>
      </c>
      <c r="C65" s="9"/>
      <c r="D65" s="9" t="s">
        <v>621</v>
      </c>
      <c r="E65" s="7"/>
      <c r="F65" s="7"/>
      <c r="G65" s="7"/>
      <c r="H65" s="7" t="s">
        <v>614</v>
      </c>
      <c r="I65" s="7" t="s">
        <v>582</v>
      </c>
      <c r="J65" s="39">
        <v>12801422</v>
      </c>
      <c r="L65" s="16">
        <f t="shared" si="20"/>
        <v>1</v>
      </c>
      <c r="M65" s="16" t="str">
        <f t="shared" si="4"/>
        <v>January</v>
      </c>
      <c r="N65" s="16" t="str">
        <f t="shared" si="21"/>
        <v/>
      </c>
      <c r="O65" s="16" t="str">
        <f>IF(N65="","",COUNTIF($N$8:N65,N65))</f>
        <v/>
      </c>
      <c r="P65" s="34" t="str">
        <f t="shared" si="22"/>
        <v>outBeban</v>
      </c>
      <c r="Q65" s="34" t="str">
        <f t="shared" si="23"/>
        <v>outJanuaryBeban</v>
      </c>
      <c r="R65" s="34" t="str">
        <f t="shared" si="2"/>
        <v>Beban</v>
      </c>
      <c r="S65" s="34" t="str">
        <f t="shared" si="3"/>
        <v>Kas</v>
      </c>
      <c r="T65" s="34" t="str">
        <f t="shared" si="7"/>
        <v/>
      </c>
      <c r="U65" s="34" t="str">
        <f>IF(AND(L65=1,bp_kode=T65,T65&lt;&gt;""),COUNTIF($T$8:T65,T65),"")</f>
        <v/>
      </c>
      <c r="V65" s="34" t="str">
        <f t="shared" si="8"/>
        <v>db</v>
      </c>
      <c r="W65" s="34" t="str">
        <f t="shared" si="9"/>
        <v>db</v>
      </c>
      <c r="X65" s="34" t="str">
        <f>IF(B65="","",COUNTIF($C$8:C65,C65)&amp;C65)</f>
        <v>0</v>
      </c>
    </row>
    <row r="66" spans="2:24" ht="23.1" customHeight="1">
      <c r="B66" s="31">
        <v>44592</v>
      </c>
      <c r="C66" s="9"/>
      <c r="D66" s="9" t="s">
        <v>622</v>
      </c>
      <c r="E66" s="7"/>
      <c r="F66" s="7"/>
      <c r="G66" s="7"/>
      <c r="H66" s="7" t="s">
        <v>615</v>
      </c>
      <c r="I66" s="7" t="s">
        <v>582</v>
      </c>
      <c r="J66" s="39">
        <v>2318400</v>
      </c>
      <c r="L66" s="16">
        <f t="shared" si="20"/>
        <v>1</v>
      </c>
      <c r="M66" s="16" t="str">
        <f t="shared" si="4"/>
        <v>January</v>
      </c>
      <c r="N66" s="16" t="str">
        <f t="shared" si="21"/>
        <v/>
      </c>
      <c r="O66" s="16" t="str">
        <f>IF(N66="","",COUNTIF($N$8:N66,N66))</f>
        <v/>
      </c>
      <c r="P66" s="34" t="str">
        <f t="shared" si="22"/>
        <v>outBeban</v>
      </c>
      <c r="Q66" s="34" t="str">
        <f t="shared" si="23"/>
        <v>outJanuaryBeban</v>
      </c>
      <c r="R66" s="34" t="str">
        <f t="shared" si="2"/>
        <v>Beban</v>
      </c>
      <c r="S66" s="34" t="str">
        <f t="shared" si="3"/>
        <v>Kas</v>
      </c>
      <c r="T66" s="34" t="str">
        <f t="shared" si="7"/>
        <v/>
      </c>
      <c r="U66" s="34" t="str">
        <f>IF(AND(L66=1,bp_kode=T66,T66&lt;&gt;""),COUNTIF($T$8:T66,T66),"")</f>
        <v/>
      </c>
      <c r="V66" s="34" t="str">
        <f t="shared" si="8"/>
        <v>db</v>
      </c>
      <c r="W66" s="34" t="str">
        <f t="shared" si="9"/>
        <v>db</v>
      </c>
      <c r="X66" s="34" t="str">
        <f>IF(B66="","",COUNTIF($C$8:C66,C66)&amp;C66)</f>
        <v>0</v>
      </c>
    </row>
    <row r="67" spans="2:24" ht="23.1" customHeight="1">
      <c r="B67" s="31">
        <v>44592</v>
      </c>
      <c r="C67" s="9"/>
      <c r="D67" s="9" t="s">
        <v>623</v>
      </c>
      <c r="E67" s="7"/>
      <c r="F67" s="7"/>
      <c r="G67" s="7"/>
      <c r="H67" s="7" t="s">
        <v>616</v>
      </c>
      <c r="I67" s="7" t="s">
        <v>582</v>
      </c>
      <c r="J67" s="39">
        <v>1200000</v>
      </c>
      <c r="L67" s="16">
        <f t="shared" si="20"/>
        <v>1</v>
      </c>
      <c r="M67" s="16" t="str">
        <f t="shared" si="4"/>
        <v>January</v>
      </c>
      <c r="N67" s="16" t="str">
        <f t="shared" si="21"/>
        <v/>
      </c>
      <c r="O67" s="16" t="str">
        <f>IF(N67="","",COUNTIF($N$8:N67,N67))</f>
        <v/>
      </c>
      <c r="P67" s="34" t="str">
        <f t="shared" si="22"/>
        <v>outBeban</v>
      </c>
      <c r="Q67" s="34" t="str">
        <f t="shared" si="23"/>
        <v>outJanuaryBeban</v>
      </c>
      <c r="R67" s="34" t="str">
        <f t="shared" si="2"/>
        <v>Beban</v>
      </c>
      <c r="S67" s="34" t="str">
        <f t="shared" si="3"/>
        <v>Kas</v>
      </c>
      <c r="T67" s="34" t="str">
        <f t="shared" si="7"/>
        <v/>
      </c>
      <c r="U67" s="34" t="str">
        <f>IF(AND(L67=1,bp_kode=T67,T67&lt;&gt;""),COUNTIF($T$8:T67,T67),"")</f>
        <v/>
      </c>
      <c r="V67" s="34" t="str">
        <f t="shared" si="8"/>
        <v>db</v>
      </c>
      <c r="W67" s="34" t="str">
        <f t="shared" si="9"/>
        <v>db</v>
      </c>
      <c r="X67" s="34" t="str">
        <f>IF(B67="","",COUNTIF($C$8:C67,C67)&amp;C67)</f>
        <v>0</v>
      </c>
    </row>
    <row r="68" spans="2:24" ht="23.1" customHeight="1">
      <c r="B68" s="31">
        <v>44592</v>
      </c>
      <c r="C68" s="9"/>
      <c r="D68" s="9" t="s">
        <v>624</v>
      </c>
      <c r="E68" s="7"/>
      <c r="F68" s="7"/>
      <c r="G68" s="7"/>
      <c r="H68" s="7" t="s">
        <v>617</v>
      </c>
      <c r="I68" s="7" t="s">
        <v>582</v>
      </c>
      <c r="J68" s="39">
        <v>32003556</v>
      </c>
      <c r="L68" s="16">
        <f t="shared" si="20"/>
        <v>1</v>
      </c>
      <c r="M68" s="16" t="str">
        <f t="shared" si="4"/>
        <v>January</v>
      </c>
      <c r="N68" s="16" t="str">
        <f t="shared" si="21"/>
        <v/>
      </c>
      <c r="O68" s="16" t="str">
        <f>IF(N68="","",COUNTIF($N$8:N68,N68))</f>
        <v/>
      </c>
      <c r="P68" s="34" t="str">
        <f t="shared" si="22"/>
        <v>outBeban</v>
      </c>
      <c r="Q68" s="34" t="str">
        <f t="shared" si="23"/>
        <v>outJanuaryBeban</v>
      </c>
      <c r="R68" s="34" t="str">
        <f t="shared" si="2"/>
        <v>Beban</v>
      </c>
      <c r="S68" s="34" t="str">
        <f t="shared" si="3"/>
        <v>Kas</v>
      </c>
      <c r="T68" s="34" t="str">
        <f t="shared" si="7"/>
        <v/>
      </c>
      <c r="U68" s="34" t="str">
        <f>IF(AND(L68=1,bp_kode=T68,T68&lt;&gt;""),COUNTIF($T$8:T68,T68),"")</f>
        <v/>
      </c>
      <c r="V68" s="34" t="str">
        <f t="shared" si="8"/>
        <v>db</v>
      </c>
      <c r="W68" s="34" t="str">
        <f t="shared" si="9"/>
        <v>db</v>
      </c>
      <c r="X68" s="34" t="str">
        <f>IF(B68="","",COUNTIF($C$8:C68,C68)&amp;C68)</f>
        <v>0</v>
      </c>
    </row>
    <row r="69" spans="2:24" ht="23.1" customHeight="1">
      <c r="B69" s="31">
        <v>44592</v>
      </c>
      <c r="C69" s="9"/>
      <c r="D69" s="9" t="s">
        <v>625</v>
      </c>
      <c r="E69" s="7"/>
      <c r="F69" s="7"/>
      <c r="G69" s="7"/>
      <c r="H69" s="7" t="s">
        <v>618</v>
      </c>
      <c r="I69" s="7" t="s">
        <v>582</v>
      </c>
      <c r="J69" s="39">
        <v>197007203</v>
      </c>
      <c r="L69" s="16">
        <f t="shared" si="20"/>
        <v>1</v>
      </c>
      <c r="M69" s="16" t="str">
        <f t="shared" si="4"/>
        <v>January</v>
      </c>
      <c r="N69" s="16" t="str">
        <f t="shared" si="21"/>
        <v/>
      </c>
      <c r="O69" s="16" t="str">
        <f>IF(N69="","",COUNTIF($N$8:N69,N69))</f>
        <v/>
      </c>
      <c r="P69" s="34" t="str">
        <f t="shared" si="22"/>
        <v>outBeban</v>
      </c>
      <c r="Q69" s="34" t="str">
        <f t="shared" si="23"/>
        <v>outJanuaryBeban</v>
      </c>
      <c r="R69" s="34" t="str">
        <f t="shared" si="2"/>
        <v>Beban</v>
      </c>
      <c r="S69" s="34" t="str">
        <f t="shared" si="3"/>
        <v>Kas</v>
      </c>
      <c r="T69" s="34" t="str">
        <f t="shared" si="7"/>
        <v/>
      </c>
      <c r="U69" s="34" t="str">
        <f>IF(AND(L69=1,bp_kode=T69,T69&lt;&gt;""),COUNTIF($T$8:T69,T69),"")</f>
        <v/>
      </c>
      <c r="V69" s="34" t="str">
        <f t="shared" si="8"/>
        <v>db</v>
      </c>
      <c r="W69" s="34" t="str">
        <f t="shared" si="9"/>
        <v>db</v>
      </c>
      <c r="X69" s="34" t="str">
        <f>IF(B69="","",COUNTIF($C$8:C69,C69)&amp;C69)</f>
        <v>0</v>
      </c>
    </row>
    <row r="70" spans="2:24" ht="23.1" customHeight="1">
      <c r="B70" s="31">
        <v>44592</v>
      </c>
      <c r="C70" s="9"/>
      <c r="D70" s="9" t="s">
        <v>626</v>
      </c>
      <c r="E70" s="7"/>
      <c r="F70" s="7"/>
      <c r="G70" s="7"/>
      <c r="H70" s="7" t="s">
        <v>619</v>
      </c>
      <c r="I70" s="7" t="s">
        <v>582</v>
      </c>
      <c r="J70" s="39">
        <v>206116168</v>
      </c>
      <c r="L70" s="16">
        <f t="shared" si="20"/>
        <v>1</v>
      </c>
      <c r="M70" s="16" t="str">
        <f t="shared" si="4"/>
        <v>January</v>
      </c>
      <c r="N70" s="16" t="str">
        <f t="shared" si="21"/>
        <v/>
      </c>
      <c r="O70" s="16" t="str">
        <f>IF(N70="","",COUNTIF($N$8:N70,N70))</f>
        <v/>
      </c>
      <c r="P70" s="34" t="str">
        <f t="shared" si="22"/>
        <v>outBeban</v>
      </c>
      <c r="Q70" s="34" t="str">
        <f t="shared" si="23"/>
        <v>outJanuaryBeban</v>
      </c>
      <c r="R70" s="34" t="str">
        <f t="shared" si="2"/>
        <v>Beban</v>
      </c>
      <c r="S70" s="34" t="str">
        <f t="shared" si="3"/>
        <v>Kas</v>
      </c>
      <c r="T70" s="34" t="str">
        <f t="shared" si="7"/>
        <v/>
      </c>
      <c r="U70" s="34" t="str">
        <f>IF(AND(L70=1,bp_kode=T70,T70&lt;&gt;""),COUNTIF($T$8:T70,T70),"")</f>
        <v/>
      </c>
      <c r="V70" s="34" t="str">
        <f t="shared" si="8"/>
        <v>db</v>
      </c>
      <c r="W70" s="34" t="str">
        <f t="shared" si="9"/>
        <v>db</v>
      </c>
      <c r="X70" s="34" t="str">
        <f>IF(B70="","",COUNTIF($C$8:C70,C70)&amp;C70)</f>
        <v>0</v>
      </c>
    </row>
    <row r="71" spans="2:24" ht="23.1" customHeight="1">
      <c r="B71" s="31">
        <v>44592</v>
      </c>
      <c r="C71" s="9"/>
      <c r="D71" s="9" t="s">
        <v>627</v>
      </c>
      <c r="E71" s="7"/>
      <c r="F71" s="7"/>
      <c r="G71" s="7"/>
      <c r="H71" s="7" t="s">
        <v>620</v>
      </c>
      <c r="I71" s="7" t="s">
        <v>582</v>
      </c>
      <c r="J71" s="39">
        <v>13353616</v>
      </c>
      <c r="L71" s="16">
        <f t="shared" si="20"/>
        <v>1</v>
      </c>
      <c r="M71" s="16" t="str">
        <f t="shared" si="4"/>
        <v>January</v>
      </c>
      <c r="N71" s="16" t="str">
        <f t="shared" si="21"/>
        <v/>
      </c>
      <c r="O71" s="16" t="str">
        <f>IF(N71="","",COUNTIF($N$8:N71,N71))</f>
        <v/>
      </c>
      <c r="P71" s="34" t="str">
        <f t="shared" si="22"/>
        <v>outBeban</v>
      </c>
      <c r="Q71" s="34" t="str">
        <f t="shared" si="23"/>
        <v>outJanuaryBeban</v>
      </c>
      <c r="R71" s="34" t="str">
        <f t="shared" si="2"/>
        <v>Beban</v>
      </c>
      <c r="S71" s="34" t="str">
        <f t="shared" si="3"/>
        <v>Kas</v>
      </c>
      <c r="T71" s="34" t="str">
        <f t="shared" si="7"/>
        <v/>
      </c>
      <c r="U71" s="34" t="str">
        <f>IF(AND(L71=1,bp_kode=T71,T71&lt;&gt;""),COUNTIF($T$8:T71,T71),"")</f>
        <v/>
      </c>
      <c r="V71" s="34" t="str">
        <f t="shared" si="8"/>
        <v>db</v>
      </c>
      <c r="W71" s="34" t="str">
        <f t="shared" si="9"/>
        <v>db</v>
      </c>
      <c r="X71" s="34" t="str">
        <f>IF(B71="","",COUNTIF($C$8:C71,C71)&amp;C71)</f>
        <v>0</v>
      </c>
    </row>
    <row r="72" spans="2:24" ht="23.1" customHeight="1">
      <c r="B72" s="31">
        <v>44592</v>
      </c>
      <c r="C72" s="9"/>
      <c r="D72" s="9" t="s">
        <v>779</v>
      </c>
      <c r="E72" s="7"/>
      <c r="F72" s="7"/>
      <c r="G72" s="7"/>
      <c r="H72" s="7" t="s">
        <v>778</v>
      </c>
      <c r="I72" s="7" t="s">
        <v>582</v>
      </c>
      <c r="J72" s="39">
        <v>3500000</v>
      </c>
      <c r="L72" s="16">
        <f t="shared" si="20"/>
        <v>1</v>
      </c>
      <c r="M72" s="16" t="str">
        <f t="shared" si="4"/>
        <v>January</v>
      </c>
      <c r="N72" s="16" t="str">
        <f t="shared" si="21"/>
        <v/>
      </c>
      <c r="O72" s="16" t="str">
        <f>IF(N72="","",COUNTIF($N$8:N72,N72))</f>
        <v/>
      </c>
      <c r="P72" s="34" t="str">
        <f t="shared" si="22"/>
        <v>outBeban</v>
      </c>
      <c r="Q72" s="34" t="str">
        <f t="shared" si="23"/>
        <v>outJanuaryBeban</v>
      </c>
      <c r="R72" s="34" t="str">
        <f t="shared" si="2"/>
        <v>Beban</v>
      </c>
      <c r="S72" s="34" t="str">
        <f t="shared" si="3"/>
        <v>Kas</v>
      </c>
      <c r="T72" s="34" t="str">
        <f t="shared" si="7"/>
        <v/>
      </c>
      <c r="U72" s="34" t="str">
        <f>IF(AND(L72=1,bp_kode=T72,T72&lt;&gt;""),COUNTIF($T$8:T72,T72),"")</f>
        <v/>
      </c>
      <c r="V72" s="34" t="str">
        <f t="shared" si="8"/>
        <v>db</v>
      </c>
      <c r="W72" s="34" t="str">
        <f t="shared" si="9"/>
        <v>db</v>
      </c>
      <c r="X72" s="34" t="str">
        <f>IF(B72="","",COUNTIF($C$8:C72,C72)&amp;C72)</f>
        <v>0</v>
      </c>
    </row>
    <row r="73" spans="2:24" ht="23.1" customHeight="1">
      <c r="B73" s="31">
        <v>44592</v>
      </c>
      <c r="C73" s="9"/>
      <c r="D73" s="9" t="s">
        <v>644</v>
      </c>
      <c r="E73" s="7"/>
      <c r="F73" s="7"/>
      <c r="G73" s="7"/>
      <c r="H73" s="7" t="s">
        <v>628</v>
      </c>
      <c r="I73" s="7" t="s">
        <v>582</v>
      </c>
      <c r="J73" s="39">
        <v>21900000</v>
      </c>
      <c r="L73" s="16">
        <f t="shared" si="20"/>
        <v>1</v>
      </c>
      <c r="M73" s="16" t="str">
        <f t="shared" si="4"/>
        <v>January</v>
      </c>
      <c r="N73" s="16" t="str">
        <f t="shared" si="21"/>
        <v/>
      </c>
      <c r="O73" s="16" t="str">
        <f>IF(N73="","",COUNTIF($N$8:N73,N73))</f>
        <v/>
      </c>
      <c r="P73" s="34" t="str">
        <f t="shared" si="22"/>
        <v>outBeban</v>
      </c>
      <c r="Q73" s="34" t="str">
        <f t="shared" si="23"/>
        <v>outJanuaryBeban</v>
      </c>
      <c r="R73" s="34" t="str">
        <f t="shared" ref="R73:R138" si="24">IFERROR(INDEX(akun_type,MATCH(H73,akun_kb,0)),"")</f>
        <v>Beban</v>
      </c>
      <c r="S73" s="34" t="str">
        <f t="shared" ref="S73:S138" si="25">IFERROR(INDEX(akun_type,MATCH(I73,akun_kb,0)),"")</f>
        <v>Kas</v>
      </c>
      <c r="T73" s="34" t="str">
        <f t="shared" si="7"/>
        <v/>
      </c>
      <c r="U73" s="34" t="str">
        <f>IF(AND(L73=1,bp_kode=T73,T73&lt;&gt;""),COUNTIF($T$8:T73,T73),"")</f>
        <v/>
      </c>
      <c r="V73" s="34" t="str">
        <f t="shared" si="8"/>
        <v>db</v>
      </c>
      <c r="W73" s="34" t="str">
        <f t="shared" si="9"/>
        <v>db</v>
      </c>
      <c r="X73" s="34" t="str">
        <f>IF(B73="","",COUNTIF($C$8:C73,C73)&amp;C73)</f>
        <v>0</v>
      </c>
    </row>
    <row r="74" spans="2:24" ht="23.1" customHeight="1">
      <c r="B74" s="31">
        <v>44592</v>
      </c>
      <c r="C74" s="9"/>
      <c r="D74" s="9" t="s">
        <v>645</v>
      </c>
      <c r="E74" s="7"/>
      <c r="F74" s="7"/>
      <c r="G74" s="7"/>
      <c r="H74" s="7" t="s">
        <v>629</v>
      </c>
      <c r="I74" s="7" t="s">
        <v>582</v>
      </c>
      <c r="J74" s="39">
        <v>10400000</v>
      </c>
      <c r="L74" s="16">
        <f t="shared" si="20"/>
        <v>1</v>
      </c>
      <c r="M74" s="16" t="str">
        <f t="shared" ref="M74:M139" si="26">IF(B74="","",TEXT(B74,"mmmm"))</f>
        <v>January</v>
      </c>
      <c r="N74" s="16" t="str">
        <f t="shared" si="21"/>
        <v/>
      </c>
      <c r="O74" s="16" t="str">
        <f>IF(N74="","",COUNTIF($N$8:N74,N74))</f>
        <v/>
      </c>
      <c r="P74" s="34" t="str">
        <f t="shared" si="22"/>
        <v>outBeban</v>
      </c>
      <c r="Q74" s="34" t="str">
        <f t="shared" si="23"/>
        <v>outJanuaryBeban</v>
      </c>
      <c r="R74" s="34" t="str">
        <f t="shared" si="24"/>
        <v>Beban</v>
      </c>
      <c r="S74" s="34" t="str">
        <f t="shared" si="25"/>
        <v>Kas</v>
      </c>
      <c r="T74" s="34" t="str">
        <f t="shared" ref="T74:T139" si="27">IF(AND(L74=1,OR(R74="Akun Piutang",R74="akun hutang",S74="akun piutang",S74="akun hutang")),E74,"")</f>
        <v/>
      </c>
      <c r="U74" s="34" t="str">
        <f>IF(AND(L74=1,bp_kode=T74,T74&lt;&gt;""),COUNTIF($T$8:T74,T74),"")</f>
        <v/>
      </c>
      <c r="V74" s="34" t="str">
        <f t="shared" ref="V74:V139" si="28">IF(OR(R74="Pendapatan",R74="Pendapatan Lainnya",R74="Beban",R74="Harga Pokok Penjualan",R74="Beban Lainnya"),"db"&amp;F74,IF(OR(S74="Pendapatan",S74="Pendapatan Lainnya",S74="Beban",S74="Harga Pokok Penjualan",S74="Beban Lainnya"),"kr"&amp;F74,""))</f>
        <v>db</v>
      </c>
      <c r="W74" s="34" t="str">
        <f t="shared" ref="W74:W139" si="29">IF(OR(R74="Pendapatan",R74="Pendapatan Lainnya",R74="Beban",R74="Harga Pokok Penjualan",R74="Beban Lainnya"),"db"&amp;G74,IF(OR(S74="Pendapatan",S74="Pendapatan Lainnya",S74="Beban",S74="Harga Pokok Penjualan",S74="Beban Lainnya"),"kr"&amp;G74,""))</f>
        <v>db</v>
      </c>
      <c r="X74" s="34" t="str">
        <f>IF(B74="","",COUNTIF($C$8:C74,C74)&amp;C74)</f>
        <v>0</v>
      </c>
    </row>
    <row r="75" spans="2:24" ht="23.1" customHeight="1">
      <c r="B75" s="31">
        <v>44592</v>
      </c>
      <c r="C75" s="9"/>
      <c r="D75" s="9" t="s">
        <v>646</v>
      </c>
      <c r="E75" s="7"/>
      <c r="F75" s="7"/>
      <c r="G75" s="7"/>
      <c r="H75" s="7" t="s">
        <v>630</v>
      </c>
      <c r="I75" s="7" t="s">
        <v>582</v>
      </c>
      <c r="J75" s="39">
        <v>4417600</v>
      </c>
      <c r="L75" s="16">
        <f t="shared" si="20"/>
        <v>1</v>
      </c>
      <c r="M75" s="16" t="str">
        <f t="shared" si="26"/>
        <v>January</v>
      </c>
      <c r="N75" s="16" t="str">
        <f t="shared" si="21"/>
        <v/>
      </c>
      <c r="O75" s="16" t="str">
        <f>IF(N75="","",COUNTIF($N$8:N75,N75))</f>
        <v/>
      </c>
      <c r="P75" s="34" t="str">
        <f t="shared" si="22"/>
        <v>outBeban</v>
      </c>
      <c r="Q75" s="34" t="str">
        <f t="shared" si="23"/>
        <v>outJanuaryBeban</v>
      </c>
      <c r="R75" s="34" t="str">
        <f t="shared" si="24"/>
        <v>Beban</v>
      </c>
      <c r="S75" s="34" t="str">
        <f t="shared" si="25"/>
        <v>Kas</v>
      </c>
      <c r="T75" s="34" t="str">
        <f t="shared" si="27"/>
        <v/>
      </c>
      <c r="U75" s="34" t="str">
        <f>IF(AND(L75=1,bp_kode=T75,T75&lt;&gt;""),COUNTIF($T$8:T75,T75),"")</f>
        <v/>
      </c>
      <c r="V75" s="34" t="str">
        <f t="shared" si="28"/>
        <v>db</v>
      </c>
      <c r="W75" s="34" t="str">
        <f t="shared" si="29"/>
        <v>db</v>
      </c>
      <c r="X75" s="34" t="str">
        <f>IF(B75="","",COUNTIF($C$8:C75,C75)&amp;C75)</f>
        <v>0</v>
      </c>
    </row>
    <row r="76" spans="2:24" ht="23.1" customHeight="1">
      <c r="B76" s="31">
        <v>44592</v>
      </c>
      <c r="C76" s="9"/>
      <c r="D76" s="9" t="s">
        <v>647</v>
      </c>
      <c r="E76" s="7"/>
      <c r="F76" s="7"/>
      <c r="G76" s="7"/>
      <c r="H76" s="7" t="s">
        <v>631</v>
      </c>
      <c r="I76" s="7" t="s">
        <v>582</v>
      </c>
      <c r="J76" s="39">
        <v>400000</v>
      </c>
      <c r="L76" s="16">
        <f t="shared" si="20"/>
        <v>1</v>
      </c>
      <c r="M76" s="16" t="str">
        <f t="shared" si="26"/>
        <v>January</v>
      </c>
      <c r="N76" s="16" t="str">
        <f t="shared" si="21"/>
        <v/>
      </c>
      <c r="O76" s="16" t="str">
        <f>IF(N76="","",COUNTIF($N$8:N76,N76))</f>
        <v/>
      </c>
      <c r="P76" s="34" t="str">
        <f t="shared" si="22"/>
        <v>outBeban</v>
      </c>
      <c r="Q76" s="34" t="str">
        <f t="shared" si="23"/>
        <v>outJanuaryBeban</v>
      </c>
      <c r="R76" s="34" t="str">
        <f t="shared" si="24"/>
        <v>Beban</v>
      </c>
      <c r="S76" s="34" t="str">
        <f t="shared" si="25"/>
        <v>Kas</v>
      </c>
      <c r="T76" s="34" t="str">
        <f t="shared" si="27"/>
        <v/>
      </c>
      <c r="U76" s="34" t="str">
        <f>IF(AND(L76=1,bp_kode=T76,T76&lt;&gt;""),COUNTIF($T$8:T76,T76),"")</f>
        <v/>
      </c>
      <c r="V76" s="34" t="str">
        <f t="shared" si="28"/>
        <v>db</v>
      </c>
      <c r="W76" s="34" t="str">
        <f t="shared" si="29"/>
        <v>db</v>
      </c>
      <c r="X76" s="34" t="str">
        <f>IF(B76="","",COUNTIF($C$8:C76,C76)&amp;C76)</f>
        <v>0</v>
      </c>
    </row>
    <row r="77" spans="2:24" ht="23.1" customHeight="1">
      <c r="B77" s="31">
        <v>44592</v>
      </c>
      <c r="C77" s="9"/>
      <c r="D77" s="9" t="s">
        <v>648</v>
      </c>
      <c r="E77" s="7"/>
      <c r="F77" s="7"/>
      <c r="G77" s="7"/>
      <c r="H77" s="7" t="s">
        <v>632</v>
      </c>
      <c r="I77" s="7" t="s">
        <v>582</v>
      </c>
      <c r="J77" s="39">
        <v>500000</v>
      </c>
      <c r="L77" s="16">
        <f t="shared" si="20"/>
        <v>1</v>
      </c>
      <c r="M77" s="16" t="str">
        <f t="shared" si="26"/>
        <v>January</v>
      </c>
      <c r="N77" s="16" t="str">
        <f t="shared" si="21"/>
        <v/>
      </c>
      <c r="O77" s="16" t="str">
        <f>IF(N77="","",COUNTIF($N$8:N77,N77))</f>
        <v/>
      </c>
      <c r="P77" s="34" t="str">
        <f t="shared" si="22"/>
        <v>outBeban</v>
      </c>
      <c r="Q77" s="34" t="str">
        <f t="shared" si="23"/>
        <v>outJanuaryBeban</v>
      </c>
      <c r="R77" s="34" t="str">
        <f t="shared" si="24"/>
        <v>Beban</v>
      </c>
      <c r="S77" s="34" t="str">
        <f t="shared" si="25"/>
        <v>Kas</v>
      </c>
      <c r="T77" s="34" t="str">
        <f t="shared" si="27"/>
        <v/>
      </c>
      <c r="U77" s="34" t="str">
        <f>IF(AND(L77=1,bp_kode=T77,T77&lt;&gt;""),COUNTIF($T$8:T77,T77),"")</f>
        <v/>
      </c>
      <c r="V77" s="34" t="str">
        <f t="shared" si="28"/>
        <v>db</v>
      </c>
      <c r="W77" s="34" t="str">
        <f t="shared" si="29"/>
        <v>db</v>
      </c>
      <c r="X77" s="34" t="str">
        <f>IF(B77="","",COUNTIF($C$8:C77,C77)&amp;C77)</f>
        <v>0</v>
      </c>
    </row>
    <row r="78" spans="2:24" ht="23.1" customHeight="1">
      <c r="B78" s="31">
        <v>44592</v>
      </c>
      <c r="C78" s="9"/>
      <c r="D78" s="9" t="s">
        <v>649</v>
      </c>
      <c r="E78" s="7"/>
      <c r="F78" s="7"/>
      <c r="G78" s="7"/>
      <c r="H78" s="7" t="s">
        <v>633</v>
      </c>
      <c r="I78" s="7" t="s">
        <v>582</v>
      </c>
      <c r="J78" s="39">
        <v>2022640</v>
      </c>
      <c r="L78" s="16">
        <f t="shared" si="20"/>
        <v>1</v>
      </c>
      <c r="M78" s="16" t="str">
        <f t="shared" si="26"/>
        <v>January</v>
      </c>
      <c r="N78" s="16" t="str">
        <f t="shared" si="21"/>
        <v/>
      </c>
      <c r="O78" s="16" t="str">
        <f>IF(N78="","",COUNTIF($N$8:N78,N78))</f>
        <v/>
      </c>
      <c r="P78" s="34" t="str">
        <f t="shared" si="22"/>
        <v>outBeban</v>
      </c>
      <c r="Q78" s="34" t="str">
        <f t="shared" si="23"/>
        <v>outJanuaryBeban</v>
      </c>
      <c r="R78" s="34" t="str">
        <f t="shared" si="24"/>
        <v>Beban</v>
      </c>
      <c r="S78" s="34" t="str">
        <f t="shared" si="25"/>
        <v>Kas</v>
      </c>
      <c r="T78" s="34" t="str">
        <f t="shared" si="27"/>
        <v/>
      </c>
      <c r="U78" s="34" t="str">
        <f>IF(AND(L78=1,bp_kode=T78,T78&lt;&gt;""),COUNTIF($T$8:T78,T78),"")</f>
        <v/>
      </c>
      <c r="V78" s="34" t="str">
        <f t="shared" si="28"/>
        <v>db</v>
      </c>
      <c r="W78" s="34" t="str">
        <f t="shared" si="29"/>
        <v>db</v>
      </c>
      <c r="X78" s="34" t="str">
        <f>IF(B78="","",COUNTIF($C$8:C78,C78)&amp;C78)</f>
        <v>0</v>
      </c>
    </row>
    <row r="79" spans="2:24" ht="23.1" customHeight="1">
      <c r="B79" s="31">
        <v>44592</v>
      </c>
      <c r="C79" s="9"/>
      <c r="D79" s="9" t="s">
        <v>650</v>
      </c>
      <c r="E79" s="7"/>
      <c r="F79" s="7"/>
      <c r="G79" s="7"/>
      <c r="H79" s="7" t="s">
        <v>634</v>
      </c>
      <c r="I79" s="7" t="s">
        <v>582</v>
      </c>
      <c r="J79" s="39">
        <v>3340368</v>
      </c>
      <c r="L79" s="16">
        <f t="shared" si="20"/>
        <v>1</v>
      </c>
      <c r="M79" s="16" t="str">
        <f t="shared" si="26"/>
        <v>January</v>
      </c>
      <c r="N79" s="16" t="str">
        <f t="shared" si="21"/>
        <v/>
      </c>
      <c r="O79" s="16" t="str">
        <f>IF(N79="","",COUNTIF($N$8:N79,N79))</f>
        <v/>
      </c>
      <c r="P79" s="34" t="str">
        <f t="shared" si="22"/>
        <v>outBeban</v>
      </c>
      <c r="Q79" s="34" t="str">
        <f t="shared" si="23"/>
        <v>outJanuaryBeban</v>
      </c>
      <c r="R79" s="34" t="str">
        <f t="shared" si="24"/>
        <v>Beban</v>
      </c>
      <c r="S79" s="34" t="str">
        <f t="shared" si="25"/>
        <v>Kas</v>
      </c>
      <c r="T79" s="34" t="str">
        <f t="shared" si="27"/>
        <v/>
      </c>
      <c r="U79" s="34" t="str">
        <f>IF(AND(L79=1,bp_kode=T79,T79&lt;&gt;""),COUNTIF($T$8:T79,T79),"")</f>
        <v/>
      </c>
      <c r="V79" s="34" t="str">
        <f t="shared" si="28"/>
        <v>db</v>
      </c>
      <c r="W79" s="34" t="str">
        <f t="shared" si="29"/>
        <v>db</v>
      </c>
      <c r="X79" s="34" t="str">
        <f>IF(B79="","",COUNTIF($C$8:C79,C79)&amp;C79)</f>
        <v>0</v>
      </c>
    </row>
    <row r="80" spans="2:24" ht="23.1" customHeight="1">
      <c r="B80" s="31">
        <v>44592</v>
      </c>
      <c r="C80" s="9"/>
      <c r="D80" s="9" t="s">
        <v>651</v>
      </c>
      <c r="E80" s="7"/>
      <c r="F80" s="7"/>
      <c r="G80" s="7"/>
      <c r="H80" s="7" t="s">
        <v>635</v>
      </c>
      <c r="I80" s="7" t="s">
        <v>582</v>
      </c>
      <c r="J80" s="39">
        <v>577500</v>
      </c>
      <c r="L80" s="16">
        <f t="shared" si="20"/>
        <v>1</v>
      </c>
      <c r="M80" s="16" t="str">
        <f t="shared" si="26"/>
        <v>January</v>
      </c>
      <c r="N80" s="16" t="str">
        <f t="shared" si="21"/>
        <v/>
      </c>
      <c r="O80" s="16" t="str">
        <f>IF(N80="","",COUNTIF($N$8:N80,N80))</f>
        <v/>
      </c>
      <c r="P80" s="34" t="str">
        <f t="shared" si="22"/>
        <v>outBeban</v>
      </c>
      <c r="Q80" s="34" t="str">
        <f t="shared" si="23"/>
        <v>outJanuaryBeban</v>
      </c>
      <c r="R80" s="34" t="str">
        <f t="shared" si="24"/>
        <v>Beban</v>
      </c>
      <c r="S80" s="34" t="str">
        <f t="shared" si="25"/>
        <v>Kas</v>
      </c>
      <c r="T80" s="34" t="str">
        <f t="shared" si="27"/>
        <v/>
      </c>
      <c r="U80" s="34" t="str">
        <f>IF(AND(L80=1,bp_kode=T80,T80&lt;&gt;""),COUNTIF($T$8:T80,T80),"")</f>
        <v/>
      </c>
      <c r="V80" s="34" t="str">
        <f t="shared" si="28"/>
        <v>db</v>
      </c>
      <c r="W80" s="34" t="str">
        <f t="shared" si="29"/>
        <v>db</v>
      </c>
      <c r="X80" s="34" t="str">
        <f>IF(B80="","",COUNTIF($C$8:C80,C80)&amp;C80)</f>
        <v>0</v>
      </c>
    </row>
    <row r="81" spans="2:24" ht="23.1" customHeight="1">
      <c r="B81" s="31">
        <v>44592</v>
      </c>
      <c r="C81" s="9"/>
      <c r="D81" s="9" t="s">
        <v>652</v>
      </c>
      <c r="E81" s="7"/>
      <c r="F81" s="7"/>
      <c r="G81" s="7"/>
      <c r="H81" s="7" t="s">
        <v>636</v>
      </c>
      <c r="I81" s="7" t="s">
        <v>582</v>
      </c>
      <c r="J81" s="39">
        <v>14632485</v>
      </c>
      <c r="L81" s="16">
        <f t="shared" si="20"/>
        <v>1</v>
      </c>
      <c r="M81" s="16" t="str">
        <f t="shared" si="26"/>
        <v>January</v>
      </c>
      <c r="N81" s="16" t="str">
        <f t="shared" si="21"/>
        <v/>
      </c>
      <c r="O81" s="16" t="str">
        <f>IF(N81="","",COUNTIF($N$8:N81,N81))</f>
        <v/>
      </c>
      <c r="P81" s="34" t="str">
        <f t="shared" si="22"/>
        <v>outBeban</v>
      </c>
      <c r="Q81" s="34" t="str">
        <f t="shared" si="23"/>
        <v>outJanuaryBeban</v>
      </c>
      <c r="R81" s="34" t="str">
        <f t="shared" si="24"/>
        <v>Beban</v>
      </c>
      <c r="S81" s="34" t="str">
        <f t="shared" si="25"/>
        <v>Kas</v>
      </c>
      <c r="T81" s="34" t="str">
        <f t="shared" si="27"/>
        <v/>
      </c>
      <c r="U81" s="34" t="str">
        <f>IF(AND(L81=1,bp_kode=T81,T81&lt;&gt;""),COUNTIF($T$8:T81,T81),"")</f>
        <v/>
      </c>
      <c r="V81" s="34" t="str">
        <f t="shared" si="28"/>
        <v>db</v>
      </c>
      <c r="W81" s="34" t="str">
        <f t="shared" si="29"/>
        <v>db</v>
      </c>
      <c r="X81" s="34" t="str">
        <f>IF(B81="","",COUNTIF($C$8:C81,C81)&amp;C81)</f>
        <v>0</v>
      </c>
    </row>
    <row r="82" spans="2:24" ht="23.1" customHeight="1">
      <c r="B82" s="31">
        <v>44592</v>
      </c>
      <c r="C82" s="9"/>
      <c r="D82" s="9" t="s">
        <v>653</v>
      </c>
      <c r="E82" s="7"/>
      <c r="F82" s="7"/>
      <c r="G82" s="7"/>
      <c r="H82" s="7" t="s">
        <v>637</v>
      </c>
      <c r="I82" s="7" t="s">
        <v>582</v>
      </c>
      <c r="J82" s="39">
        <v>4012100</v>
      </c>
      <c r="L82" s="16">
        <f t="shared" si="20"/>
        <v>1</v>
      </c>
      <c r="M82" s="16" t="str">
        <f t="shared" si="26"/>
        <v>January</v>
      </c>
      <c r="N82" s="16" t="str">
        <f t="shared" si="21"/>
        <v/>
      </c>
      <c r="O82" s="16" t="str">
        <f>IF(N82="","",COUNTIF($N$8:N82,N82))</f>
        <v/>
      </c>
      <c r="P82" s="34" t="str">
        <f t="shared" si="22"/>
        <v>outBeban</v>
      </c>
      <c r="Q82" s="34" t="str">
        <f t="shared" si="23"/>
        <v>outJanuaryBeban</v>
      </c>
      <c r="R82" s="34" t="str">
        <f t="shared" si="24"/>
        <v>Beban</v>
      </c>
      <c r="S82" s="34" t="str">
        <f t="shared" si="25"/>
        <v>Kas</v>
      </c>
      <c r="T82" s="34" t="str">
        <f t="shared" si="27"/>
        <v/>
      </c>
      <c r="U82" s="34" t="str">
        <f>IF(AND(L82=1,bp_kode=T82,T82&lt;&gt;""),COUNTIF($T$8:T82,T82),"")</f>
        <v/>
      </c>
      <c r="V82" s="34" t="str">
        <f t="shared" si="28"/>
        <v>db</v>
      </c>
      <c r="W82" s="34" t="str">
        <f t="shared" si="29"/>
        <v>db</v>
      </c>
      <c r="X82" s="34" t="str">
        <f>IF(B82="","",COUNTIF($C$8:C82,C82)&amp;C82)</f>
        <v>0</v>
      </c>
    </row>
    <row r="83" spans="2:24" ht="23.1" customHeight="1">
      <c r="B83" s="31">
        <v>44592</v>
      </c>
      <c r="C83" s="9"/>
      <c r="D83" s="9" t="s">
        <v>654</v>
      </c>
      <c r="E83" s="7"/>
      <c r="F83" s="7"/>
      <c r="G83" s="7"/>
      <c r="H83" s="7" t="s">
        <v>638</v>
      </c>
      <c r="I83" s="7" t="s">
        <v>582</v>
      </c>
      <c r="J83" s="39">
        <v>4505488</v>
      </c>
      <c r="L83" s="16">
        <f t="shared" si="20"/>
        <v>1</v>
      </c>
      <c r="M83" s="16" t="str">
        <f t="shared" si="26"/>
        <v>January</v>
      </c>
      <c r="N83" s="16" t="str">
        <f t="shared" si="21"/>
        <v/>
      </c>
      <c r="O83" s="16" t="str">
        <f>IF(N83="","",COUNTIF($N$8:N83,N83))</f>
        <v/>
      </c>
      <c r="P83" s="34" t="str">
        <f t="shared" si="22"/>
        <v>outBeban</v>
      </c>
      <c r="Q83" s="34" t="str">
        <f t="shared" si="23"/>
        <v>outJanuaryBeban</v>
      </c>
      <c r="R83" s="34" t="str">
        <f t="shared" si="24"/>
        <v>Beban</v>
      </c>
      <c r="S83" s="34" t="str">
        <f t="shared" si="25"/>
        <v>Kas</v>
      </c>
      <c r="T83" s="34" t="str">
        <f t="shared" si="27"/>
        <v/>
      </c>
      <c r="U83" s="34" t="str">
        <f>IF(AND(L83=1,bp_kode=T83,T83&lt;&gt;""),COUNTIF($T$8:T83,T83),"")</f>
        <v/>
      </c>
      <c r="V83" s="34" t="str">
        <f t="shared" si="28"/>
        <v>db</v>
      </c>
      <c r="W83" s="34" t="str">
        <f t="shared" si="29"/>
        <v>db</v>
      </c>
      <c r="X83" s="34" t="str">
        <f>IF(B83="","",COUNTIF($C$8:C83,C83)&amp;C83)</f>
        <v>0</v>
      </c>
    </row>
    <row r="84" spans="2:24" ht="23.1" customHeight="1">
      <c r="B84" s="31">
        <v>44592</v>
      </c>
      <c r="C84" s="9"/>
      <c r="D84" s="9" t="s">
        <v>655</v>
      </c>
      <c r="E84" s="7"/>
      <c r="F84" s="7"/>
      <c r="G84" s="7"/>
      <c r="H84" s="7" t="s">
        <v>639</v>
      </c>
      <c r="I84" s="7" t="s">
        <v>582</v>
      </c>
      <c r="J84" s="39">
        <v>23151200</v>
      </c>
      <c r="L84" s="16">
        <f t="shared" si="20"/>
        <v>1</v>
      </c>
      <c r="M84" s="16" t="str">
        <f t="shared" si="26"/>
        <v>January</v>
      </c>
      <c r="N84" s="16" t="str">
        <f t="shared" si="21"/>
        <v/>
      </c>
      <c r="O84" s="16" t="str">
        <f>IF(N84="","",COUNTIF($N$8:N84,N84))</f>
        <v/>
      </c>
      <c r="P84" s="34" t="str">
        <f t="shared" si="22"/>
        <v>outBeban</v>
      </c>
      <c r="Q84" s="34" t="str">
        <f t="shared" si="23"/>
        <v>outJanuaryBeban</v>
      </c>
      <c r="R84" s="34" t="str">
        <f t="shared" si="24"/>
        <v>Beban</v>
      </c>
      <c r="S84" s="34" t="str">
        <f t="shared" si="25"/>
        <v>Kas</v>
      </c>
      <c r="T84" s="34" t="str">
        <f t="shared" si="27"/>
        <v/>
      </c>
      <c r="U84" s="34" t="str">
        <f>IF(AND(L84=1,bp_kode=T84,T84&lt;&gt;""),COUNTIF($T$8:T84,T84),"")</f>
        <v/>
      </c>
      <c r="V84" s="34" t="str">
        <f t="shared" si="28"/>
        <v>db</v>
      </c>
      <c r="W84" s="34" t="str">
        <f t="shared" si="29"/>
        <v>db</v>
      </c>
      <c r="X84" s="34" t="str">
        <f>IF(B84="","",COUNTIF($C$8:C84,C84)&amp;C84)</f>
        <v>0</v>
      </c>
    </row>
    <row r="85" spans="2:24" ht="23.1" customHeight="1">
      <c r="B85" s="31">
        <v>44592</v>
      </c>
      <c r="C85" s="9"/>
      <c r="D85" s="9" t="s">
        <v>656</v>
      </c>
      <c r="E85" s="7"/>
      <c r="F85" s="7"/>
      <c r="G85" s="7"/>
      <c r="H85" s="7" t="s">
        <v>643</v>
      </c>
      <c r="I85" s="7" t="s">
        <v>582</v>
      </c>
      <c r="J85" s="39">
        <v>132000000</v>
      </c>
      <c r="L85" s="16">
        <f t="shared" si="20"/>
        <v>1</v>
      </c>
      <c r="M85" s="16" t="str">
        <f t="shared" si="26"/>
        <v>January</v>
      </c>
      <c r="N85" s="16" t="str">
        <f t="shared" si="21"/>
        <v/>
      </c>
      <c r="O85" s="16" t="str">
        <f>IF(N85="","",COUNTIF($N$8:N85,N85))</f>
        <v/>
      </c>
      <c r="P85" s="34" t="str">
        <f t="shared" si="22"/>
        <v>outBeban</v>
      </c>
      <c r="Q85" s="34" t="str">
        <f t="shared" si="23"/>
        <v>outJanuaryBeban</v>
      </c>
      <c r="R85" s="34" t="str">
        <f t="shared" si="24"/>
        <v>Beban</v>
      </c>
      <c r="S85" s="34" t="str">
        <f t="shared" si="25"/>
        <v>Kas</v>
      </c>
      <c r="T85" s="34" t="str">
        <f t="shared" si="27"/>
        <v/>
      </c>
      <c r="U85" s="34" t="str">
        <f>IF(AND(L85=1,bp_kode=T85,T85&lt;&gt;""),COUNTIF($T$8:T85,T85),"")</f>
        <v/>
      </c>
      <c r="V85" s="34" t="str">
        <f t="shared" si="28"/>
        <v>db</v>
      </c>
      <c r="W85" s="34" t="str">
        <f t="shared" si="29"/>
        <v>db</v>
      </c>
      <c r="X85" s="34" t="str">
        <f>IF(B85="","",COUNTIF($C$8:C85,C85)&amp;C85)</f>
        <v>0</v>
      </c>
    </row>
    <row r="86" spans="2:24" ht="23.1" customHeight="1">
      <c r="B86" s="31">
        <v>44592</v>
      </c>
      <c r="C86" s="9"/>
      <c r="D86" s="9" t="s">
        <v>663</v>
      </c>
      <c r="E86" s="7"/>
      <c r="F86" s="7"/>
      <c r="G86" s="7"/>
      <c r="H86" s="7" t="s">
        <v>658</v>
      </c>
      <c r="I86" s="7" t="s">
        <v>671</v>
      </c>
      <c r="J86" s="39">
        <v>2806459</v>
      </c>
      <c r="L86" s="16">
        <f t="shared" si="20"/>
        <v>1</v>
      </c>
      <c r="M86" s="16" t="str">
        <f t="shared" si="26"/>
        <v>January</v>
      </c>
      <c r="N86" s="16" t="str">
        <f t="shared" si="21"/>
        <v/>
      </c>
      <c r="O86" s="16" t="str">
        <f>IF(N86="","",COUNTIF($N$8:N86,N86))</f>
        <v/>
      </c>
      <c r="P86" s="34" t="str">
        <f t="shared" si="22"/>
        <v/>
      </c>
      <c r="Q86" s="34" t="str">
        <f t="shared" si="23"/>
        <v/>
      </c>
      <c r="R86" s="34" t="str">
        <f t="shared" si="24"/>
        <v>Beban</v>
      </c>
      <c r="S86" s="34" t="str">
        <f t="shared" si="25"/>
        <v>Depresiasi &amp; Amortisasi</v>
      </c>
      <c r="T86" s="34" t="str">
        <f t="shared" si="27"/>
        <v/>
      </c>
      <c r="U86" s="34" t="str">
        <f>IF(AND(L86=1,bp_kode=T86,T86&lt;&gt;""),COUNTIF($T$8:T86,T86),"")</f>
        <v/>
      </c>
      <c r="V86" s="34" t="str">
        <f t="shared" si="28"/>
        <v>db</v>
      </c>
      <c r="W86" s="34" t="str">
        <f t="shared" si="29"/>
        <v>db</v>
      </c>
      <c r="X86" s="34" t="str">
        <f>IF(B86="","",COUNTIF($C$8:C86,C86)&amp;C86)</f>
        <v>0</v>
      </c>
    </row>
    <row r="87" spans="2:24" ht="23.1" customHeight="1">
      <c r="B87" s="31">
        <v>44592</v>
      </c>
      <c r="C87" s="9"/>
      <c r="D87" s="9" t="s">
        <v>664</v>
      </c>
      <c r="E87" s="7"/>
      <c r="F87" s="7"/>
      <c r="G87" s="7"/>
      <c r="H87" s="7" t="s">
        <v>660</v>
      </c>
      <c r="I87" s="7" t="s">
        <v>659</v>
      </c>
      <c r="J87" s="39">
        <v>29031950</v>
      </c>
      <c r="L87" s="16">
        <f t="shared" si="20"/>
        <v>1</v>
      </c>
      <c r="M87" s="16" t="str">
        <f t="shared" si="26"/>
        <v>January</v>
      </c>
      <c r="N87" s="16" t="str">
        <f t="shared" si="21"/>
        <v/>
      </c>
      <c r="O87" s="16" t="str">
        <f>IF(N87="","",COUNTIF($N$8:N87,N87))</f>
        <v/>
      </c>
      <c r="P87" s="34" t="str">
        <f t="shared" si="22"/>
        <v/>
      </c>
      <c r="Q87" s="34" t="str">
        <f t="shared" si="23"/>
        <v/>
      </c>
      <c r="R87" s="34" t="str">
        <f t="shared" si="24"/>
        <v>Beban</v>
      </c>
      <c r="S87" s="34" t="str">
        <f t="shared" si="25"/>
        <v>Depresiasi &amp; Amortisasi</v>
      </c>
      <c r="T87" s="34" t="str">
        <f t="shared" si="27"/>
        <v/>
      </c>
      <c r="U87" s="34" t="str">
        <f>IF(AND(L87=1,bp_kode=T87,T87&lt;&gt;""),COUNTIF($T$8:T87,T87),"")</f>
        <v/>
      </c>
      <c r="V87" s="34" t="str">
        <f t="shared" si="28"/>
        <v>db</v>
      </c>
      <c r="W87" s="34" t="str">
        <f t="shared" si="29"/>
        <v>db</v>
      </c>
      <c r="X87" s="34" t="str">
        <f>IF(B87="","",COUNTIF($C$8:C87,C87)&amp;C87)</f>
        <v>0</v>
      </c>
    </row>
    <row r="88" spans="2:24" ht="23.1" customHeight="1">
      <c r="B88" s="31">
        <v>44592</v>
      </c>
      <c r="C88" s="9"/>
      <c r="D88" s="9" t="s">
        <v>665</v>
      </c>
      <c r="E88" s="7"/>
      <c r="F88" s="7"/>
      <c r="G88" s="7"/>
      <c r="H88" s="7" t="s">
        <v>661</v>
      </c>
      <c r="I88" s="7" t="s">
        <v>672</v>
      </c>
      <c r="J88" s="39">
        <v>41666</v>
      </c>
      <c r="L88" s="16">
        <f t="shared" si="20"/>
        <v>1</v>
      </c>
      <c r="M88" s="16" t="str">
        <f t="shared" si="26"/>
        <v>January</v>
      </c>
      <c r="N88" s="16" t="str">
        <f t="shared" si="21"/>
        <v/>
      </c>
      <c r="O88" s="16" t="str">
        <f>IF(N88="","",COUNTIF($N$8:N88,N88))</f>
        <v/>
      </c>
      <c r="P88" s="34" t="str">
        <f t="shared" si="22"/>
        <v/>
      </c>
      <c r="Q88" s="34" t="str">
        <f t="shared" si="23"/>
        <v/>
      </c>
      <c r="R88" s="34" t="str">
        <f t="shared" si="24"/>
        <v>Beban</v>
      </c>
      <c r="S88" s="34" t="str">
        <f t="shared" si="25"/>
        <v>Depresiasi &amp; Amortisasi</v>
      </c>
      <c r="T88" s="34" t="str">
        <f t="shared" si="27"/>
        <v/>
      </c>
      <c r="U88" s="34" t="str">
        <f>IF(AND(L88=1,bp_kode=T88,T88&lt;&gt;""),COUNTIF($T$8:T88,T88),"")</f>
        <v/>
      </c>
      <c r="V88" s="34" t="str">
        <f t="shared" si="28"/>
        <v>db</v>
      </c>
      <c r="W88" s="34" t="str">
        <f t="shared" si="29"/>
        <v>db</v>
      </c>
      <c r="X88" s="34" t="str">
        <f>IF(B88="","",COUNTIF($C$8:C88,C88)&amp;C88)</f>
        <v>0</v>
      </c>
    </row>
    <row r="89" spans="2:24" ht="23.1" customHeight="1">
      <c r="B89" s="31">
        <v>44592</v>
      </c>
      <c r="C89" s="9"/>
      <c r="D89" s="9" t="s">
        <v>666</v>
      </c>
      <c r="E89" s="7"/>
      <c r="F89" s="7"/>
      <c r="G89" s="7"/>
      <c r="H89" s="7" t="s">
        <v>662</v>
      </c>
      <c r="I89" s="7" t="s">
        <v>673</v>
      </c>
      <c r="J89" s="39">
        <v>5654493</v>
      </c>
      <c r="L89" s="16">
        <f t="shared" si="20"/>
        <v>1</v>
      </c>
      <c r="M89" s="16" t="str">
        <f t="shared" si="26"/>
        <v>January</v>
      </c>
      <c r="N89" s="16" t="str">
        <f t="shared" si="21"/>
        <v/>
      </c>
      <c r="O89" s="16" t="str">
        <f>IF(N89="","",COUNTIF($N$8:N89,N89))</f>
        <v/>
      </c>
      <c r="P89" s="34" t="str">
        <f t="shared" si="22"/>
        <v/>
      </c>
      <c r="Q89" s="34" t="str">
        <f t="shared" si="23"/>
        <v/>
      </c>
      <c r="R89" s="34" t="str">
        <f t="shared" si="24"/>
        <v>Beban</v>
      </c>
      <c r="S89" s="34" t="str">
        <f t="shared" si="25"/>
        <v>Depresiasi &amp; Amortisasi</v>
      </c>
      <c r="T89" s="34" t="str">
        <f t="shared" si="27"/>
        <v/>
      </c>
      <c r="U89" s="34" t="str">
        <f>IF(AND(L89=1,bp_kode=T89,T89&lt;&gt;""),COUNTIF($T$8:T89,T89),"")</f>
        <v/>
      </c>
      <c r="V89" s="34" t="str">
        <f t="shared" si="28"/>
        <v>db</v>
      </c>
      <c r="W89" s="34" t="str">
        <f t="shared" si="29"/>
        <v>db</v>
      </c>
      <c r="X89" s="34" t="str">
        <f>IF(B89="","",COUNTIF($C$8:C89,C89)&amp;C89)</f>
        <v>0</v>
      </c>
    </row>
    <row r="90" spans="2:24" ht="23.1" customHeight="1">
      <c r="B90" s="31">
        <v>44592</v>
      </c>
      <c r="C90" s="9"/>
      <c r="D90" s="9" t="s">
        <v>669</v>
      </c>
      <c r="E90" s="7"/>
      <c r="F90" s="7"/>
      <c r="G90" s="7"/>
      <c r="H90" s="7" t="s">
        <v>667</v>
      </c>
      <c r="I90" s="7" t="s">
        <v>674</v>
      </c>
      <c r="J90" s="39">
        <v>17325229</v>
      </c>
      <c r="L90" s="16">
        <f t="shared" si="20"/>
        <v>1</v>
      </c>
      <c r="M90" s="16" t="str">
        <f t="shared" si="26"/>
        <v>January</v>
      </c>
      <c r="N90" s="16" t="str">
        <f t="shared" si="21"/>
        <v/>
      </c>
      <c r="O90" s="16" t="str">
        <f>IF(N90="","",COUNTIF($N$8:N90,N90))</f>
        <v/>
      </c>
      <c r="P90" s="34" t="str">
        <f t="shared" si="22"/>
        <v/>
      </c>
      <c r="Q90" s="34" t="str">
        <f t="shared" si="23"/>
        <v/>
      </c>
      <c r="R90" s="34" t="str">
        <f t="shared" si="24"/>
        <v>Beban</v>
      </c>
      <c r="S90" s="34" t="str">
        <f t="shared" si="25"/>
        <v>Depresiasi &amp; Amortisasi</v>
      </c>
      <c r="T90" s="34" t="str">
        <f t="shared" si="27"/>
        <v/>
      </c>
      <c r="U90" s="34" t="str">
        <f>IF(AND(L90=1,bp_kode=T90,T90&lt;&gt;""),COUNTIF($T$8:T90,T90),"")</f>
        <v/>
      </c>
      <c r="V90" s="34" t="str">
        <f t="shared" si="28"/>
        <v>db</v>
      </c>
      <c r="W90" s="34" t="str">
        <f t="shared" si="29"/>
        <v>db</v>
      </c>
      <c r="X90" s="34" t="str">
        <f>IF(B90="","",COUNTIF($C$8:C90,C90)&amp;C90)</f>
        <v>0</v>
      </c>
    </row>
    <row r="91" spans="2:24" ht="23.1" customHeight="1">
      <c r="B91" s="31">
        <v>44592</v>
      </c>
      <c r="C91" s="9"/>
      <c r="D91" s="9" t="s">
        <v>670</v>
      </c>
      <c r="E91" s="7"/>
      <c r="F91" s="7"/>
      <c r="G91" s="7"/>
      <c r="H91" s="7" t="s">
        <v>668</v>
      </c>
      <c r="I91" s="7" t="s">
        <v>675</v>
      </c>
      <c r="J91" s="39">
        <v>5265000</v>
      </c>
      <c r="L91" s="16">
        <f t="shared" si="20"/>
        <v>1</v>
      </c>
      <c r="M91" s="16" t="str">
        <f t="shared" si="26"/>
        <v>January</v>
      </c>
      <c r="N91" s="16" t="str">
        <f t="shared" si="21"/>
        <v/>
      </c>
      <c r="O91" s="16" t="str">
        <f>IF(N91="","",COUNTIF($N$8:N91,N91))</f>
        <v/>
      </c>
      <c r="P91" s="34" t="str">
        <f t="shared" si="22"/>
        <v/>
      </c>
      <c r="Q91" s="34" t="str">
        <f t="shared" si="23"/>
        <v/>
      </c>
      <c r="R91" s="34" t="str">
        <f t="shared" si="24"/>
        <v>Beban</v>
      </c>
      <c r="S91" s="34" t="str">
        <f t="shared" si="25"/>
        <v>Depresiasi &amp; Amortisasi</v>
      </c>
      <c r="T91" s="34" t="str">
        <f t="shared" si="27"/>
        <v/>
      </c>
      <c r="U91" s="34" t="str">
        <f>IF(AND(L91=1,bp_kode=T91,T91&lt;&gt;""),COUNTIF($T$8:T91,T91),"")</f>
        <v/>
      </c>
      <c r="V91" s="34" t="str">
        <f t="shared" si="28"/>
        <v>db</v>
      </c>
      <c r="W91" s="34" t="str">
        <f t="shared" si="29"/>
        <v>db</v>
      </c>
      <c r="X91" s="34" t="str">
        <f>IF(B91="","",COUNTIF($C$8:C91,C91)&amp;C91)</f>
        <v>0</v>
      </c>
    </row>
    <row r="92" spans="2:24" ht="23.1" customHeight="1">
      <c r="B92" s="31">
        <v>44592</v>
      </c>
      <c r="C92" s="9"/>
      <c r="D92" s="9" t="s">
        <v>676</v>
      </c>
      <c r="E92" s="7"/>
      <c r="F92" s="7"/>
      <c r="G92" s="7"/>
      <c r="H92" s="7" t="s">
        <v>677</v>
      </c>
      <c r="I92" s="7" t="s">
        <v>582</v>
      </c>
      <c r="J92" s="39">
        <v>1242433</v>
      </c>
      <c r="L92" s="16">
        <f t="shared" si="20"/>
        <v>1</v>
      </c>
      <c r="M92" s="16" t="str">
        <f t="shared" si="26"/>
        <v>January</v>
      </c>
      <c r="N92" s="16" t="str">
        <f t="shared" si="21"/>
        <v/>
      </c>
      <c r="O92" s="16" t="str">
        <f>IF(N92="","",COUNTIF($N$8:N92,N92))</f>
        <v/>
      </c>
      <c r="P92" s="34" t="str">
        <f t="shared" si="22"/>
        <v>outBeban</v>
      </c>
      <c r="Q92" s="34" t="str">
        <f t="shared" si="23"/>
        <v>outJanuaryBeban</v>
      </c>
      <c r="R92" s="34" t="str">
        <f t="shared" si="24"/>
        <v>Beban</v>
      </c>
      <c r="S92" s="34" t="str">
        <f t="shared" si="25"/>
        <v>Kas</v>
      </c>
      <c r="T92" s="34" t="str">
        <f t="shared" si="27"/>
        <v/>
      </c>
      <c r="U92" s="34" t="str">
        <f>IF(AND(L92=1,bp_kode=T92,T92&lt;&gt;""),COUNTIF($T$8:T92,T92),"")</f>
        <v/>
      </c>
      <c r="V92" s="34" t="str">
        <f t="shared" si="28"/>
        <v>db</v>
      </c>
      <c r="W92" s="34" t="str">
        <f t="shared" si="29"/>
        <v>db</v>
      </c>
      <c r="X92" s="34" t="str">
        <f>IF(B92="","",COUNTIF($C$8:C92,C92)&amp;C92)</f>
        <v>0</v>
      </c>
    </row>
    <row r="93" spans="2:24" s="328" customFormat="1" ht="23.1" customHeight="1">
      <c r="B93" s="329">
        <v>44592</v>
      </c>
      <c r="C93" s="330"/>
      <c r="D93" s="330" t="s">
        <v>683</v>
      </c>
      <c r="E93" s="331"/>
      <c r="F93" s="331"/>
      <c r="G93" s="331"/>
      <c r="H93" s="331" t="s">
        <v>586</v>
      </c>
      <c r="I93" s="331" t="s">
        <v>684</v>
      </c>
      <c r="J93" s="332">
        <v>996600</v>
      </c>
      <c r="L93" s="333">
        <f t="shared" si="20"/>
        <v>1</v>
      </c>
      <c r="M93" s="333" t="str">
        <f t="shared" si="26"/>
        <v>January</v>
      </c>
      <c r="N93" s="333" t="str">
        <f t="shared" si="21"/>
        <v/>
      </c>
      <c r="O93" s="333" t="str">
        <f>IF(N93="","",COUNTIF($N$8:N93,N93))</f>
        <v/>
      </c>
      <c r="P93" s="334" t="str">
        <f t="shared" si="22"/>
        <v>InPendapatan Lainnya</v>
      </c>
      <c r="Q93" s="334" t="str">
        <f t="shared" si="23"/>
        <v>inJanuaryPendapatan Lainnya</v>
      </c>
      <c r="R93" s="334" t="str">
        <f t="shared" si="24"/>
        <v>Bank</v>
      </c>
      <c r="S93" s="334" t="str">
        <f t="shared" si="25"/>
        <v>Pendapatan Lainnya</v>
      </c>
      <c r="T93" s="334" t="str">
        <f t="shared" si="27"/>
        <v/>
      </c>
      <c r="U93" s="334" t="str">
        <f>IF(AND(L93=1,bp_kode=T93,T93&lt;&gt;""),COUNTIF($T$8:T93,T93),"")</f>
        <v/>
      </c>
      <c r="V93" s="334" t="str">
        <f t="shared" si="28"/>
        <v>kr</v>
      </c>
      <c r="W93" s="334" t="str">
        <f t="shared" si="29"/>
        <v>kr</v>
      </c>
      <c r="X93" s="334" t="str">
        <f>IF(B93="","",COUNTIF($C$8:C93,C93)&amp;C93)</f>
        <v>0</v>
      </c>
    </row>
    <row r="94" spans="2:24" ht="23.1" customHeight="1">
      <c r="B94" s="31">
        <v>44620</v>
      </c>
      <c r="C94" s="9"/>
      <c r="D94" s="9" t="s">
        <v>550</v>
      </c>
      <c r="E94" s="7"/>
      <c r="F94" s="7"/>
      <c r="G94" s="7"/>
      <c r="H94" s="7" t="s">
        <v>551</v>
      </c>
      <c r="I94" s="7" t="s">
        <v>503</v>
      </c>
      <c r="J94" s="39">
        <v>559820000</v>
      </c>
      <c r="L94" s="16">
        <f t="shared" si="20"/>
        <v>1</v>
      </c>
      <c r="M94" s="16" t="str">
        <f t="shared" si="26"/>
        <v>February</v>
      </c>
      <c r="N94" s="16" t="str">
        <f t="shared" si="21"/>
        <v/>
      </c>
      <c r="O94" s="16" t="str">
        <f>IF(N94="","",COUNTIF($N$8:N94,N94))</f>
        <v/>
      </c>
      <c r="P94" s="34" t="str">
        <f t="shared" si="22"/>
        <v/>
      </c>
      <c r="Q94" s="34" t="str">
        <f t="shared" si="23"/>
        <v/>
      </c>
      <c r="R94" s="34" t="str">
        <f t="shared" si="24"/>
        <v>Akun Piutang</v>
      </c>
      <c r="S94" s="34" t="str">
        <f t="shared" si="25"/>
        <v>Pendapatan</v>
      </c>
      <c r="T94" s="34">
        <f t="shared" si="27"/>
        <v>0</v>
      </c>
      <c r="U94" s="34" t="str">
        <f>IF(AND(L94=1,bp_kode=T94,T94&lt;&gt;""),COUNTIF($T$8:T94,T94),"")</f>
        <v/>
      </c>
      <c r="V94" s="34" t="str">
        <f t="shared" si="28"/>
        <v>kr</v>
      </c>
      <c r="W94" s="34" t="str">
        <f t="shared" si="29"/>
        <v>kr</v>
      </c>
      <c r="X94" s="34" t="str">
        <f>IF(B94="","",COUNTIF($C$8:C94,C94)&amp;C94)</f>
        <v>0</v>
      </c>
    </row>
    <row r="95" spans="2:24" ht="23.1" customHeight="1">
      <c r="B95" s="31">
        <v>44620</v>
      </c>
      <c r="C95" s="9"/>
      <c r="D95" s="9" t="s">
        <v>552</v>
      </c>
      <c r="E95" s="7"/>
      <c r="F95" s="7"/>
      <c r="G95" s="7"/>
      <c r="H95" s="7" t="s">
        <v>587</v>
      </c>
      <c r="I95" s="7" t="s">
        <v>553</v>
      </c>
      <c r="J95" s="39">
        <v>3794000</v>
      </c>
      <c r="L95" s="16">
        <f t="shared" si="20"/>
        <v>1</v>
      </c>
      <c r="M95" s="16" t="str">
        <f t="shared" si="26"/>
        <v>February</v>
      </c>
      <c r="N95" s="16" t="str">
        <f t="shared" si="21"/>
        <v/>
      </c>
      <c r="O95" s="16" t="str">
        <f>IF(N95="","",COUNTIF($N$8:N95,N95))</f>
        <v/>
      </c>
      <c r="P95" s="34" t="str">
        <f t="shared" si="22"/>
        <v/>
      </c>
      <c r="Q95" s="34" t="str">
        <f t="shared" si="23"/>
        <v/>
      </c>
      <c r="R95" s="34" t="str">
        <f t="shared" si="24"/>
        <v>Akun Piutang</v>
      </c>
      <c r="S95" s="34" t="str">
        <f t="shared" si="25"/>
        <v>Pendapatan</v>
      </c>
      <c r="T95" s="34">
        <f t="shared" si="27"/>
        <v>0</v>
      </c>
      <c r="U95" s="34" t="str">
        <f>IF(AND(L95=1,bp_kode=T95,T95&lt;&gt;""),COUNTIF($T$8:T95,T95),"")</f>
        <v/>
      </c>
      <c r="V95" s="34" t="str">
        <f t="shared" si="28"/>
        <v>kr</v>
      </c>
      <c r="W95" s="34" t="str">
        <f t="shared" si="29"/>
        <v>kr</v>
      </c>
      <c r="X95" s="34" t="str">
        <f>IF(B95="","",COUNTIF($C$8:C95,C95)&amp;C95)</f>
        <v>0</v>
      </c>
    </row>
    <row r="96" spans="2:24" ht="23.1" customHeight="1">
      <c r="B96" s="31">
        <v>44620</v>
      </c>
      <c r="C96" s="9"/>
      <c r="D96" s="9" t="s">
        <v>555</v>
      </c>
      <c r="E96" s="7"/>
      <c r="F96" s="7"/>
      <c r="G96" s="7"/>
      <c r="H96" s="7" t="s">
        <v>554</v>
      </c>
      <c r="I96" s="7" t="s">
        <v>556</v>
      </c>
      <c r="J96" s="39">
        <v>176825000</v>
      </c>
      <c r="L96" s="16">
        <f t="shared" si="20"/>
        <v>1</v>
      </c>
      <c r="M96" s="16" t="str">
        <f t="shared" si="26"/>
        <v>February</v>
      </c>
      <c r="N96" s="16" t="str">
        <f t="shared" si="21"/>
        <v/>
      </c>
      <c r="O96" s="16" t="str">
        <f>IF(N96="","",COUNTIF($N$8:N96,N96))</f>
        <v/>
      </c>
      <c r="P96" s="34" t="str">
        <f t="shared" si="22"/>
        <v>InPendapatan</v>
      </c>
      <c r="Q96" s="34" t="str">
        <f t="shared" si="23"/>
        <v>inFebruaryPendapatan</v>
      </c>
      <c r="R96" s="34" t="str">
        <f t="shared" si="24"/>
        <v>Kas</v>
      </c>
      <c r="S96" s="34" t="str">
        <f t="shared" si="25"/>
        <v>Pendapatan</v>
      </c>
      <c r="T96" s="34" t="str">
        <f t="shared" si="27"/>
        <v/>
      </c>
      <c r="U96" s="34" t="str">
        <f>IF(AND(L96=1,bp_kode=T96,T96&lt;&gt;""),COUNTIF($T$8:T96,T96),"")</f>
        <v/>
      </c>
      <c r="V96" s="34" t="str">
        <f t="shared" si="28"/>
        <v>kr</v>
      </c>
      <c r="W96" s="34" t="str">
        <f t="shared" si="29"/>
        <v>kr</v>
      </c>
      <c r="X96" s="34" t="str">
        <f>IF(B96="","",COUNTIF($C$8:C96,C96)&amp;C96)</f>
        <v>0</v>
      </c>
    </row>
    <row r="97" spans="2:24" ht="23.1" customHeight="1">
      <c r="B97" s="31">
        <v>44620</v>
      </c>
      <c r="C97" s="9"/>
      <c r="D97" s="9" t="s">
        <v>555</v>
      </c>
      <c r="E97" s="7"/>
      <c r="F97" s="7"/>
      <c r="G97" s="7"/>
      <c r="H97" s="7" t="s">
        <v>557</v>
      </c>
      <c r="I97" s="7" t="s">
        <v>556</v>
      </c>
      <c r="J97" s="39">
        <v>11875000</v>
      </c>
      <c r="L97" s="16">
        <f t="shared" si="20"/>
        <v>1</v>
      </c>
      <c r="M97" s="16" t="str">
        <f t="shared" si="26"/>
        <v>February</v>
      </c>
      <c r="N97" s="16" t="str">
        <f t="shared" si="21"/>
        <v/>
      </c>
      <c r="O97" s="16" t="str">
        <f>IF(N97="","",COUNTIF($N$8:N97,N97))</f>
        <v/>
      </c>
      <c r="P97" s="34" t="str">
        <f t="shared" si="22"/>
        <v/>
      </c>
      <c r="Q97" s="34" t="str">
        <f t="shared" si="23"/>
        <v/>
      </c>
      <c r="R97" s="34" t="str">
        <f t="shared" si="24"/>
        <v>Akun Piutang</v>
      </c>
      <c r="S97" s="34" t="str">
        <f t="shared" si="25"/>
        <v>Pendapatan</v>
      </c>
      <c r="T97" s="34">
        <f t="shared" si="27"/>
        <v>0</v>
      </c>
      <c r="U97" s="34" t="str">
        <f>IF(AND(L97=1,bp_kode=T97,T97&lt;&gt;""),COUNTIF($T$8:T97,T97),"")</f>
        <v/>
      </c>
      <c r="V97" s="34" t="str">
        <f t="shared" si="28"/>
        <v>kr</v>
      </c>
      <c r="W97" s="34" t="str">
        <f t="shared" si="29"/>
        <v>kr</v>
      </c>
      <c r="X97" s="34" t="str">
        <f>IF(B97="","",COUNTIF($C$8:C97,C97)&amp;C97)</f>
        <v>0</v>
      </c>
    </row>
    <row r="98" spans="2:24" ht="23.1" customHeight="1">
      <c r="B98" s="31">
        <v>44620</v>
      </c>
      <c r="C98" s="9"/>
      <c r="D98" s="9" t="s">
        <v>558</v>
      </c>
      <c r="E98" s="7"/>
      <c r="F98" s="7"/>
      <c r="G98" s="7"/>
      <c r="H98" s="7" t="s">
        <v>559</v>
      </c>
      <c r="I98" s="7" t="s">
        <v>560</v>
      </c>
      <c r="J98" s="39">
        <v>435922000</v>
      </c>
      <c r="L98" s="16">
        <f t="shared" si="20"/>
        <v>1</v>
      </c>
      <c r="M98" s="16" t="str">
        <f t="shared" si="26"/>
        <v>February</v>
      </c>
      <c r="N98" s="16" t="str">
        <f t="shared" si="21"/>
        <v/>
      </c>
      <c r="O98" s="16" t="str">
        <f>IF(N98="","",COUNTIF($N$8:N98,N98))</f>
        <v/>
      </c>
      <c r="P98" s="34" t="str">
        <f t="shared" si="22"/>
        <v/>
      </c>
      <c r="Q98" s="34" t="str">
        <f t="shared" si="23"/>
        <v/>
      </c>
      <c r="R98" s="34" t="str">
        <f t="shared" si="24"/>
        <v>Akun Piutang</v>
      </c>
      <c r="S98" s="34" t="str">
        <f t="shared" si="25"/>
        <v>Pendapatan</v>
      </c>
      <c r="T98" s="34">
        <f t="shared" si="27"/>
        <v>0</v>
      </c>
      <c r="U98" s="34" t="str">
        <f>IF(AND(L98=1,bp_kode=T98,T98&lt;&gt;""),COUNTIF($T$8:T98,T98),"")</f>
        <v/>
      </c>
      <c r="V98" s="34" t="str">
        <f t="shared" si="28"/>
        <v>kr</v>
      </c>
      <c r="W98" s="34" t="str">
        <f t="shared" si="29"/>
        <v>kr</v>
      </c>
      <c r="X98" s="34" t="str">
        <f>IF(B98="","",COUNTIF($C$8:C98,C98)&amp;C98)</f>
        <v>0</v>
      </c>
    </row>
    <row r="99" spans="2:24" ht="23.1" customHeight="1">
      <c r="B99" s="31">
        <v>44620</v>
      </c>
      <c r="C99" s="9"/>
      <c r="D99" s="9" t="s">
        <v>562</v>
      </c>
      <c r="E99" s="7"/>
      <c r="F99" s="7"/>
      <c r="G99" s="7"/>
      <c r="H99" s="7" t="s">
        <v>561</v>
      </c>
      <c r="I99" s="7" t="s">
        <v>504</v>
      </c>
      <c r="J99" s="39">
        <v>117134000</v>
      </c>
      <c r="L99" s="16">
        <f t="shared" si="20"/>
        <v>1</v>
      </c>
      <c r="M99" s="16" t="str">
        <f t="shared" si="26"/>
        <v>February</v>
      </c>
      <c r="N99" s="16" t="str">
        <f t="shared" si="21"/>
        <v/>
      </c>
      <c r="O99" s="16" t="str">
        <f>IF(N99="","",COUNTIF($N$8:N99,N99))</f>
        <v/>
      </c>
      <c r="P99" s="34" t="str">
        <f t="shared" si="22"/>
        <v/>
      </c>
      <c r="Q99" s="34" t="str">
        <f t="shared" si="23"/>
        <v/>
      </c>
      <c r="R99" s="34" t="str">
        <f t="shared" si="24"/>
        <v>Akun Piutang</v>
      </c>
      <c r="S99" s="34" t="str">
        <f t="shared" si="25"/>
        <v>Pendapatan</v>
      </c>
      <c r="T99" s="34">
        <f t="shared" si="27"/>
        <v>0</v>
      </c>
      <c r="U99" s="34" t="str">
        <f>IF(AND(L99=1,bp_kode=T99,T99&lt;&gt;""),COUNTIF($T$8:T99,T99),"")</f>
        <v/>
      </c>
      <c r="V99" s="34" t="str">
        <f t="shared" si="28"/>
        <v>kr</v>
      </c>
      <c r="W99" s="34" t="str">
        <f t="shared" si="29"/>
        <v>kr</v>
      </c>
      <c r="X99" s="34" t="str">
        <f>IF(B99="","",COUNTIF($C$8:C99,C99)&amp;C99)</f>
        <v>0</v>
      </c>
    </row>
    <row r="100" spans="2:24" ht="23.1" customHeight="1">
      <c r="B100" s="31">
        <v>44620</v>
      </c>
      <c r="C100" s="9"/>
      <c r="D100" s="9" t="s">
        <v>563</v>
      </c>
      <c r="E100" s="7"/>
      <c r="F100" s="7"/>
      <c r="G100" s="7"/>
      <c r="H100" s="7" t="s">
        <v>565</v>
      </c>
      <c r="I100" s="7" t="s">
        <v>551</v>
      </c>
      <c r="J100" s="39">
        <v>181812000</v>
      </c>
      <c r="L100" s="16">
        <f t="shared" si="20"/>
        <v>1</v>
      </c>
      <c r="M100" s="16" t="str">
        <f t="shared" si="26"/>
        <v>February</v>
      </c>
      <c r="N100" s="16" t="str">
        <f t="shared" si="21"/>
        <v/>
      </c>
      <c r="O100" s="16" t="str">
        <f>IF(N100="","",COUNTIF($N$8:N100,N100))</f>
        <v/>
      </c>
      <c r="P100" s="34" t="str">
        <f t="shared" si="22"/>
        <v/>
      </c>
      <c r="Q100" s="34" t="str">
        <f t="shared" si="23"/>
        <v/>
      </c>
      <c r="R100" s="34" t="str">
        <f t="shared" si="24"/>
        <v>Pendapatan</v>
      </c>
      <c r="S100" s="34" t="str">
        <f t="shared" si="25"/>
        <v>Akun Piutang</v>
      </c>
      <c r="T100" s="34">
        <f t="shared" si="27"/>
        <v>0</v>
      </c>
      <c r="U100" s="34" t="str">
        <f>IF(AND(L100=1,bp_kode=T100,T100&lt;&gt;""),COUNTIF($T$8:T100,T100),"")</f>
        <v/>
      </c>
      <c r="V100" s="34" t="str">
        <f t="shared" si="28"/>
        <v>db</v>
      </c>
      <c r="W100" s="34" t="str">
        <f t="shared" si="29"/>
        <v>db</v>
      </c>
      <c r="X100" s="34" t="str">
        <f>IF(B100="","",COUNTIF($C$8:C100,C100)&amp;C100)</f>
        <v>0</v>
      </c>
    </row>
    <row r="101" spans="2:24" ht="23.1" customHeight="1">
      <c r="B101" s="31">
        <v>44620</v>
      </c>
      <c r="C101" s="9"/>
      <c r="D101" s="9" t="s">
        <v>564</v>
      </c>
      <c r="E101" s="7"/>
      <c r="F101" s="7"/>
      <c r="G101" s="7"/>
      <c r="H101" s="7" t="s">
        <v>566</v>
      </c>
      <c r="I101" s="7" t="s">
        <v>559</v>
      </c>
      <c r="J101" s="39">
        <v>28476800</v>
      </c>
      <c r="L101" s="16">
        <f t="shared" si="20"/>
        <v>1</v>
      </c>
      <c r="M101" s="16" t="str">
        <f t="shared" si="26"/>
        <v>February</v>
      </c>
      <c r="N101" s="16" t="str">
        <f t="shared" si="21"/>
        <v/>
      </c>
      <c r="O101" s="16" t="str">
        <f>IF(N101="","",COUNTIF($N$8:N101,N101))</f>
        <v/>
      </c>
      <c r="P101" s="34" t="str">
        <f t="shared" si="22"/>
        <v/>
      </c>
      <c r="Q101" s="34" t="str">
        <f t="shared" si="23"/>
        <v/>
      </c>
      <c r="R101" s="34" t="str">
        <f t="shared" si="24"/>
        <v>Pendapatan</v>
      </c>
      <c r="S101" s="34" t="str">
        <f t="shared" si="25"/>
        <v>Akun Piutang</v>
      </c>
      <c r="T101" s="34">
        <f t="shared" si="27"/>
        <v>0</v>
      </c>
      <c r="U101" s="34" t="str">
        <f>IF(AND(L101=1,bp_kode=T101,T101&lt;&gt;""),COUNTIF($T$8:T101,T101),"")</f>
        <v/>
      </c>
      <c r="V101" s="34" t="str">
        <f t="shared" si="28"/>
        <v>db</v>
      </c>
      <c r="W101" s="34" t="str">
        <f t="shared" si="29"/>
        <v>db</v>
      </c>
      <c r="X101" s="34" t="str">
        <f>IF(B101="","",COUNTIF($C$8:C101,C101)&amp;C101)</f>
        <v>0</v>
      </c>
    </row>
    <row r="102" spans="2:24" ht="23.1" customHeight="1">
      <c r="B102" s="31">
        <v>44620</v>
      </c>
      <c r="C102" s="9"/>
      <c r="D102" s="9" t="s">
        <v>687</v>
      </c>
      <c r="E102" s="7"/>
      <c r="F102" s="7"/>
      <c r="G102" s="7"/>
      <c r="H102" s="7" t="s">
        <v>568</v>
      </c>
      <c r="I102" s="7" t="s">
        <v>569</v>
      </c>
      <c r="J102" s="39">
        <v>187473</v>
      </c>
      <c r="L102" s="16">
        <f t="shared" si="20"/>
        <v>1</v>
      </c>
      <c r="M102" s="16" t="str">
        <f t="shared" si="26"/>
        <v>February</v>
      </c>
      <c r="N102" s="16" t="str">
        <f t="shared" si="21"/>
        <v/>
      </c>
      <c r="O102" s="16" t="str">
        <f>IF(N102="","",COUNTIF($N$8:N102,N102))</f>
        <v/>
      </c>
      <c r="P102" s="34" t="str">
        <f t="shared" si="22"/>
        <v>InPendapatan Lainnya</v>
      </c>
      <c r="Q102" s="34" t="str">
        <f t="shared" si="23"/>
        <v>inFebruaryPendapatan Lainnya</v>
      </c>
      <c r="R102" s="34" t="str">
        <f t="shared" si="24"/>
        <v>Bank</v>
      </c>
      <c r="S102" s="34" t="str">
        <f t="shared" si="25"/>
        <v>Pendapatan Lainnya</v>
      </c>
      <c r="T102" s="34" t="str">
        <f t="shared" si="27"/>
        <v/>
      </c>
      <c r="U102" s="34" t="str">
        <f>IF(AND(L102=1,bp_kode=T102,T102&lt;&gt;""),COUNTIF($T$8:T102,T102),"")</f>
        <v/>
      </c>
      <c r="V102" s="34" t="str">
        <f t="shared" si="28"/>
        <v>kr</v>
      </c>
      <c r="W102" s="34" t="str">
        <f t="shared" si="29"/>
        <v>kr</v>
      </c>
      <c r="X102" s="34" t="str">
        <f>IF(B102="","",COUNTIF($C$8:C102,C102)&amp;C102)</f>
        <v>0</v>
      </c>
    </row>
    <row r="103" spans="2:24" ht="23.1" customHeight="1">
      <c r="B103" s="31">
        <v>44620</v>
      </c>
      <c r="C103" s="9"/>
      <c r="D103" s="9" t="s">
        <v>570</v>
      </c>
      <c r="E103" s="7"/>
      <c r="F103" s="7"/>
      <c r="G103" s="7"/>
      <c r="H103" s="7" t="s">
        <v>571</v>
      </c>
      <c r="I103" s="7" t="s">
        <v>568</v>
      </c>
      <c r="J103" s="39">
        <v>37477</v>
      </c>
      <c r="L103" s="16">
        <f t="shared" si="20"/>
        <v>1</v>
      </c>
      <c r="M103" s="16" t="str">
        <f t="shared" si="26"/>
        <v>February</v>
      </c>
      <c r="N103" s="16" t="str">
        <f t="shared" si="21"/>
        <v/>
      </c>
      <c r="O103" s="16" t="str">
        <f>IF(N103="","",COUNTIF($N$8:N103,N103))</f>
        <v/>
      </c>
      <c r="P103" s="34" t="str">
        <f t="shared" si="22"/>
        <v>outBeban Lainnya</v>
      </c>
      <c r="Q103" s="34" t="str">
        <f t="shared" si="23"/>
        <v>outFebruaryBeban Lainnya</v>
      </c>
      <c r="R103" s="34" t="str">
        <f t="shared" si="24"/>
        <v>Beban Lainnya</v>
      </c>
      <c r="S103" s="34" t="str">
        <f t="shared" si="25"/>
        <v>Bank</v>
      </c>
      <c r="T103" s="34" t="str">
        <f t="shared" si="27"/>
        <v/>
      </c>
      <c r="U103" s="34" t="str">
        <f>IF(AND(L103=1,bp_kode=T103,T103&lt;&gt;""),COUNTIF($T$8:T103,T103),"")</f>
        <v/>
      </c>
      <c r="V103" s="34" t="str">
        <f t="shared" si="28"/>
        <v>db</v>
      </c>
      <c r="W103" s="34" t="str">
        <f t="shared" si="29"/>
        <v>db</v>
      </c>
      <c r="X103" s="34" t="str">
        <f>IF(B103="","",COUNTIF($C$8:C103,C103)&amp;C103)</f>
        <v>0</v>
      </c>
    </row>
    <row r="104" spans="2:24" ht="23.1" customHeight="1">
      <c r="B104" s="31">
        <v>44620</v>
      </c>
      <c r="C104" s="9"/>
      <c r="D104" s="9" t="s">
        <v>572</v>
      </c>
      <c r="E104" s="7"/>
      <c r="F104" s="7"/>
      <c r="G104" s="7"/>
      <c r="H104" s="7" t="s">
        <v>640</v>
      </c>
      <c r="I104" s="7" t="s">
        <v>568</v>
      </c>
      <c r="J104" s="39">
        <v>36500</v>
      </c>
      <c r="L104" s="16">
        <f t="shared" ref="L104:L170" si="30">IF(AND(B104&gt;=awal,B104&lt;=akhir,B104&lt;&gt;""),1,IF(AND(B104&lt;&gt;"",B104&lt;awal),2,""))</f>
        <v>1</v>
      </c>
      <c r="M104" s="16" t="str">
        <f t="shared" si="26"/>
        <v>February</v>
      </c>
      <c r="N104" s="16" t="str">
        <f t="shared" ref="N104:N170" si="31">IF(AND(L104=1,H104=bb_akun),"Awe",IF(AND(L104=1,I104=bb_akun),"Awe",""))</f>
        <v/>
      </c>
      <c r="O104" s="16" t="str">
        <f>IF(N104="","",COUNTIF($N$8:N104,N104))</f>
        <v/>
      </c>
      <c r="P104" s="34" t="str">
        <f t="shared" ref="P104:P170" si="32">IFERROR(IF(OR(INDEX(akun_type,MATCH(H104,akun_kb,0))="Kas",INDEX(akun_type,MATCH(H104,akun_kb,0))="Bank"),"In"&amp;INDEX(akun_type,MATCH(I104,akun_kb,0)),IF(OR(INDEX(akun_type,MATCH(I104,akun_kb,0))="Kas",INDEX(akun_type,MATCH(I104,akun_kb,0))="Bank"),"out"&amp;INDEX(akun_type,MATCH(H104,akun_kb,0)),"")),"")</f>
        <v>outBeban Lainnya</v>
      </c>
      <c r="Q104" s="34" t="str">
        <f t="shared" ref="Q104:Q170" si="33">IFERROR(IF(OR(INDEX(akun_type,MATCH(H104,akun_kb,0))="Kas",INDEX(akun_type,MATCH(H104,akun_kb,0))="Bank"),"in"&amp;TEXT(B104,"mmmm")&amp;INDEX(akun_type,MATCH(I104,akun_kb,0)),IF(OR(INDEX(akun_type,MATCH(I104,akun_kb,0))="Kas",INDEX(akun_type,MATCH(I104,akun_kb,0))="Bank"),"out"&amp;TEXT(B104,"mmmm")&amp;INDEX(akun_type,MATCH(H104,akun_kb,0)),"")),"")</f>
        <v>outFebruaryBeban Lainnya</v>
      </c>
      <c r="R104" s="34" t="str">
        <f t="shared" si="24"/>
        <v>Beban Lainnya</v>
      </c>
      <c r="S104" s="34" t="str">
        <f t="shared" si="25"/>
        <v>Bank</v>
      </c>
      <c r="T104" s="34" t="str">
        <f t="shared" si="27"/>
        <v/>
      </c>
      <c r="U104" s="34" t="str">
        <f>IF(AND(L104=1,bp_kode=T104,T104&lt;&gt;""),COUNTIF($T$8:T104,T104),"")</f>
        <v/>
      </c>
      <c r="V104" s="34" t="str">
        <f t="shared" si="28"/>
        <v>db</v>
      </c>
      <c r="W104" s="34" t="str">
        <f t="shared" si="29"/>
        <v>db</v>
      </c>
      <c r="X104" s="34" t="str">
        <f>IF(B104="","",COUNTIF($C$8:C104,C104)&amp;C104)</f>
        <v>0</v>
      </c>
    </row>
    <row r="105" spans="2:24" ht="23.1" customHeight="1">
      <c r="B105" s="31">
        <v>44620</v>
      </c>
      <c r="C105" s="9"/>
      <c r="D105" s="9" t="s">
        <v>573</v>
      </c>
      <c r="E105" s="7"/>
      <c r="F105" s="7"/>
      <c r="G105" s="7"/>
      <c r="H105" s="7" t="s">
        <v>568</v>
      </c>
      <c r="I105" s="7" t="s">
        <v>559</v>
      </c>
      <c r="J105" s="39">
        <v>29447100</v>
      </c>
      <c r="L105" s="16">
        <f t="shared" si="30"/>
        <v>1</v>
      </c>
      <c r="M105" s="16" t="str">
        <f t="shared" si="26"/>
        <v>February</v>
      </c>
      <c r="N105" s="16" t="str">
        <f t="shared" si="31"/>
        <v/>
      </c>
      <c r="O105" s="16" t="str">
        <f>IF(N105="","",COUNTIF($N$8:N105,N105))</f>
        <v/>
      </c>
      <c r="P105" s="34" t="str">
        <f t="shared" si="32"/>
        <v>InAkun Piutang</v>
      </c>
      <c r="Q105" s="34" t="str">
        <f t="shared" si="33"/>
        <v>inFebruaryAkun Piutang</v>
      </c>
      <c r="R105" s="34" t="str">
        <f t="shared" si="24"/>
        <v>Bank</v>
      </c>
      <c r="S105" s="34" t="str">
        <f t="shared" si="25"/>
        <v>Akun Piutang</v>
      </c>
      <c r="T105" s="34">
        <f t="shared" si="27"/>
        <v>0</v>
      </c>
      <c r="U105" s="34" t="str">
        <f>IF(AND(L105=1,bp_kode=T105,T105&lt;&gt;""),COUNTIF($T$8:T105,T105),"")</f>
        <v/>
      </c>
      <c r="V105" s="34" t="str">
        <f t="shared" si="28"/>
        <v/>
      </c>
      <c r="W105" s="34" t="str">
        <f t="shared" si="29"/>
        <v/>
      </c>
      <c r="X105" s="34" t="str">
        <f>IF(B105="","",COUNTIF($C$8:C105,C105)&amp;C105)</f>
        <v>0</v>
      </c>
    </row>
    <row r="106" spans="2:24" ht="23.1" customHeight="1">
      <c r="B106" s="31">
        <v>44620</v>
      </c>
      <c r="C106" s="9"/>
      <c r="D106" s="9" t="s">
        <v>687</v>
      </c>
      <c r="E106" s="7"/>
      <c r="F106" s="7"/>
      <c r="G106" s="7"/>
      <c r="H106" s="7" t="s">
        <v>575</v>
      </c>
      <c r="I106" s="7" t="s">
        <v>569</v>
      </c>
      <c r="J106" s="39">
        <v>1252</v>
      </c>
      <c r="L106" s="16">
        <f t="shared" si="30"/>
        <v>1</v>
      </c>
      <c r="M106" s="16" t="str">
        <f t="shared" ref="M106" si="34">IF(B106="","",TEXT(B106,"mmmm"))</f>
        <v>February</v>
      </c>
      <c r="N106" s="16" t="str">
        <f t="shared" si="31"/>
        <v/>
      </c>
      <c r="O106" s="16" t="str">
        <f>IF(N106="","",COUNTIF($N$8:N106,N106))</f>
        <v/>
      </c>
      <c r="P106" s="34" t="str">
        <f t="shared" si="32"/>
        <v>InPendapatan Lainnya</v>
      </c>
      <c r="Q106" s="34" t="str">
        <f t="shared" si="33"/>
        <v>inFebruaryPendapatan Lainnya</v>
      </c>
      <c r="R106" s="34" t="str">
        <f t="shared" ref="R106" si="35">IFERROR(INDEX(akun_type,MATCH(H106,akun_kb,0)),"")</f>
        <v>Bank</v>
      </c>
      <c r="S106" s="34" t="str">
        <f t="shared" ref="S106" si="36">IFERROR(INDEX(akun_type,MATCH(I106,akun_kb,0)),"")</f>
        <v>Pendapatan Lainnya</v>
      </c>
      <c r="T106" s="34" t="str">
        <f t="shared" ref="T106" si="37">IF(AND(L106=1,OR(R106="Akun Piutang",R106="akun hutang",S106="akun piutang",S106="akun hutang")),E106,"")</f>
        <v/>
      </c>
      <c r="U106" s="34" t="str">
        <f>IF(AND(L106=1,bp_kode=T106,T106&lt;&gt;""),COUNTIF($T$8:T106,T106),"")</f>
        <v/>
      </c>
      <c r="V106" s="34" t="str">
        <f t="shared" ref="V106" si="38">IF(OR(R106="Pendapatan",R106="Pendapatan Lainnya",R106="Beban",R106="Harga Pokok Penjualan",R106="Beban Lainnya"),"db"&amp;F106,IF(OR(S106="Pendapatan",S106="Pendapatan Lainnya",S106="Beban",S106="Harga Pokok Penjualan",S106="Beban Lainnya"),"kr"&amp;F106,""))</f>
        <v>kr</v>
      </c>
      <c r="W106" s="34" t="str">
        <f t="shared" ref="W106" si="39">IF(OR(R106="Pendapatan",R106="Pendapatan Lainnya",R106="Beban",R106="Harga Pokok Penjualan",R106="Beban Lainnya"),"db"&amp;G106,IF(OR(S106="Pendapatan",S106="Pendapatan Lainnya",S106="Beban",S106="Harga Pokok Penjualan",S106="Beban Lainnya"),"kr"&amp;G106,""))</f>
        <v>kr</v>
      </c>
      <c r="X106" s="34" t="str">
        <f>IF(B106="","",COUNTIF($C$8:C106,C106)&amp;C106)</f>
        <v>0</v>
      </c>
    </row>
    <row r="107" spans="2:24" ht="23.1" customHeight="1">
      <c r="B107" s="31">
        <v>44620</v>
      </c>
      <c r="C107" s="9"/>
      <c r="D107" s="9" t="s">
        <v>574</v>
      </c>
      <c r="E107" s="7"/>
      <c r="F107" s="7"/>
      <c r="G107" s="7"/>
      <c r="H107" s="7" t="s">
        <v>640</v>
      </c>
      <c r="I107" s="7" t="s">
        <v>575</v>
      </c>
      <c r="J107" s="39">
        <v>36500</v>
      </c>
      <c r="L107" s="16">
        <f t="shared" si="30"/>
        <v>1</v>
      </c>
      <c r="M107" s="16" t="str">
        <f t="shared" si="26"/>
        <v>February</v>
      </c>
      <c r="N107" s="16" t="str">
        <f t="shared" si="31"/>
        <v/>
      </c>
      <c r="O107" s="16" t="str">
        <f>IF(N107="","",COUNTIF($N$8:N107,N107))</f>
        <v/>
      </c>
      <c r="P107" s="34" t="str">
        <f t="shared" si="32"/>
        <v>outBeban Lainnya</v>
      </c>
      <c r="Q107" s="34" t="str">
        <f t="shared" si="33"/>
        <v>outFebruaryBeban Lainnya</v>
      </c>
      <c r="R107" s="34" t="str">
        <f t="shared" si="24"/>
        <v>Beban Lainnya</v>
      </c>
      <c r="S107" s="34" t="str">
        <f t="shared" si="25"/>
        <v>Bank</v>
      </c>
      <c r="T107" s="34" t="str">
        <f t="shared" si="27"/>
        <v/>
      </c>
      <c r="U107" s="34" t="str">
        <f>IF(AND(L107=1,bp_kode=T107,T107&lt;&gt;""),COUNTIF($T$8:T107,T107),"")</f>
        <v/>
      </c>
      <c r="V107" s="34" t="str">
        <f t="shared" si="28"/>
        <v>db</v>
      </c>
      <c r="W107" s="34" t="str">
        <f t="shared" si="29"/>
        <v>db</v>
      </c>
      <c r="X107" s="34" t="str">
        <f>IF(B107="","",COUNTIF($C$8:C107,C107)&amp;C107)</f>
        <v>0</v>
      </c>
    </row>
    <row r="108" spans="2:24" ht="23.1" customHeight="1">
      <c r="B108" s="31">
        <v>44620</v>
      </c>
      <c r="C108" s="9"/>
      <c r="D108" s="9" t="s">
        <v>687</v>
      </c>
      <c r="E108" s="7"/>
      <c r="F108" s="7"/>
      <c r="G108" s="7"/>
      <c r="H108" s="7" t="s">
        <v>577</v>
      </c>
      <c r="I108" s="7" t="s">
        <v>569</v>
      </c>
      <c r="J108" s="39">
        <v>878382.56</v>
      </c>
      <c r="L108" s="16">
        <f t="shared" si="30"/>
        <v>1</v>
      </c>
      <c r="M108" s="16" t="str">
        <f t="shared" si="26"/>
        <v>February</v>
      </c>
      <c r="N108" s="16" t="str">
        <f t="shared" si="31"/>
        <v/>
      </c>
      <c r="O108" s="16" t="str">
        <f>IF(N108="","",COUNTIF($N$8:N108,N108))</f>
        <v/>
      </c>
      <c r="P108" s="34" t="str">
        <f t="shared" si="32"/>
        <v>InPendapatan Lainnya</v>
      </c>
      <c r="Q108" s="34" t="str">
        <f t="shared" si="33"/>
        <v>inFebruaryPendapatan Lainnya</v>
      </c>
      <c r="R108" s="34" t="str">
        <f t="shared" si="24"/>
        <v>Bank</v>
      </c>
      <c r="S108" s="34" t="str">
        <f t="shared" si="25"/>
        <v>Pendapatan Lainnya</v>
      </c>
      <c r="T108" s="34" t="str">
        <f t="shared" si="27"/>
        <v/>
      </c>
      <c r="U108" s="34" t="str">
        <f>IF(AND(L108=1,bp_kode=T108,T108&lt;&gt;""),COUNTIF($T$8:T108,T108),"")</f>
        <v/>
      </c>
      <c r="V108" s="34" t="str">
        <f t="shared" si="28"/>
        <v>kr</v>
      </c>
      <c r="W108" s="34" t="str">
        <f t="shared" si="29"/>
        <v>kr</v>
      </c>
      <c r="X108" s="34" t="str">
        <f>IF(B108="","",COUNTIF($C$8:C108,C108)&amp;C108)</f>
        <v>0</v>
      </c>
    </row>
    <row r="109" spans="2:24" ht="23.1" customHeight="1">
      <c r="B109" s="31">
        <v>44620</v>
      </c>
      <c r="C109" s="9"/>
      <c r="D109" s="9" t="s">
        <v>570</v>
      </c>
      <c r="E109" s="7"/>
      <c r="F109" s="7"/>
      <c r="G109" s="7"/>
      <c r="H109" s="7" t="s">
        <v>571</v>
      </c>
      <c r="I109" s="7" t="s">
        <v>577</v>
      </c>
      <c r="J109" s="39">
        <v>175676.53</v>
      </c>
      <c r="L109" s="16">
        <f t="shared" si="30"/>
        <v>1</v>
      </c>
      <c r="M109" s="16" t="str">
        <f t="shared" si="26"/>
        <v>February</v>
      </c>
      <c r="N109" s="16" t="str">
        <f t="shared" si="31"/>
        <v/>
      </c>
      <c r="O109" s="16" t="str">
        <f>IF(N109="","",COUNTIF($N$8:N109,N109))</f>
        <v/>
      </c>
      <c r="P109" s="34" t="str">
        <f t="shared" si="32"/>
        <v>outBeban Lainnya</v>
      </c>
      <c r="Q109" s="34" t="str">
        <f t="shared" si="33"/>
        <v>outFebruaryBeban Lainnya</v>
      </c>
      <c r="R109" s="34" t="str">
        <f t="shared" si="24"/>
        <v>Beban Lainnya</v>
      </c>
      <c r="S109" s="34" t="str">
        <f t="shared" si="25"/>
        <v>Bank</v>
      </c>
      <c r="T109" s="34" t="str">
        <f t="shared" si="27"/>
        <v/>
      </c>
      <c r="U109" s="34" t="str">
        <f>IF(AND(L109=1,bp_kode=T109,T109&lt;&gt;""),COUNTIF($T$8:T109,T109),"")</f>
        <v/>
      </c>
      <c r="V109" s="34" t="str">
        <f t="shared" si="28"/>
        <v>db</v>
      </c>
      <c r="W109" s="34" t="str">
        <f t="shared" si="29"/>
        <v>db</v>
      </c>
      <c r="X109" s="34" t="str">
        <f>IF(B109="","",COUNTIF($C$8:C109,C109)&amp;C109)</f>
        <v>0</v>
      </c>
    </row>
    <row r="110" spans="2:24" ht="23.1" customHeight="1">
      <c r="B110" s="31">
        <v>44620</v>
      </c>
      <c r="C110" s="9"/>
      <c r="D110" s="9" t="s">
        <v>572</v>
      </c>
      <c r="E110" s="7"/>
      <c r="F110" s="7"/>
      <c r="G110" s="7"/>
      <c r="H110" s="7" t="s">
        <v>640</v>
      </c>
      <c r="I110" s="7" t="s">
        <v>577</v>
      </c>
      <c r="J110" s="39">
        <v>25000</v>
      </c>
      <c r="L110" s="16">
        <f t="shared" si="30"/>
        <v>1</v>
      </c>
      <c r="M110" s="16" t="str">
        <f t="shared" si="26"/>
        <v>February</v>
      </c>
      <c r="N110" s="16" t="str">
        <f t="shared" si="31"/>
        <v/>
      </c>
      <c r="O110" s="16" t="str">
        <f>IF(N110="","",COUNTIF($N$8:N110,N110))</f>
        <v/>
      </c>
      <c r="P110" s="34" t="str">
        <f t="shared" si="32"/>
        <v>outBeban Lainnya</v>
      </c>
      <c r="Q110" s="34" t="str">
        <f t="shared" si="33"/>
        <v>outFebruaryBeban Lainnya</v>
      </c>
      <c r="R110" s="34" t="str">
        <f t="shared" si="24"/>
        <v>Beban Lainnya</v>
      </c>
      <c r="S110" s="34" t="str">
        <f t="shared" si="25"/>
        <v>Bank</v>
      </c>
      <c r="T110" s="34" t="str">
        <f t="shared" si="27"/>
        <v/>
      </c>
      <c r="U110" s="34" t="str">
        <f>IF(AND(L110=1,bp_kode=T110,T110&lt;&gt;""),COUNTIF($T$8:T110,T110),"")</f>
        <v/>
      </c>
      <c r="V110" s="34" t="str">
        <f t="shared" si="28"/>
        <v>db</v>
      </c>
      <c r="W110" s="34" t="str">
        <f t="shared" si="29"/>
        <v>db</v>
      </c>
      <c r="X110" s="34" t="str">
        <f>IF(B110="","",COUNTIF($C$8:C110,C110)&amp;C110)</f>
        <v>0</v>
      </c>
    </row>
    <row r="111" spans="2:24" ht="23.1" customHeight="1">
      <c r="B111" s="31">
        <v>44620</v>
      </c>
      <c r="C111" s="9"/>
      <c r="D111" s="9" t="s">
        <v>578</v>
      </c>
      <c r="E111" s="7"/>
      <c r="F111" s="7"/>
      <c r="G111" s="7"/>
      <c r="H111" s="7" t="s">
        <v>640</v>
      </c>
      <c r="I111" s="7" t="s">
        <v>577</v>
      </c>
      <c r="J111" s="39">
        <v>10000</v>
      </c>
      <c r="L111" s="16">
        <f t="shared" si="30"/>
        <v>1</v>
      </c>
      <c r="M111" s="16" t="str">
        <f t="shared" si="26"/>
        <v>February</v>
      </c>
      <c r="N111" s="16" t="str">
        <f t="shared" si="31"/>
        <v/>
      </c>
      <c r="O111" s="16" t="str">
        <f>IF(N111="","",COUNTIF($N$8:N111,N111))</f>
        <v/>
      </c>
      <c r="P111" s="34" t="str">
        <f t="shared" si="32"/>
        <v>outBeban Lainnya</v>
      </c>
      <c r="Q111" s="34" t="str">
        <f t="shared" si="33"/>
        <v>outFebruaryBeban Lainnya</v>
      </c>
      <c r="R111" s="34" t="str">
        <f t="shared" si="24"/>
        <v>Beban Lainnya</v>
      </c>
      <c r="S111" s="34" t="str">
        <f t="shared" si="25"/>
        <v>Bank</v>
      </c>
      <c r="T111" s="34" t="str">
        <f t="shared" si="27"/>
        <v/>
      </c>
      <c r="U111" s="34" t="str">
        <f>IF(AND(L111=1,bp_kode=T111,T111&lt;&gt;""),COUNTIF($T$8:T111,T111),"")</f>
        <v/>
      </c>
      <c r="V111" s="34" t="str">
        <f t="shared" si="28"/>
        <v>db</v>
      </c>
      <c r="W111" s="34" t="str">
        <f t="shared" si="29"/>
        <v>db</v>
      </c>
      <c r="X111" s="34" t="str">
        <f>IF(B111="","",COUNTIF($C$8:C111,C111)&amp;C111)</f>
        <v>0</v>
      </c>
    </row>
    <row r="112" spans="2:24" ht="23.1" customHeight="1">
      <c r="B112" s="31">
        <v>44620</v>
      </c>
      <c r="C112" s="9"/>
      <c r="D112" s="9" t="s">
        <v>573</v>
      </c>
      <c r="E112" s="7"/>
      <c r="F112" s="7"/>
      <c r="G112" s="7"/>
      <c r="H112" s="7" t="s">
        <v>577</v>
      </c>
      <c r="I112" s="7" t="s">
        <v>559</v>
      </c>
      <c r="J112" s="39">
        <v>69067300</v>
      </c>
      <c r="L112" s="16">
        <f t="shared" si="30"/>
        <v>1</v>
      </c>
      <c r="M112" s="16" t="str">
        <f t="shared" si="26"/>
        <v>February</v>
      </c>
      <c r="N112" s="16" t="str">
        <f t="shared" si="31"/>
        <v/>
      </c>
      <c r="O112" s="16" t="str">
        <f>IF(N112="","",COUNTIF($N$8:N112,N112))</f>
        <v/>
      </c>
      <c r="P112" s="34" t="str">
        <f t="shared" si="32"/>
        <v>InAkun Piutang</v>
      </c>
      <c r="Q112" s="34" t="str">
        <f t="shared" si="33"/>
        <v>inFebruaryAkun Piutang</v>
      </c>
      <c r="R112" s="34" t="str">
        <f t="shared" si="24"/>
        <v>Bank</v>
      </c>
      <c r="S112" s="34" t="str">
        <f t="shared" si="25"/>
        <v>Akun Piutang</v>
      </c>
      <c r="T112" s="34">
        <f t="shared" si="27"/>
        <v>0</v>
      </c>
      <c r="U112" s="34" t="str">
        <f>IF(AND(L112=1,bp_kode=T112,T112&lt;&gt;""),COUNTIF($T$8:T112,T112),"")</f>
        <v/>
      </c>
      <c r="V112" s="34" t="str">
        <f t="shared" si="28"/>
        <v/>
      </c>
      <c r="W112" s="34" t="str">
        <f t="shared" si="29"/>
        <v/>
      </c>
      <c r="X112" s="34" t="str">
        <f>IF(B112="","",COUNTIF($C$8:C112,C112)&amp;C112)</f>
        <v>0</v>
      </c>
    </row>
    <row r="113" spans="2:24" ht="23.1" customHeight="1">
      <c r="B113" s="31">
        <v>44620</v>
      </c>
      <c r="C113" s="9"/>
      <c r="D113" s="9" t="s">
        <v>588</v>
      </c>
      <c r="E113" s="7"/>
      <c r="F113" s="7"/>
      <c r="G113" s="7"/>
      <c r="H113" s="7" t="s">
        <v>577</v>
      </c>
      <c r="I113" s="7" t="s">
        <v>561</v>
      </c>
      <c r="J113" s="39">
        <v>7000000</v>
      </c>
      <c r="L113" s="16">
        <f t="shared" ref="L113" si="40">IF(AND(B113&gt;=awal,B113&lt;=akhir,B113&lt;&gt;""),1,IF(AND(B113&lt;&gt;"",B113&lt;awal),2,""))</f>
        <v>1</v>
      </c>
      <c r="M113" s="16" t="str">
        <f t="shared" ref="M113" si="41">IF(B113="","",TEXT(B113,"mmmm"))</f>
        <v>February</v>
      </c>
      <c r="N113" s="16" t="str">
        <f t="shared" ref="N113" si="42">IF(AND(L113=1,H113=bb_akun),"Awe",IF(AND(L113=1,I113=bb_akun),"Awe",""))</f>
        <v/>
      </c>
      <c r="O113" s="16" t="str">
        <f>IF(N113="","",COUNTIF($N$8:N113,N113))</f>
        <v/>
      </c>
      <c r="P113" s="34" t="str">
        <f t="shared" ref="P113" si="43">IFERROR(IF(OR(INDEX(akun_type,MATCH(H113,akun_kb,0))="Kas",INDEX(akun_type,MATCH(H113,akun_kb,0))="Bank"),"In"&amp;INDEX(akun_type,MATCH(I113,akun_kb,0)),IF(OR(INDEX(akun_type,MATCH(I113,akun_kb,0))="Kas",INDEX(akun_type,MATCH(I113,akun_kb,0))="Bank"),"out"&amp;INDEX(akun_type,MATCH(H113,akun_kb,0)),"")),"")</f>
        <v>InAkun Piutang</v>
      </c>
      <c r="Q113" s="34" t="str">
        <f t="shared" ref="Q113" si="44">IFERROR(IF(OR(INDEX(akun_type,MATCH(H113,akun_kb,0))="Kas",INDEX(akun_type,MATCH(H113,akun_kb,0))="Bank"),"in"&amp;TEXT(B113,"mmmm")&amp;INDEX(akun_type,MATCH(I113,akun_kb,0)),IF(OR(INDEX(akun_type,MATCH(I113,akun_kb,0))="Kas",INDEX(akun_type,MATCH(I113,akun_kb,0))="Bank"),"out"&amp;TEXT(B113,"mmmm")&amp;INDEX(akun_type,MATCH(H113,akun_kb,0)),"")),"")</f>
        <v>inFebruaryAkun Piutang</v>
      </c>
      <c r="R113" s="34" t="str">
        <f t="shared" ref="R113" si="45">IFERROR(INDEX(akun_type,MATCH(H113,akun_kb,0)),"")</f>
        <v>Bank</v>
      </c>
      <c r="S113" s="34" t="str">
        <f t="shared" ref="S113" si="46">IFERROR(INDEX(akun_type,MATCH(I113,akun_kb,0)),"")</f>
        <v>Akun Piutang</v>
      </c>
      <c r="T113" s="34">
        <f t="shared" ref="T113" si="47">IF(AND(L113=1,OR(R113="Akun Piutang",R113="akun hutang",S113="akun piutang",S113="akun hutang")),E113,"")</f>
        <v>0</v>
      </c>
      <c r="U113" s="34" t="str">
        <f>IF(AND(L113=1,bp_kode=T113,T113&lt;&gt;""),COUNTIF($T$8:T113,T113),"")</f>
        <v/>
      </c>
      <c r="V113" s="34" t="str">
        <f t="shared" ref="V113" si="48">IF(OR(R113="Pendapatan",R113="Pendapatan Lainnya",R113="Beban",R113="Harga Pokok Penjualan",R113="Beban Lainnya"),"db"&amp;F113,IF(OR(S113="Pendapatan",S113="Pendapatan Lainnya",S113="Beban",S113="Harga Pokok Penjualan",S113="Beban Lainnya"),"kr"&amp;F113,""))</f>
        <v/>
      </c>
      <c r="W113" s="34" t="str">
        <f t="shared" ref="W113" si="49">IF(OR(R113="Pendapatan",R113="Pendapatan Lainnya",R113="Beban",R113="Harga Pokok Penjualan",R113="Beban Lainnya"),"db"&amp;G113,IF(OR(S113="Pendapatan",S113="Pendapatan Lainnya",S113="Beban",S113="Harga Pokok Penjualan",S113="Beban Lainnya"),"kr"&amp;G113,""))</f>
        <v/>
      </c>
      <c r="X113" s="34" t="str">
        <f>IF(B113="","",COUNTIF($C$8:C113,C113)&amp;C113)</f>
        <v>0</v>
      </c>
    </row>
    <row r="114" spans="2:24" ht="23.1" customHeight="1">
      <c r="B114" s="31">
        <v>44620</v>
      </c>
      <c r="C114" s="9"/>
      <c r="D114" s="9" t="s">
        <v>687</v>
      </c>
      <c r="E114" s="7"/>
      <c r="F114" s="7"/>
      <c r="G114" s="7"/>
      <c r="H114" s="7" t="s">
        <v>579</v>
      </c>
      <c r="I114" s="7" t="s">
        <v>569</v>
      </c>
      <c r="J114" s="39">
        <v>348088.66</v>
      </c>
      <c r="L114" s="16">
        <f t="shared" si="30"/>
        <v>1</v>
      </c>
      <c r="M114" s="16" t="str">
        <f t="shared" si="26"/>
        <v>February</v>
      </c>
      <c r="N114" s="16" t="str">
        <f t="shared" si="31"/>
        <v/>
      </c>
      <c r="O114" s="16" t="str">
        <f>IF(N114="","",COUNTIF($N$8:N114,N114))</f>
        <v/>
      </c>
      <c r="P114" s="34" t="str">
        <f t="shared" si="32"/>
        <v>InPendapatan Lainnya</v>
      </c>
      <c r="Q114" s="34" t="str">
        <f t="shared" si="33"/>
        <v>inFebruaryPendapatan Lainnya</v>
      </c>
      <c r="R114" s="34" t="str">
        <f t="shared" si="24"/>
        <v>Bank</v>
      </c>
      <c r="S114" s="34" t="str">
        <f t="shared" si="25"/>
        <v>Pendapatan Lainnya</v>
      </c>
      <c r="T114" s="34" t="str">
        <f t="shared" si="27"/>
        <v/>
      </c>
      <c r="U114" s="34" t="str">
        <f>IF(AND(L114=1,bp_kode=T114,T114&lt;&gt;""),COUNTIF($T$8:T114,T114),"")</f>
        <v/>
      </c>
      <c r="V114" s="34" t="str">
        <f t="shared" si="28"/>
        <v>kr</v>
      </c>
      <c r="W114" s="34" t="str">
        <f t="shared" si="29"/>
        <v>kr</v>
      </c>
      <c r="X114" s="34" t="str">
        <f>IF(B114="","",COUNTIF($C$8:C114,C114)&amp;C114)</f>
        <v>0</v>
      </c>
    </row>
    <row r="115" spans="2:24" ht="23.1" customHeight="1">
      <c r="B115" s="31">
        <v>44620</v>
      </c>
      <c r="C115" s="9"/>
      <c r="D115" s="9" t="s">
        <v>689</v>
      </c>
      <c r="E115" s="7"/>
      <c r="F115" s="7"/>
      <c r="G115" s="7"/>
      <c r="H115" s="7" t="s">
        <v>640</v>
      </c>
      <c r="I115" s="7" t="s">
        <v>579</v>
      </c>
      <c r="J115" s="39">
        <v>25000</v>
      </c>
      <c r="L115" s="16">
        <f t="shared" si="30"/>
        <v>1</v>
      </c>
      <c r="M115" s="16" t="str">
        <f t="shared" si="26"/>
        <v>February</v>
      </c>
      <c r="N115" s="16" t="str">
        <f t="shared" si="31"/>
        <v/>
      </c>
      <c r="O115" s="16" t="str">
        <f>IF(N115="","",COUNTIF($N$8:N115,N115))</f>
        <v/>
      </c>
      <c r="P115" s="34" t="str">
        <f t="shared" si="32"/>
        <v>outBeban Lainnya</v>
      </c>
      <c r="Q115" s="34" t="str">
        <f t="shared" si="33"/>
        <v>outFebruaryBeban Lainnya</v>
      </c>
      <c r="R115" s="34" t="str">
        <f t="shared" si="24"/>
        <v>Beban Lainnya</v>
      </c>
      <c r="S115" s="34" t="str">
        <f t="shared" si="25"/>
        <v>Bank</v>
      </c>
      <c r="T115" s="34" t="str">
        <f t="shared" si="27"/>
        <v/>
      </c>
      <c r="U115" s="34" t="str">
        <f>IF(AND(L115=1,bp_kode=T115,T115&lt;&gt;""),COUNTIF($T$8:T115,T115),"")</f>
        <v/>
      </c>
      <c r="V115" s="34" t="str">
        <f t="shared" si="28"/>
        <v>db</v>
      </c>
      <c r="W115" s="34" t="str">
        <f t="shared" si="29"/>
        <v>db</v>
      </c>
      <c r="X115" s="34" t="str">
        <f>IF(B115="","",COUNTIF($C$8:C115,C115)&amp;C115)</f>
        <v>0</v>
      </c>
    </row>
    <row r="116" spans="2:24" ht="23.1" customHeight="1">
      <c r="B116" s="31">
        <v>44620</v>
      </c>
      <c r="C116" s="9"/>
      <c r="D116" s="9" t="s">
        <v>573</v>
      </c>
      <c r="E116" s="7"/>
      <c r="F116" s="7"/>
      <c r="G116" s="7"/>
      <c r="H116" s="7" t="s">
        <v>579</v>
      </c>
      <c r="I116" s="7" t="s">
        <v>559</v>
      </c>
      <c r="J116" s="39">
        <v>256977300</v>
      </c>
      <c r="L116" s="16">
        <f t="shared" si="30"/>
        <v>1</v>
      </c>
      <c r="M116" s="16" t="str">
        <f t="shared" si="26"/>
        <v>February</v>
      </c>
      <c r="N116" s="16" t="str">
        <f t="shared" si="31"/>
        <v/>
      </c>
      <c r="O116" s="16" t="str">
        <f>IF(N116="","",COUNTIF($N$8:N116,N116))</f>
        <v/>
      </c>
      <c r="P116" s="34" t="str">
        <f t="shared" si="32"/>
        <v>InAkun Piutang</v>
      </c>
      <c r="Q116" s="34" t="str">
        <f t="shared" si="33"/>
        <v>inFebruaryAkun Piutang</v>
      </c>
      <c r="R116" s="34" t="str">
        <f t="shared" si="24"/>
        <v>Bank</v>
      </c>
      <c r="S116" s="34" t="str">
        <f t="shared" si="25"/>
        <v>Akun Piutang</v>
      </c>
      <c r="T116" s="34">
        <f t="shared" si="27"/>
        <v>0</v>
      </c>
      <c r="U116" s="34" t="str">
        <f>IF(AND(L116=1,bp_kode=T116,T116&lt;&gt;""),COUNTIF($T$8:T116,T116),"")</f>
        <v/>
      </c>
      <c r="V116" s="34" t="str">
        <f t="shared" si="28"/>
        <v/>
      </c>
      <c r="W116" s="34" t="str">
        <f t="shared" si="29"/>
        <v/>
      </c>
      <c r="X116" s="34" t="str">
        <f>IF(B116="","",COUNTIF($C$8:C116,C116)&amp;C116)</f>
        <v>0</v>
      </c>
    </row>
    <row r="117" spans="2:24" ht="23.1" customHeight="1">
      <c r="B117" s="31">
        <v>44620</v>
      </c>
      <c r="C117" s="9"/>
      <c r="D117" s="9" t="s">
        <v>581</v>
      </c>
      <c r="E117" s="7"/>
      <c r="F117" s="7"/>
      <c r="G117" s="7"/>
      <c r="H117" s="7" t="s">
        <v>582</v>
      </c>
      <c r="I117" s="7" t="s">
        <v>579</v>
      </c>
      <c r="J117" s="39">
        <v>102986000</v>
      </c>
      <c r="L117" s="16">
        <f t="shared" si="30"/>
        <v>1</v>
      </c>
      <c r="M117" s="16" t="str">
        <f t="shared" si="26"/>
        <v>February</v>
      </c>
      <c r="N117" s="16" t="str">
        <f t="shared" si="31"/>
        <v/>
      </c>
      <c r="O117" s="16" t="str">
        <f>IF(N117="","",COUNTIF($N$8:N117,N117))</f>
        <v/>
      </c>
      <c r="P117" s="34" t="str">
        <f t="shared" si="32"/>
        <v>InBank</v>
      </c>
      <c r="Q117" s="34" t="str">
        <f t="shared" si="33"/>
        <v>inFebruaryBank</v>
      </c>
      <c r="R117" s="34" t="str">
        <f t="shared" si="24"/>
        <v>Kas</v>
      </c>
      <c r="S117" s="34" t="str">
        <f t="shared" si="25"/>
        <v>Bank</v>
      </c>
      <c r="T117" s="34" t="str">
        <f t="shared" si="27"/>
        <v/>
      </c>
      <c r="U117" s="34" t="str">
        <f>IF(AND(L117=1,bp_kode=T117,T117&lt;&gt;""),COUNTIF($T$8:T117,T117),"")</f>
        <v/>
      </c>
      <c r="V117" s="34" t="str">
        <f t="shared" si="28"/>
        <v/>
      </c>
      <c r="W117" s="34" t="str">
        <f t="shared" si="29"/>
        <v/>
      </c>
      <c r="X117" s="34" t="str">
        <f>IF(B117="","",COUNTIF($C$8:C117,C117)&amp;C117)</f>
        <v>0</v>
      </c>
    </row>
    <row r="118" spans="2:24" ht="23.1" customHeight="1">
      <c r="B118" s="31">
        <v>44620</v>
      </c>
      <c r="C118" s="9"/>
      <c r="D118" s="9" t="s">
        <v>584</v>
      </c>
      <c r="E118" s="7"/>
      <c r="F118" s="7"/>
      <c r="G118" s="7"/>
      <c r="H118" s="7" t="s">
        <v>583</v>
      </c>
      <c r="I118" s="7" t="s">
        <v>561</v>
      </c>
      <c r="J118" s="39">
        <v>99675000</v>
      </c>
      <c r="L118" s="16">
        <f t="shared" si="30"/>
        <v>1</v>
      </c>
      <c r="M118" s="16" t="str">
        <f t="shared" si="26"/>
        <v>February</v>
      </c>
      <c r="N118" s="16" t="str">
        <f t="shared" si="31"/>
        <v/>
      </c>
      <c r="O118" s="16" t="str">
        <f>IF(N118="","",COUNTIF($N$8:N118,N118))</f>
        <v/>
      </c>
      <c r="P118" s="34" t="str">
        <f t="shared" si="32"/>
        <v>InAkun Piutang</v>
      </c>
      <c r="Q118" s="34" t="str">
        <f t="shared" si="33"/>
        <v>inFebruaryAkun Piutang</v>
      </c>
      <c r="R118" s="34" t="str">
        <f t="shared" si="24"/>
        <v>Bank</v>
      </c>
      <c r="S118" s="34" t="str">
        <f t="shared" si="25"/>
        <v>Akun Piutang</v>
      </c>
      <c r="T118" s="34">
        <f t="shared" si="27"/>
        <v>0</v>
      </c>
      <c r="U118" s="34" t="str">
        <f>IF(AND(L118=1,bp_kode=T118,T118&lt;&gt;""),COUNTIF($T$8:T118,T118),"")</f>
        <v/>
      </c>
      <c r="V118" s="34" t="str">
        <f t="shared" si="28"/>
        <v/>
      </c>
      <c r="W118" s="34" t="str">
        <f t="shared" si="29"/>
        <v/>
      </c>
      <c r="X118" s="34" t="str">
        <f>IF(B118="","",COUNTIF($C$8:C118,C118)&amp;C118)</f>
        <v>0</v>
      </c>
    </row>
    <row r="119" spans="2:24" ht="23.1" customHeight="1">
      <c r="B119" s="31">
        <v>44620</v>
      </c>
      <c r="C119" s="9"/>
      <c r="D119" s="9" t="s">
        <v>690</v>
      </c>
      <c r="E119" s="7"/>
      <c r="F119" s="7"/>
      <c r="G119" s="7"/>
      <c r="H119" s="7" t="s">
        <v>583</v>
      </c>
      <c r="I119" s="7" t="s">
        <v>587</v>
      </c>
      <c r="J119" s="39">
        <v>800000</v>
      </c>
      <c r="L119" s="16">
        <f t="shared" ref="L119:L120" si="50">IF(AND(B119&gt;=awal,B119&lt;=akhir,B119&lt;&gt;""),1,IF(AND(B119&lt;&gt;"",B119&lt;awal),2,""))</f>
        <v>1</v>
      </c>
      <c r="M119" s="16" t="str">
        <f t="shared" ref="M119:M120" si="51">IF(B119="","",TEXT(B119,"mmmm"))</f>
        <v>February</v>
      </c>
      <c r="N119" s="16" t="str">
        <f t="shared" ref="N119:N120" si="52">IF(AND(L119=1,H119=bb_akun),"Awe",IF(AND(L119=1,I119=bb_akun),"Awe",""))</f>
        <v/>
      </c>
      <c r="O119" s="16" t="str">
        <f>IF(N119="","",COUNTIF($N$8:N119,N119))</f>
        <v/>
      </c>
      <c r="P119" s="34" t="str">
        <f t="shared" ref="P119:P120" si="53">IFERROR(IF(OR(INDEX(akun_type,MATCH(H119,akun_kb,0))="Kas",INDEX(akun_type,MATCH(H119,akun_kb,0))="Bank"),"In"&amp;INDEX(akun_type,MATCH(I119,akun_kb,0)),IF(OR(INDEX(akun_type,MATCH(I119,akun_kb,0))="Kas",INDEX(akun_type,MATCH(I119,akun_kb,0))="Bank"),"out"&amp;INDEX(akun_type,MATCH(H119,akun_kb,0)),"")),"")</f>
        <v>InAkun Piutang</v>
      </c>
      <c r="Q119" s="34" t="str">
        <f t="shared" ref="Q119:Q120" si="54">IFERROR(IF(OR(INDEX(akun_type,MATCH(H119,akun_kb,0))="Kas",INDEX(akun_type,MATCH(H119,akun_kb,0))="Bank"),"in"&amp;TEXT(B119,"mmmm")&amp;INDEX(akun_type,MATCH(I119,akun_kb,0)),IF(OR(INDEX(akun_type,MATCH(I119,akun_kb,0))="Kas",INDEX(akun_type,MATCH(I119,akun_kb,0))="Bank"),"out"&amp;TEXT(B119,"mmmm")&amp;INDEX(akun_type,MATCH(H119,akun_kb,0)),"")),"")</f>
        <v>inFebruaryAkun Piutang</v>
      </c>
      <c r="R119" s="34" t="str">
        <f t="shared" ref="R119:R120" si="55">IFERROR(INDEX(akun_type,MATCH(H119,akun_kb,0)),"")</f>
        <v>Bank</v>
      </c>
      <c r="S119" s="34" t="str">
        <f t="shared" ref="S119:S120" si="56">IFERROR(INDEX(akun_type,MATCH(I119,akun_kb,0)),"")</f>
        <v>Akun Piutang</v>
      </c>
      <c r="T119" s="34">
        <f t="shared" ref="T119:T120" si="57">IF(AND(L119=1,OR(R119="Akun Piutang",R119="akun hutang",S119="akun piutang",S119="akun hutang")),E119,"")</f>
        <v>0</v>
      </c>
      <c r="U119" s="34" t="str">
        <f>IF(AND(L119=1,bp_kode=T119,T119&lt;&gt;""),COUNTIF($T$8:T119,T119),"")</f>
        <v/>
      </c>
      <c r="V119" s="34" t="str">
        <f t="shared" ref="V119:V120" si="58">IF(OR(R119="Pendapatan",R119="Pendapatan Lainnya",R119="Beban",R119="Harga Pokok Penjualan",R119="Beban Lainnya"),"db"&amp;F119,IF(OR(S119="Pendapatan",S119="Pendapatan Lainnya",S119="Beban",S119="Harga Pokok Penjualan",S119="Beban Lainnya"),"kr"&amp;F119,""))</f>
        <v/>
      </c>
      <c r="W119" s="34" t="str">
        <f t="shared" ref="W119:W120" si="59">IF(OR(R119="Pendapatan",R119="Pendapatan Lainnya",R119="Beban",R119="Harga Pokok Penjualan",R119="Beban Lainnya"),"db"&amp;G119,IF(OR(S119="Pendapatan",S119="Pendapatan Lainnya",S119="Beban",S119="Harga Pokok Penjualan",S119="Beban Lainnya"),"kr"&amp;G119,""))</f>
        <v/>
      </c>
      <c r="X119" s="34" t="str">
        <f>IF(B119="","",COUNTIF($C$8:C119,C119)&amp;C119)</f>
        <v>0</v>
      </c>
    </row>
    <row r="120" spans="2:24" ht="23.1" customHeight="1">
      <c r="B120" s="31">
        <v>44620</v>
      </c>
      <c r="C120" s="9"/>
      <c r="D120" s="9" t="s">
        <v>573</v>
      </c>
      <c r="E120" s="7"/>
      <c r="F120" s="7"/>
      <c r="G120" s="7"/>
      <c r="H120" s="7" t="s">
        <v>583</v>
      </c>
      <c r="I120" s="7" t="s">
        <v>559</v>
      </c>
      <c r="J120" s="39">
        <v>5900000</v>
      </c>
      <c r="L120" s="16">
        <f t="shared" si="50"/>
        <v>1</v>
      </c>
      <c r="M120" s="16" t="str">
        <f t="shared" si="51"/>
        <v>February</v>
      </c>
      <c r="N120" s="16" t="str">
        <f t="shared" si="52"/>
        <v/>
      </c>
      <c r="O120" s="16" t="str">
        <f>IF(N120="","",COUNTIF($N$8:N120,N120))</f>
        <v/>
      </c>
      <c r="P120" s="34" t="str">
        <f t="shared" si="53"/>
        <v>InAkun Piutang</v>
      </c>
      <c r="Q120" s="34" t="str">
        <f t="shared" si="54"/>
        <v>inFebruaryAkun Piutang</v>
      </c>
      <c r="R120" s="34" t="str">
        <f t="shared" si="55"/>
        <v>Bank</v>
      </c>
      <c r="S120" s="34" t="str">
        <f t="shared" si="56"/>
        <v>Akun Piutang</v>
      </c>
      <c r="T120" s="34">
        <f t="shared" si="57"/>
        <v>0</v>
      </c>
      <c r="U120" s="34" t="str">
        <f>IF(AND(L120=1,bp_kode=T120,T120&lt;&gt;""),COUNTIF($T$8:T120,T120),"")</f>
        <v/>
      </c>
      <c r="V120" s="34" t="str">
        <f t="shared" si="58"/>
        <v/>
      </c>
      <c r="W120" s="34" t="str">
        <f t="shared" si="59"/>
        <v/>
      </c>
      <c r="X120" s="34" t="str">
        <f>IF(B120="","",COUNTIF($C$8:C120,C120)&amp;C120)</f>
        <v>0</v>
      </c>
    </row>
    <row r="121" spans="2:24" ht="23.1" customHeight="1">
      <c r="B121" s="31">
        <v>44620</v>
      </c>
      <c r="C121" s="9"/>
      <c r="D121" s="9" t="s">
        <v>687</v>
      </c>
      <c r="E121" s="7"/>
      <c r="F121" s="7"/>
      <c r="G121" s="7"/>
      <c r="H121" s="7" t="s">
        <v>583</v>
      </c>
      <c r="I121" s="7" t="s">
        <v>569</v>
      </c>
      <c r="J121" s="39">
        <v>733556.79</v>
      </c>
      <c r="L121" s="16">
        <f t="shared" si="30"/>
        <v>1</v>
      </c>
      <c r="M121" s="16" t="str">
        <f t="shared" si="26"/>
        <v>February</v>
      </c>
      <c r="N121" s="16" t="str">
        <f t="shared" si="31"/>
        <v/>
      </c>
      <c r="O121" s="16" t="str">
        <f>IF(N121="","",COUNTIF($N$8:N121,N121))</f>
        <v/>
      </c>
      <c r="P121" s="34" t="str">
        <f t="shared" si="32"/>
        <v>InPendapatan Lainnya</v>
      </c>
      <c r="Q121" s="34" t="str">
        <f t="shared" si="33"/>
        <v>inFebruaryPendapatan Lainnya</v>
      </c>
      <c r="R121" s="34" t="str">
        <f t="shared" si="24"/>
        <v>Bank</v>
      </c>
      <c r="S121" s="34" t="str">
        <f t="shared" si="25"/>
        <v>Pendapatan Lainnya</v>
      </c>
      <c r="T121" s="34" t="str">
        <f t="shared" si="27"/>
        <v/>
      </c>
      <c r="U121" s="34" t="str">
        <f>IF(AND(L121=1,bp_kode=T121,T121&lt;&gt;""),COUNTIF($T$8:T121,T121),"")</f>
        <v/>
      </c>
      <c r="V121" s="34" t="str">
        <f t="shared" si="28"/>
        <v>kr</v>
      </c>
      <c r="W121" s="34" t="str">
        <f t="shared" si="29"/>
        <v>kr</v>
      </c>
      <c r="X121" s="34" t="str">
        <f>IF(B121="","",COUNTIF($C$8:C121,C121)&amp;C121)</f>
        <v>0</v>
      </c>
    </row>
    <row r="122" spans="2:24" ht="23.1" customHeight="1">
      <c r="B122" s="31">
        <v>44620</v>
      </c>
      <c r="C122" s="9"/>
      <c r="D122" s="9" t="s">
        <v>570</v>
      </c>
      <c r="E122" s="7"/>
      <c r="F122" s="7"/>
      <c r="G122" s="7"/>
      <c r="H122" s="7" t="s">
        <v>571</v>
      </c>
      <c r="I122" s="7" t="s">
        <v>583</v>
      </c>
      <c r="J122" s="39">
        <v>146711.35999999999</v>
      </c>
      <c r="L122" s="16">
        <f t="shared" si="30"/>
        <v>1</v>
      </c>
      <c r="M122" s="16" t="str">
        <f t="shared" si="26"/>
        <v>February</v>
      </c>
      <c r="N122" s="16" t="str">
        <f t="shared" si="31"/>
        <v/>
      </c>
      <c r="O122" s="16" t="str">
        <f>IF(N122="","",COUNTIF($N$8:N122,N122))</f>
        <v/>
      </c>
      <c r="P122" s="34" t="str">
        <f t="shared" si="32"/>
        <v>outBeban Lainnya</v>
      </c>
      <c r="Q122" s="34" t="str">
        <f t="shared" si="33"/>
        <v>outFebruaryBeban Lainnya</v>
      </c>
      <c r="R122" s="34" t="str">
        <f t="shared" si="24"/>
        <v>Beban Lainnya</v>
      </c>
      <c r="S122" s="34" t="str">
        <f t="shared" si="25"/>
        <v>Bank</v>
      </c>
      <c r="T122" s="34" t="str">
        <f t="shared" si="27"/>
        <v/>
      </c>
      <c r="U122" s="34" t="str">
        <f>IF(AND(L122=1,bp_kode=T122,T122&lt;&gt;""),COUNTIF($T$8:T122,T122),"")</f>
        <v/>
      </c>
      <c r="V122" s="34" t="str">
        <f t="shared" si="28"/>
        <v>db</v>
      </c>
      <c r="W122" s="34" t="str">
        <f t="shared" si="29"/>
        <v>db</v>
      </c>
      <c r="X122" s="34" t="str">
        <f>IF(B122="","",COUNTIF($C$8:C122,C122)&amp;C122)</f>
        <v>0</v>
      </c>
    </row>
    <row r="123" spans="2:24" ht="23.1" customHeight="1">
      <c r="B123" s="31">
        <v>44620</v>
      </c>
      <c r="C123" s="9"/>
      <c r="D123" s="9" t="s">
        <v>685</v>
      </c>
      <c r="E123" s="7"/>
      <c r="F123" s="7"/>
      <c r="G123" s="7"/>
      <c r="H123" s="7" t="s">
        <v>640</v>
      </c>
      <c r="I123" s="7" t="s">
        <v>583</v>
      </c>
      <c r="J123" s="39">
        <v>25000</v>
      </c>
      <c r="L123" s="16">
        <f t="shared" si="30"/>
        <v>1</v>
      </c>
      <c r="M123" s="16" t="str">
        <f t="shared" si="26"/>
        <v>February</v>
      </c>
      <c r="N123" s="16" t="str">
        <f t="shared" si="31"/>
        <v/>
      </c>
      <c r="O123" s="16" t="str">
        <f>IF(N123="","",COUNTIF($N$8:N123,N123))</f>
        <v/>
      </c>
      <c r="P123" s="34" t="str">
        <f t="shared" si="32"/>
        <v>outBeban Lainnya</v>
      </c>
      <c r="Q123" s="34" t="str">
        <f t="shared" si="33"/>
        <v>outFebruaryBeban Lainnya</v>
      </c>
      <c r="R123" s="34" t="str">
        <f t="shared" si="24"/>
        <v>Beban Lainnya</v>
      </c>
      <c r="S123" s="34" t="str">
        <f t="shared" si="25"/>
        <v>Bank</v>
      </c>
      <c r="T123" s="34" t="str">
        <f t="shared" si="27"/>
        <v/>
      </c>
      <c r="U123" s="34" t="str">
        <f>IF(AND(L123=1,bp_kode=T123,T123&lt;&gt;""),COUNTIF($T$8:T123,T123),"")</f>
        <v/>
      </c>
      <c r="V123" s="34" t="str">
        <f t="shared" si="28"/>
        <v>db</v>
      </c>
      <c r="W123" s="34" t="str">
        <f t="shared" si="29"/>
        <v>db</v>
      </c>
      <c r="X123" s="34" t="str">
        <f>IF(B123="","",COUNTIF($C$8:C123,C123)&amp;C123)</f>
        <v>0</v>
      </c>
    </row>
    <row r="124" spans="2:24" ht="23.1" customHeight="1">
      <c r="B124" s="31">
        <v>44620</v>
      </c>
      <c r="C124" s="9"/>
      <c r="D124" s="9" t="s">
        <v>576</v>
      </c>
      <c r="E124" s="7"/>
      <c r="F124" s="7"/>
      <c r="G124" s="7"/>
      <c r="H124" s="7" t="s">
        <v>585</v>
      </c>
      <c r="I124" s="7" t="s">
        <v>569</v>
      </c>
      <c r="J124" s="39">
        <v>99682.49</v>
      </c>
      <c r="L124" s="16">
        <f t="shared" si="30"/>
        <v>1</v>
      </c>
      <c r="M124" s="16" t="str">
        <f t="shared" si="26"/>
        <v>February</v>
      </c>
      <c r="N124" s="16" t="str">
        <f t="shared" si="31"/>
        <v/>
      </c>
      <c r="O124" s="16" t="str">
        <f>IF(N124="","",COUNTIF($N$8:N124,N124))</f>
        <v/>
      </c>
      <c r="P124" s="34" t="str">
        <f t="shared" si="32"/>
        <v>InPendapatan Lainnya</v>
      </c>
      <c r="Q124" s="34" t="str">
        <f t="shared" si="33"/>
        <v>inFebruaryPendapatan Lainnya</v>
      </c>
      <c r="R124" s="34" t="str">
        <f t="shared" si="24"/>
        <v>Bank</v>
      </c>
      <c r="S124" s="34" t="str">
        <f t="shared" si="25"/>
        <v>Pendapatan Lainnya</v>
      </c>
      <c r="T124" s="34" t="str">
        <f t="shared" si="27"/>
        <v/>
      </c>
      <c r="U124" s="34" t="str">
        <f>IF(AND(L124=1,bp_kode=T124,T124&lt;&gt;""),COUNTIF($T$8:T124,T124),"")</f>
        <v/>
      </c>
      <c r="V124" s="34" t="str">
        <f t="shared" si="28"/>
        <v>kr</v>
      </c>
      <c r="W124" s="34" t="str">
        <f t="shared" si="29"/>
        <v>kr</v>
      </c>
      <c r="X124" s="34" t="str">
        <f>IF(B124="","",COUNTIF($C$8:C124,C124)&amp;C124)</f>
        <v>0</v>
      </c>
    </row>
    <row r="125" spans="2:24" ht="23.1" customHeight="1">
      <c r="B125" s="31">
        <v>44620</v>
      </c>
      <c r="C125" s="9"/>
      <c r="D125" s="9" t="s">
        <v>570</v>
      </c>
      <c r="E125" s="7"/>
      <c r="F125" s="7"/>
      <c r="G125" s="7"/>
      <c r="H125" s="7" t="s">
        <v>571</v>
      </c>
      <c r="I125" s="7" t="s">
        <v>585</v>
      </c>
      <c r="J125" s="39">
        <v>25012.12</v>
      </c>
      <c r="L125" s="16">
        <f t="shared" si="30"/>
        <v>1</v>
      </c>
      <c r="M125" s="16" t="str">
        <f t="shared" si="26"/>
        <v>February</v>
      </c>
      <c r="N125" s="16" t="str">
        <f t="shared" si="31"/>
        <v/>
      </c>
      <c r="O125" s="16" t="str">
        <f>IF(N125="","",COUNTIF($N$8:N125,N125))</f>
        <v/>
      </c>
      <c r="P125" s="34" t="str">
        <f t="shared" si="32"/>
        <v>outBeban Lainnya</v>
      </c>
      <c r="Q125" s="34" t="str">
        <f t="shared" si="33"/>
        <v>outFebruaryBeban Lainnya</v>
      </c>
      <c r="R125" s="34" t="str">
        <f t="shared" si="24"/>
        <v>Beban Lainnya</v>
      </c>
      <c r="S125" s="34" t="str">
        <f t="shared" si="25"/>
        <v>Bank</v>
      </c>
      <c r="T125" s="34" t="str">
        <f t="shared" si="27"/>
        <v/>
      </c>
      <c r="U125" s="34" t="str">
        <f>IF(AND(L125=1,bp_kode=T125,T125&lt;&gt;""),COUNTIF($T$8:T125,T125),"")</f>
        <v/>
      </c>
      <c r="V125" s="34" t="str">
        <f t="shared" si="28"/>
        <v>db</v>
      </c>
      <c r="W125" s="34" t="str">
        <f t="shared" si="29"/>
        <v>db</v>
      </c>
      <c r="X125" s="34" t="str">
        <f>IF(B125="","",COUNTIF($C$8:C125,C125)&amp;C125)</f>
        <v>0</v>
      </c>
    </row>
    <row r="126" spans="2:24" ht="23.1" customHeight="1">
      <c r="B126" s="31">
        <v>44620</v>
      </c>
      <c r="C126" s="9"/>
      <c r="D126" s="9" t="s">
        <v>572</v>
      </c>
      <c r="E126" s="7"/>
      <c r="F126" s="7"/>
      <c r="G126" s="7"/>
      <c r="H126" s="7" t="s">
        <v>640</v>
      </c>
      <c r="I126" s="7" t="s">
        <v>585</v>
      </c>
      <c r="J126" s="39">
        <v>25000</v>
      </c>
      <c r="L126" s="16">
        <f t="shared" si="30"/>
        <v>1</v>
      </c>
      <c r="M126" s="16" t="str">
        <f t="shared" si="26"/>
        <v>February</v>
      </c>
      <c r="N126" s="16" t="str">
        <f t="shared" si="31"/>
        <v/>
      </c>
      <c r="O126" s="16" t="str">
        <f>IF(N126="","",COUNTIF($N$8:N126,N126))</f>
        <v/>
      </c>
      <c r="P126" s="34" t="str">
        <f t="shared" si="32"/>
        <v>outBeban Lainnya</v>
      </c>
      <c r="Q126" s="34" t="str">
        <f t="shared" si="33"/>
        <v>outFebruaryBeban Lainnya</v>
      </c>
      <c r="R126" s="34" t="str">
        <f t="shared" si="24"/>
        <v>Beban Lainnya</v>
      </c>
      <c r="S126" s="34" t="str">
        <f t="shared" si="25"/>
        <v>Bank</v>
      </c>
      <c r="T126" s="34" t="str">
        <f t="shared" si="27"/>
        <v/>
      </c>
      <c r="U126" s="34" t="str">
        <f>IF(AND(L126=1,bp_kode=T126,T126&lt;&gt;""),COUNTIF($T$8:T126,T126),"")</f>
        <v/>
      </c>
      <c r="V126" s="34" t="str">
        <f t="shared" si="28"/>
        <v>db</v>
      </c>
      <c r="W126" s="34" t="str">
        <f t="shared" si="29"/>
        <v>db</v>
      </c>
      <c r="X126" s="34" t="str">
        <f>IF(B126="","",COUNTIF($C$8:C126,C126)&amp;C126)</f>
        <v>0</v>
      </c>
    </row>
    <row r="127" spans="2:24" ht="23.1" customHeight="1">
      <c r="B127" s="31">
        <v>44620</v>
      </c>
      <c r="C127" s="9"/>
      <c r="D127" s="9" t="s">
        <v>578</v>
      </c>
      <c r="E127" s="7"/>
      <c r="F127" s="7"/>
      <c r="G127" s="7"/>
      <c r="H127" s="7" t="s">
        <v>640</v>
      </c>
      <c r="I127" s="7" t="s">
        <v>585</v>
      </c>
      <c r="J127" s="39">
        <v>10000</v>
      </c>
      <c r="L127" s="16">
        <f t="shared" si="30"/>
        <v>1</v>
      </c>
      <c r="M127" s="16" t="str">
        <f t="shared" si="26"/>
        <v>February</v>
      </c>
      <c r="N127" s="16" t="str">
        <f t="shared" si="31"/>
        <v/>
      </c>
      <c r="O127" s="16" t="str">
        <f>IF(N127="","",COUNTIF($N$8:N127,N127))</f>
        <v/>
      </c>
      <c r="P127" s="34" t="str">
        <f t="shared" si="32"/>
        <v>outBeban Lainnya</v>
      </c>
      <c r="Q127" s="34" t="str">
        <f t="shared" si="33"/>
        <v>outFebruaryBeban Lainnya</v>
      </c>
      <c r="R127" s="34" t="str">
        <f t="shared" si="24"/>
        <v>Beban Lainnya</v>
      </c>
      <c r="S127" s="34" t="str">
        <f t="shared" si="25"/>
        <v>Bank</v>
      </c>
      <c r="T127" s="34" t="str">
        <f t="shared" si="27"/>
        <v/>
      </c>
      <c r="U127" s="34" t="str">
        <f>IF(AND(L127=1,bp_kode=T127,T127&lt;&gt;""),COUNTIF($T$8:T127,T127),"")</f>
        <v/>
      </c>
      <c r="V127" s="34" t="str">
        <f t="shared" si="28"/>
        <v>db</v>
      </c>
      <c r="W127" s="34" t="str">
        <f t="shared" si="29"/>
        <v>db</v>
      </c>
      <c r="X127" s="34" t="str">
        <f>IF(B127="","",COUNTIF($C$8:C127,C127)&amp;C127)</f>
        <v>0</v>
      </c>
    </row>
    <row r="128" spans="2:24" ht="23.1" customHeight="1">
      <c r="B128" s="31">
        <v>44620</v>
      </c>
      <c r="C128" s="9"/>
      <c r="D128" s="9" t="s">
        <v>576</v>
      </c>
      <c r="E128" s="7"/>
      <c r="F128" s="7"/>
      <c r="G128" s="7"/>
      <c r="H128" s="7" t="s">
        <v>586</v>
      </c>
      <c r="I128" s="7" t="s">
        <v>569</v>
      </c>
      <c r="J128" s="39">
        <v>1717186</v>
      </c>
      <c r="L128" s="16">
        <f t="shared" si="30"/>
        <v>1</v>
      </c>
      <c r="M128" s="16" t="str">
        <f t="shared" si="26"/>
        <v>February</v>
      </c>
      <c r="N128" s="16" t="str">
        <f t="shared" si="31"/>
        <v/>
      </c>
      <c r="O128" s="16" t="str">
        <f>IF(N128="","",COUNTIF($N$8:N128,N128))</f>
        <v/>
      </c>
      <c r="P128" s="34" t="str">
        <f t="shared" si="32"/>
        <v>InPendapatan Lainnya</v>
      </c>
      <c r="Q128" s="34" t="str">
        <f t="shared" si="33"/>
        <v>inFebruaryPendapatan Lainnya</v>
      </c>
      <c r="R128" s="34" t="str">
        <f t="shared" si="24"/>
        <v>Bank</v>
      </c>
      <c r="S128" s="34" t="str">
        <f t="shared" si="25"/>
        <v>Pendapatan Lainnya</v>
      </c>
      <c r="T128" s="34" t="str">
        <f t="shared" si="27"/>
        <v/>
      </c>
      <c r="U128" s="34" t="str">
        <f>IF(AND(L128=1,bp_kode=T128,T128&lt;&gt;""),COUNTIF($T$8:T128,T128),"")</f>
        <v/>
      </c>
      <c r="V128" s="34" t="str">
        <f t="shared" si="28"/>
        <v>kr</v>
      </c>
      <c r="W128" s="34" t="str">
        <f t="shared" si="29"/>
        <v>kr</v>
      </c>
      <c r="X128" s="34" t="str">
        <f>IF(B128="","",COUNTIF($C$8:C128,C128)&amp;C128)</f>
        <v>0</v>
      </c>
    </row>
    <row r="129" spans="2:24" ht="23.1" customHeight="1">
      <c r="B129" s="31">
        <v>44620</v>
      </c>
      <c r="C129" s="9"/>
      <c r="D129" s="9" t="s">
        <v>570</v>
      </c>
      <c r="E129" s="7"/>
      <c r="F129" s="7"/>
      <c r="G129" s="7"/>
      <c r="H129" s="7" t="s">
        <v>571</v>
      </c>
      <c r="I129" s="7" t="s">
        <v>586</v>
      </c>
      <c r="J129" s="39">
        <v>343421</v>
      </c>
      <c r="L129" s="16">
        <f t="shared" si="30"/>
        <v>1</v>
      </c>
      <c r="M129" s="16" t="str">
        <f t="shared" si="26"/>
        <v>February</v>
      </c>
      <c r="N129" s="16" t="str">
        <f t="shared" si="31"/>
        <v/>
      </c>
      <c r="O129" s="16" t="str">
        <f>IF(N129="","",COUNTIF($N$8:N129,N129))</f>
        <v/>
      </c>
      <c r="P129" s="34" t="str">
        <f t="shared" si="32"/>
        <v>outBeban Lainnya</v>
      </c>
      <c r="Q129" s="34" t="str">
        <f t="shared" si="33"/>
        <v>outFebruaryBeban Lainnya</v>
      </c>
      <c r="R129" s="34" t="str">
        <f t="shared" si="24"/>
        <v>Beban Lainnya</v>
      </c>
      <c r="S129" s="34" t="str">
        <f t="shared" si="25"/>
        <v>Bank</v>
      </c>
      <c r="T129" s="34" t="str">
        <f t="shared" si="27"/>
        <v/>
      </c>
      <c r="U129" s="34" t="str">
        <f>IF(AND(L129=1,bp_kode=T129,T129&lt;&gt;""),COUNTIF($T$8:T129,T129),"")</f>
        <v/>
      </c>
      <c r="V129" s="34" t="str">
        <f t="shared" si="28"/>
        <v>db</v>
      </c>
      <c r="W129" s="34" t="str">
        <f t="shared" si="29"/>
        <v>db</v>
      </c>
      <c r="X129" s="34" t="str">
        <f>IF(B129="","",COUNTIF($C$8:C129,C129)&amp;C129)</f>
        <v>0</v>
      </c>
    </row>
    <row r="130" spans="2:24" ht="23.1" customHeight="1">
      <c r="B130" s="31">
        <v>44620</v>
      </c>
      <c r="C130" s="9"/>
      <c r="D130" s="9" t="s">
        <v>572</v>
      </c>
      <c r="E130" s="7"/>
      <c r="F130" s="7"/>
      <c r="G130" s="7"/>
      <c r="H130" s="7" t="s">
        <v>640</v>
      </c>
      <c r="I130" s="7" t="s">
        <v>586</v>
      </c>
      <c r="J130" s="39">
        <v>36500</v>
      </c>
      <c r="L130" s="16">
        <f t="shared" si="30"/>
        <v>1</v>
      </c>
      <c r="M130" s="16" t="str">
        <f t="shared" si="26"/>
        <v>February</v>
      </c>
      <c r="N130" s="16" t="str">
        <f t="shared" si="31"/>
        <v/>
      </c>
      <c r="O130" s="16" t="str">
        <f>IF(N130="","",COUNTIF($N$8:N130,N130))</f>
        <v/>
      </c>
      <c r="P130" s="34" t="str">
        <f t="shared" si="32"/>
        <v>outBeban Lainnya</v>
      </c>
      <c r="Q130" s="34" t="str">
        <f t="shared" si="33"/>
        <v>outFebruaryBeban Lainnya</v>
      </c>
      <c r="R130" s="34" t="str">
        <f t="shared" si="24"/>
        <v>Beban Lainnya</v>
      </c>
      <c r="S130" s="34" t="str">
        <f t="shared" si="25"/>
        <v>Bank</v>
      </c>
      <c r="T130" s="34" t="str">
        <f t="shared" si="27"/>
        <v/>
      </c>
      <c r="U130" s="34" t="str">
        <f>IF(AND(L130=1,bp_kode=T130,T130&lt;&gt;""),COUNTIF($T$8:T130,T130),"")</f>
        <v/>
      </c>
      <c r="V130" s="34" t="str">
        <f t="shared" si="28"/>
        <v>db</v>
      </c>
      <c r="W130" s="34" t="str">
        <f t="shared" si="29"/>
        <v>db</v>
      </c>
      <c r="X130" s="34" t="str">
        <f>IF(B130="","",COUNTIF($C$8:C130,C130)&amp;C130)</f>
        <v>0</v>
      </c>
    </row>
    <row r="131" spans="2:24" ht="23.1" customHeight="1">
      <c r="B131" s="31">
        <v>44620</v>
      </c>
      <c r="C131" s="9"/>
      <c r="D131" s="9" t="s">
        <v>573</v>
      </c>
      <c r="E131" s="7"/>
      <c r="F131" s="7"/>
      <c r="G131" s="7"/>
      <c r="H131" s="7" t="s">
        <v>586</v>
      </c>
      <c r="I131" s="7" t="s">
        <v>559</v>
      </c>
      <c r="J131" s="39">
        <v>9943500</v>
      </c>
      <c r="L131" s="16">
        <f t="shared" si="30"/>
        <v>1</v>
      </c>
      <c r="M131" s="16" t="str">
        <f t="shared" si="26"/>
        <v>February</v>
      </c>
      <c r="N131" s="16" t="str">
        <f t="shared" si="31"/>
        <v/>
      </c>
      <c r="O131" s="16" t="str">
        <f>IF(N131="","",COUNTIF($N$8:N131,N131))</f>
        <v/>
      </c>
      <c r="P131" s="34" t="str">
        <f t="shared" si="32"/>
        <v>InAkun Piutang</v>
      </c>
      <c r="Q131" s="34" t="str">
        <f t="shared" si="33"/>
        <v>inFebruaryAkun Piutang</v>
      </c>
      <c r="R131" s="34" t="str">
        <f t="shared" si="24"/>
        <v>Bank</v>
      </c>
      <c r="S131" s="34" t="str">
        <f t="shared" si="25"/>
        <v>Akun Piutang</v>
      </c>
      <c r="T131" s="34">
        <f t="shared" si="27"/>
        <v>0</v>
      </c>
      <c r="U131" s="34" t="str">
        <f>IF(AND(L131=1,bp_kode=T131,T131&lt;&gt;""),COUNTIF($T$8:T131,T131),"")</f>
        <v/>
      </c>
      <c r="V131" s="34" t="str">
        <f t="shared" si="28"/>
        <v/>
      </c>
      <c r="W131" s="34" t="str">
        <f t="shared" si="29"/>
        <v/>
      </c>
      <c r="X131" s="34" t="str">
        <f>IF(B131="","",COUNTIF($C$8:C131,C131)&amp;C131)</f>
        <v>0</v>
      </c>
    </row>
    <row r="132" spans="2:24" ht="23.1" customHeight="1">
      <c r="B132" s="31">
        <v>44620</v>
      </c>
      <c r="C132" s="9"/>
      <c r="D132" s="9" t="s">
        <v>552</v>
      </c>
      <c r="E132" s="7"/>
      <c r="F132" s="7"/>
      <c r="G132" s="7"/>
      <c r="H132" s="7" t="s">
        <v>554</v>
      </c>
      <c r="I132" s="7" t="s">
        <v>587</v>
      </c>
      <c r="J132" s="39">
        <v>3079000</v>
      </c>
      <c r="L132" s="16">
        <f t="shared" si="30"/>
        <v>1</v>
      </c>
      <c r="M132" s="16" t="str">
        <f t="shared" si="26"/>
        <v>February</v>
      </c>
      <c r="N132" s="16" t="str">
        <f t="shared" si="31"/>
        <v/>
      </c>
      <c r="O132" s="16" t="str">
        <f>IF(N132="","",COUNTIF($N$8:N132,N132))</f>
        <v/>
      </c>
      <c r="P132" s="34" t="str">
        <f t="shared" si="32"/>
        <v>InAkun Piutang</v>
      </c>
      <c r="Q132" s="34" t="str">
        <f t="shared" si="33"/>
        <v>inFebruaryAkun Piutang</v>
      </c>
      <c r="R132" s="34" t="str">
        <f t="shared" si="24"/>
        <v>Kas</v>
      </c>
      <c r="S132" s="34" t="str">
        <f t="shared" si="25"/>
        <v>Akun Piutang</v>
      </c>
      <c r="T132" s="34">
        <f t="shared" si="27"/>
        <v>0</v>
      </c>
      <c r="U132" s="34" t="str">
        <f>IF(AND(L132=1,bp_kode=T132,T132&lt;&gt;""),COUNTIF($T$8:T132,T132),"")</f>
        <v/>
      </c>
      <c r="V132" s="34" t="str">
        <f t="shared" si="28"/>
        <v/>
      </c>
      <c r="W132" s="34" t="str">
        <f t="shared" si="29"/>
        <v/>
      </c>
      <c r="X132" s="34" t="str">
        <f>IF(B132="","",COUNTIF($C$8:C132,C132)&amp;C132)</f>
        <v>0</v>
      </c>
    </row>
    <row r="133" spans="2:24" ht="23.1" customHeight="1">
      <c r="B133" s="31">
        <v>44620</v>
      </c>
      <c r="C133" s="9"/>
      <c r="D133" s="9" t="s">
        <v>588</v>
      </c>
      <c r="E133" s="7"/>
      <c r="F133" s="7"/>
      <c r="G133" s="7"/>
      <c r="H133" s="7" t="s">
        <v>554</v>
      </c>
      <c r="I133" s="7" t="s">
        <v>561</v>
      </c>
      <c r="J133" s="39">
        <v>10165000</v>
      </c>
      <c r="L133" s="16">
        <f t="shared" si="30"/>
        <v>1</v>
      </c>
      <c r="M133" s="16" t="str">
        <f t="shared" si="26"/>
        <v>February</v>
      </c>
      <c r="N133" s="16" t="str">
        <f t="shared" si="31"/>
        <v/>
      </c>
      <c r="O133" s="16" t="str">
        <f>IF(N133="","",COUNTIF($N$8:N133,N133))</f>
        <v/>
      </c>
      <c r="P133" s="34" t="str">
        <f t="shared" si="32"/>
        <v>InAkun Piutang</v>
      </c>
      <c r="Q133" s="34" t="str">
        <f t="shared" si="33"/>
        <v>inFebruaryAkun Piutang</v>
      </c>
      <c r="R133" s="34" t="str">
        <f t="shared" si="24"/>
        <v>Kas</v>
      </c>
      <c r="S133" s="34" t="str">
        <f t="shared" si="25"/>
        <v>Akun Piutang</v>
      </c>
      <c r="T133" s="34">
        <f t="shared" si="27"/>
        <v>0</v>
      </c>
      <c r="U133" s="34" t="str">
        <f>IF(AND(L133=1,bp_kode=T133,T133&lt;&gt;""),COUNTIF($T$8:T133,T133),"")</f>
        <v/>
      </c>
      <c r="V133" s="34" t="str">
        <f t="shared" si="28"/>
        <v/>
      </c>
      <c r="W133" s="34" t="str">
        <f t="shared" si="29"/>
        <v/>
      </c>
      <c r="X133" s="34" t="str">
        <f>IF(B133="","",COUNTIF($C$8:C133,C133)&amp;C133)</f>
        <v>0</v>
      </c>
    </row>
    <row r="134" spans="2:24" ht="23.1" customHeight="1">
      <c r="B134" s="31">
        <v>44620</v>
      </c>
      <c r="C134" s="9"/>
      <c r="D134" s="9" t="s">
        <v>589</v>
      </c>
      <c r="E134" s="7"/>
      <c r="F134" s="7"/>
      <c r="G134" s="7"/>
      <c r="H134" s="7" t="s">
        <v>554</v>
      </c>
      <c r="I134" s="7" t="s">
        <v>551</v>
      </c>
      <c r="J134" s="39">
        <v>332140000</v>
      </c>
      <c r="L134" s="16">
        <f t="shared" si="30"/>
        <v>1</v>
      </c>
      <c r="M134" s="16" t="str">
        <f t="shared" si="26"/>
        <v>February</v>
      </c>
      <c r="N134" s="16" t="str">
        <f t="shared" si="31"/>
        <v/>
      </c>
      <c r="O134" s="16" t="str">
        <f>IF(N134="","",COUNTIF($N$8:N134,N134))</f>
        <v/>
      </c>
      <c r="P134" s="34" t="str">
        <f t="shared" si="32"/>
        <v>InAkun Piutang</v>
      </c>
      <c r="Q134" s="34" t="str">
        <f t="shared" si="33"/>
        <v>inFebruaryAkun Piutang</v>
      </c>
      <c r="R134" s="34" t="str">
        <f t="shared" si="24"/>
        <v>Kas</v>
      </c>
      <c r="S134" s="34" t="str">
        <f t="shared" si="25"/>
        <v>Akun Piutang</v>
      </c>
      <c r="T134" s="34">
        <f t="shared" si="27"/>
        <v>0</v>
      </c>
      <c r="U134" s="34" t="str">
        <f>IF(AND(L134=1,bp_kode=T134,T134&lt;&gt;""),COUNTIF($T$8:T134,T134),"")</f>
        <v/>
      </c>
      <c r="V134" s="34" t="str">
        <f t="shared" si="28"/>
        <v/>
      </c>
      <c r="W134" s="34" t="str">
        <f t="shared" si="29"/>
        <v/>
      </c>
      <c r="X134" s="34" t="str">
        <f>IF(B134="","",COUNTIF($C$8:C134,C134)&amp;C134)</f>
        <v>0</v>
      </c>
    </row>
    <row r="135" spans="2:24" ht="23.1" customHeight="1">
      <c r="B135" s="31">
        <v>44620</v>
      </c>
      <c r="C135" s="9"/>
      <c r="D135" s="9" t="s">
        <v>590</v>
      </c>
      <c r="E135" s="7"/>
      <c r="F135" s="7"/>
      <c r="G135" s="7"/>
      <c r="H135" s="7" t="s">
        <v>586</v>
      </c>
      <c r="I135" s="7" t="s">
        <v>554</v>
      </c>
      <c r="J135" s="39">
        <v>556605900</v>
      </c>
      <c r="L135" s="16">
        <f t="shared" si="30"/>
        <v>1</v>
      </c>
      <c r="M135" s="16" t="str">
        <f t="shared" si="26"/>
        <v>February</v>
      </c>
      <c r="N135" s="16" t="str">
        <f t="shared" si="31"/>
        <v/>
      </c>
      <c r="O135" s="16" t="str">
        <f>IF(N135="","",COUNTIF($N$8:N135,N135))</f>
        <v/>
      </c>
      <c r="P135" s="34" t="str">
        <f t="shared" si="32"/>
        <v>InKas</v>
      </c>
      <c r="Q135" s="34" t="str">
        <f t="shared" si="33"/>
        <v>inFebruaryKas</v>
      </c>
      <c r="R135" s="34" t="str">
        <f t="shared" si="24"/>
        <v>Bank</v>
      </c>
      <c r="S135" s="34" t="str">
        <f t="shared" si="25"/>
        <v>Kas</v>
      </c>
      <c r="T135" s="34" t="str">
        <f t="shared" si="27"/>
        <v/>
      </c>
      <c r="U135" s="34" t="str">
        <f>IF(AND(L135=1,bp_kode=T135,T135&lt;&gt;""),COUNTIF($T$8:T135,T135),"")</f>
        <v/>
      </c>
      <c r="V135" s="34" t="str">
        <f t="shared" si="28"/>
        <v/>
      </c>
      <c r="W135" s="34" t="str">
        <f t="shared" si="29"/>
        <v/>
      </c>
      <c r="X135" s="34" t="str">
        <f>IF(B135="","",COUNTIF($C$8:C135,C135)&amp;C135)</f>
        <v>0</v>
      </c>
    </row>
    <row r="136" spans="2:24" ht="23.1" customHeight="1">
      <c r="B136" s="31">
        <v>44620</v>
      </c>
      <c r="C136" s="9"/>
      <c r="D136" s="9" t="s">
        <v>591</v>
      </c>
      <c r="E136" s="7"/>
      <c r="F136" s="7"/>
      <c r="G136" s="7"/>
      <c r="H136" s="7" t="s">
        <v>582</v>
      </c>
      <c r="I136" s="7" t="s">
        <v>586</v>
      </c>
      <c r="J136" s="39">
        <v>604409846</v>
      </c>
      <c r="L136" s="16">
        <f t="shared" si="30"/>
        <v>1</v>
      </c>
      <c r="M136" s="16" t="str">
        <f t="shared" si="26"/>
        <v>February</v>
      </c>
      <c r="N136" s="16" t="str">
        <f t="shared" si="31"/>
        <v/>
      </c>
      <c r="O136" s="16" t="str">
        <f>IF(N136="","",COUNTIF($N$8:N136,N136))</f>
        <v/>
      </c>
      <c r="P136" s="34" t="str">
        <f t="shared" si="32"/>
        <v>InBank</v>
      </c>
      <c r="Q136" s="34" t="str">
        <f t="shared" si="33"/>
        <v>inFebruaryBank</v>
      </c>
      <c r="R136" s="34" t="str">
        <f t="shared" si="24"/>
        <v>Kas</v>
      </c>
      <c r="S136" s="34" t="str">
        <f t="shared" si="25"/>
        <v>Bank</v>
      </c>
      <c r="T136" s="34" t="str">
        <f t="shared" si="27"/>
        <v/>
      </c>
      <c r="U136" s="34" t="str">
        <f>IF(AND(L136=1,bp_kode=T136,T136&lt;&gt;""),COUNTIF($T$8:T136,T136),"")</f>
        <v/>
      </c>
      <c r="V136" s="34" t="str">
        <f t="shared" si="28"/>
        <v/>
      </c>
      <c r="W136" s="34" t="str">
        <f t="shared" si="29"/>
        <v/>
      </c>
      <c r="X136" s="34" t="str">
        <f>IF(B136="","",COUNTIF($C$8:C136,C136)&amp;C136)</f>
        <v>0</v>
      </c>
    </row>
    <row r="137" spans="2:24" ht="23.1" customHeight="1">
      <c r="B137" s="31">
        <v>44620</v>
      </c>
      <c r="C137" s="9"/>
      <c r="D137" s="9" t="s">
        <v>576</v>
      </c>
      <c r="E137" s="7"/>
      <c r="F137" s="7"/>
      <c r="G137" s="7"/>
      <c r="H137" s="7" t="s">
        <v>592</v>
      </c>
      <c r="I137" s="7" t="s">
        <v>569</v>
      </c>
      <c r="J137" s="39">
        <v>4357</v>
      </c>
      <c r="L137" s="16">
        <f t="shared" si="30"/>
        <v>1</v>
      </c>
      <c r="M137" s="16" t="str">
        <f t="shared" si="26"/>
        <v>February</v>
      </c>
      <c r="N137" s="16" t="str">
        <f t="shared" si="31"/>
        <v/>
      </c>
      <c r="O137" s="16" t="str">
        <f>IF(N137="","",COUNTIF($N$8:N137,N137))</f>
        <v/>
      </c>
      <c r="P137" s="34" t="str">
        <f t="shared" si="32"/>
        <v>InPendapatan Lainnya</v>
      </c>
      <c r="Q137" s="34" t="str">
        <f t="shared" si="33"/>
        <v>inFebruaryPendapatan Lainnya</v>
      </c>
      <c r="R137" s="34" t="str">
        <f t="shared" si="24"/>
        <v>Bank</v>
      </c>
      <c r="S137" s="34" t="str">
        <f t="shared" si="25"/>
        <v>Pendapatan Lainnya</v>
      </c>
      <c r="T137" s="34" t="str">
        <f t="shared" si="27"/>
        <v/>
      </c>
      <c r="U137" s="34" t="str">
        <f>IF(AND(L137=1,bp_kode=T137,T137&lt;&gt;""),COUNTIF($T$8:T137,T137),"")</f>
        <v/>
      </c>
      <c r="V137" s="34" t="str">
        <f t="shared" si="28"/>
        <v>kr</v>
      </c>
      <c r="W137" s="34" t="str">
        <f t="shared" si="29"/>
        <v>kr</v>
      </c>
      <c r="X137" s="34" t="str">
        <f>IF(B137="","",COUNTIF($C$8:C137,C137)&amp;C137)</f>
        <v>0</v>
      </c>
    </row>
    <row r="138" spans="2:24" ht="23.1" customHeight="1">
      <c r="B138" s="31">
        <v>44620</v>
      </c>
      <c r="C138" s="9"/>
      <c r="D138" s="9" t="s">
        <v>570</v>
      </c>
      <c r="E138" s="7"/>
      <c r="F138" s="7"/>
      <c r="G138" s="7"/>
      <c r="H138" s="7" t="s">
        <v>571</v>
      </c>
      <c r="I138" s="7" t="s">
        <v>592</v>
      </c>
      <c r="J138" s="39">
        <v>872</v>
      </c>
      <c r="L138" s="16">
        <f t="shared" si="30"/>
        <v>1</v>
      </c>
      <c r="M138" s="16" t="str">
        <f t="shared" si="26"/>
        <v>February</v>
      </c>
      <c r="N138" s="16" t="str">
        <f t="shared" si="31"/>
        <v/>
      </c>
      <c r="O138" s="16" t="str">
        <f>IF(N138="","",COUNTIF($N$8:N138,N138))</f>
        <v/>
      </c>
      <c r="P138" s="34" t="str">
        <f t="shared" si="32"/>
        <v>outBeban Lainnya</v>
      </c>
      <c r="Q138" s="34" t="str">
        <f t="shared" si="33"/>
        <v>outFebruaryBeban Lainnya</v>
      </c>
      <c r="R138" s="34" t="str">
        <f t="shared" si="24"/>
        <v>Beban Lainnya</v>
      </c>
      <c r="S138" s="34" t="str">
        <f t="shared" si="25"/>
        <v>Bank</v>
      </c>
      <c r="T138" s="34" t="str">
        <f t="shared" si="27"/>
        <v/>
      </c>
      <c r="U138" s="34" t="str">
        <f>IF(AND(L138=1,bp_kode=T138,T138&lt;&gt;""),COUNTIF($T$8:T138,T138),"")</f>
        <v/>
      </c>
      <c r="V138" s="34" t="str">
        <f t="shared" si="28"/>
        <v>db</v>
      </c>
      <c r="W138" s="34" t="str">
        <f t="shared" si="29"/>
        <v>db</v>
      </c>
      <c r="X138" s="34" t="str">
        <f>IF(B138="","",COUNTIF($C$8:C138,C138)&amp;C138)</f>
        <v>0</v>
      </c>
    </row>
    <row r="139" spans="2:24" ht="23.1" customHeight="1">
      <c r="B139" s="31">
        <v>44620</v>
      </c>
      <c r="C139" s="9"/>
      <c r="D139" s="9" t="s">
        <v>572</v>
      </c>
      <c r="E139" s="7"/>
      <c r="F139" s="7"/>
      <c r="G139" s="7"/>
      <c r="H139" s="7" t="s">
        <v>640</v>
      </c>
      <c r="I139" s="7" t="s">
        <v>592</v>
      </c>
      <c r="J139" s="39">
        <v>27000</v>
      </c>
      <c r="L139" s="16">
        <f t="shared" si="30"/>
        <v>1</v>
      </c>
      <c r="M139" s="16" t="str">
        <f t="shared" si="26"/>
        <v>February</v>
      </c>
      <c r="N139" s="16" t="str">
        <f t="shared" si="31"/>
        <v/>
      </c>
      <c r="O139" s="16" t="str">
        <f>IF(N139="","",COUNTIF($N$8:N139,N139))</f>
        <v/>
      </c>
      <c r="P139" s="34" t="str">
        <f t="shared" si="32"/>
        <v>outBeban Lainnya</v>
      </c>
      <c r="Q139" s="34" t="str">
        <f t="shared" si="33"/>
        <v>outFebruaryBeban Lainnya</v>
      </c>
      <c r="R139" s="34" t="str">
        <f t="shared" ref="R139:R199" si="60">IFERROR(INDEX(akun_type,MATCH(H139,akun_kb,0)),"")</f>
        <v>Beban Lainnya</v>
      </c>
      <c r="S139" s="34" t="str">
        <f t="shared" ref="S139:S199" si="61">IFERROR(INDEX(akun_type,MATCH(I139,akun_kb,0)),"")</f>
        <v>Bank</v>
      </c>
      <c r="T139" s="34" t="str">
        <f t="shared" si="27"/>
        <v/>
      </c>
      <c r="U139" s="34" t="str">
        <f>IF(AND(L139=1,bp_kode=T139,T139&lt;&gt;""),COUNTIF($T$8:T139,T139),"")</f>
        <v/>
      </c>
      <c r="V139" s="34" t="str">
        <f t="shared" si="28"/>
        <v>db</v>
      </c>
      <c r="W139" s="34" t="str">
        <f t="shared" si="29"/>
        <v>db</v>
      </c>
      <c r="X139" s="34" t="str">
        <f>IF(B139="","",COUNTIF($C$8:C139,C139)&amp;C139)</f>
        <v>0</v>
      </c>
    </row>
    <row r="140" spans="2:24" ht="23.1" customHeight="1">
      <c r="B140" s="31">
        <v>44620</v>
      </c>
      <c r="C140" s="9"/>
      <c r="D140" s="9" t="s">
        <v>576</v>
      </c>
      <c r="E140" s="7"/>
      <c r="F140" s="7"/>
      <c r="G140" s="7"/>
      <c r="H140" s="7" t="s">
        <v>593</v>
      </c>
      <c r="I140" s="7" t="s">
        <v>569</v>
      </c>
      <c r="J140" s="39">
        <v>8431</v>
      </c>
      <c r="L140" s="16">
        <f t="shared" si="30"/>
        <v>1</v>
      </c>
      <c r="M140" s="16" t="str">
        <f t="shared" ref="M140:M199" si="62">IF(B140="","",TEXT(B140,"mmmm"))</f>
        <v>February</v>
      </c>
      <c r="N140" s="16" t="str">
        <f t="shared" si="31"/>
        <v/>
      </c>
      <c r="O140" s="16" t="str">
        <f>IF(N140="","",COUNTIF($N$8:N140,N140))</f>
        <v/>
      </c>
      <c r="P140" s="34" t="str">
        <f t="shared" si="32"/>
        <v>InPendapatan Lainnya</v>
      </c>
      <c r="Q140" s="34" t="str">
        <f t="shared" si="33"/>
        <v>inFebruaryPendapatan Lainnya</v>
      </c>
      <c r="R140" s="34" t="str">
        <f t="shared" si="60"/>
        <v>Bank</v>
      </c>
      <c r="S140" s="34" t="str">
        <f t="shared" si="61"/>
        <v>Pendapatan Lainnya</v>
      </c>
      <c r="T140" s="34" t="str">
        <f t="shared" ref="T140:T199" si="63">IF(AND(L140=1,OR(R140="Akun Piutang",R140="akun hutang",S140="akun piutang",S140="akun hutang")),E140,"")</f>
        <v/>
      </c>
      <c r="U140" s="34" t="str">
        <f>IF(AND(L140=1,bp_kode=T140,T140&lt;&gt;""),COUNTIF($T$8:T140,T140),"")</f>
        <v/>
      </c>
      <c r="V140" s="34" t="str">
        <f t="shared" ref="V140:V199" si="64">IF(OR(R140="Pendapatan",R140="Pendapatan Lainnya",R140="Beban",R140="Harga Pokok Penjualan",R140="Beban Lainnya"),"db"&amp;F140,IF(OR(S140="Pendapatan",S140="Pendapatan Lainnya",S140="Beban",S140="Harga Pokok Penjualan",S140="Beban Lainnya"),"kr"&amp;F140,""))</f>
        <v>kr</v>
      </c>
      <c r="W140" s="34" t="str">
        <f t="shared" ref="W140:W199" si="65">IF(OR(R140="Pendapatan",R140="Pendapatan Lainnya",R140="Beban",R140="Harga Pokok Penjualan",R140="Beban Lainnya"),"db"&amp;G140,IF(OR(S140="Pendapatan",S140="Pendapatan Lainnya",S140="Beban",S140="Harga Pokok Penjualan",S140="Beban Lainnya"),"kr"&amp;G140,""))</f>
        <v>kr</v>
      </c>
      <c r="X140" s="34" t="str">
        <f>IF(B140="","",COUNTIF($C$8:C140,C140)&amp;C140)</f>
        <v>0</v>
      </c>
    </row>
    <row r="141" spans="2:24" ht="23.1" customHeight="1">
      <c r="B141" s="31">
        <v>44620</v>
      </c>
      <c r="C141" s="9"/>
      <c r="D141" s="9" t="s">
        <v>570</v>
      </c>
      <c r="E141" s="7"/>
      <c r="F141" s="7"/>
      <c r="G141" s="7"/>
      <c r="H141" s="7" t="s">
        <v>571</v>
      </c>
      <c r="I141" s="7" t="s">
        <v>593</v>
      </c>
      <c r="J141" s="39">
        <v>1579</v>
      </c>
      <c r="L141" s="16">
        <f t="shared" si="30"/>
        <v>1</v>
      </c>
      <c r="M141" s="16" t="str">
        <f t="shared" si="62"/>
        <v>February</v>
      </c>
      <c r="N141" s="16" t="str">
        <f t="shared" si="31"/>
        <v/>
      </c>
      <c r="O141" s="16" t="str">
        <f>IF(N141="","",COUNTIF($N$8:N141,N141))</f>
        <v/>
      </c>
      <c r="P141" s="34" t="str">
        <f t="shared" si="32"/>
        <v>outBeban Lainnya</v>
      </c>
      <c r="Q141" s="34" t="str">
        <f t="shared" si="33"/>
        <v>outFebruaryBeban Lainnya</v>
      </c>
      <c r="R141" s="34" t="str">
        <f t="shared" si="60"/>
        <v>Beban Lainnya</v>
      </c>
      <c r="S141" s="34" t="str">
        <f t="shared" si="61"/>
        <v>Bank</v>
      </c>
      <c r="T141" s="34" t="str">
        <f t="shared" si="63"/>
        <v/>
      </c>
      <c r="U141" s="34" t="str">
        <f>IF(AND(L141=1,bp_kode=T141,T141&lt;&gt;""),COUNTIF($T$8:T141,T141),"")</f>
        <v/>
      </c>
      <c r="V141" s="34" t="str">
        <f t="shared" si="64"/>
        <v>db</v>
      </c>
      <c r="W141" s="34" t="str">
        <f t="shared" si="65"/>
        <v>db</v>
      </c>
      <c r="X141" s="34" t="str">
        <f>IF(B141="","",COUNTIF($C$8:C141,C141)&amp;C141)</f>
        <v>0</v>
      </c>
    </row>
    <row r="142" spans="2:24" ht="23.1" customHeight="1">
      <c r="B142" s="31">
        <v>44620</v>
      </c>
      <c r="C142" s="9"/>
      <c r="D142" s="9" t="s">
        <v>572</v>
      </c>
      <c r="E142" s="7"/>
      <c r="F142" s="7"/>
      <c r="G142" s="7"/>
      <c r="H142" s="7" t="s">
        <v>640</v>
      </c>
      <c r="I142" s="7" t="s">
        <v>593</v>
      </c>
      <c r="J142" s="39">
        <v>36500</v>
      </c>
      <c r="L142" s="16">
        <f t="shared" si="30"/>
        <v>1</v>
      </c>
      <c r="M142" s="16" t="str">
        <f t="shared" si="62"/>
        <v>February</v>
      </c>
      <c r="N142" s="16" t="str">
        <f t="shared" si="31"/>
        <v/>
      </c>
      <c r="O142" s="16" t="str">
        <f>IF(N142="","",COUNTIF($N$8:N142,N142))</f>
        <v/>
      </c>
      <c r="P142" s="34" t="str">
        <f t="shared" si="32"/>
        <v>outBeban Lainnya</v>
      </c>
      <c r="Q142" s="34" t="str">
        <f t="shared" si="33"/>
        <v>outFebruaryBeban Lainnya</v>
      </c>
      <c r="R142" s="34" t="str">
        <f t="shared" si="60"/>
        <v>Beban Lainnya</v>
      </c>
      <c r="S142" s="34" t="str">
        <f t="shared" si="61"/>
        <v>Bank</v>
      </c>
      <c r="T142" s="34" t="str">
        <f t="shared" si="63"/>
        <v/>
      </c>
      <c r="U142" s="34" t="str">
        <f>IF(AND(L142=1,bp_kode=T142,T142&lt;&gt;""),COUNTIF($T$8:T142,T142),"")</f>
        <v/>
      </c>
      <c r="V142" s="34" t="str">
        <f t="shared" si="64"/>
        <v>db</v>
      </c>
      <c r="W142" s="34" t="str">
        <f t="shared" si="65"/>
        <v>db</v>
      </c>
      <c r="X142" s="34" t="str">
        <f>IF(B142="","",COUNTIF($C$8:C142,C142)&amp;C142)</f>
        <v>0</v>
      </c>
    </row>
    <row r="143" spans="2:24" ht="23.1" customHeight="1">
      <c r="B143" s="31">
        <v>44620</v>
      </c>
      <c r="C143" s="9"/>
      <c r="D143" s="9" t="s">
        <v>595</v>
      </c>
      <c r="E143" s="7"/>
      <c r="F143" s="7"/>
      <c r="G143" s="7"/>
      <c r="H143" s="7" t="s">
        <v>594</v>
      </c>
      <c r="I143" s="7" t="s">
        <v>582</v>
      </c>
      <c r="J143" s="39">
        <v>12800563</v>
      </c>
      <c r="L143" s="16">
        <f t="shared" si="30"/>
        <v>1</v>
      </c>
      <c r="M143" s="16" t="str">
        <f t="shared" si="62"/>
        <v>February</v>
      </c>
      <c r="N143" s="16" t="str">
        <f t="shared" si="31"/>
        <v/>
      </c>
      <c r="O143" s="16" t="str">
        <f>IF(N143="","",COUNTIF($N$8:N143,N143))</f>
        <v/>
      </c>
      <c r="P143" s="34" t="str">
        <f t="shared" si="32"/>
        <v>outAktiva Lancar Lainnya</v>
      </c>
      <c r="Q143" s="34" t="str">
        <f t="shared" si="33"/>
        <v>outFebruaryAktiva Lancar Lainnya</v>
      </c>
      <c r="R143" s="34" t="str">
        <f t="shared" si="60"/>
        <v>Aktiva Lancar Lainnya</v>
      </c>
      <c r="S143" s="34" t="str">
        <f t="shared" si="61"/>
        <v>Kas</v>
      </c>
      <c r="T143" s="34" t="str">
        <f t="shared" si="63"/>
        <v/>
      </c>
      <c r="U143" s="34" t="str">
        <f>IF(AND(L143=1,bp_kode=T143,T143&lt;&gt;""),COUNTIF($T$8:T143,T143),"")</f>
        <v/>
      </c>
      <c r="V143" s="34" t="str">
        <f t="shared" si="64"/>
        <v/>
      </c>
      <c r="W143" s="34" t="str">
        <f t="shared" si="65"/>
        <v/>
      </c>
      <c r="X143" s="34" t="str">
        <f>IF(B143="","",COUNTIF($C$8:C143,C143)&amp;C143)</f>
        <v>0</v>
      </c>
    </row>
    <row r="144" spans="2:24" ht="23.1" customHeight="1">
      <c r="B144" s="31">
        <v>44620</v>
      </c>
      <c r="C144" s="9"/>
      <c r="D144" s="9" t="s">
        <v>596</v>
      </c>
      <c r="E144" s="7"/>
      <c r="F144" s="7"/>
      <c r="G144" s="7"/>
      <c r="H144" s="7" t="s">
        <v>597</v>
      </c>
      <c r="I144" s="7" t="s">
        <v>582</v>
      </c>
      <c r="J144" s="39">
        <v>7200000</v>
      </c>
      <c r="L144" s="16">
        <f t="shared" si="30"/>
        <v>1</v>
      </c>
      <c r="M144" s="16" t="str">
        <f t="shared" si="62"/>
        <v>February</v>
      </c>
      <c r="N144" s="16" t="str">
        <f t="shared" si="31"/>
        <v/>
      </c>
      <c r="O144" s="16" t="str">
        <f>IF(N144="","",COUNTIF($N$8:N144,N144))</f>
        <v/>
      </c>
      <c r="P144" s="34" t="str">
        <f t="shared" si="32"/>
        <v>outAktiva Lainnya</v>
      </c>
      <c r="Q144" s="34" t="str">
        <f t="shared" si="33"/>
        <v>outFebruaryAktiva Lainnya</v>
      </c>
      <c r="R144" s="34" t="str">
        <f t="shared" si="60"/>
        <v>Aktiva Lainnya</v>
      </c>
      <c r="S144" s="34" t="str">
        <f t="shared" si="61"/>
        <v>Kas</v>
      </c>
      <c r="T144" s="34" t="str">
        <f t="shared" si="63"/>
        <v/>
      </c>
      <c r="U144" s="34" t="str">
        <f>IF(AND(L144=1,bp_kode=T144,T144&lt;&gt;""),COUNTIF($T$8:T144,T144),"")</f>
        <v/>
      </c>
      <c r="V144" s="34" t="str">
        <f t="shared" si="64"/>
        <v/>
      </c>
      <c r="W144" s="34" t="str">
        <f t="shared" si="65"/>
        <v/>
      </c>
      <c r="X144" s="34" t="str">
        <f>IF(B144="","",COUNTIF($C$8:C144,C144)&amp;C144)</f>
        <v>0</v>
      </c>
    </row>
    <row r="145" spans="2:24" ht="23.1" customHeight="1">
      <c r="B145" s="31">
        <v>44620</v>
      </c>
      <c r="C145" s="9"/>
      <c r="D145" s="9" t="s">
        <v>598</v>
      </c>
      <c r="E145" s="7"/>
      <c r="F145" s="7"/>
      <c r="G145" s="7"/>
      <c r="H145" s="7" t="s">
        <v>599</v>
      </c>
      <c r="I145" s="7" t="s">
        <v>582</v>
      </c>
      <c r="J145" s="39">
        <v>5050000</v>
      </c>
      <c r="L145" s="16">
        <f t="shared" si="30"/>
        <v>1</v>
      </c>
      <c r="M145" s="16" t="str">
        <f t="shared" si="62"/>
        <v>February</v>
      </c>
      <c r="N145" s="16" t="str">
        <f t="shared" si="31"/>
        <v/>
      </c>
      <c r="O145" s="16" t="str">
        <f>IF(N145="","",COUNTIF($N$8:N145,N145))</f>
        <v/>
      </c>
      <c r="P145" s="34" t="str">
        <f t="shared" si="32"/>
        <v>outAkun Hutang</v>
      </c>
      <c r="Q145" s="34" t="str">
        <f t="shared" si="33"/>
        <v>outFebruaryAkun Hutang</v>
      </c>
      <c r="R145" s="34" t="str">
        <f t="shared" si="60"/>
        <v>Akun Hutang</v>
      </c>
      <c r="S145" s="34" t="str">
        <f t="shared" si="61"/>
        <v>Kas</v>
      </c>
      <c r="T145" s="34">
        <f t="shared" si="63"/>
        <v>0</v>
      </c>
      <c r="U145" s="34" t="str">
        <f>IF(AND(L145=1,bp_kode=T145,T145&lt;&gt;""),COUNTIF($T$8:T145,T145),"")</f>
        <v/>
      </c>
      <c r="V145" s="34" t="str">
        <f t="shared" si="64"/>
        <v/>
      </c>
      <c r="W145" s="34" t="str">
        <f t="shared" si="65"/>
        <v/>
      </c>
      <c r="X145" s="34" t="str">
        <f>IF(B145="","",COUNTIF($C$8:C145,C145)&amp;C145)</f>
        <v>0</v>
      </c>
    </row>
    <row r="146" spans="2:24" ht="23.1" customHeight="1">
      <c r="B146" s="31">
        <v>44620</v>
      </c>
      <c r="C146" s="9"/>
      <c r="D146" s="9" t="s">
        <v>600</v>
      </c>
      <c r="E146" s="7"/>
      <c r="F146" s="7"/>
      <c r="G146" s="7"/>
      <c r="H146" s="7" t="s">
        <v>601</v>
      </c>
      <c r="I146" s="7" t="s">
        <v>582</v>
      </c>
      <c r="J146" s="39">
        <v>20266650</v>
      </c>
      <c r="L146" s="16">
        <f t="shared" si="30"/>
        <v>1</v>
      </c>
      <c r="M146" s="16" t="str">
        <f t="shared" si="62"/>
        <v>February</v>
      </c>
      <c r="N146" s="16" t="str">
        <f t="shared" si="31"/>
        <v/>
      </c>
      <c r="O146" s="16" t="str">
        <f>IF(N146="","",COUNTIF($N$8:N146,N146))</f>
        <v/>
      </c>
      <c r="P146" s="34" t="str">
        <f t="shared" si="32"/>
        <v>outKewajiban Lancar Lainnya</v>
      </c>
      <c r="Q146" s="34" t="str">
        <f t="shared" si="33"/>
        <v>outFebruaryKewajiban Lancar Lainnya</v>
      </c>
      <c r="R146" s="34" t="str">
        <f t="shared" si="60"/>
        <v>Kewajiban Lancar Lainnya</v>
      </c>
      <c r="S146" s="34" t="str">
        <f t="shared" si="61"/>
        <v>Kas</v>
      </c>
      <c r="T146" s="34" t="str">
        <f t="shared" si="63"/>
        <v/>
      </c>
      <c r="U146" s="34" t="str">
        <f>IF(AND(L146=1,bp_kode=T146,T146&lt;&gt;""),COUNTIF($T$8:T146,T146),"")</f>
        <v/>
      </c>
      <c r="V146" s="34" t="str">
        <f t="shared" si="64"/>
        <v/>
      </c>
      <c r="W146" s="34" t="str">
        <f t="shared" si="65"/>
        <v/>
      </c>
      <c r="X146" s="34" t="str">
        <f>IF(B146="","",COUNTIF($C$8:C146,C146)&amp;C146)</f>
        <v>0</v>
      </c>
    </row>
    <row r="147" spans="2:24" ht="23.1" customHeight="1">
      <c r="B147" s="31">
        <v>44620</v>
      </c>
      <c r="C147" s="9"/>
      <c r="D147" s="9" t="s">
        <v>604</v>
      </c>
      <c r="E147" s="7"/>
      <c r="F147" s="7"/>
      <c r="G147" s="7"/>
      <c r="H147" s="7" t="s">
        <v>602</v>
      </c>
      <c r="I147" s="7" t="s">
        <v>582</v>
      </c>
      <c r="J147" s="39">
        <v>3028900</v>
      </c>
      <c r="L147" s="16">
        <f t="shared" si="30"/>
        <v>1</v>
      </c>
      <c r="M147" s="16" t="str">
        <f t="shared" si="62"/>
        <v>February</v>
      </c>
      <c r="N147" s="16" t="str">
        <f t="shared" si="31"/>
        <v/>
      </c>
      <c r="O147" s="16" t="str">
        <f>IF(N147="","",COUNTIF($N$8:N147,N147))</f>
        <v/>
      </c>
      <c r="P147" s="34" t="str">
        <f t="shared" si="32"/>
        <v>outHarga Pokok Penjualan</v>
      </c>
      <c r="Q147" s="34" t="str">
        <f t="shared" si="33"/>
        <v>outFebruaryHarga Pokok Penjualan</v>
      </c>
      <c r="R147" s="34" t="str">
        <f t="shared" si="60"/>
        <v>Harga Pokok Penjualan</v>
      </c>
      <c r="S147" s="34" t="str">
        <f t="shared" si="61"/>
        <v>Kas</v>
      </c>
      <c r="T147" s="34" t="str">
        <f t="shared" si="63"/>
        <v/>
      </c>
      <c r="U147" s="34" t="str">
        <f>IF(AND(L147=1,bp_kode=T147,T147&lt;&gt;""),COUNTIF($T$8:T147,T147),"")</f>
        <v/>
      </c>
      <c r="V147" s="34" t="str">
        <f t="shared" si="64"/>
        <v>db</v>
      </c>
      <c r="W147" s="34" t="str">
        <f t="shared" si="65"/>
        <v>db</v>
      </c>
      <c r="X147" s="34" t="str">
        <f>IF(B147="","",COUNTIF($C$8:C147,C147)&amp;C147)</f>
        <v>0</v>
      </c>
    </row>
    <row r="148" spans="2:24" ht="23.1" customHeight="1">
      <c r="B148" s="31">
        <v>44620</v>
      </c>
      <c r="C148" s="9"/>
      <c r="D148" s="9" t="s">
        <v>605</v>
      </c>
      <c r="E148" s="7"/>
      <c r="F148" s="7"/>
      <c r="G148" s="7"/>
      <c r="H148" s="7" t="s">
        <v>603</v>
      </c>
      <c r="I148" s="7" t="s">
        <v>582</v>
      </c>
      <c r="J148" s="39">
        <v>7301250</v>
      </c>
      <c r="L148" s="16">
        <f t="shared" si="30"/>
        <v>1</v>
      </c>
      <c r="M148" s="16" t="str">
        <f t="shared" si="62"/>
        <v>February</v>
      </c>
      <c r="N148" s="16" t="str">
        <f t="shared" si="31"/>
        <v/>
      </c>
      <c r="O148" s="16" t="str">
        <f>IF(N148="","",COUNTIF($N$8:N148,N148))</f>
        <v/>
      </c>
      <c r="P148" s="34" t="str">
        <f t="shared" si="32"/>
        <v>outHarga Pokok Penjualan</v>
      </c>
      <c r="Q148" s="34" t="str">
        <f t="shared" si="33"/>
        <v>outFebruaryHarga Pokok Penjualan</v>
      </c>
      <c r="R148" s="34" t="str">
        <f t="shared" si="60"/>
        <v>Harga Pokok Penjualan</v>
      </c>
      <c r="S148" s="34" t="str">
        <f t="shared" si="61"/>
        <v>Kas</v>
      </c>
      <c r="T148" s="34" t="str">
        <f t="shared" si="63"/>
        <v/>
      </c>
      <c r="U148" s="34" t="str">
        <f>IF(AND(L148=1,bp_kode=T148,T148&lt;&gt;""),COUNTIF($T$8:T148,T148),"")</f>
        <v/>
      </c>
      <c r="V148" s="34" t="str">
        <f t="shared" si="64"/>
        <v>db</v>
      </c>
      <c r="W148" s="34" t="str">
        <f t="shared" si="65"/>
        <v>db</v>
      </c>
      <c r="X148" s="34" t="str">
        <f>IF(B148="","",COUNTIF($C$8:C148,C148)&amp;C148)</f>
        <v>0</v>
      </c>
    </row>
    <row r="149" spans="2:24" ht="23.1" customHeight="1">
      <c r="B149" s="31">
        <v>44620</v>
      </c>
      <c r="C149" s="9"/>
      <c r="D149" s="9" t="s">
        <v>609</v>
      </c>
      <c r="E149" s="7"/>
      <c r="F149" s="7"/>
      <c r="G149" s="7"/>
      <c r="H149" s="7" t="s">
        <v>606</v>
      </c>
      <c r="I149" s="7" t="s">
        <v>582</v>
      </c>
      <c r="J149" s="39">
        <v>3500000</v>
      </c>
      <c r="L149" s="16">
        <f t="shared" si="30"/>
        <v>1</v>
      </c>
      <c r="M149" s="16" t="str">
        <f t="shared" si="62"/>
        <v>February</v>
      </c>
      <c r="N149" s="16" t="str">
        <f t="shared" si="31"/>
        <v/>
      </c>
      <c r="O149" s="16" t="str">
        <f>IF(N149="","",COUNTIF($N$8:N149,N149))</f>
        <v/>
      </c>
      <c r="P149" s="34" t="str">
        <f t="shared" si="32"/>
        <v>outHarga Pokok Penjualan</v>
      </c>
      <c r="Q149" s="34" t="str">
        <f t="shared" si="33"/>
        <v>outFebruaryHarga Pokok Penjualan</v>
      </c>
      <c r="R149" s="34" t="str">
        <f t="shared" si="60"/>
        <v>Harga Pokok Penjualan</v>
      </c>
      <c r="S149" s="34" t="str">
        <f t="shared" si="61"/>
        <v>Kas</v>
      </c>
      <c r="T149" s="34" t="str">
        <f t="shared" si="63"/>
        <v/>
      </c>
      <c r="U149" s="34" t="str">
        <f>IF(AND(L149=1,bp_kode=T149,T149&lt;&gt;""),COUNTIF($T$8:T149,T149),"")</f>
        <v/>
      </c>
      <c r="V149" s="34" t="str">
        <f t="shared" si="64"/>
        <v>db</v>
      </c>
      <c r="W149" s="34" t="str">
        <f t="shared" si="65"/>
        <v>db</v>
      </c>
      <c r="X149" s="34" t="str">
        <f>IF(B149="","",COUNTIF($C$8:C149,C149)&amp;C149)</f>
        <v>0</v>
      </c>
    </row>
    <row r="150" spans="2:24" ht="23.1" customHeight="1">
      <c r="B150" s="31">
        <v>44620</v>
      </c>
      <c r="C150" s="9"/>
      <c r="D150" s="9" t="s">
        <v>610</v>
      </c>
      <c r="E150" s="7"/>
      <c r="F150" s="7"/>
      <c r="G150" s="7"/>
      <c r="H150" s="7" t="s">
        <v>607</v>
      </c>
      <c r="I150" s="7" t="s">
        <v>582</v>
      </c>
      <c r="J150" s="39">
        <v>60000</v>
      </c>
      <c r="L150" s="16">
        <f t="shared" si="30"/>
        <v>1</v>
      </c>
      <c r="M150" s="16" t="str">
        <f t="shared" si="62"/>
        <v>February</v>
      </c>
      <c r="N150" s="16" t="str">
        <f t="shared" si="31"/>
        <v/>
      </c>
      <c r="O150" s="16" t="str">
        <f>IF(N150="","",COUNTIF($N$8:N150,N150))</f>
        <v/>
      </c>
      <c r="P150" s="34" t="str">
        <f t="shared" si="32"/>
        <v>outHarga Pokok Penjualan</v>
      </c>
      <c r="Q150" s="34" t="str">
        <f t="shared" si="33"/>
        <v>outFebruaryHarga Pokok Penjualan</v>
      </c>
      <c r="R150" s="34" t="str">
        <f t="shared" si="60"/>
        <v>Harga Pokok Penjualan</v>
      </c>
      <c r="S150" s="34" t="str">
        <f t="shared" si="61"/>
        <v>Kas</v>
      </c>
      <c r="T150" s="34" t="str">
        <f t="shared" si="63"/>
        <v/>
      </c>
      <c r="U150" s="34" t="str">
        <f>IF(AND(L150=1,bp_kode=T150,T150&lt;&gt;""),COUNTIF($T$8:T150,T150),"")</f>
        <v/>
      </c>
      <c r="V150" s="34" t="str">
        <f t="shared" si="64"/>
        <v>db</v>
      </c>
      <c r="W150" s="34" t="str">
        <f t="shared" si="65"/>
        <v>db</v>
      </c>
      <c r="X150" s="34" t="str">
        <f>IF(B150="","",COUNTIF($C$8:C150,C150)&amp;C150)</f>
        <v>0</v>
      </c>
    </row>
    <row r="151" spans="2:24" ht="23.1" customHeight="1">
      <c r="B151" s="31">
        <v>44620</v>
      </c>
      <c r="C151" s="9"/>
      <c r="D151" s="9" t="s">
        <v>611</v>
      </c>
      <c r="E151" s="7"/>
      <c r="F151" s="7"/>
      <c r="G151" s="7"/>
      <c r="H151" s="7" t="s">
        <v>608</v>
      </c>
      <c r="I151" s="7" t="s">
        <v>582</v>
      </c>
      <c r="J151" s="39">
        <v>5183650</v>
      </c>
      <c r="L151" s="16">
        <f t="shared" si="30"/>
        <v>1</v>
      </c>
      <c r="M151" s="16" t="str">
        <f t="shared" si="62"/>
        <v>February</v>
      </c>
      <c r="N151" s="16" t="str">
        <f t="shared" si="31"/>
        <v/>
      </c>
      <c r="O151" s="16" t="str">
        <f>IF(N151="","",COUNTIF($N$8:N151,N151))</f>
        <v/>
      </c>
      <c r="P151" s="34" t="str">
        <f t="shared" si="32"/>
        <v>outHarga Pokok Penjualan</v>
      </c>
      <c r="Q151" s="34" t="str">
        <f t="shared" si="33"/>
        <v>outFebruaryHarga Pokok Penjualan</v>
      </c>
      <c r="R151" s="34" t="str">
        <f t="shared" si="60"/>
        <v>Harga Pokok Penjualan</v>
      </c>
      <c r="S151" s="34" t="str">
        <f t="shared" si="61"/>
        <v>Kas</v>
      </c>
      <c r="T151" s="34" t="str">
        <f t="shared" si="63"/>
        <v/>
      </c>
      <c r="U151" s="34" t="str">
        <f>IF(AND(L151=1,bp_kode=T151,T151&lt;&gt;""),COUNTIF($T$8:T151,T151),"")</f>
        <v/>
      </c>
      <c r="V151" s="34" t="str">
        <f t="shared" si="64"/>
        <v>db</v>
      </c>
      <c r="W151" s="34" t="str">
        <f t="shared" si="65"/>
        <v>db</v>
      </c>
      <c r="X151" s="34" t="str">
        <f>IF(B151="","",COUNTIF($C$8:C151,C151)&amp;C151)</f>
        <v>0</v>
      </c>
    </row>
    <row r="152" spans="2:24" ht="23.1" customHeight="1">
      <c r="B152" s="31">
        <v>44620</v>
      </c>
      <c r="C152" s="9"/>
      <c r="D152" s="9" t="s">
        <v>696</v>
      </c>
      <c r="E152" s="7"/>
      <c r="F152" s="7"/>
      <c r="G152" s="7"/>
      <c r="H152" s="7" t="s">
        <v>695</v>
      </c>
      <c r="I152" s="7" t="s">
        <v>582</v>
      </c>
      <c r="J152" s="39">
        <v>34650000</v>
      </c>
      <c r="L152" s="16">
        <f t="shared" ref="L152" si="66">IF(AND(B152&gt;=awal,B152&lt;=akhir,B152&lt;&gt;""),1,IF(AND(B152&lt;&gt;"",B152&lt;awal),2,""))</f>
        <v>1</v>
      </c>
      <c r="M152" s="16" t="str">
        <f t="shared" ref="M152" si="67">IF(B152="","",TEXT(B152,"mmmm"))</f>
        <v>February</v>
      </c>
      <c r="N152" s="16" t="str">
        <f t="shared" ref="N152" si="68">IF(AND(L152=1,H152=bb_akun),"Awe",IF(AND(L152=1,I152=bb_akun),"Awe",""))</f>
        <v>Awe</v>
      </c>
      <c r="O152" s="16">
        <f>IF(N152="","",COUNTIF($N$8:N152,N152))</f>
        <v>1</v>
      </c>
      <c r="P152" s="34" t="str">
        <f t="shared" ref="P152" si="69">IFERROR(IF(OR(INDEX(akun_type,MATCH(H152,akun_kb,0))="Kas",INDEX(akun_type,MATCH(H152,akun_kb,0))="Bank"),"In"&amp;INDEX(akun_type,MATCH(I152,akun_kb,0)),IF(OR(INDEX(akun_type,MATCH(I152,akun_kb,0))="Kas",INDEX(akun_type,MATCH(I152,akun_kb,0))="Bank"),"out"&amp;INDEX(akun_type,MATCH(H152,akun_kb,0)),"")),"")</f>
        <v>outHarga Pokok Penjualan</v>
      </c>
      <c r="Q152" s="34" t="str">
        <f t="shared" ref="Q152" si="70">IFERROR(IF(OR(INDEX(akun_type,MATCH(H152,akun_kb,0))="Kas",INDEX(akun_type,MATCH(H152,akun_kb,0))="Bank"),"in"&amp;TEXT(B152,"mmmm")&amp;INDEX(akun_type,MATCH(I152,akun_kb,0)),IF(OR(INDEX(akun_type,MATCH(I152,akun_kb,0))="Kas",INDEX(akun_type,MATCH(I152,akun_kb,0))="Bank"),"out"&amp;TEXT(B152,"mmmm")&amp;INDEX(akun_type,MATCH(H152,akun_kb,0)),"")),"")</f>
        <v>outFebruaryHarga Pokok Penjualan</v>
      </c>
      <c r="R152" s="34" t="str">
        <f t="shared" ref="R152" si="71">IFERROR(INDEX(akun_type,MATCH(H152,akun_kb,0)),"")</f>
        <v>Harga Pokok Penjualan</v>
      </c>
      <c r="S152" s="34" t="str">
        <f t="shared" ref="S152" si="72">IFERROR(INDEX(akun_type,MATCH(I152,akun_kb,0)),"")</f>
        <v>Kas</v>
      </c>
      <c r="T152" s="34" t="str">
        <f t="shared" ref="T152" si="73">IF(AND(L152=1,OR(R152="Akun Piutang",R152="akun hutang",S152="akun piutang",S152="akun hutang")),E152,"")</f>
        <v/>
      </c>
      <c r="U152" s="34" t="str">
        <f>IF(AND(L152=1,bp_kode=T152,T152&lt;&gt;""),COUNTIF($T$8:T152,T152),"")</f>
        <v/>
      </c>
      <c r="V152" s="34" t="str">
        <f t="shared" ref="V152" si="74">IF(OR(R152="Pendapatan",R152="Pendapatan Lainnya",R152="Beban",R152="Harga Pokok Penjualan",R152="Beban Lainnya"),"db"&amp;F152,IF(OR(S152="Pendapatan",S152="Pendapatan Lainnya",S152="Beban",S152="Harga Pokok Penjualan",S152="Beban Lainnya"),"kr"&amp;F152,""))</f>
        <v>db</v>
      </c>
      <c r="W152" s="34" t="str">
        <f t="shared" ref="W152" si="75">IF(OR(R152="Pendapatan",R152="Pendapatan Lainnya",R152="Beban",R152="Harga Pokok Penjualan",R152="Beban Lainnya"),"db"&amp;G152,IF(OR(S152="Pendapatan",S152="Pendapatan Lainnya",S152="Beban",S152="Harga Pokok Penjualan",S152="Beban Lainnya"),"kr"&amp;G152,""))</f>
        <v>db</v>
      </c>
      <c r="X152" s="34" t="str">
        <f>IF(B152="","",COUNTIF($C$8:C152,C152)&amp;C152)</f>
        <v>0</v>
      </c>
    </row>
    <row r="153" spans="2:24" ht="23.1" customHeight="1">
      <c r="B153" s="31">
        <v>44620</v>
      </c>
      <c r="C153" s="9"/>
      <c r="D153" s="9" t="s">
        <v>612</v>
      </c>
      <c r="E153" s="7"/>
      <c r="F153" s="7"/>
      <c r="G153" s="7"/>
      <c r="H153" s="7" t="s">
        <v>613</v>
      </c>
      <c r="I153" s="7" t="s">
        <v>582</v>
      </c>
      <c r="J153" s="39">
        <v>24598000</v>
      </c>
      <c r="L153" s="16">
        <f t="shared" si="30"/>
        <v>1</v>
      </c>
      <c r="M153" s="16" t="str">
        <f t="shared" si="62"/>
        <v>February</v>
      </c>
      <c r="N153" s="16" t="str">
        <f t="shared" si="31"/>
        <v/>
      </c>
      <c r="O153" s="16" t="str">
        <f>IF(N153="","",COUNTIF($N$8:N153,N153))</f>
        <v/>
      </c>
      <c r="P153" s="34" t="str">
        <f t="shared" si="32"/>
        <v>outHarga Pokok Penjualan</v>
      </c>
      <c r="Q153" s="34" t="str">
        <f t="shared" si="33"/>
        <v>outFebruaryHarga Pokok Penjualan</v>
      </c>
      <c r="R153" s="34" t="str">
        <f t="shared" si="60"/>
        <v>Harga Pokok Penjualan</v>
      </c>
      <c r="S153" s="34" t="str">
        <f t="shared" si="61"/>
        <v>Kas</v>
      </c>
      <c r="T153" s="34" t="str">
        <f t="shared" si="63"/>
        <v/>
      </c>
      <c r="U153" s="34" t="str">
        <f>IF(AND(L153=1,bp_kode=T153,T153&lt;&gt;""),COUNTIF($T$8:T153,T153),"")</f>
        <v/>
      </c>
      <c r="V153" s="34" t="str">
        <f t="shared" si="64"/>
        <v>db</v>
      </c>
      <c r="W153" s="34" t="str">
        <f t="shared" si="65"/>
        <v>db</v>
      </c>
      <c r="X153" s="34" t="str">
        <f>IF(B153="","",COUNTIF($C$8:C153,C153)&amp;C153)</f>
        <v>0</v>
      </c>
    </row>
    <row r="154" spans="2:24" ht="23.1" customHeight="1">
      <c r="B154" s="31">
        <v>44620</v>
      </c>
      <c r="C154" s="9"/>
      <c r="D154" s="9" t="s">
        <v>621</v>
      </c>
      <c r="E154" s="7"/>
      <c r="F154" s="7"/>
      <c r="G154" s="7"/>
      <c r="H154" s="7" t="s">
        <v>614</v>
      </c>
      <c r="I154" s="7" t="s">
        <v>582</v>
      </c>
      <c r="J154" s="39">
        <v>12852942</v>
      </c>
      <c r="L154" s="16">
        <f t="shared" si="30"/>
        <v>1</v>
      </c>
      <c r="M154" s="16" t="str">
        <f t="shared" si="62"/>
        <v>February</v>
      </c>
      <c r="N154" s="16" t="str">
        <f t="shared" si="31"/>
        <v/>
      </c>
      <c r="O154" s="16" t="str">
        <f>IF(N154="","",COUNTIF($N$8:N154,N154))</f>
        <v/>
      </c>
      <c r="P154" s="34" t="str">
        <f t="shared" si="32"/>
        <v>outBeban</v>
      </c>
      <c r="Q154" s="34" t="str">
        <f t="shared" si="33"/>
        <v>outFebruaryBeban</v>
      </c>
      <c r="R154" s="34" t="str">
        <f t="shared" si="60"/>
        <v>Beban</v>
      </c>
      <c r="S154" s="34" t="str">
        <f t="shared" si="61"/>
        <v>Kas</v>
      </c>
      <c r="T154" s="34" t="str">
        <f t="shared" si="63"/>
        <v/>
      </c>
      <c r="U154" s="34" t="str">
        <f>IF(AND(L154=1,bp_kode=T154,T154&lt;&gt;""),COUNTIF($T$8:T154,T154),"")</f>
        <v/>
      </c>
      <c r="V154" s="34" t="str">
        <f t="shared" si="64"/>
        <v>db</v>
      </c>
      <c r="W154" s="34" t="str">
        <f t="shared" si="65"/>
        <v>db</v>
      </c>
      <c r="X154" s="34" t="str">
        <f>IF(B154="","",COUNTIF($C$8:C154,C154)&amp;C154)</f>
        <v>0</v>
      </c>
    </row>
    <row r="155" spans="2:24" ht="23.1" customHeight="1">
      <c r="B155" s="31">
        <v>44620</v>
      </c>
      <c r="C155" s="9"/>
      <c r="D155" s="9" t="s">
        <v>622</v>
      </c>
      <c r="E155" s="7"/>
      <c r="F155" s="7"/>
      <c r="G155" s="7"/>
      <c r="H155" s="7" t="s">
        <v>615</v>
      </c>
      <c r="I155" s="7" t="s">
        <v>582</v>
      </c>
      <c r="J155" s="39">
        <v>2428800</v>
      </c>
      <c r="L155" s="16">
        <f t="shared" si="30"/>
        <v>1</v>
      </c>
      <c r="M155" s="16" t="str">
        <f t="shared" si="62"/>
        <v>February</v>
      </c>
      <c r="N155" s="16" t="str">
        <f t="shared" si="31"/>
        <v/>
      </c>
      <c r="O155" s="16" t="str">
        <f>IF(N155="","",COUNTIF($N$8:N155,N155))</f>
        <v/>
      </c>
      <c r="P155" s="34" t="str">
        <f t="shared" si="32"/>
        <v>outBeban</v>
      </c>
      <c r="Q155" s="34" t="str">
        <f t="shared" si="33"/>
        <v>outFebruaryBeban</v>
      </c>
      <c r="R155" s="34" t="str">
        <f t="shared" si="60"/>
        <v>Beban</v>
      </c>
      <c r="S155" s="34" t="str">
        <f t="shared" si="61"/>
        <v>Kas</v>
      </c>
      <c r="T155" s="34" t="str">
        <f t="shared" si="63"/>
        <v/>
      </c>
      <c r="U155" s="34" t="str">
        <f>IF(AND(L155=1,bp_kode=T155,T155&lt;&gt;""),COUNTIF($T$8:T155,T155),"")</f>
        <v/>
      </c>
      <c r="V155" s="34" t="str">
        <f t="shared" si="64"/>
        <v>db</v>
      </c>
      <c r="W155" s="34" t="str">
        <f t="shared" si="65"/>
        <v>db</v>
      </c>
      <c r="X155" s="34" t="str">
        <f>IF(B155="","",COUNTIF($C$8:C155,C155)&amp;C155)</f>
        <v>0</v>
      </c>
    </row>
    <row r="156" spans="2:24" ht="23.1" customHeight="1">
      <c r="B156" s="31">
        <v>44620</v>
      </c>
      <c r="C156" s="9"/>
      <c r="D156" s="9" t="s">
        <v>623</v>
      </c>
      <c r="E156" s="7"/>
      <c r="F156" s="7"/>
      <c r="G156" s="7"/>
      <c r="H156" s="7" t="s">
        <v>616</v>
      </c>
      <c r="I156" s="7" t="s">
        <v>582</v>
      </c>
      <c r="J156" s="39">
        <v>1200000</v>
      </c>
      <c r="L156" s="16">
        <f t="shared" si="30"/>
        <v>1</v>
      </c>
      <c r="M156" s="16" t="str">
        <f t="shared" si="62"/>
        <v>February</v>
      </c>
      <c r="N156" s="16" t="str">
        <f t="shared" si="31"/>
        <v/>
      </c>
      <c r="O156" s="16" t="str">
        <f>IF(N156="","",COUNTIF($N$8:N156,N156))</f>
        <v/>
      </c>
      <c r="P156" s="34" t="str">
        <f t="shared" si="32"/>
        <v>outBeban</v>
      </c>
      <c r="Q156" s="34" t="str">
        <f t="shared" si="33"/>
        <v>outFebruaryBeban</v>
      </c>
      <c r="R156" s="34" t="str">
        <f t="shared" si="60"/>
        <v>Beban</v>
      </c>
      <c r="S156" s="34" t="str">
        <f t="shared" si="61"/>
        <v>Kas</v>
      </c>
      <c r="T156" s="34" t="str">
        <f t="shared" si="63"/>
        <v/>
      </c>
      <c r="U156" s="34" t="str">
        <f>IF(AND(L156=1,bp_kode=T156,T156&lt;&gt;""),COUNTIF($T$8:T156,T156),"")</f>
        <v/>
      </c>
      <c r="V156" s="34" t="str">
        <f t="shared" si="64"/>
        <v>db</v>
      </c>
      <c r="W156" s="34" t="str">
        <f t="shared" si="65"/>
        <v>db</v>
      </c>
      <c r="X156" s="34" t="str">
        <f>IF(B156="","",COUNTIF($C$8:C156,C156)&amp;C156)</f>
        <v>0</v>
      </c>
    </row>
    <row r="157" spans="2:24" ht="23.1" customHeight="1">
      <c r="B157" s="31">
        <v>44620</v>
      </c>
      <c r="C157" s="9"/>
      <c r="D157" s="9" t="s">
        <v>624</v>
      </c>
      <c r="E157" s="7"/>
      <c r="F157" s="7"/>
      <c r="G157" s="7"/>
      <c r="H157" s="7" t="s">
        <v>617</v>
      </c>
      <c r="I157" s="7" t="s">
        <v>582</v>
      </c>
      <c r="J157" s="39">
        <v>32132356</v>
      </c>
      <c r="L157" s="16">
        <f t="shared" si="30"/>
        <v>1</v>
      </c>
      <c r="M157" s="16" t="str">
        <f t="shared" si="62"/>
        <v>February</v>
      </c>
      <c r="N157" s="16" t="str">
        <f t="shared" si="31"/>
        <v/>
      </c>
      <c r="O157" s="16" t="str">
        <f>IF(N157="","",COUNTIF($N$8:N157,N157))</f>
        <v/>
      </c>
      <c r="P157" s="34" t="str">
        <f t="shared" si="32"/>
        <v>outBeban</v>
      </c>
      <c r="Q157" s="34" t="str">
        <f t="shared" si="33"/>
        <v>outFebruaryBeban</v>
      </c>
      <c r="R157" s="34" t="str">
        <f t="shared" si="60"/>
        <v>Beban</v>
      </c>
      <c r="S157" s="34" t="str">
        <f t="shared" si="61"/>
        <v>Kas</v>
      </c>
      <c r="T157" s="34" t="str">
        <f t="shared" si="63"/>
        <v/>
      </c>
      <c r="U157" s="34" t="str">
        <f>IF(AND(L157=1,bp_kode=T157,T157&lt;&gt;""),COUNTIF($T$8:T157,T157),"")</f>
        <v/>
      </c>
      <c r="V157" s="34" t="str">
        <f t="shared" si="64"/>
        <v>db</v>
      </c>
      <c r="W157" s="34" t="str">
        <f t="shared" si="65"/>
        <v>db</v>
      </c>
      <c r="X157" s="34" t="str">
        <f>IF(B157="","",COUNTIF($C$8:C157,C157)&amp;C157)</f>
        <v>0</v>
      </c>
    </row>
    <row r="158" spans="2:24" ht="23.1" customHeight="1">
      <c r="B158" s="31">
        <v>44620</v>
      </c>
      <c r="C158" s="9"/>
      <c r="D158" s="9" t="s">
        <v>625</v>
      </c>
      <c r="E158" s="7"/>
      <c r="F158" s="7"/>
      <c r="G158" s="7"/>
      <c r="H158" s="7" t="s">
        <v>618</v>
      </c>
      <c r="I158" s="7" t="s">
        <v>582</v>
      </c>
      <c r="J158" s="39">
        <v>200812603</v>
      </c>
      <c r="L158" s="16">
        <f t="shared" si="30"/>
        <v>1</v>
      </c>
      <c r="M158" s="16" t="str">
        <f t="shared" si="62"/>
        <v>February</v>
      </c>
      <c r="N158" s="16" t="str">
        <f t="shared" si="31"/>
        <v/>
      </c>
      <c r="O158" s="16" t="str">
        <f>IF(N158="","",COUNTIF($N$8:N158,N158))</f>
        <v/>
      </c>
      <c r="P158" s="34" t="str">
        <f t="shared" si="32"/>
        <v>outBeban</v>
      </c>
      <c r="Q158" s="34" t="str">
        <f t="shared" si="33"/>
        <v>outFebruaryBeban</v>
      </c>
      <c r="R158" s="34" t="str">
        <f t="shared" si="60"/>
        <v>Beban</v>
      </c>
      <c r="S158" s="34" t="str">
        <f t="shared" si="61"/>
        <v>Kas</v>
      </c>
      <c r="T158" s="34" t="str">
        <f t="shared" si="63"/>
        <v/>
      </c>
      <c r="U158" s="34" t="str">
        <f>IF(AND(L158=1,bp_kode=T158,T158&lt;&gt;""),COUNTIF($T$8:T158,T158),"")</f>
        <v/>
      </c>
      <c r="V158" s="34" t="str">
        <f t="shared" si="64"/>
        <v>db</v>
      </c>
      <c r="W158" s="34" t="str">
        <f t="shared" si="65"/>
        <v>db</v>
      </c>
      <c r="X158" s="34" t="str">
        <f>IF(B158="","",COUNTIF($C$8:C158,C158)&amp;C158)</f>
        <v>0</v>
      </c>
    </row>
    <row r="159" spans="2:24" ht="23.1" customHeight="1">
      <c r="B159" s="31">
        <v>44620</v>
      </c>
      <c r="C159" s="9"/>
      <c r="D159" s="9" t="s">
        <v>626</v>
      </c>
      <c r="E159" s="7"/>
      <c r="F159" s="7"/>
      <c r="G159" s="7"/>
      <c r="H159" s="7" t="s">
        <v>619</v>
      </c>
      <c r="I159" s="7" t="s">
        <v>582</v>
      </c>
      <c r="J159" s="39">
        <v>209823766</v>
      </c>
      <c r="L159" s="16">
        <f t="shared" si="30"/>
        <v>1</v>
      </c>
      <c r="M159" s="16" t="str">
        <f t="shared" si="62"/>
        <v>February</v>
      </c>
      <c r="N159" s="16" t="str">
        <f t="shared" si="31"/>
        <v/>
      </c>
      <c r="O159" s="16" t="str">
        <f>IF(N159="","",COUNTIF($N$8:N159,N159))</f>
        <v/>
      </c>
      <c r="P159" s="34" t="str">
        <f t="shared" si="32"/>
        <v>outBeban</v>
      </c>
      <c r="Q159" s="34" t="str">
        <f t="shared" si="33"/>
        <v>outFebruaryBeban</v>
      </c>
      <c r="R159" s="34" t="str">
        <f t="shared" si="60"/>
        <v>Beban</v>
      </c>
      <c r="S159" s="34" t="str">
        <f t="shared" si="61"/>
        <v>Kas</v>
      </c>
      <c r="T159" s="34" t="str">
        <f t="shared" si="63"/>
        <v/>
      </c>
      <c r="U159" s="34" t="str">
        <f>IF(AND(L159=1,bp_kode=T159,T159&lt;&gt;""),COUNTIF($T$8:T159,T159),"")</f>
        <v/>
      </c>
      <c r="V159" s="34" t="str">
        <f t="shared" si="64"/>
        <v>db</v>
      </c>
      <c r="W159" s="34" t="str">
        <f t="shared" si="65"/>
        <v>db</v>
      </c>
      <c r="X159" s="34" t="str">
        <f>IF(B159="","",COUNTIF($C$8:C159,C159)&amp;C159)</f>
        <v>0</v>
      </c>
    </row>
    <row r="160" spans="2:24" ht="23.1" customHeight="1">
      <c r="B160" s="31">
        <v>44620</v>
      </c>
      <c r="C160" s="9"/>
      <c r="D160" s="9" t="s">
        <v>627</v>
      </c>
      <c r="E160" s="7"/>
      <c r="F160" s="7"/>
      <c r="G160" s="7"/>
      <c r="H160" s="7" t="s">
        <v>620</v>
      </c>
      <c r="I160" s="7" t="s">
        <v>582</v>
      </c>
      <c r="J160" s="39">
        <v>13353616</v>
      </c>
      <c r="L160" s="16">
        <f t="shared" si="30"/>
        <v>1</v>
      </c>
      <c r="M160" s="16" t="str">
        <f t="shared" si="62"/>
        <v>February</v>
      </c>
      <c r="N160" s="16" t="str">
        <f t="shared" si="31"/>
        <v/>
      </c>
      <c r="O160" s="16" t="str">
        <f>IF(N160="","",COUNTIF($N$8:N160,N160))</f>
        <v/>
      </c>
      <c r="P160" s="34" t="str">
        <f t="shared" si="32"/>
        <v>outBeban</v>
      </c>
      <c r="Q160" s="34" t="str">
        <f t="shared" si="33"/>
        <v>outFebruaryBeban</v>
      </c>
      <c r="R160" s="34" t="str">
        <f t="shared" si="60"/>
        <v>Beban</v>
      </c>
      <c r="S160" s="34" t="str">
        <f t="shared" si="61"/>
        <v>Kas</v>
      </c>
      <c r="T160" s="34" t="str">
        <f t="shared" si="63"/>
        <v/>
      </c>
      <c r="U160" s="34" t="str">
        <f>IF(AND(L160=1,bp_kode=T160,T160&lt;&gt;""),COUNTIF($T$8:T160,T160),"")</f>
        <v/>
      </c>
      <c r="V160" s="34" t="str">
        <f t="shared" si="64"/>
        <v>db</v>
      </c>
      <c r="W160" s="34" t="str">
        <f t="shared" si="65"/>
        <v>db</v>
      </c>
      <c r="X160" s="34" t="str">
        <f>IF(B160="","",COUNTIF($C$8:C160,C160)&amp;C160)</f>
        <v>0</v>
      </c>
    </row>
    <row r="161" spans="2:24" ht="23.1" customHeight="1">
      <c r="B161" s="31">
        <v>44620</v>
      </c>
      <c r="C161" s="9"/>
      <c r="D161" s="9" t="s">
        <v>644</v>
      </c>
      <c r="E161" s="7"/>
      <c r="F161" s="7"/>
      <c r="G161" s="7"/>
      <c r="H161" s="7" t="s">
        <v>628</v>
      </c>
      <c r="I161" s="7" t="s">
        <v>582</v>
      </c>
      <c r="J161" s="39">
        <v>21900000</v>
      </c>
      <c r="L161" s="16">
        <f t="shared" si="30"/>
        <v>1</v>
      </c>
      <c r="M161" s="16" t="str">
        <f t="shared" si="62"/>
        <v>February</v>
      </c>
      <c r="N161" s="16" t="str">
        <f t="shared" si="31"/>
        <v/>
      </c>
      <c r="O161" s="16" t="str">
        <f>IF(N161="","",COUNTIF($N$8:N161,N161))</f>
        <v/>
      </c>
      <c r="P161" s="34" t="str">
        <f t="shared" si="32"/>
        <v>outBeban</v>
      </c>
      <c r="Q161" s="34" t="str">
        <f t="shared" si="33"/>
        <v>outFebruaryBeban</v>
      </c>
      <c r="R161" s="34" t="str">
        <f t="shared" si="60"/>
        <v>Beban</v>
      </c>
      <c r="S161" s="34" t="str">
        <f t="shared" si="61"/>
        <v>Kas</v>
      </c>
      <c r="T161" s="34" t="str">
        <f t="shared" si="63"/>
        <v/>
      </c>
      <c r="U161" s="34" t="str">
        <f>IF(AND(L161=1,bp_kode=T161,T161&lt;&gt;""),COUNTIF($T$8:T161,T161),"")</f>
        <v/>
      </c>
      <c r="V161" s="34" t="str">
        <f t="shared" si="64"/>
        <v>db</v>
      </c>
      <c r="W161" s="34" t="str">
        <f t="shared" si="65"/>
        <v>db</v>
      </c>
      <c r="X161" s="34" t="str">
        <f>IF(B161="","",COUNTIF($C$8:C161,C161)&amp;C161)</f>
        <v>0</v>
      </c>
    </row>
    <row r="162" spans="2:24" ht="23.1" customHeight="1">
      <c r="B162" s="31">
        <v>44620</v>
      </c>
      <c r="C162" s="9"/>
      <c r="D162" s="9" t="s">
        <v>693</v>
      </c>
      <c r="E162" s="7"/>
      <c r="F162" s="7"/>
      <c r="G162" s="7"/>
      <c r="H162" s="7" t="s">
        <v>694</v>
      </c>
      <c r="I162" s="7" t="s">
        <v>582</v>
      </c>
      <c r="J162" s="39">
        <v>3500000</v>
      </c>
      <c r="L162" s="16">
        <f t="shared" ref="L162" si="76">IF(AND(B162&gt;=awal,B162&lt;=akhir,B162&lt;&gt;""),1,IF(AND(B162&lt;&gt;"",B162&lt;awal),2,""))</f>
        <v>1</v>
      </c>
      <c r="M162" s="16" t="str">
        <f t="shared" ref="M162" si="77">IF(B162="","",TEXT(B162,"mmmm"))</f>
        <v>February</v>
      </c>
      <c r="N162" s="16" t="str">
        <f t="shared" ref="N162" si="78">IF(AND(L162=1,H162=bb_akun),"Awe",IF(AND(L162=1,I162=bb_akun),"Awe",""))</f>
        <v/>
      </c>
      <c r="O162" s="16" t="str">
        <f>IF(N162="","",COUNTIF($N$8:N162,N162))</f>
        <v/>
      </c>
      <c r="P162" s="34" t="str">
        <f t="shared" ref="P162" si="79">IFERROR(IF(OR(INDEX(akun_type,MATCH(H162,akun_kb,0))="Kas",INDEX(akun_type,MATCH(H162,akun_kb,0))="Bank"),"In"&amp;INDEX(akun_type,MATCH(I162,akun_kb,0)),IF(OR(INDEX(akun_type,MATCH(I162,akun_kb,0))="Kas",INDEX(akun_type,MATCH(I162,akun_kb,0))="Bank"),"out"&amp;INDEX(akun_type,MATCH(H162,akun_kb,0)),"")),"")</f>
        <v>outBeban</v>
      </c>
      <c r="Q162" s="34" t="str">
        <f t="shared" ref="Q162" si="80">IFERROR(IF(OR(INDEX(akun_type,MATCH(H162,akun_kb,0))="Kas",INDEX(akun_type,MATCH(H162,akun_kb,0))="Bank"),"in"&amp;TEXT(B162,"mmmm")&amp;INDEX(akun_type,MATCH(I162,akun_kb,0)),IF(OR(INDEX(akun_type,MATCH(I162,akun_kb,0))="Kas",INDEX(akun_type,MATCH(I162,akun_kb,0))="Bank"),"out"&amp;TEXT(B162,"mmmm")&amp;INDEX(akun_type,MATCH(H162,akun_kb,0)),"")),"")</f>
        <v>outFebruaryBeban</v>
      </c>
      <c r="R162" s="34" t="str">
        <f t="shared" ref="R162" si="81">IFERROR(INDEX(akun_type,MATCH(H162,akun_kb,0)),"")</f>
        <v>Beban</v>
      </c>
      <c r="S162" s="34" t="str">
        <f t="shared" ref="S162" si="82">IFERROR(INDEX(akun_type,MATCH(I162,akun_kb,0)),"")</f>
        <v>Kas</v>
      </c>
      <c r="T162" s="34" t="str">
        <f t="shared" ref="T162" si="83">IF(AND(L162=1,OR(R162="Akun Piutang",R162="akun hutang",S162="akun piutang",S162="akun hutang")),E162,"")</f>
        <v/>
      </c>
      <c r="U162" s="34" t="str">
        <f>IF(AND(L162=1,bp_kode=T162,T162&lt;&gt;""),COUNTIF($T$8:T162,T162),"")</f>
        <v/>
      </c>
      <c r="V162" s="34" t="str">
        <f t="shared" ref="V162" si="84">IF(OR(R162="Pendapatan",R162="Pendapatan Lainnya",R162="Beban",R162="Harga Pokok Penjualan",R162="Beban Lainnya"),"db"&amp;F162,IF(OR(S162="Pendapatan",S162="Pendapatan Lainnya",S162="Beban",S162="Harga Pokok Penjualan",S162="Beban Lainnya"),"kr"&amp;F162,""))</f>
        <v>db</v>
      </c>
      <c r="W162" s="34" t="str">
        <f t="shared" ref="W162" si="85">IF(OR(R162="Pendapatan",R162="Pendapatan Lainnya",R162="Beban",R162="Harga Pokok Penjualan",R162="Beban Lainnya"),"db"&amp;G162,IF(OR(S162="Pendapatan",S162="Pendapatan Lainnya",S162="Beban",S162="Harga Pokok Penjualan",S162="Beban Lainnya"),"kr"&amp;G162,""))</f>
        <v>db</v>
      </c>
      <c r="X162" s="34" t="str">
        <f>IF(B162="","",COUNTIF($C$8:C162,C162)&amp;C162)</f>
        <v>0</v>
      </c>
    </row>
    <row r="163" spans="2:24" ht="23.1" customHeight="1">
      <c r="B163" s="31">
        <v>44620</v>
      </c>
      <c r="C163" s="9"/>
      <c r="D163" s="9" t="s">
        <v>645</v>
      </c>
      <c r="E163" s="7"/>
      <c r="F163" s="7"/>
      <c r="G163" s="7"/>
      <c r="H163" s="7" t="s">
        <v>629</v>
      </c>
      <c r="I163" s="7" t="s">
        <v>582</v>
      </c>
      <c r="J163" s="39">
        <v>25085000</v>
      </c>
      <c r="L163" s="16">
        <f t="shared" si="30"/>
        <v>1</v>
      </c>
      <c r="M163" s="16" t="str">
        <f t="shared" si="62"/>
        <v>February</v>
      </c>
      <c r="N163" s="16" t="str">
        <f t="shared" si="31"/>
        <v/>
      </c>
      <c r="O163" s="16" t="str">
        <f>IF(N163="","",COUNTIF($N$8:N163,N163))</f>
        <v/>
      </c>
      <c r="P163" s="34" t="str">
        <f t="shared" si="32"/>
        <v>outBeban</v>
      </c>
      <c r="Q163" s="34" t="str">
        <f t="shared" si="33"/>
        <v>outFebruaryBeban</v>
      </c>
      <c r="R163" s="34" t="str">
        <f t="shared" si="60"/>
        <v>Beban</v>
      </c>
      <c r="S163" s="34" t="str">
        <f t="shared" si="61"/>
        <v>Kas</v>
      </c>
      <c r="T163" s="34" t="str">
        <f t="shared" si="63"/>
        <v/>
      </c>
      <c r="U163" s="34" t="str">
        <f>IF(AND(L163=1,bp_kode=T163,T163&lt;&gt;""),COUNTIF($T$8:T163,T163),"")</f>
        <v/>
      </c>
      <c r="V163" s="34" t="str">
        <f t="shared" si="64"/>
        <v>db</v>
      </c>
      <c r="W163" s="34" t="str">
        <f t="shared" si="65"/>
        <v>db</v>
      </c>
      <c r="X163" s="34" t="str">
        <f>IF(B163="","",COUNTIF($C$8:C163,C163)&amp;C163)</f>
        <v>0</v>
      </c>
    </row>
    <row r="164" spans="2:24" ht="23.1" customHeight="1">
      <c r="B164" s="31">
        <v>44620</v>
      </c>
      <c r="C164" s="9"/>
      <c r="D164" s="9" t="s">
        <v>646</v>
      </c>
      <c r="E164" s="7"/>
      <c r="F164" s="7"/>
      <c r="G164" s="7"/>
      <c r="H164" s="7" t="s">
        <v>630</v>
      </c>
      <c r="I164" s="7" t="s">
        <v>582</v>
      </c>
      <c r="J164" s="39">
        <v>2950320</v>
      </c>
      <c r="L164" s="16">
        <f t="shared" si="30"/>
        <v>1</v>
      </c>
      <c r="M164" s="16" t="str">
        <f t="shared" si="62"/>
        <v>February</v>
      </c>
      <c r="N164" s="16" t="str">
        <f t="shared" si="31"/>
        <v/>
      </c>
      <c r="O164" s="16" t="str">
        <f>IF(N164="","",COUNTIF($N$8:N164,N164))</f>
        <v/>
      </c>
      <c r="P164" s="34" t="str">
        <f t="shared" si="32"/>
        <v>outBeban</v>
      </c>
      <c r="Q164" s="34" t="str">
        <f t="shared" si="33"/>
        <v>outFebruaryBeban</v>
      </c>
      <c r="R164" s="34" t="str">
        <f t="shared" si="60"/>
        <v>Beban</v>
      </c>
      <c r="S164" s="34" t="str">
        <f t="shared" si="61"/>
        <v>Kas</v>
      </c>
      <c r="T164" s="34" t="str">
        <f t="shared" si="63"/>
        <v/>
      </c>
      <c r="U164" s="34" t="str">
        <f>IF(AND(L164=1,bp_kode=T164,T164&lt;&gt;""),COUNTIF($T$8:T164,T164),"")</f>
        <v/>
      </c>
      <c r="V164" s="34" t="str">
        <f t="shared" si="64"/>
        <v>db</v>
      </c>
      <c r="W164" s="34" t="str">
        <f t="shared" si="65"/>
        <v>db</v>
      </c>
      <c r="X164" s="34" t="str">
        <f>IF(B164="","",COUNTIF($C$8:C164,C164)&amp;C164)</f>
        <v>0</v>
      </c>
    </row>
    <row r="165" spans="2:24" ht="23.1" customHeight="1">
      <c r="B165" s="31">
        <v>44620</v>
      </c>
      <c r="C165" s="9"/>
      <c r="D165" s="9" t="s">
        <v>647</v>
      </c>
      <c r="E165" s="7"/>
      <c r="F165" s="7"/>
      <c r="G165" s="7"/>
      <c r="H165" s="7" t="s">
        <v>631</v>
      </c>
      <c r="I165" s="7" t="s">
        <v>582</v>
      </c>
      <c r="J165" s="39">
        <v>550000</v>
      </c>
      <c r="L165" s="16">
        <f t="shared" si="30"/>
        <v>1</v>
      </c>
      <c r="M165" s="16" t="str">
        <f t="shared" si="62"/>
        <v>February</v>
      </c>
      <c r="N165" s="16" t="str">
        <f t="shared" si="31"/>
        <v/>
      </c>
      <c r="O165" s="16" t="str">
        <f>IF(N165="","",COUNTIF($N$8:N165,N165))</f>
        <v/>
      </c>
      <c r="P165" s="34" t="str">
        <f t="shared" si="32"/>
        <v>outBeban</v>
      </c>
      <c r="Q165" s="34" t="str">
        <f t="shared" si="33"/>
        <v>outFebruaryBeban</v>
      </c>
      <c r="R165" s="34" t="str">
        <f t="shared" si="60"/>
        <v>Beban</v>
      </c>
      <c r="S165" s="34" t="str">
        <f t="shared" si="61"/>
        <v>Kas</v>
      </c>
      <c r="T165" s="34" t="str">
        <f t="shared" si="63"/>
        <v/>
      </c>
      <c r="U165" s="34" t="str">
        <f>IF(AND(L165=1,bp_kode=T165,T165&lt;&gt;""),COUNTIF($T$8:T165,T165),"")</f>
        <v/>
      </c>
      <c r="V165" s="34" t="str">
        <f t="shared" si="64"/>
        <v>db</v>
      </c>
      <c r="W165" s="34" t="str">
        <f t="shared" si="65"/>
        <v>db</v>
      </c>
      <c r="X165" s="34" t="str">
        <f>IF(B165="","",COUNTIF($C$8:C165,C165)&amp;C165)</f>
        <v>0</v>
      </c>
    </row>
    <row r="166" spans="2:24" ht="23.1" customHeight="1">
      <c r="B166" s="31">
        <v>44620</v>
      </c>
      <c r="C166" s="9"/>
      <c r="D166" s="9" t="s">
        <v>648</v>
      </c>
      <c r="E166" s="7"/>
      <c r="F166" s="7"/>
      <c r="G166" s="7"/>
      <c r="H166" s="7" t="s">
        <v>632</v>
      </c>
      <c r="I166" s="7" t="s">
        <v>582</v>
      </c>
      <c r="J166" s="39">
        <v>8905000</v>
      </c>
      <c r="L166" s="16">
        <f t="shared" si="30"/>
        <v>1</v>
      </c>
      <c r="M166" s="16" t="str">
        <f t="shared" si="62"/>
        <v>February</v>
      </c>
      <c r="N166" s="16" t="str">
        <f t="shared" si="31"/>
        <v/>
      </c>
      <c r="O166" s="16" t="str">
        <f>IF(N166="","",COUNTIF($N$8:N166,N166))</f>
        <v/>
      </c>
      <c r="P166" s="34" t="str">
        <f t="shared" si="32"/>
        <v>outBeban</v>
      </c>
      <c r="Q166" s="34" t="str">
        <f t="shared" si="33"/>
        <v>outFebruaryBeban</v>
      </c>
      <c r="R166" s="34" t="str">
        <f t="shared" si="60"/>
        <v>Beban</v>
      </c>
      <c r="S166" s="34" t="str">
        <f t="shared" si="61"/>
        <v>Kas</v>
      </c>
      <c r="T166" s="34" t="str">
        <f t="shared" si="63"/>
        <v/>
      </c>
      <c r="U166" s="34" t="str">
        <f>IF(AND(L166=1,bp_kode=T166,T166&lt;&gt;""),COUNTIF($T$8:T166,T166),"")</f>
        <v/>
      </c>
      <c r="V166" s="34" t="str">
        <f t="shared" si="64"/>
        <v>db</v>
      </c>
      <c r="W166" s="34" t="str">
        <f t="shared" si="65"/>
        <v>db</v>
      </c>
      <c r="X166" s="34" t="str">
        <f>IF(B166="","",COUNTIF($C$8:C166,C166)&amp;C166)</f>
        <v>0</v>
      </c>
    </row>
    <row r="167" spans="2:24" ht="23.1" customHeight="1">
      <c r="B167" s="31">
        <v>44620</v>
      </c>
      <c r="C167" s="9"/>
      <c r="D167" s="9" t="s">
        <v>649</v>
      </c>
      <c r="E167" s="7"/>
      <c r="F167" s="7"/>
      <c r="G167" s="7"/>
      <c r="H167" s="7" t="s">
        <v>633</v>
      </c>
      <c r="I167" s="7" t="s">
        <v>582</v>
      </c>
      <c r="J167" s="39">
        <v>2022640</v>
      </c>
      <c r="L167" s="16">
        <f t="shared" si="30"/>
        <v>1</v>
      </c>
      <c r="M167" s="16" t="str">
        <f t="shared" si="62"/>
        <v>February</v>
      </c>
      <c r="N167" s="16" t="str">
        <f t="shared" si="31"/>
        <v/>
      </c>
      <c r="O167" s="16" t="str">
        <f>IF(N167="","",COUNTIF($N$8:N167,N167))</f>
        <v/>
      </c>
      <c r="P167" s="34" t="str">
        <f t="shared" si="32"/>
        <v>outBeban</v>
      </c>
      <c r="Q167" s="34" t="str">
        <f t="shared" si="33"/>
        <v>outFebruaryBeban</v>
      </c>
      <c r="R167" s="34" t="str">
        <f t="shared" si="60"/>
        <v>Beban</v>
      </c>
      <c r="S167" s="34" t="str">
        <f t="shared" si="61"/>
        <v>Kas</v>
      </c>
      <c r="T167" s="34" t="str">
        <f t="shared" si="63"/>
        <v/>
      </c>
      <c r="U167" s="34" t="str">
        <f>IF(AND(L167=1,bp_kode=T167,T167&lt;&gt;""),COUNTIF($T$8:T167,T167),"")</f>
        <v/>
      </c>
      <c r="V167" s="34" t="str">
        <f t="shared" si="64"/>
        <v>db</v>
      </c>
      <c r="W167" s="34" t="str">
        <f t="shared" si="65"/>
        <v>db</v>
      </c>
      <c r="X167" s="34" t="str">
        <f>IF(B167="","",COUNTIF($C$8:C167,C167)&amp;C167)</f>
        <v>0</v>
      </c>
    </row>
    <row r="168" spans="2:24" ht="23.1" customHeight="1">
      <c r="B168" s="31">
        <v>44620</v>
      </c>
      <c r="C168" s="9"/>
      <c r="D168" s="9" t="s">
        <v>650</v>
      </c>
      <c r="E168" s="7"/>
      <c r="F168" s="7"/>
      <c r="G168" s="7"/>
      <c r="H168" s="7" t="s">
        <v>634</v>
      </c>
      <c r="I168" s="7" t="s">
        <v>582</v>
      </c>
      <c r="J168" s="39">
        <v>5894374</v>
      </c>
      <c r="L168" s="16">
        <f t="shared" si="30"/>
        <v>1</v>
      </c>
      <c r="M168" s="16" t="str">
        <f t="shared" si="62"/>
        <v>February</v>
      </c>
      <c r="N168" s="16" t="str">
        <f t="shared" si="31"/>
        <v/>
      </c>
      <c r="O168" s="16" t="str">
        <f>IF(N168="","",COUNTIF($N$8:N168,N168))</f>
        <v/>
      </c>
      <c r="P168" s="34" t="str">
        <f t="shared" si="32"/>
        <v>outBeban</v>
      </c>
      <c r="Q168" s="34" t="str">
        <f t="shared" si="33"/>
        <v>outFebruaryBeban</v>
      </c>
      <c r="R168" s="34" t="str">
        <f t="shared" si="60"/>
        <v>Beban</v>
      </c>
      <c r="S168" s="34" t="str">
        <f t="shared" si="61"/>
        <v>Kas</v>
      </c>
      <c r="T168" s="34" t="str">
        <f t="shared" si="63"/>
        <v/>
      </c>
      <c r="U168" s="34" t="str">
        <f>IF(AND(L168=1,bp_kode=T168,T168&lt;&gt;""),COUNTIF($T$8:T168,T168),"")</f>
        <v/>
      </c>
      <c r="V168" s="34" t="str">
        <f t="shared" si="64"/>
        <v>db</v>
      </c>
      <c r="W168" s="34" t="str">
        <f t="shared" si="65"/>
        <v>db</v>
      </c>
      <c r="X168" s="34" t="str">
        <f>IF(B168="","",COUNTIF($C$8:C168,C168)&amp;C168)</f>
        <v>0</v>
      </c>
    </row>
    <row r="169" spans="2:24" ht="23.1" customHeight="1">
      <c r="B169" s="31">
        <v>44620</v>
      </c>
      <c r="C169" s="9"/>
      <c r="D169" s="9" t="s">
        <v>651</v>
      </c>
      <c r="E169" s="7"/>
      <c r="F169" s="7"/>
      <c r="G169" s="7"/>
      <c r="H169" s="7" t="s">
        <v>635</v>
      </c>
      <c r="I169" s="7" t="s">
        <v>582</v>
      </c>
      <c r="J169" s="39">
        <v>581900</v>
      </c>
      <c r="L169" s="16">
        <f t="shared" si="30"/>
        <v>1</v>
      </c>
      <c r="M169" s="16" t="str">
        <f t="shared" si="62"/>
        <v>February</v>
      </c>
      <c r="N169" s="16" t="str">
        <f t="shared" si="31"/>
        <v/>
      </c>
      <c r="O169" s="16" t="str">
        <f>IF(N169="","",COUNTIF($N$8:N169,N169))</f>
        <v/>
      </c>
      <c r="P169" s="34" t="str">
        <f t="shared" si="32"/>
        <v>outBeban</v>
      </c>
      <c r="Q169" s="34" t="str">
        <f t="shared" si="33"/>
        <v>outFebruaryBeban</v>
      </c>
      <c r="R169" s="34" t="str">
        <f t="shared" si="60"/>
        <v>Beban</v>
      </c>
      <c r="S169" s="34" t="str">
        <f t="shared" si="61"/>
        <v>Kas</v>
      </c>
      <c r="T169" s="34" t="str">
        <f t="shared" si="63"/>
        <v/>
      </c>
      <c r="U169" s="34" t="str">
        <f>IF(AND(L169=1,bp_kode=T169,T169&lt;&gt;""),COUNTIF($T$8:T169,T169),"")</f>
        <v/>
      </c>
      <c r="V169" s="34" t="str">
        <f t="shared" si="64"/>
        <v>db</v>
      </c>
      <c r="W169" s="34" t="str">
        <f t="shared" si="65"/>
        <v>db</v>
      </c>
      <c r="X169" s="34" t="str">
        <f>IF(B169="","",COUNTIF($C$8:C169,C169)&amp;C169)</f>
        <v>0</v>
      </c>
    </row>
    <row r="170" spans="2:24" ht="23.1" customHeight="1">
      <c r="B170" s="31">
        <v>44620</v>
      </c>
      <c r="C170" s="9"/>
      <c r="D170" s="9" t="s">
        <v>652</v>
      </c>
      <c r="E170" s="7"/>
      <c r="F170" s="7"/>
      <c r="G170" s="7"/>
      <c r="H170" s="7" t="s">
        <v>636</v>
      </c>
      <c r="I170" s="7" t="s">
        <v>582</v>
      </c>
      <c r="J170" s="39">
        <v>9396116</v>
      </c>
      <c r="L170" s="16">
        <f t="shared" si="30"/>
        <v>1</v>
      </c>
      <c r="M170" s="16" t="str">
        <f t="shared" si="62"/>
        <v>February</v>
      </c>
      <c r="N170" s="16" t="str">
        <f t="shared" si="31"/>
        <v/>
      </c>
      <c r="O170" s="16" t="str">
        <f>IF(N170="","",COUNTIF($N$8:N170,N170))</f>
        <v/>
      </c>
      <c r="P170" s="34" t="str">
        <f t="shared" si="32"/>
        <v>outBeban</v>
      </c>
      <c r="Q170" s="34" t="str">
        <f t="shared" si="33"/>
        <v>outFebruaryBeban</v>
      </c>
      <c r="R170" s="34" t="str">
        <f t="shared" si="60"/>
        <v>Beban</v>
      </c>
      <c r="S170" s="34" t="str">
        <f t="shared" si="61"/>
        <v>Kas</v>
      </c>
      <c r="T170" s="34" t="str">
        <f t="shared" si="63"/>
        <v/>
      </c>
      <c r="U170" s="34" t="str">
        <f>IF(AND(L170=1,bp_kode=T170,T170&lt;&gt;""),COUNTIF($T$8:T170,T170),"")</f>
        <v/>
      </c>
      <c r="V170" s="34" t="str">
        <f t="shared" si="64"/>
        <v>db</v>
      </c>
      <c r="W170" s="34" t="str">
        <f t="shared" si="65"/>
        <v>db</v>
      </c>
      <c r="X170" s="34" t="str">
        <f>IF(B170="","",COUNTIF($C$8:C170,C170)&amp;C170)</f>
        <v>0</v>
      </c>
    </row>
    <row r="171" spans="2:24" ht="23.1" customHeight="1">
      <c r="B171" s="31">
        <v>44620</v>
      </c>
      <c r="C171" s="9"/>
      <c r="D171" s="9" t="s">
        <v>653</v>
      </c>
      <c r="E171" s="7"/>
      <c r="F171" s="7"/>
      <c r="G171" s="7"/>
      <c r="H171" s="7" t="s">
        <v>637</v>
      </c>
      <c r="I171" s="7" t="s">
        <v>582</v>
      </c>
      <c r="J171" s="39">
        <v>3393000</v>
      </c>
      <c r="L171" s="16">
        <f t="shared" ref="L171:L226" si="86">IF(AND(B171&gt;=awal,B171&lt;=akhir,B171&lt;&gt;""),1,IF(AND(B171&lt;&gt;"",B171&lt;awal),2,""))</f>
        <v>1</v>
      </c>
      <c r="M171" s="16" t="str">
        <f t="shared" si="62"/>
        <v>February</v>
      </c>
      <c r="N171" s="16" t="str">
        <f t="shared" ref="N171:N226" si="87">IF(AND(L171=1,H171=bb_akun),"Awe",IF(AND(L171=1,I171=bb_akun),"Awe",""))</f>
        <v/>
      </c>
      <c r="O171" s="16" t="str">
        <f>IF(N171="","",COUNTIF($N$8:N171,N171))</f>
        <v/>
      </c>
      <c r="P171" s="34" t="str">
        <f t="shared" ref="P171:P226" si="88">IFERROR(IF(OR(INDEX(akun_type,MATCH(H171,akun_kb,0))="Kas",INDEX(akun_type,MATCH(H171,akun_kb,0))="Bank"),"In"&amp;INDEX(akun_type,MATCH(I171,akun_kb,0)),IF(OR(INDEX(akun_type,MATCH(I171,akun_kb,0))="Kas",INDEX(akun_type,MATCH(I171,akun_kb,0))="Bank"),"out"&amp;INDEX(akun_type,MATCH(H171,akun_kb,0)),"")),"")</f>
        <v>outBeban</v>
      </c>
      <c r="Q171" s="34" t="str">
        <f t="shared" ref="Q171:Q226" si="89">IFERROR(IF(OR(INDEX(akun_type,MATCH(H171,akun_kb,0))="Kas",INDEX(akun_type,MATCH(H171,akun_kb,0))="Bank"),"in"&amp;TEXT(B171,"mmmm")&amp;INDEX(akun_type,MATCH(I171,akun_kb,0)),IF(OR(INDEX(akun_type,MATCH(I171,akun_kb,0))="Kas",INDEX(akun_type,MATCH(I171,akun_kb,0))="Bank"),"out"&amp;TEXT(B171,"mmmm")&amp;INDEX(akun_type,MATCH(H171,akun_kb,0)),"")),"")</f>
        <v>outFebruaryBeban</v>
      </c>
      <c r="R171" s="34" t="str">
        <f t="shared" si="60"/>
        <v>Beban</v>
      </c>
      <c r="S171" s="34" t="str">
        <f t="shared" si="61"/>
        <v>Kas</v>
      </c>
      <c r="T171" s="34" t="str">
        <f t="shared" si="63"/>
        <v/>
      </c>
      <c r="U171" s="34" t="str">
        <f>IF(AND(L171=1,bp_kode=T171,T171&lt;&gt;""),COUNTIF($T$8:T171,T171),"")</f>
        <v/>
      </c>
      <c r="V171" s="34" t="str">
        <f t="shared" si="64"/>
        <v>db</v>
      </c>
      <c r="W171" s="34" t="str">
        <f t="shared" si="65"/>
        <v>db</v>
      </c>
      <c r="X171" s="34" t="str">
        <f>IF(B171="","",COUNTIF($C$8:C171,C171)&amp;C171)</f>
        <v>0</v>
      </c>
    </row>
    <row r="172" spans="2:24" ht="23.1" customHeight="1">
      <c r="B172" s="31">
        <v>44620</v>
      </c>
      <c r="C172" s="9"/>
      <c r="D172" s="9" t="s">
        <v>654</v>
      </c>
      <c r="E172" s="7"/>
      <c r="F172" s="7"/>
      <c r="G172" s="7"/>
      <c r="H172" s="7" t="s">
        <v>638</v>
      </c>
      <c r="I172" s="7" t="s">
        <v>582</v>
      </c>
      <c r="J172" s="39">
        <v>2044800</v>
      </c>
      <c r="L172" s="16">
        <f t="shared" si="86"/>
        <v>1</v>
      </c>
      <c r="M172" s="16" t="str">
        <f t="shared" si="62"/>
        <v>February</v>
      </c>
      <c r="N172" s="16" t="str">
        <f t="shared" si="87"/>
        <v/>
      </c>
      <c r="O172" s="16" t="str">
        <f>IF(N172="","",COUNTIF($N$8:N172,N172))</f>
        <v/>
      </c>
      <c r="P172" s="34" t="str">
        <f t="shared" si="88"/>
        <v>outBeban</v>
      </c>
      <c r="Q172" s="34" t="str">
        <f t="shared" si="89"/>
        <v>outFebruaryBeban</v>
      </c>
      <c r="R172" s="34" t="str">
        <f t="shared" si="60"/>
        <v>Beban</v>
      </c>
      <c r="S172" s="34" t="str">
        <f t="shared" si="61"/>
        <v>Kas</v>
      </c>
      <c r="T172" s="34" t="str">
        <f t="shared" si="63"/>
        <v/>
      </c>
      <c r="U172" s="34" t="str">
        <f>IF(AND(L172=1,bp_kode=T172,T172&lt;&gt;""),COUNTIF($T$8:T172,T172),"")</f>
        <v/>
      </c>
      <c r="V172" s="34" t="str">
        <f t="shared" si="64"/>
        <v>db</v>
      </c>
      <c r="W172" s="34" t="str">
        <f t="shared" si="65"/>
        <v>db</v>
      </c>
      <c r="X172" s="34" t="str">
        <f>IF(B172="","",COUNTIF($C$8:C172,C172)&amp;C172)</f>
        <v>0</v>
      </c>
    </row>
    <row r="173" spans="2:24" ht="23.1" customHeight="1">
      <c r="B173" s="31">
        <v>44620</v>
      </c>
      <c r="C173" s="9"/>
      <c r="D173" s="9" t="s">
        <v>655</v>
      </c>
      <c r="E173" s="7"/>
      <c r="F173" s="7"/>
      <c r="G173" s="7"/>
      <c r="H173" s="7" t="s">
        <v>639</v>
      </c>
      <c r="I173" s="7" t="s">
        <v>582</v>
      </c>
      <c r="J173" s="39">
        <v>22086000</v>
      </c>
      <c r="L173" s="16">
        <f t="shared" si="86"/>
        <v>1</v>
      </c>
      <c r="M173" s="16" t="str">
        <f t="shared" si="62"/>
        <v>February</v>
      </c>
      <c r="N173" s="16" t="str">
        <f t="shared" si="87"/>
        <v/>
      </c>
      <c r="O173" s="16" t="str">
        <f>IF(N173="","",COUNTIF($N$8:N173,N173))</f>
        <v/>
      </c>
      <c r="P173" s="34" t="str">
        <f t="shared" si="88"/>
        <v>outBeban</v>
      </c>
      <c r="Q173" s="34" t="str">
        <f t="shared" si="89"/>
        <v>outFebruaryBeban</v>
      </c>
      <c r="R173" s="34" t="str">
        <f t="shared" si="60"/>
        <v>Beban</v>
      </c>
      <c r="S173" s="34" t="str">
        <f t="shared" si="61"/>
        <v>Kas</v>
      </c>
      <c r="T173" s="34" t="str">
        <f t="shared" si="63"/>
        <v/>
      </c>
      <c r="U173" s="34" t="str">
        <f>IF(AND(L173=1,bp_kode=T173,T173&lt;&gt;""),COUNTIF($T$8:T173,T173),"")</f>
        <v/>
      </c>
      <c r="V173" s="34" t="str">
        <f t="shared" si="64"/>
        <v>db</v>
      </c>
      <c r="W173" s="34" t="str">
        <f t="shared" si="65"/>
        <v>db</v>
      </c>
      <c r="X173" s="34" t="str">
        <f>IF(B173="","",COUNTIF($C$8:C173,C173)&amp;C173)</f>
        <v>0</v>
      </c>
    </row>
    <row r="174" spans="2:24" ht="23.1" customHeight="1">
      <c r="B174" s="31">
        <v>44620</v>
      </c>
      <c r="C174" s="9"/>
      <c r="D174" s="9" t="s">
        <v>663</v>
      </c>
      <c r="E174" s="7"/>
      <c r="F174" s="7"/>
      <c r="G174" s="7"/>
      <c r="H174" s="7" t="s">
        <v>658</v>
      </c>
      <c r="I174" s="7" t="s">
        <v>671</v>
      </c>
      <c r="J174" s="39">
        <v>2806459</v>
      </c>
      <c r="L174" s="16">
        <f t="shared" si="86"/>
        <v>1</v>
      </c>
      <c r="M174" s="16" t="str">
        <f t="shared" si="62"/>
        <v>February</v>
      </c>
      <c r="N174" s="16" t="str">
        <f t="shared" si="87"/>
        <v/>
      </c>
      <c r="O174" s="16" t="str">
        <f>IF(N174="","",COUNTIF($N$8:N174,N174))</f>
        <v/>
      </c>
      <c r="P174" s="34" t="str">
        <f t="shared" si="88"/>
        <v/>
      </c>
      <c r="Q174" s="34" t="str">
        <f t="shared" si="89"/>
        <v/>
      </c>
      <c r="R174" s="34" t="str">
        <f t="shared" si="60"/>
        <v>Beban</v>
      </c>
      <c r="S174" s="34" t="str">
        <f t="shared" si="61"/>
        <v>Depresiasi &amp; Amortisasi</v>
      </c>
      <c r="T174" s="34" t="str">
        <f t="shared" si="63"/>
        <v/>
      </c>
      <c r="U174" s="34" t="str">
        <f>IF(AND(L174=1,bp_kode=T174,T174&lt;&gt;""),COUNTIF($T$8:T174,T174),"")</f>
        <v/>
      </c>
      <c r="V174" s="34" t="str">
        <f t="shared" si="64"/>
        <v>db</v>
      </c>
      <c r="W174" s="34" t="str">
        <f t="shared" si="65"/>
        <v>db</v>
      </c>
      <c r="X174" s="34" t="str">
        <f>IF(B174="","",COUNTIF($C$8:C174,C174)&amp;C174)</f>
        <v>0</v>
      </c>
    </row>
    <row r="175" spans="2:24" ht="23.1" customHeight="1">
      <c r="B175" s="31">
        <v>44620</v>
      </c>
      <c r="C175" s="9"/>
      <c r="D175" s="9" t="s">
        <v>664</v>
      </c>
      <c r="E175" s="7"/>
      <c r="F175" s="7"/>
      <c r="G175" s="7"/>
      <c r="H175" s="7" t="s">
        <v>660</v>
      </c>
      <c r="I175" s="7" t="s">
        <v>659</v>
      </c>
      <c r="J175" s="39">
        <v>29031950</v>
      </c>
      <c r="L175" s="16">
        <f t="shared" si="86"/>
        <v>1</v>
      </c>
      <c r="M175" s="16" t="str">
        <f t="shared" si="62"/>
        <v>February</v>
      </c>
      <c r="N175" s="16" t="str">
        <f t="shared" si="87"/>
        <v/>
      </c>
      <c r="O175" s="16" t="str">
        <f>IF(N175="","",COUNTIF($N$8:N175,N175))</f>
        <v/>
      </c>
      <c r="P175" s="34" t="str">
        <f t="shared" si="88"/>
        <v/>
      </c>
      <c r="Q175" s="34" t="str">
        <f t="shared" si="89"/>
        <v/>
      </c>
      <c r="R175" s="34" t="str">
        <f t="shared" si="60"/>
        <v>Beban</v>
      </c>
      <c r="S175" s="34" t="str">
        <f t="shared" si="61"/>
        <v>Depresiasi &amp; Amortisasi</v>
      </c>
      <c r="T175" s="34" t="str">
        <f t="shared" si="63"/>
        <v/>
      </c>
      <c r="U175" s="34" t="str">
        <f>IF(AND(L175=1,bp_kode=T175,T175&lt;&gt;""),COUNTIF($T$8:T175,T175),"")</f>
        <v/>
      </c>
      <c r="V175" s="34" t="str">
        <f t="shared" si="64"/>
        <v>db</v>
      </c>
      <c r="W175" s="34" t="str">
        <f t="shared" si="65"/>
        <v>db</v>
      </c>
      <c r="X175" s="34" t="str">
        <f>IF(B175="","",COUNTIF($C$8:C175,C175)&amp;C175)</f>
        <v>0</v>
      </c>
    </row>
    <row r="176" spans="2:24" ht="23.1" customHeight="1">
      <c r="B176" s="31">
        <v>44620</v>
      </c>
      <c r="C176" s="9"/>
      <c r="D176" s="9" t="s">
        <v>665</v>
      </c>
      <c r="E176" s="7"/>
      <c r="F176" s="7"/>
      <c r="G176" s="7"/>
      <c r="H176" s="7" t="s">
        <v>661</v>
      </c>
      <c r="I176" s="7" t="s">
        <v>672</v>
      </c>
      <c r="J176" s="39">
        <v>41666</v>
      </c>
      <c r="L176" s="16">
        <f t="shared" si="86"/>
        <v>1</v>
      </c>
      <c r="M176" s="16" t="str">
        <f t="shared" si="62"/>
        <v>February</v>
      </c>
      <c r="N176" s="16" t="str">
        <f t="shared" si="87"/>
        <v/>
      </c>
      <c r="O176" s="16" t="str">
        <f>IF(N176="","",COUNTIF($N$8:N176,N176))</f>
        <v/>
      </c>
      <c r="P176" s="34" t="str">
        <f t="shared" si="88"/>
        <v/>
      </c>
      <c r="Q176" s="34" t="str">
        <f t="shared" si="89"/>
        <v/>
      </c>
      <c r="R176" s="34" t="str">
        <f t="shared" si="60"/>
        <v>Beban</v>
      </c>
      <c r="S176" s="34" t="str">
        <f t="shared" si="61"/>
        <v>Depresiasi &amp; Amortisasi</v>
      </c>
      <c r="T176" s="34" t="str">
        <f t="shared" si="63"/>
        <v/>
      </c>
      <c r="U176" s="34" t="str">
        <f>IF(AND(L176=1,bp_kode=T176,T176&lt;&gt;""),COUNTIF($T$8:T176,T176),"")</f>
        <v/>
      </c>
      <c r="V176" s="34" t="str">
        <f t="shared" si="64"/>
        <v>db</v>
      </c>
      <c r="W176" s="34" t="str">
        <f t="shared" si="65"/>
        <v>db</v>
      </c>
      <c r="X176" s="34" t="str">
        <f>IF(B176="","",COUNTIF($C$8:C176,C176)&amp;C176)</f>
        <v>0</v>
      </c>
    </row>
    <row r="177" spans="2:24" ht="23.1" customHeight="1">
      <c r="B177" s="31">
        <v>44620</v>
      </c>
      <c r="C177" s="9"/>
      <c r="D177" s="9" t="s">
        <v>666</v>
      </c>
      <c r="E177" s="7"/>
      <c r="F177" s="7"/>
      <c r="G177" s="7"/>
      <c r="H177" s="7" t="s">
        <v>662</v>
      </c>
      <c r="I177" s="7" t="s">
        <v>673</v>
      </c>
      <c r="J177" s="39">
        <v>5654493</v>
      </c>
      <c r="L177" s="16">
        <f t="shared" si="86"/>
        <v>1</v>
      </c>
      <c r="M177" s="16" t="str">
        <f t="shared" si="62"/>
        <v>February</v>
      </c>
      <c r="N177" s="16" t="str">
        <f t="shared" si="87"/>
        <v/>
      </c>
      <c r="O177" s="16" t="str">
        <f>IF(N177="","",COUNTIF($N$8:N177,N177))</f>
        <v/>
      </c>
      <c r="P177" s="34" t="str">
        <f t="shared" si="88"/>
        <v/>
      </c>
      <c r="Q177" s="34" t="str">
        <f t="shared" si="89"/>
        <v/>
      </c>
      <c r="R177" s="34" t="str">
        <f t="shared" si="60"/>
        <v>Beban</v>
      </c>
      <c r="S177" s="34" t="str">
        <f t="shared" si="61"/>
        <v>Depresiasi &amp; Amortisasi</v>
      </c>
      <c r="T177" s="34" t="str">
        <f t="shared" si="63"/>
        <v/>
      </c>
      <c r="U177" s="34" t="str">
        <f>IF(AND(L177=1,bp_kode=T177,T177&lt;&gt;""),COUNTIF($T$8:T177,T177),"")</f>
        <v/>
      </c>
      <c r="V177" s="34" t="str">
        <f t="shared" si="64"/>
        <v>db</v>
      </c>
      <c r="W177" s="34" t="str">
        <f t="shared" si="65"/>
        <v>db</v>
      </c>
      <c r="X177" s="34" t="str">
        <f>IF(B177="","",COUNTIF($C$8:C177,C177)&amp;C177)</f>
        <v>0</v>
      </c>
    </row>
    <row r="178" spans="2:24" ht="23.1" customHeight="1">
      <c r="B178" s="31">
        <v>44620</v>
      </c>
      <c r="C178" s="9"/>
      <c r="D178" s="9" t="s">
        <v>669</v>
      </c>
      <c r="E178" s="7"/>
      <c r="F178" s="7"/>
      <c r="G178" s="7"/>
      <c r="H178" s="7" t="s">
        <v>667</v>
      </c>
      <c r="I178" s="7" t="s">
        <v>674</v>
      </c>
      <c r="J178" s="39">
        <v>17325229</v>
      </c>
      <c r="L178" s="16">
        <f t="shared" si="86"/>
        <v>1</v>
      </c>
      <c r="M178" s="16" t="str">
        <f t="shared" si="62"/>
        <v>February</v>
      </c>
      <c r="N178" s="16" t="str">
        <f t="shared" si="87"/>
        <v/>
      </c>
      <c r="O178" s="16" t="str">
        <f>IF(N178="","",COUNTIF($N$8:N178,N178))</f>
        <v/>
      </c>
      <c r="P178" s="34" t="str">
        <f t="shared" si="88"/>
        <v/>
      </c>
      <c r="Q178" s="34" t="str">
        <f t="shared" si="89"/>
        <v/>
      </c>
      <c r="R178" s="34" t="str">
        <f t="shared" si="60"/>
        <v>Beban</v>
      </c>
      <c r="S178" s="34" t="str">
        <f t="shared" si="61"/>
        <v>Depresiasi &amp; Amortisasi</v>
      </c>
      <c r="T178" s="34" t="str">
        <f t="shared" si="63"/>
        <v/>
      </c>
      <c r="U178" s="34" t="str">
        <f>IF(AND(L178=1,bp_kode=T178,T178&lt;&gt;""),COUNTIF($T$8:T178,T178),"")</f>
        <v/>
      </c>
      <c r="V178" s="34" t="str">
        <f t="shared" si="64"/>
        <v>db</v>
      </c>
      <c r="W178" s="34" t="str">
        <f t="shared" si="65"/>
        <v>db</v>
      </c>
      <c r="X178" s="34" t="str">
        <f>IF(B178="","",COUNTIF($C$8:C178,C178)&amp;C178)</f>
        <v>0</v>
      </c>
    </row>
    <row r="179" spans="2:24" ht="23.1" customHeight="1">
      <c r="B179" s="31">
        <v>44620</v>
      </c>
      <c r="C179" s="9"/>
      <c r="D179" s="9" t="s">
        <v>670</v>
      </c>
      <c r="E179" s="7"/>
      <c r="F179" s="7"/>
      <c r="G179" s="7"/>
      <c r="H179" s="7" t="s">
        <v>668</v>
      </c>
      <c r="I179" s="7" t="s">
        <v>675</v>
      </c>
      <c r="J179" s="39">
        <v>5265000</v>
      </c>
      <c r="L179" s="16">
        <f t="shared" si="86"/>
        <v>1</v>
      </c>
      <c r="M179" s="16" t="str">
        <f t="shared" si="62"/>
        <v>February</v>
      </c>
      <c r="N179" s="16" t="str">
        <f t="shared" si="87"/>
        <v/>
      </c>
      <c r="O179" s="16" t="str">
        <f>IF(N179="","",COUNTIF($N$8:N179,N179))</f>
        <v/>
      </c>
      <c r="P179" s="34" t="str">
        <f t="shared" si="88"/>
        <v/>
      </c>
      <c r="Q179" s="34" t="str">
        <f t="shared" si="89"/>
        <v/>
      </c>
      <c r="R179" s="34" t="str">
        <f t="shared" si="60"/>
        <v>Beban</v>
      </c>
      <c r="S179" s="34" t="str">
        <f t="shared" si="61"/>
        <v>Depresiasi &amp; Amortisasi</v>
      </c>
      <c r="T179" s="34" t="str">
        <f t="shared" si="63"/>
        <v/>
      </c>
      <c r="U179" s="34" t="str">
        <f>IF(AND(L179=1,bp_kode=T179,T179&lt;&gt;""),COUNTIF($T$8:T179,T179),"")</f>
        <v/>
      </c>
      <c r="V179" s="34" t="str">
        <f t="shared" si="64"/>
        <v>db</v>
      </c>
      <c r="W179" s="34" t="str">
        <f t="shared" si="65"/>
        <v>db</v>
      </c>
      <c r="X179" s="34" t="str">
        <f>IF(B179="","",COUNTIF($C$8:C179,C179)&amp;C179)</f>
        <v>0</v>
      </c>
    </row>
    <row r="180" spans="2:24" ht="23.1" customHeight="1">
      <c r="B180" s="31">
        <v>44620</v>
      </c>
      <c r="C180" s="9"/>
      <c r="D180" s="9" t="s">
        <v>688</v>
      </c>
      <c r="E180" s="7"/>
      <c r="F180" s="7"/>
      <c r="G180" s="7"/>
      <c r="H180" s="7" t="s">
        <v>568</v>
      </c>
      <c r="I180" s="7" t="s">
        <v>684</v>
      </c>
      <c r="J180" s="143">
        <v>114</v>
      </c>
      <c r="L180" s="16">
        <f t="shared" si="86"/>
        <v>1</v>
      </c>
      <c r="M180" s="16" t="str">
        <f t="shared" si="62"/>
        <v>February</v>
      </c>
      <c r="N180" s="16" t="str">
        <f t="shared" si="87"/>
        <v/>
      </c>
      <c r="O180" s="16" t="str">
        <f>IF(N180="","",COUNTIF($N$8:N180,N180))</f>
        <v/>
      </c>
      <c r="P180" s="34" t="str">
        <f t="shared" si="88"/>
        <v>InPendapatan Lainnya</v>
      </c>
      <c r="Q180" s="34" t="str">
        <f t="shared" si="89"/>
        <v>inFebruaryPendapatan Lainnya</v>
      </c>
      <c r="R180" s="34" t="str">
        <f t="shared" si="60"/>
        <v>Bank</v>
      </c>
      <c r="S180" s="34" t="str">
        <f t="shared" si="61"/>
        <v>Pendapatan Lainnya</v>
      </c>
      <c r="T180" s="34" t="str">
        <f t="shared" si="63"/>
        <v/>
      </c>
      <c r="U180" s="34" t="str">
        <f>IF(AND(L180=1,bp_kode=T180,T180&lt;&gt;""),COUNTIF($T$8:T180,T180),"")</f>
        <v/>
      </c>
      <c r="V180" s="34" t="str">
        <f t="shared" si="64"/>
        <v>kr</v>
      </c>
      <c r="W180" s="34" t="str">
        <f t="shared" si="65"/>
        <v>kr</v>
      </c>
      <c r="X180" s="34" t="str">
        <f>IF(B180="","",COUNTIF($C$8:C180,C180)&amp;C180)</f>
        <v>0</v>
      </c>
    </row>
    <row r="181" spans="2:24" ht="23.1" customHeight="1">
      <c r="B181" s="31">
        <v>44620</v>
      </c>
      <c r="C181" s="9"/>
      <c r="D181" s="9" t="s">
        <v>691</v>
      </c>
      <c r="E181" s="7"/>
      <c r="F181" s="7"/>
      <c r="G181" s="7"/>
      <c r="H181" s="7" t="s">
        <v>692</v>
      </c>
      <c r="I181" s="7" t="s">
        <v>582</v>
      </c>
      <c r="J181" s="39">
        <v>3700000</v>
      </c>
      <c r="L181" s="16">
        <f t="shared" si="86"/>
        <v>1</v>
      </c>
      <c r="M181" s="16" t="str">
        <f t="shared" ref="M181" si="90">IF(B181="","",TEXT(B181,"mmmm"))</f>
        <v>February</v>
      </c>
      <c r="N181" s="16" t="str">
        <f t="shared" si="87"/>
        <v/>
      </c>
      <c r="O181" s="16" t="str">
        <f>IF(N181="","",COUNTIF($N$8:N181,N181))</f>
        <v/>
      </c>
      <c r="P181" s="34" t="str">
        <f t="shared" si="88"/>
        <v>outHarga Pokok Penjualan</v>
      </c>
      <c r="Q181" s="34" t="str">
        <f t="shared" si="89"/>
        <v>outFebruaryHarga Pokok Penjualan</v>
      </c>
      <c r="R181" s="34" t="str">
        <f t="shared" ref="R181" si="91">IFERROR(INDEX(akun_type,MATCH(H181,akun_kb,0)),"")</f>
        <v>Harga Pokok Penjualan</v>
      </c>
      <c r="S181" s="34" t="str">
        <f t="shared" ref="S181" si="92">IFERROR(INDEX(akun_type,MATCH(I181,akun_kb,0)),"")</f>
        <v>Kas</v>
      </c>
      <c r="T181" s="34" t="str">
        <f t="shared" ref="T181" si="93">IF(AND(L181=1,OR(R181="Akun Piutang",R181="akun hutang",S181="akun piutang",S181="akun hutang")),E181,"")</f>
        <v/>
      </c>
      <c r="U181" s="34" t="str">
        <f>IF(AND(L181=1,bp_kode=T181,T181&lt;&gt;""),COUNTIF($T$8:T181,T181),"")</f>
        <v/>
      </c>
      <c r="V181" s="34" t="str">
        <f t="shared" ref="V181" si="94">IF(OR(R181="Pendapatan",R181="Pendapatan Lainnya",R181="Beban",R181="Harga Pokok Penjualan",R181="Beban Lainnya"),"db"&amp;F181,IF(OR(S181="Pendapatan",S181="Pendapatan Lainnya",S181="Beban",S181="Harga Pokok Penjualan",S181="Beban Lainnya"),"kr"&amp;F181,""))</f>
        <v>db</v>
      </c>
      <c r="W181" s="34" t="str">
        <f t="shared" ref="W181" si="95">IF(OR(R181="Pendapatan",R181="Pendapatan Lainnya",R181="Beban",R181="Harga Pokok Penjualan",R181="Beban Lainnya"),"db"&amp;G181,IF(OR(S181="Pendapatan",S181="Pendapatan Lainnya",S181="Beban",S181="Harga Pokok Penjualan",S181="Beban Lainnya"),"kr"&amp;G181,""))</f>
        <v>db</v>
      </c>
      <c r="X181" s="34" t="str">
        <f>IF(B181="","",COUNTIF($C$8:C181,C181)&amp;C181)</f>
        <v>0</v>
      </c>
    </row>
    <row r="182" spans="2:24" s="335" customFormat="1" ht="23.1" customHeight="1">
      <c r="B182" s="336">
        <v>44620</v>
      </c>
      <c r="C182" s="337"/>
      <c r="D182" s="337" t="s">
        <v>697</v>
      </c>
      <c r="E182" s="338"/>
      <c r="F182" s="338"/>
      <c r="G182" s="338"/>
      <c r="H182" s="338" t="s">
        <v>640</v>
      </c>
      <c r="I182" s="338" t="s">
        <v>582</v>
      </c>
      <c r="J182" s="339">
        <v>292000</v>
      </c>
      <c r="L182" s="340">
        <f t="shared" si="86"/>
        <v>1</v>
      </c>
      <c r="M182" s="340" t="str">
        <f t="shared" si="62"/>
        <v>February</v>
      </c>
      <c r="N182" s="340" t="str">
        <f t="shared" si="87"/>
        <v/>
      </c>
      <c r="O182" s="340" t="str">
        <f>IF(N182="","",COUNTIF($N$8:N182,N182))</f>
        <v/>
      </c>
      <c r="P182" s="341" t="str">
        <f t="shared" si="88"/>
        <v>outBeban Lainnya</v>
      </c>
      <c r="Q182" s="341" t="str">
        <f t="shared" si="89"/>
        <v>outFebruaryBeban Lainnya</v>
      </c>
      <c r="R182" s="341" t="str">
        <f t="shared" si="60"/>
        <v>Beban Lainnya</v>
      </c>
      <c r="S182" s="341" t="str">
        <f t="shared" si="61"/>
        <v>Kas</v>
      </c>
      <c r="T182" s="341" t="str">
        <f t="shared" si="63"/>
        <v/>
      </c>
      <c r="U182" s="341" t="str">
        <f>IF(AND(L182=1,bp_kode=T182,T182&lt;&gt;""),COUNTIF($T$8:T182,T182),"")</f>
        <v/>
      </c>
      <c r="V182" s="341" t="str">
        <f t="shared" si="64"/>
        <v>db</v>
      </c>
      <c r="W182" s="341" t="str">
        <f t="shared" si="65"/>
        <v>db</v>
      </c>
      <c r="X182" s="341" t="str">
        <f>IF(B182="","",COUNTIF($C$8:C182,C182)&amp;C182)</f>
        <v>0</v>
      </c>
    </row>
    <row r="183" spans="2:24" ht="23.1" customHeight="1">
      <c r="B183" s="31">
        <v>44651</v>
      </c>
      <c r="C183" s="9"/>
      <c r="D183" s="9" t="s">
        <v>550</v>
      </c>
      <c r="E183" s="7"/>
      <c r="F183" s="7"/>
      <c r="G183" s="7"/>
      <c r="H183" s="7" t="s">
        <v>551</v>
      </c>
      <c r="I183" s="7" t="s">
        <v>503</v>
      </c>
      <c r="J183" s="39">
        <v>634364500</v>
      </c>
      <c r="L183" s="16">
        <f t="shared" si="86"/>
        <v>1</v>
      </c>
      <c r="M183" s="16" t="str">
        <f t="shared" si="62"/>
        <v>March</v>
      </c>
      <c r="N183" s="16" t="str">
        <f t="shared" si="87"/>
        <v/>
      </c>
      <c r="O183" s="16" t="str">
        <f>IF(N183="","",COUNTIF($N$8:N183,N183))</f>
        <v/>
      </c>
      <c r="P183" s="34" t="str">
        <f t="shared" si="88"/>
        <v/>
      </c>
      <c r="Q183" s="34" t="str">
        <f t="shared" si="89"/>
        <v/>
      </c>
      <c r="R183" s="34" t="str">
        <f t="shared" si="60"/>
        <v>Akun Piutang</v>
      </c>
      <c r="S183" s="34" t="str">
        <f t="shared" si="61"/>
        <v>Pendapatan</v>
      </c>
      <c r="T183" s="34">
        <f t="shared" si="63"/>
        <v>0</v>
      </c>
      <c r="U183" s="34" t="str">
        <f>IF(AND(L183=1,bp_kode=T183,T183&lt;&gt;""),COUNTIF($T$8:T183,T183),"")</f>
        <v/>
      </c>
      <c r="V183" s="34" t="str">
        <f t="shared" si="64"/>
        <v>kr</v>
      </c>
      <c r="W183" s="34" t="str">
        <f t="shared" si="65"/>
        <v>kr</v>
      </c>
      <c r="X183" s="34" t="str">
        <f>IF(B183="","",COUNTIF($C$8:C183,C183)&amp;C183)</f>
        <v>0</v>
      </c>
    </row>
    <row r="184" spans="2:24" ht="23.1" customHeight="1">
      <c r="B184" s="31">
        <v>44651</v>
      </c>
      <c r="C184" s="9"/>
      <c r="D184" s="9" t="s">
        <v>552</v>
      </c>
      <c r="E184" s="7"/>
      <c r="F184" s="7"/>
      <c r="G184" s="7"/>
      <c r="H184" s="7" t="s">
        <v>587</v>
      </c>
      <c r="I184" s="7" t="s">
        <v>553</v>
      </c>
      <c r="J184" s="39">
        <v>4223000</v>
      </c>
      <c r="L184" s="16">
        <f t="shared" si="86"/>
        <v>1</v>
      </c>
      <c r="M184" s="16" t="str">
        <f t="shared" si="62"/>
        <v>March</v>
      </c>
      <c r="N184" s="16" t="str">
        <f t="shared" si="87"/>
        <v/>
      </c>
      <c r="O184" s="16" t="str">
        <f>IF(N184="","",COUNTIF($N$8:N184,N184))</f>
        <v/>
      </c>
      <c r="P184" s="34" t="str">
        <f t="shared" si="88"/>
        <v/>
      </c>
      <c r="Q184" s="34" t="str">
        <f t="shared" si="89"/>
        <v/>
      </c>
      <c r="R184" s="34" t="str">
        <f t="shared" si="60"/>
        <v>Akun Piutang</v>
      </c>
      <c r="S184" s="34" t="str">
        <f t="shared" si="61"/>
        <v>Pendapatan</v>
      </c>
      <c r="T184" s="34">
        <f t="shared" si="63"/>
        <v>0</v>
      </c>
      <c r="U184" s="34" t="str">
        <f>IF(AND(L184=1,bp_kode=T184,T184&lt;&gt;""),COUNTIF($T$8:T184,T184),"")</f>
        <v/>
      </c>
      <c r="V184" s="34" t="str">
        <f t="shared" si="64"/>
        <v>kr</v>
      </c>
      <c r="W184" s="34" t="str">
        <f t="shared" si="65"/>
        <v>kr</v>
      </c>
      <c r="X184" s="34" t="str">
        <f>IF(B184="","",COUNTIF($C$8:C184,C184)&amp;C184)</f>
        <v>0</v>
      </c>
    </row>
    <row r="185" spans="2:24" ht="23.1" customHeight="1">
      <c r="B185" s="31">
        <v>44651</v>
      </c>
      <c r="C185" s="9"/>
      <c r="D185" s="9" t="s">
        <v>555</v>
      </c>
      <c r="E185" s="7"/>
      <c r="F185" s="7"/>
      <c r="G185" s="7"/>
      <c r="H185" s="7" t="s">
        <v>557</v>
      </c>
      <c r="I185" s="7" t="s">
        <v>556</v>
      </c>
      <c r="J185" s="39">
        <v>240250000</v>
      </c>
      <c r="L185" s="16">
        <f t="shared" si="86"/>
        <v>1</v>
      </c>
      <c r="M185" s="16" t="str">
        <f t="shared" si="62"/>
        <v>March</v>
      </c>
      <c r="N185" s="16" t="str">
        <f t="shared" si="87"/>
        <v/>
      </c>
      <c r="O185" s="16" t="str">
        <f>IF(N185="","",COUNTIF($N$8:N185,N185))</f>
        <v/>
      </c>
      <c r="P185" s="34" t="str">
        <f t="shared" si="88"/>
        <v/>
      </c>
      <c r="Q185" s="34" t="str">
        <f t="shared" si="89"/>
        <v/>
      </c>
      <c r="R185" s="34" t="str">
        <f t="shared" si="60"/>
        <v>Akun Piutang</v>
      </c>
      <c r="S185" s="34" t="str">
        <f t="shared" si="61"/>
        <v>Pendapatan</v>
      </c>
      <c r="T185" s="34">
        <f t="shared" si="63"/>
        <v>0</v>
      </c>
      <c r="U185" s="34" t="str">
        <f>IF(AND(L185=1,bp_kode=T185,T185&lt;&gt;""),COUNTIF($T$8:T185,T185),"")</f>
        <v/>
      </c>
      <c r="V185" s="34" t="str">
        <f t="shared" si="64"/>
        <v>kr</v>
      </c>
      <c r="W185" s="34" t="str">
        <f t="shared" si="65"/>
        <v>kr</v>
      </c>
      <c r="X185" s="34" t="str">
        <f>IF(B185="","",COUNTIF($C$8:C185,C185)&amp;C185)</f>
        <v>0</v>
      </c>
    </row>
    <row r="186" spans="2:24" ht="23.1" customHeight="1">
      <c r="B186" s="31">
        <v>44651</v>
      </c>
      <c r="C186" s="9"/>
      <c r="D186" s="9" t="s">
        <v>558</v>
      </c>
      <c r="E186" s="7"/>
      <c r="F186" s="7"/>
      <c r="G186" s="7"/>
      <c r="H186" s="7" t="s">
        <v>559</v>
      </c>
      <c r="I186" s="7" t="s">
        <v>560</v>
      </c>
      <c r="J186" s="39">
        <v>433772000</v>
      </c>
      <c r="L186" s="16">
        <f t="shared" si="86"/>
        <v>1</v>
      </c>
      <c r="M186" s="16" t="str">
        <f t="shared" si="62"/>
        <v>March</v>
      </c>
      <c r="N186" s="16" t="str">
        <f t="shared" si="87"/>
        <v/>
      </c>
      <c r="O186" s="16" t="str">
        <f>IF(N186="","",COUNTIF($N$8:N186,N186))</f>
        <v/>
      </c>
      <c r="P186" s="34" t="str">
        <f t="shared" si="88"/>
        <v/>
      </c>
      <c r="Q186" s="34" t="str">
        <f t="shared" si="89"/>
        <v/>
      </c>
      <c r="R186" s="34" t="str">
        <f t="shared" si="60"/>
        <v>Akun Piutang</v>
      </c>
      <c r="S186" s="34" t="str">
        <f t="shared" si="61"/>
        <v>Pendapatan</v>
      </c>
      <c r="T186" s="34">
        <f t="shared" si="63"/>
        <v>0</v>
      </c>
      <c r="U186" s="34" t="str">
        <f>IF(AND(L186=1,bp_kode=T186,T186&lt;&gt;""),COUNTIF($T$8:T186,T186),"")</f>
        <v/>
      </c>
      <c r="V186" s="34" t="str">
        <f t="shared" si="64"/>
        <v>kr</v>
      </c>
      <c r="W186" s="34" t="str">
        <f t="shared" si="65"/>
        <v>kr</v>
      </c>
      <c r="X186" s="34" t="str">
        <f>IF(B186="","",COUNTIF($C$8:C186,C186)&amp;C186)</f>
        <v>0</v>
      </c>
    </row>
    <row r="187" spans="2:24" ht="23.1" customHeight="1">
      <c r="B187" s="31">
        <v>44651</v>
      </c>
      <c r="C187" s="9"/>
      <c r="D187" s="9" t="s">
        <v>562</v>
      </c>
      <c r="E187" s="7"/>
      <c r="F187" s="7"/>
      <c r="G187" s="7"/>
      <c r="H187" s="7" t="s">
        <v>561</v>
      </c>
      <c r="I187" s="7" t="s">
        <v>504</v>
      </c>
      <c r="J187" s="39">
        <v>179992000</v>
      </c>
      <c r="L187" s="16">
        <f t="shared" si="86"/>
        <v>1</v>
      </c>
      <c r="M187" s="16" t="str">
        <f t="shared" si="62"/>
        <v>March</v>
      </c>
      <c r="N187" s="16" t="str">
        <f t="shared" si="87"/>
        <v/>
      </c>
      <c r="O187" s="16" t="str">
        <f>IF(N187="","",COUNTIF($N$8:N187,N187))</f>
        <v/>
      </c>
      <c r="P187" s="34" t="str">
        <f t="shared" si="88"/>
        <v/>
      </c>
      <c r="Q187" s="34" t="str">
        <f t="shared" si="89"/>
        <v/>
      </c>
      <c r="R187" s="34" t="str">
        <f t="shared" si="60"/>
        <v>Akun Piutang</v>
      </c>
      <c r="S187" s="34" t="str">
        <f t="shared" si="61"/>
        <v>Pendapatan</v>
      </c>
      <c r="T187" s="34">
        <f t="shared" si="63"/>
        <v>0</v>
      </c>
      <c r="U187" s="34" t="str">
        <f>IF(AND(L187=1,bp_kode=T187,T187&lt;&gt;""),COUNTIF($T$8:T187,T187),"")</f>
        <v/>
      </c>
      <c r="V187" s="34" t="str">
        <f t="shared" si="64"/>
        <v>kr</v>
      </c>
      <c r="W187" s="34" t="str">
        <f t="shared" si="65"/>
        <v>kr</v>
      </c>
      <c r="X187" s="34" t="str">
        <f>IF(B187="","",COUNTIF($C$8:C187,C187)&amp;C187)</f>
        <v>0</v>
      </c>
    </row>
    <row r="188" spans="2:24" ht="23.1" customHeight="1">
      <c r="B188" s="31">
        <v>44651</v>
      </c>
      <c r="C188" s="9"/>
      <c r="D188" s="9" t="s">
        <v>563</v>
      </c>
      <c r="E188" s="7"/>
      <c r="F188" s="7"/>
      <c r="G188" s="7"/>
      <c r="H188" s="7" t="s">
        <v>565</v>
      </c>
      <c r="I188" s="7" t="s">
        <v>551</v>
      </c>
      <c r="J188" s="39">
        <v>233794500</v>
      </c>
      <c r="L188" s="16">
        <f t="shared" si="86"/>
        <v>1</v>
      </c>
      <c r="M188" s="16" t="str">
        <f t="shared" si="62"/>
        <v>March</v>
      </c>
      <c r="N188" s="16" t="str">
        <f t="shared" si="87"/>
        <v/>
      </c>
      <c r="O188" s="16" t="str">
        <f>IF(N188="","",COUNTIF($N$8:N188,N188))</f>
        <v/>
      </c>
      <c r="P188" s="34" t="str">
        <f t="shared" si="88"/>
        <v/>
      </c>
      <c r="Q188" s="34" t="str">
        <f t="shared" si="89"/>
        <v/>
      </c>
      <c r="R188" s="34" t="str">
        <f t="shared" si="60"/>
        <v>Pendapatan</v>
      </c>
      <c r="S188" s="34" t="str">
        <f t="shared" si="61"/>
        <v>Akun Piutang</v>
      </c>
      <c r="T188" s="34">
        <f t="shared" si="63"/>
        <v>0</v>
      </c>
      <c r="U188" s="34" t="str">
        <f>IF(AND(L188=1,bp_kode=T188,T188&lt;&gt;""),COUNTIF($T$8:T188,T188),"")</f>
        <v/>
      </c>
      <c r="V188" s="34" t="str">
        <f t="shared" si="64"/>
        <v>db</v>
      </c>
      <c r="W188" s="34" t="str">
        <f t="shared" si="65"/>
        <v>db</v>
      </c>
      <c r="X188" s="34" t="str">
        <f>IF(B188="","",COUNTIF($C$8:C188,C188)&amp;C188)</f>
        <v>0</v>
      </c>
    </row>
    <row r="189" spans="2:24" ht="23.1" customHeight="1">
      <c r="B189" s="31">
        <v>44651</v>
      </c>
      <c r="C189" s="9"/>
      <c r="D189" s="9" t="s">
        <v>564</v>
      </c>
      <c r="E189" s="7"/>
      <c r="F189" s="7"/>
      <c r="G189" s="7"/>
      <c r="H189" s="7" t="s">
        <v>566</v>
      </c>
      <c r="I189" s="7" t="s">
        <v>559</v>
      </c>
      <c r="J189" s="39">
        <v>18703900</v>
      </c>
      <c r="L189" s="16">
        <f t="shared" si="86"/>
        <v>1</v>
      </c>
      <c r="M189" s="16" t="str">
        <f t="shared" si="62"/>
        <v>March</v>
      </c>
      <c r="N189" s="16" t="str">
        <f t="shared" si="87"/>
        <v/>
      </c>
      <c r="O189" s="16" t="str">
        <f>IF(N189="","",COUNTIF($N$8:N189,N189))</f>
        <v/>
      </c>
      <c r="P189" s="34" t="str">
        <f t="shared" si="88"/>
        <v/>
      </c>
      <c r="Q189" s="34" t="str">
        <f t="shared" si="89"/>
        <v/>
      </c>
      <c r="R189" s="34" t="str">
        <f t="shared" si="60"/>
        <v>Pendapatan</v>
      </c>
      <c r="S189" s="34" t="str">
        <f t="shared" si="61"/>
        <v>Akun Piutang</v>
      </c>
      <c r="T189" s="34">
        <f t="shared" si="63"/>
        <v>0</v>
      </c>
      <c r="U189" s="34" t="str">
        <f>IF(AND(L189=1,bp_kode=T189,T189&lt;&gt;""),COUNTIF($T$8:T189,T189),"")</f>
        <v/>
      </c>
      <c r="V189" s="34" t="str">
        <f t="shared" si="64"/>
        <v>db</v>
      </c>
      <c r="W189" s="34" t="str">
        <f t="shared" si="65"/>
        <v>db</v>
      </c>
      <c r="X189" s="34" t="str">
        <f>IF(B189="","",COUNTIF($C$8:C189,C189)&amp;C189)</f>
        <v>0</v>
      </c>
    </row>
    <row r="190" spans="2:24" ht="23.1" customHeight="1">
      <c r="B190" s="31">
        <v>44651</v>
      </c>
      <c r="C190" s="9"/>
      <c r="D190" s="9" t="s">
        <v>555</v>
      </c>
      <c r="E190" s="7"/>
      <c r="F190" s="7"/>
      <c r="G190" s="7"/>
      <c r="H190" s="7" t="s">
        <v>554</v>
      </c>
      <c r="I190" s="7" t="s">
        <v>557</v>
      </c>
      <c r="J190" s="39">
        <v>251875000</v>
      </c>
      <c r="L190" s="16">
        <f>IF(AND(B190&gt;=awal,B190&lt;=akhir,B190&lt;&gt;""),1,IF(AND(B190&lt;&gt;"",B190&lt;awal),2,""))</f>
        <v>1</v>
      </c>
      <c r="M190" s="16" t="str">
        <f>IF(B190="","",TEXT(B190,"mmmm"))</f>
        <v>March</v>
      </c>
      <c r="N190" s="16" t="str">
        <f>IF(AND(L190=1,H190=bb_akun),"Awe",IF(AND(L190=1,I190=bb_akun),"Awe",""))</f>
        <v/>
      </c>
      <c r="O190" s="16" t="str">
        <f>IF(N190="","",COUNTIF($N$8:N190,N190))</f>
        <v/>
      </c>
      <c r="P190" s="34" t="str">
        <f>IFERROR(IF(OR(INDEX(akun_type,MATCH(H190,akun_kb,0))="Kas",INDEX(akun_type,MATCH(H190,akun_kb,0))="Bank"),"In"&amp;INDEX(akun_type,MATCH(I190,akun_kb,0)),IF(OR(INDEX(akun_type,MATCH(I190,akun_kb,0))="Kas",INDEX(akun_type,MATCH(I190,akun_kb,0))="Bank"),"out"&amp;INDEX(akun_type,MATCH(H190,akun_kb,0)),"")),"")</f>
        <v>InAkun Piutang</v>
      </c>
      <c r="Q190" s="34" t="str">
        <f>IFERROR(IF(OR(INDEX(akun_type,MATCH(H190,akun_kb,0))="Kas",INDEX(akun_type,MATCH(H190,akun_kb,0))="Bank"),"in"&amp;TEXT(B190,"mmmm")&amp;INDEX(akun_type,MATCH(I190,akun_kb,0)),IF(OR(INDEX(akun_type,MATCH(I190,akun_kb,0))="Kas",INDEX(akun_type,MATCH(I190,akun_kb,0))="Bank"),"out"&amp;TEXT(B190,"mmmm")&amp;INDEX(akun_type,MATCH(H190,akun_kb,0)),"")),"")</f>
        <v>inMarchAkun Piutang</v>
      </c>
      <c r="R190" s="34" t="str">
        <f>IFERROR(INDEX(akun_type,MATCH(H190,akun_kb,0)),"")</f>
        <v>Kas</v>
      </c>
      <c r="S190" s="34" t="str">
        <f>IFERROR(INDEX(akun_type,MATCH(I190,akun_kb,0)),"")</f>
        <v>Akun Piutang</v>
      </c>
      <c r="T190" s="34">
        <f>IF(AND(L190=1,OR(R190="Akun Piutang",R190="akun hutang",S190="akun piutang",S190="akun hutang")),E190,"")</f>
        <v>0</v>
      </c>
      <c r="U190" s="34" t="str">
        <f>IF(AND(L190=1,bp_kode=T190,T190&lt;&gt;""),COUNTIF($T$8:T190,T190),"")</f>
        <v/>
      </c>
      <c r="V190" s="34" t="str">
        <f>IF(OR(R190="Pendapatan",R190="Pendapatan Lainnya",R190="Beban",R190="Harga Pokok Penjualan",R190="Beban Lainnya"),"db"&amp;F190,IF(OR(S190="Pendapatan",S190="Pendapatan Lainnya",S190="Beban",S190="Harga Pokok Penjualan",S190="Beban Lainnya"),"kr"&amp;F190,""))</f>
        <v/>
      </c>
      <c r="W190" s="34" t="str">
        <f>IF(OR(R190="Pendapatan",R190="Pendapatan Lainnya",R190="Beban",R190="Harga Pokok Penjualan",R190="Beban Lainnya"),"db"&amp;G190,IF(OR(S190="Pendapatan",S190="Pendapatan Lainnya",S190="Beban",S190="Harga Pokok Penjualan",S190="Beban Lainnya"),"kr"&amp;G190,""))</f>
        <v/>
      </c>
      <c r="X190" s="34" t="str">
        <f>IF(B190="","",COUNTIF($C$8:C190,C190)&amp;C190)</f>
        <v>0</v>
      </c>
    </row>
    <row r="191" spans="2:24" ht="23.1" customHeight="1">
      <c r="B191" s="31">
        <v>44651</v>
      </c>
      <c r="C191" s="9"/>
      <c r="D191" s="9" t="s">
        <v>572</v>
      </c>
      <c r="E191" s="7"/>
      <c r="F191" s="7"/>
      <c r="G191" s="7"/>
      <c r="H191" s="7" t="s">
        <v>640</v>
      </c>
      <c r="I191" s="7" t="s">
        <v>568</v>
      </c>
      <c r="J191" s="39">
        <v>36500</v>
      </c>
      <c r="L191" s="16">
        <f t="shared" si="86"/>
        <v>1</v>
      </c>
      <c r="M191" s="16" t="str">
        <f t="shared" si="62"/>
        <v>March</v>
      </c>
      <c r="N191" s="16" t="str">
        <f t="shared" si="87"/>
        <v/>
      </c>
      <c r="O191" s="16" t="str">
        <f>IF(N191="","",COUNTIF($N$8:N191,N191))</f>
        <v/>
      </c>
      <c r="P191" s="34" t="str">
        <f t="shared" si="88"/>
        <v>outBeban Lainnya</v>
      </c>
      <c r="Q191" s="34" t="str">
        <f t="shared" si="89"/>
        <v>outMarchBeban Lainnya</v>
      </c>
      <c r="R191" s="34" t="str">
        <f t="shared" si="60"/>
        <v>Beban Lainnya</v>
      </c>
      <c r="S191" s="34" t="str">
        <f t="shared" si="61"/>
        <v>Bank</v>
      </c>
      <c r="T191" s="34" t="str">
        <f t="shared" si="63"/>
        <v/>
      </c>
      <c r="U191" s="34" t="str">
        <f>IF(AND(L191=1,bp_kode=T191,T191&lt;&gt;""),COUNTIF($T$8:T191,T191),"")</f>
        <v/>
      </c>
      <c r="V191" s="34" t="str">
        <f t="shared" si="64"/>
        <v>db</v>
      </c>
      <c r="W191" s="34" t="str">
        <f t="shared" si="65"/>
        <v>db</v>
      </c>
      <c r="X191" s="34" t="str">
        <f>IF(B191="","",COUNTIF($C$8:C191,C191)&amp;C191)</f>
        <v>0</v>
      </c>
    </row>
    <row r="192" spans="2:24" ht="23.1" customHeight="1">
      <c r="B192" s="31">
        <v>44651</v>
      </c>
      <c r="C192" s="9"/>
      <c r="D192" s="9" t="s">
        <v>573</v>
      </c>
      <c r="E192" s="7"/>
      <c r="F192" s="7"/>
      <c r="G192" s="7"/>
      <c r="H192" s="7" t="s">
        <v>568</v>
      </c>
      <c r="I192" s="7" t="s">
        <v>559</v>
      </c>
      <c r="J192" s="39">
        <v>66147100</v>
      </c>
      <c r="L192" s="16">
        <f t="shared" si="86"/>
        <v>1</v>
      </c>
      <c r="M192" s="16" t="str">
        <f t="shared" si="62"/>
        <v>March</v>
      </c>
      <c r="N192" s="16" t="str">
        <f t="shared" si="87"/>
        <v/>
      </c>
      <c r="O192" s="16" t="str">
        <f>IF(N192="","",COUNTIF($N$8:N192,N192))</f>
        <v/>
      </c>
      <c r="P192" s="34" t="str">
        <f t="shared" si="88"/>
        <v>InAkun Piutang</v>
      </c>
      <c r="Q192" s="34" t="str">
        <f t="shared" si="89"/>
        <v>inMarchAkun Piutang</v>
      </c>
      <c r="R192" s="34" t="str">
        <f t="shared" si="60"/>
        <v>Bank</v>
      </c>
      <c r="S192" s="34" t="str">
        <f t="shared" si="61"/>
        <v>Akun Piutang</v>
      </c>
      <c r="T192" s="34">
        <f t="shared" si="63"/>
        <v>0</v>
      </c>
      <c r="U192" s="34" t="str">
        <f>IF(AND(L192=1,bp_kode=T192,T192&lt;&gt;""),COUNTIF($T$8:T192,T192),"")</f>
        <v/>
      </c>
      <c r="V192" s="34" t="str">
        <f t="shared" si="64"/>
        <v/>
      </c>
      <c r="W192" s="34" t="str">
        <f t="shared" si="65"/>
        <v/>
      </c>
      <c r="X192" s="34" t="str">
        <f>IF(B192="","",COUNTIF($C$8:C192,C192)&amp;C192)</f>
        <v>0</v>
      </c>
    </row>
    <row r="193" spans="2:24" ht="23.1" customHeight="1">
      <c r="B193" s="31">
        <v>44651</v>
      </c>
      <c r="C193" s="9"/>
      <c r="D193" s="9" t="s">
        <v>687</v>
      </c>
      <c r="E193" s="7"/>
      <c r="F193" s="7"/>
      <c r="G193" s="7"/>
      <c r="H193" s="7" t="s">
        <v>575</v>
      </c>
      <c r="I193" s="7" t="s">
        <v>569</v>
      </c>
      <c r="J193" s="39">
        <v>1124</v>
      </c>
      <c r="L193" s="16">
        <f t="shared" si="86"/>
        <v>1</v>
      </c>
      <c r="M193" s="16" t="str">
        <f t="shared" si="62"/>
        <v>March</v>
      </c>
      <c r="N193" s="16" t="str">
        <f t="shared" si="87"/>
        <v/>
      </c>
      <c r="O193" s="16" t="str">
        <f>IF(N193="","",COUNTIF($N$8:N193,N193))</f>
        <v/>
      </c>
      <c r="P193" s="34" t="str">
        <f t="shared" si="88"/>
        <v>InPendapatan Lainnya</v>
      </c>
      <c r="Q193" s="34" t="str">
        <f t="shared" si="89"/>
        <v>inMarchPendapatan Lainnya</v>
      </c>
      <c r="R193" s="34" t="str">
        <f t="shared" si="60"/>
        <v>Bank</v>
      </c>
      <c r="S193" s="34" t="str">
        <f t="shared" si="61"/>
        <v>Pendapatan Lainnya</v>
      </c>
      <c r="T193" s="34" t="str">
        <f t="shared" si="63"/>
        <v/>
      </c>
      <c r="U193" s="34" t="str">
        <f>IF(AND(L193=1,bp_kode=T193,T193&lt;&gt;""),COUNTIF($T$8:T193,T193),"")</f>
        <v/>
      </c>
      <c r="V193" s="34" t="str">
        <f t="shared" si="64"/>
        <v>kr</v>
      </c>
      <c r="W193" s="34" t="str">
        <f t="shared" si="65"/>
        <v>kr</v>
      </c>
      <c r="X193" s="34" t="str">
        <f>IF(B193="","",COUNTIF($C$8:C193,C193)&amp;C193)</f>
        <v>0</v>
      </c>
    </row>
    <row r="194" spans="2:24" ht="23.1" customHeight="1">
      <c r="B194" s="31">
        <v>44651</v>
      </c>
      <c r="C194" s="9"/>
      <c r="D194" s="9" t="s">
        <v>574</v>
      </c>
      <c r="E194" s="7"/>
      <c r="F194" s="7"/>
      <c r="G194" s="7"/>
      <c r="H194" s="7" t="s">
        <v>640</v>
      </c>
      <c r="I194" s="7" t="s">
        <v>575</v>
      </c>
      <c r="J194" s="39">
        <v>36500</v>
      </c>
      <c r="L194" s="16">
        <f t="shared" si="86"/>
        <v>1</v>
      </c>
      <c r="M194" s="16" t="str">
        <f t="shared" si="62"/>
        <v>March</v>
      </c>
      <c r="N194" s="16" t="str">
        <f t="shared" si="87"/>
        <v/>
      </c>
      <c r="O194" s="16" t="str">
        <f>IF(N194="","",COUNTIF($N$8:N194,N194))</f>
        <v/>
      </c>
      <c r="P194" s="34" t="str">
        <f t="shared" si="88"/>
        <v>outBeban Lainnya</v>
      </c>
      <c r="Q194" s="34" t="str">
        <f t="shared" si="89"/>
        <v>outMarchBeban Lainnya</v>
      </c>
      <c r="R194" s="34" t="str">
        <f t="shared" si="60"/>
        <v>Beban Lainnya</v>
      </c>
      <c r="S194" s="34" t="str">
        <f t="shared" si="61"/>
        <v>Bank</v>
      </c>
      <c r="T194" s="34" t="str">
        <f t="shared" si="63"/>
        <v/>
      </c>
      <c r="U194" s="34" t="str">
        <f>IF(AND(L194=1,bp_kode=T194,T194&lt;&gt;""),COUNTIF($T$8:T194,T194),"")</f>
        <v/>
      </c>
      <c r="V194" s="34" t="str">
        <f t="shared" si="64"/>
        <v>db</v>
      </c>
      <c r="W194" s="34" t="str">
        <f t="shared" si="65"/>
        <v>db</v>
      </c>
      <c r="X194" s="34" t="str">
        <f>IF(B194="","",COUNTIF($C$8:C194,C194)&amp;C194)</f>
        <v>0</v>
      </c>
    </row>
    <row r="195" spans="2:24" ht="23.1" customHeight="1">
      <c r="B195" s="31">
        <v>44651</v>
      </c>
      <c r="C195" s="9"/>
      <c r="D195" s="9" t="s">
        <v>687</v>
      </c>
      <c r="E195" s="7"/>
      <c r="F195" s="7"/>
      <c r="G195" s="7"/>
      <c r="H195" s="7" t="s">
        <v>577</v>
      </c>
      <c r="I195" s="7" t="s">
        <v>569</v>
      </c>
      <c r="J195" s="39">
        <v>1046740.92</v>
      </c>
      <c r="L195" s="16">
        <f t="shared" si="86"/>
        <v>1</v>
      </c>
      <c r="M195" s="16" t="str">
        <f t="shared" si="62"/>
        <v>March</v>
      </c>
      <c r="N195" s="16" t="str">
        <f t="shared" si="87"/>
        <v/>
      </c>
      <c r="O195" s="16" t="str">
        <f>IF(N195="","",COUNTIF($N$8:N195,N195))</f>
        <v/>
      </c>
      <c r="P195" s="34" t="str">
        <f t="shared" si="88"/>
        <v>InPendapatan Lainnya</v>
      </c>
      <c r="Q195" s="34" t="str">
        <f t="shared" si="89"/>
        <v>inMarchPendapatan Lainnya</v>
      </c>
      <c r="R195" s="34" t="str">
        <f t="shared" si="60"/>
        <v>Bank</v>
      </c>
      <c r="S195" s="34" t="str">
        <f t="shared" si="61"/>
        <v>Pendapatan Lainnya</v>
      </c>
      <c r="T195" s="34" t="str">
        <f t="shared" si="63"/>
        <v/>
      </c>
      <c r="U195" s="34" t="str">
        <f>IF(AND(L195=1,bp_kode=T195,T195&lt;&gt;""),COUNTIF($T$8:T195,T195),"")</f>
        <v/>
      </c>
      <c r="V195" s="34" t="str">
        <f t="shared" si="64"/>
        <v>kr</v>
      </c>
      <c r="W195" s="34" t="str">
        <f t="shared" si="65"/>
        <v>kr</v>
      </c>
      <c r="X195" s="34" t="str">
        <f>IF(B195="","",COUNTIF($C$8:C195,C195)&amp;C195)</f>
        <v>0</v>
      </c>
    </row>
    <row r="196" spans="2:24" ht="23.1" customHeight="1">
      <c r="B196" s="31">
        <v>44651</v>
      </c>
      <c r="C196" s="9"/>
      <c r="D196" s="9" t="s">
        <v>570</v>
      </c>
      <c r="E196" s="7"/>
      <c r="F196" s="7"/>
      <c r="G196" s="7"/>
      <c r="H196" s="7" t="s">
        <v>571</v>
      </c>
      <c r="I196" s="7" t="s">
        <v>577</v>
      </c>
      <c r="J196" s="39">
        <v>209348.18</v>
      </c>
      <c r="L196" s="16">
        <f t="shared" si="86"/>
        <v>1</v>
      </c>
      <c r="M196" s="16" t="str">
        <f t="shared" si="62"/>
        <v>March</v>
      </c>
      <c r="N196" s="16" t="str">
        <f t="shared" si="87"/>
        <v/>
      </c>
      <c r="O196" s="16" t="str">
        <f>IF(N196="","",COUNTIF($N$8:N196,N196))</f>
        <v/>
      </c>
      <c r="P196" s="34" t="str">
        <f t="shared" si="88"/>
        <v>outBeban Lainnya</v>
      </c>
      <c r="Q196" s="34" t="str">
        <f t="shared" si="89"/>
        <v>outMarchBeban Lainnya</v>
      </c>
      <c r="R196" s="34" t="str">
        <f t="shared" si="60"/>
        <v>Beban Lainnya</v>
      </c>
      <c r="S196" s="34" t="str">
        <f t="shared" si="61"/>
        <v>Bank</v>
      </c>
      <c r="T196" s="34" t="str">
        <f t="shared" si="63"/>
        <v/>
      </c>
      <c r="U196" s="34" t="str">
        <f>IF(AND(L196=1,bp_kode=T196,T196&lt;&gt;""),COUNTIF($T$8:T196,T196),"")</f>
        <v/>
      </c>
      <c r="V196" s="34" t="str">
        <f t="shared" si="64"/>
        <v>db</v>
      </c>
      <c r="W196" s="34" t="str">
        <f t="shared" si="65"/>
        <v>db</v>
      </c>
      <c r="X196" s="34" t="str">
        <f>IF(B196="","",COUNTIF($C$8:C196,C196)&amp;C196)</f>
        <v>0</v>
      </c>
    </row>
    <row r="197" spans="2:24" ht="23.1" customHeight="1">
      <c r="B197" s="31">
        <v>44651</v>
      </c>
      <c r="C197" s="9"/>
      <c r="D197" s="9" t="s">
        <v>572</v>
      </c>
      <c r="E197" s="7"/>
      <c r="F197" s="7"/>
      <c r="G197" s="7"/>
      <c r="H197" s="7" t="s">
        <v>640</v>
      </c>
      <c r="I197" s="7" t="s">
        <v>577</v>
      </c>
      <c r="J197" s="39">
        <v>25000</v>
      </c>
      <c r="L197" s="16">
        <f t="shared" si="86"/>
        <v>1</v>
      </c>
      <c r="M197" s="16" t="str">
        <f t="shared" si="62"/>
        <v>March</v>
      </c>
      <c r="N197" s="16" t="str">
        <f t="shared" si="87"/>
        <v/>
      </c>
      <c r="O197" s="16" t="str">
        <f>IF(N197="","",COUNTIF($N$8:N197,N197))</f>
        <v/>
      </c>
      <c r="P197" s="34" t="str">
        <f t="shared" si="88"/>
        <v>outBeban Lainnya</v>
      </c>
      <c r="Q197" s="34" t="str">
        <f t="shared" si="89"/>
        <v>outMarchBeban Lainnya</v>
      </c>
      <c r="R197" s="34" t="str">
        <f t="shared" si="60"/>
        <v>Beban Lainnya</v>
      </c>
      <c r="S197" s="34" t="str">
        <f t="shared" si="61"/>
        <v>Bank</v>
      </c>
      <c r="T197" s="34" t="str">
        <f t="shared" si="63"/>
        <v/>
      </c>
      <c r="U197" s="34" t="str">
        <f>IF(AND(L197=1,bp_kode=T197,T197&lt;&gt;""),COUNTIF($T$8:T197,T197),"")</f>
        <v/>
      </c>
      <c r="V197" s="34" t="str">
        <f t="shared" si="64"/>
        <v>db</v>
      </c>
      <c r="W197" s="34" t="str">
        <f t="shared" si="65"/>
        <v>db</v>
      </c>
      <c r="X197" s="34" t="str">
        <f>IF(B197="","",COUNTIF($C$8:C197,C197)&amp;C197)</f>
        <v>0</v>
      </c>
    </row>
    <row r="198" spans="2:24" ht="23.1" customHeight="1">
      <c r="B198" s="31">
        <v>44651</v>
      </c>
      <c r="C198" s="9"/>
      <c r="D198" s="9" t="s">
        <v>578</v>
      </c>
      <c r="E198" s="7"/>
      <c r="F198" s="7"/>
      <c r="G198" s="7"/>
      <c r="H198" s="7" t="s">
        <v>640</v>
      </c>
      <c r="I198" s="7" t="s">
        <v>577</v>
      </c>
      <c r="J198" s="39">
        <v>10000</v>
      </c>
      <c r="L198" s="16">
        <f t="shared" si="86"/>
        <v>1</v>
      </c>
      <c r="M198" s="16" t="str">
        <f t="shared" si="62"/>
        <v>March</v>
      </c>
      <c r="N198" s="16" t="str">
        <f t="shared" si="87"/>
        <v/>
      </c>
      <c r="O198" s="16" t="str">
        <f>IF(N198="","",COUNTIF($N$8:N198,N198))</f>
        <v/>
      </c>
      <c r="P198" s="34" t="str">
        <f t="shared" si="88"/>
        <v>outBeban Lainnya</v>
      </c>
      <c r="Q198" s="34" t="str">
        <f t="shared" si="89"/>
        <v>outMarchBeban Lainnya</v>
      </c>
      <c r="R198" s="34" t="str">
        <f t="shared" si="60"/>
        <v>Beban Lainnya</v>
      </c>
      <c r="S198" s="34" t="str">
        <f t="shared" si="61"/>
        <v>Bank</v>
      </c>
      <c r="T198" s="34" t="str">
        <f t="shared" si="63"/>
        <v/>
      </c>
      <c r="U198" s="34" t="str">
        <f>IF(AND(L198=1,bp_kode=T198,T198&lt;&gt;""),COUNTIF($T$8:T198,T198),"")</f>
        <v/>
      </c>
      <c r="V198" s="34" t="str">
        <f t="shared" si="64"/>
        <v>db</v>
      </c>
      <c r="W198" s="34" t="str">
        <f t="shared" si="65"/>
        <v>db</v>
      </c>
      <c r="X198" s="34" t="str">
        <f>IF(B198="","",COUNTIF($C$8:C198,C198)&amp;C198)</f>
        <v>0</v>
      </c>
    </row>
    <row r="199" spans="2:24" ht="23.1" customHeight="1">
      <c r="B199" s="31">
        <v>44651</v>
      </c>
      <c r="C199" s="9"/>
      <c r="D199" s="9" t="s">
        <v>573</v>
      </c>
      <c r="E199" s="7"/>
      <c r="F199" s="7"/>
      <c r="G199" s="7"/>
      <c r="H199" s="7" t="s">
        <v>577</v>
      </c>
      <c r="I199" s="7" t="s">
        <v>559</v>
      </c>
      <c r="J199" s="39">
        <v>63044200</v>
      </c>
      <c r="L199" s="16">
        <f t="shared" si="86"/>
        <v>1</v>
      </c>
      <c r="M199" s="16" t="str">
        <f t="shared" si="62"/>
        <v>March</v>
      </c>
      <c r="N199" s="16" t="str">
        <f t="shared" si="87"/>
        <v/>
      </c>
      <c r="O199" s="16" t="str">
        <f>IF(N199="","",COUNTIF($N$8:N199,N199))</f>
        <v/>
      </c>
      <c r="P199" s="34" t="str">
        <f t="shared" si="88"/>
        <v>InAkun Piutang</v>
      </c>
      <c r="Q199" s="34" t="str">
        <f t="shared" si="89"/>
        <v>inMarchAkun Piutang</v>
      </c>
      <c r="R199" s="34" t="str">
        <f t="shared" si="60"/>
        <v>Bank</v>
      </c>
      <c r="S199" s="34" t="str">
        <f t="shared" si="61"/>
        <v>Akun Piutang</v>
      </c>
      <c r="T199" s="34">
        <f t="shared" si="63"/>
        <v>0</v>
      </c>
      <c r="U199" s="34" t="str">
        <f>IF(AND(L199=1,bp_kode=T199,T199&lt;&gt;""),COUNTIF($T$8:T199,T199),"")</f>
        <v/>
      </c>
      <c r="V199" s="34" t="str">
        <f t="shared" si="64"/>
        <v/>
      </c>
      <c r="W199" s="34" t="str">
        <f t="shared" si="65"/>
        <v/>
      </c>
      <c r="X199" s="34" t="str">
        <f>IF(B199="","",COUNTIF($C$8:C199,C199)&amp;C199)</f>
        <v>0</v>
      </c>
    </row>
    <row r="200" spans="2:24" ht="23.1" customHeight="1">
      <c r="B200" s="31">
        <v>44651</v>
      </c>
      <c r="C200" s="9"/>
      <c r="D200" s="9" t="s">
        <v>687</v>
      </c>
      <c r="E200" s="7"/>
      <c r="F200" s="7"/>
      <c r="G200" s="7"/>
      <c r="H200" s="7" t="s">
        <v>579</v>
      </c>
      <c r="I200" s="7" t="s">
        <v>569</v>
      </c>
      <c r="J200" s="39">
        <v>436507.17</v>
      </c>
      <c r="L200" s="16">
        <f t="shared" si="86"/>
        <v>1</v>
      </c>
      <c r="M200" s="16" t="str">
        <f t="shared" ref="M200:M267" si="96">IF(B200="","",TEXT(B200,"mmmm"))</f>
        <v>March</v>
      </c>
      <c r="N200" s="16" t="str">
        <f t="shared" si="87"/>
        <v/>
      </c>
      <c r="O200" s="16" t="str">
        <f>IF(N200="","",COUNTIF($N$8:N200,N200))</f>
        <v/>
      </c>
      <c r="P200" s="34" t="str">
        <f t="shared" si="88"/>
        <v>InPendapatan Lainnya</v>
      </c>
      <c r="Q200" s="34" t="str">
        <f t="shared" si="89"/>
        <v>inMarchPendapatan Lainnya</v>
      </c>
      <c r="R200" s="34" t="str">
        <f t="shared" ref="R200:R266" si="97">IFERROR(INDEX(akun_type,MATCH(H200,akun_kb,0)),"")</f>
        <v>Bank</v>
      </c>
      <c r="S200" s="34" t="str">
        <f t="shared" ref="S200:S266" si="98">IFERROR(INDEX(akun_type,MATCH(I200,akun_kb,0)),"")</f>
        <v>Pendapatan Lainnya</v>
      </c>
      <c r="T200" s="34" t="str">
        <f t="shared" ref="T200:T267" si="99">IF(AND(L200=1,OR(R200="Akun Piutang",R200="akun hutang",S200="akun piutang",S200="akun hutang")),E200,"")</f>
        <v/>
      </c>
      <c r="U200" s="34" t="str">
        <f>IF(AND(L200=1,bp_kode=T200,T200&lt;&gt;""),COUNTIF($T$8:T200,T200),"")</f>
        <v/>
      </c>
      <c r="V200" s="34" t="str">
        <f t="shared" ref="V200:V267" si="100">IF(OR(R200="Pendapatan",R200="Pendapatan Lainnya",R200="Beban",R200="Harga Pokok Penjualan",R200="Beban Lainnya"),"db"&amp;F200,IF(OR(S200="Pendapatan",S200="Pendapatan Lainnya",S200="Beban",S200="Harga Pokok Penjualan",S200="Beban Lainnya"),"kr"&amp;F200,""))</f>
        <v>kr</v>
      </c>
      <c r="W200" s="34" t="str">
        <f t="shared" ref="W200:W267" si="101">IF(OR(R200="Pendapatan",R200="Pendapatan Lainnya",R200="Beban",R200="Harga Pokok Penjualan",R200="Beban Lainnya"),"db"&amp;G200,IF(OR(S200="Pendapatan",S200="Pendapatan Lainnya",S200="Beban",S200="Harga Pokok Penjualan",S200="Beban Lainnya"),"kr"&amp;G200,""))</f>
        <v>kr</v>
      </c>
      <c r="X200" s="34" t="str">
        <f>IF(B200="","",COUNTIF($C$8:C200,C200)&amp;C200)</f>
        <v>0</v>
      </c>
    </row>
    <row r="201" spans="2:24" ht="23.1" customHeight="1">
      <c r="B201" s="31">
        <v>44651</v>
      </c>
      <c r="C201" s="9"/>
      <c r="D201" s="9" t="s">
        <v>689</v>
      </c>
      <c r="E201" s="7"/>
      <c r="F201" s="7"/>
      <c r="G201" s="7"/>
      <c r="H201" s="7" t="s">
        <v>640</v>
      </c>
      <c r="I201" s="7" t="s">
        <v>579</v>
      </c>
      <c r="J201" s="39">
        <v>25000</v>
      </c>
      <c r="L201" s="16">
        <f t="shared" si="86"/>
        <v>1</v>
      </c>
      <c r="M201" s="16" t="str">
        <f t="shared" si="96"/>
        <v>March</v>
      </c>
      <c r="N201" s="16" t="str">
        <f t="shared" si="87"/>
        <v/>
      </c>
      <c r="O201" s="16" t="str">
        <f>IF(N201="","",COUNTIF($N$8:N201,N201))</f>
        <v/>
      </c>
      <c r="P201" s="34" t="str">
        <f t="shared" si="88"/>
        <v>outBeban Lainnya</v>
      </c>
      <c r="Q201" s="34" t="str">
        <f t="shared" si="89"/>
        <v>outMarchBeban Lainnya</v>
      </c>
      <c r="R201" s="34" t="str">
        <f t="shared" si="97"/>
        <v>Beban Lainnya</v>
      </c>
      <c r="S201" s="34" t="str">
        <f t="shared" si="98"/>
        <v>Bank</v>
      </c>
      <c r="T201" s="34" t="str">
        <f t="shared" si="99"/>
        <v/>
      </c>
      <c r="U201" s="34" t="str">
        <f>IF(AND(L201=1,bp_kode=T201,T201&lt;&gt;""),COUNTIF($T$8:T201,T201),"")</f>
        <v/>
      </c>
      <c r="V201" s="34" t="str">
        <f t="shared" si="100"/>
        <v>db</v>
      </c>
      <c r="W201" s="34" t="str">
        <f t="shared" si="101"/>
        <v>db</v>
      </c>
      <c r="X201" s="34" t="str">
        <f>IF(B201="","",COUNTIF($C$8:C201,C201)&amp;C201)</f>
        <v>0</v>
      </c>
    </row>
    <row r="202" spans="2:24" ht="23.1" customHeight="1">
      <c r="B202" s="31">
        <v>44651</v>
      </c>
      <c r="C202" s="9"/>
      <c r="D202" s="9" t="s">
        <v>573</v>
      </c>
      <c r="E202" s="7"/>
      <c r="F202" s="7"/>
      <c r="G202" s="7"/>
      <c r="H202" s="7" t="s">
        <v>579</v>
      </c>
      <c r="I202" s="7" t="s">
        <v>559</v>
      </c>
      <c r="J202" s="39">
        <v>282408300</v>
      </c>
      <c r="L202" s="16">
        <f t="shared" si="86"/>
        <v>1</v>
      </c>
      <c r="M202" s="16" t="str">
        <f t="shared" si="96"/>
        <v>March</v>
      </c>
      <c r="N202" s="16" t="str">
        <f t="shared" si="87"/>
        <v/>
      </c>
      <c r="O202" s="16" t="str">
        <f>IF(N202="","",COUNTIF($N$8:N202,N202))</f>
        <v/>
      </c>
      <c r="P202" s="34" t="str">
        <f t="shared" si="88"/>
        <v>InAkun Piutang</v>
      </c>
      <c r="Q202" s="34" t="str">
        <f t="shared" si="89"/>
        <v>inMarchAkun Piutang</v>
      </c>
      <c r="R202" s="34" t="str">
        <f t="shared" si="97"/>
        <v>Bank</v>
      </c>
      <c r="S202" s="34" t="str">
        <f t="shared" si="98"/>
        <v>Akun Piutang</v>
      </c>
      <c r="T202" s="34">
        <f t="shared" si="99"/>
        <v>0</v>
      </c>
      <c r="U202" s="34" t="str">
        <f>IF(AND(L202=1,bp_kode=T202,T202&lt;&gt;""),COUNTIF($T$8:T202,T202),"")</f>
        <v/>
      </c>
      <c r="V202" s="34" t="str">
        <f t="shared" si="100"/>
        <v/>
      </c>
      <c r="W202" s="34" t="str">
        <f t="shared" si="101"/>
        <v/>
      </c>
      <c r="X202" s="34" t="str">
        <f>IF(B202="","",COUNTIF($C$8:C202,C202)&amp;C202)</f>
        <v>0</v>
      </c>
    </row>
    <row r="203" spans="2:24" ht="23.1" customHeight="1">
      <c r="B203" s="31">
        <v>44651</v>
      </c>
      <c r="C203" s="9"/>
      <c r="D203" s="9" t="s">
        <v>581</v>
      </c>
      <c r="E203" s="7"/>
      <c r="F203" s="7"/>
      <c r="G203" s="7"/>
      <c r="H203" s="7" t="s">
        <v>582</v>
      </c>
      <c r="I203" s="7" t="s">
        <v>579</v>
      </c>
      <c r="J203" s="39">
        <v>263399543</v>
      </c>
      <c r="L203" s="16">
        <f t="shared" si="86"/>
        <v>1</v>
      </c>
      <c r="M203" s="16" t="str">
        <f t="shared" si="96"/>
        <v>March</v>
      </c>
      <c r="N203" s="16" t="str">
        <f t="shared" si="87"/>
        <v/>
      </c>
      <c r="O203" s="16" t="str">
        <f>IF(N203="","",COUNTIF($N$8:N203,N203))</f>
        <v/>
      </c>
      <c r="P203" s="34" t="str">
        <f t="shared" si="88"/>
        <v>InBank</v>
      </c>
      <c r="Q203" s="34" t="str">
        <f t="shared" si="89"/>
        <v>inMarchBank</v>
      </c>
      <c r="R203" s="34" t="str">
        <f t="shared" si="97"/>
        <v>Kas</v>
      </c>
      <c r="S203" s="34" t="str">
        <f t="shared" si="98"/>
        <v>Bank</v>
      </c>
      <c r="T203" s="34" t="str">
        <f t="shared" si="99"/>
        <v/>
      </c>
      <c r="U203" s="34" t="str">
        <f>IF(AND(L203=1,bp_kode=T203,T203&lt;&gt;""),COUNTIF($T$8:T203,T203),"")</f>
        <v/>
      </c>
      <c r="V203" s="34" t="str">
        <f t="shared" si="100"/>
        <v/>
      </c>
      <c r="W203" s="34" t="str">
        <f t="shared" si="101"/>
        <v/>
      </c>
      <c r="X203" s="34" t="str">
        <f>IF(B203="","",COUNTIF($C$8:C203,C203)&amp;C203)</f>
        <v>0</v>
      </c>
    </row>
    <row r="204" spans="2:24" ht="23.1" customHeight="1">
      <c r="B204" s="31">
        <v>44651</v>
      </c>
      <c r="C204" s="9"/>
      <c r="D204" s="9" t="s">
        <v>584</v>
      </c>
      <c r="E204" s="7"/>
      <c r="F204" s="7"/>
      <c r="G204" s="7"/>
      <c r="H204" s="7" t="s">
        <v>583</v>
      </c>
      <c r="I204" s="7" t="s">
        <v>561</v>
      </c>
      <c r="J204" s="39">
        <v>169100000</v>
      </c>
      <c r="L204" s="16">
        <f t="shared" si="86"/>
        <v>1</v>
      </c>
      <c r="M204" s="16" t="str">
        <f t="shared" si="96"/>
        <v>March</v>
      </c>
      <c r="N204" s="16" t="str">
        <f t="shared" si="87"/>
        <v/>
      </c>
      <c r="O204" s="16" t="str">
        <f>IF(N204="","",COUNTIF($N$8:N204,N204))</f>
        <v/>
      </c>
      <c r="P204" s="34" t="str">
        <f t="shared" si="88"/>
        <v>InAkun Piutang</v>
      </c>
      <c r="Q204" s="34" t="str">
        <f t="shared" si="89"/>
        <v>inMarchAkun Piutang</v>
      </c>
      <c r="R204" s="34" t="str">
        <f t="shared" si="97"/>
        <v>Bank</v>
      </c>
      <c r="S204" s="34" t="str">
        <f t="shared" si="98"/>
        <v>Akun Piutang</v>
      </c>
      <c r="T204" s="34">
        <f t="shared" si="99"/>
        <v>0</v>
      </c>
      <c r="U204" s="34" t="str">
        <f>IF(AND(L204=1,bp_kode=T204,T204&lt;&gt;""),COUNTIF($T$8:T204,T204),"")</f>
        <v/>
      </c>
      <c r="V204" s="34" t="str">
        <f t="shared" si="100"/>
        <v/>
      </c>
      <c r="W204" s="34" t="str">
        <f t="shared" si="101"/>
        <v/>
      </c>
      <c r="X204" s="34" t="str">
        <f>IF(B204="","",COUNTIF($C$8:C204,C204)&amp;C204)</f>
        <v>0</v>
      </c>
    </row>
    <row r="205" spans="2:24" ht="23.1" customHeight="1">
      <c r="B205" s="31">
        <v>44651</v>
      </c>
      <c r="C205" s="9"/>
      <c r="D205" s="9" t="s">
        <v>690</v>
      </c>
      <c r="E205" s="7"/>
      <c r="F205" s="7"/>
      <c r="G205" s="7"/>
      <c r="H205" s="7" t="s">
        <v>583</v>
      </c>
      <c r="I205" s="7" t="s">
        <v>551</v>
      </c>
      <c r="J205" s="39">
        <v>700000</v>
      </c>
      <c r="L205" s="16">
        <f t="shared" si="86"/>
        <v>1</v>
      </c>
      <c r="M205" s="16" t="str">
        <f t="shared" si="96"/>
        <v>March</v>
      </c>
      <c r="N205" s="16" t="str">
        <f t="shared" si="87"/>
        <v/>
      </c>
      <c r="O205" s="16" t="str">
        <f>IF(N205="","",COUNTIF($N$8:N205,N205))</f>
        <v/>
      </c>
      <c r="P205" s="34" t="str">
        <f t="shared" si="88"/>
        <v>InAkun Piutang</v>
      </c>
      <c r="Q205" s="34" t="str">
        <f t="shared" si="89"/>
        <v>inMarchAkun Piutang</v>
      </c>
      <c r="R205" s="34" t="str">
        <f t="shared" si="97"/>
        <v>Bank</v>
      </c>
      <c r="S205" s="34" t="str">
        <f t="shared" si="98"/>
        <v>Akun Piutang</v>
      </c>
      <c r="T205" s="34">
        <f t="shared" si="99"/>
        <v>0</v>
      </c>
      <c r="U205" s="34" t="str">
        <f>IF(AND(L205=1,bp_kode=T205,T205&lt;&gt;""),COUNTIF($T$8:T205,T205),"")</f>
        <v/>
      </c>
      <c r="V205" s="34" t="str">
        <f t="shared" si="100"/>
        <v/>
      </c>
      <c r="W205" s="34" t="str">
        <f t="shared" si="101"/>
        <v/>
      </c>
      <c r="X205" s="34" t="str">
        <f>IF(B205="","",COUNTIF($C$8:C205,C205)&amp;C205)</f>
        <v>0</v>
      </c>
    </row>
    <row r="206" spans="2:24" ht="23.1" customHeight="1">
      <c r="B206" s="31">
        <v>44651</v>
      </c>
      <c r="C206" s="9"/>
      <c r="D206" s="9" t="s">
        <v>573</v>
      </c>
      <c r="E206" s="7"/>
      <c r="F206" s="7"/>
      <c r="G206" s="7"/>
      <c r="H206" s="7" t="s">
        <v>583</v>
      </c>
      <c r="I206" s="7" t="s">
        <v>559</v>
      </c>
      <c r="J206" s="39">
        <v>5900000</v>
      </c>
      <c r="L206" s="16">
        <f t="shared" si="86"/>
        <v>1</v>
      </c>
      <c r="M206" s="16" t="str">
        <f t="shared" si="96"/>
        <v>March</v>
      </c>
      <c r="N206" s="16" t="str">
        <f t="shared" si="87"/>
        <v/>
      </c>
      <c r="O206" s="16" t="str">
        <f>IF(N206="","",COUNTIF($N$8:N206,N206))</f>
        <v/>
      </c>
      <c r="P206" s="34" t="str">
        <f t="shared" si="88"/>
        <v>InAkun Piutang</v>
      </c>
      <c r="Q206" s="34" t="str">
        <f t="shared" si="89"/>
        <v>inMarchAkun Piutang</v>
      </c>
      <c r="R206" s="34" t="str">
        <f t="shared" si="97"/>
        <v>Bank</v>
      </c>
      <c r="S206" s="34" t="str">
        <f t="shared" si="98"/>
        <v>Akun Piutang</v>
      </c>
      <c r="T206" s="34">
        <f t="shared" si="99"/>
        <v>0</v>
      </c>
      <c r="U206" s="34" t="str">
        <f>IF(AND(L206=1,bp_kode=T206,T206&lt;&gt;""),COUNTIF($T$8:T206,T206),"")</f>
        <v/>
      </c>
      <c r="V206" s="34" t="str">
        <f t="shared" si="100"/>
        <v/>
      </c>
      <c r="W206" s="34" t="str">
        <f t="shared" si="101"/>
        <v/>
      </c>
      <c r="X206" s="34" t="str">
        <f>IF(B206="","",COUNTIF($C$8:C206,C206)&amp;C206)</f>
        <v>0</v>
      </c>
    </row>
    <row r="207" spans="2:24" ht="23.1" customHeight="1">
      <c r="B207" s="31">
        <v>44651</v>
      </c>
      <c r="C207" s="9"/>
      <c r="D207" s="9" t="s">
        <v>687</v>
      </c>
      <c r="E207" s="7"/>
      <c r="F207" s="7"/>
      <c r="G207" s="7"/>
      <c r="H207" s="7" t="s">
        <v>583</v>
      </c>
      <c r="I207" s="7" t="s">
        <v>569</v>
      </c>
      <c r="J207" s="39">
        <v>964196.36</v>
      </c>
      <c r="L207" s="16">
        <f t="shared" si="86"/>
        <v>1</v>
      </c>
      <c r="M207" s="16" t="str">
        <f t="shared" si="96"/>
        <v>March</v>
      </c>
      <c r="N207" s="16" t="str">
        <f t="shared" si="87"/>
        <v/>
      </c>
      <c r="O207" s="16" t="str">
        <f>IF(N207="","",COUNTIF($N$8:N207,N207))</f>
        <v/>
      </c>
      <c r="P207" s="34" t="str">
        <f t="shared" si="88"/>
        <v>InPendapatan Lainnya</v>
      </c>
      <c r="Q207" s="34" t="str">
        <f t="shared" si="89"/>
        <v>inMarchPendapatan Lainnya</v>
      </c>
      <c r="R207" s="34" t="str">
        <f t="shared" si="97"/>
        <v>Bank</v>
      </c>
      <c r="S207" s="34" t="str">
        <f t="shared" si="98"/>
        <v>Pendapatan Lainnya</v>
      </c>
      <c r="T207" s="34" t="str">
        <f t="shared" si="99"/>
        <v/>
      </c>
      <c r="U207" s="34" t="str">
        <f>IF(AND(L207=1,bp_kode=T207,T207&lt;&gt;""),COUNTIF($T$8:T207,T207),"")</f>
        <v/>
      </c>
      <c r="V207" s="34" t="str">
        <f t="shared" si="100"/>
        <v>kr</v>
      </c>
      <c r="W207" s="34" t="str">
        <f t="shared" si="101"/>
        <v>kr</v>
      </c>
      <c r="X207" s="34" t="str">
        <f>IF(B207="","",COUNTIF($C$8:C207,C207)&amp;C207)</f>
        <v>0</v>
      </c>
    </row>
    <row r="208" spans="2:24" ht="23.1" customHeight="1">
      <c r="B208" s="31">
        <v>44651</v>
      </c>
      <c r="C208" s="9"/>
      <c r="D208" s="9" t="s">
        <v>570</v>
      </c>
      <c r="E208" s="7"/>
      <c r="F208" s="7"/>
      <c r="G208" s="7"/>
      <c r="H208" s="7" t="s">
        <v>571</v>
      </c>
      <c r="I208" s="7" t="s">
        <v>583</v>
      </c>
      <c r="J208" s="39">
        <v>192839.27</v>
      </c>
      <c r="L208" s="16">
        <f t="shared" si="86"/>
        <v>1</v>
      </c>
      <c r="M208" s="16" t="str">
        <f t="shared" si="96"/>
        <v>March</v>
      </c>
      <c r="N208" s="16" t="str">
        <f t="shared" si="87"/>
        <v/>
      </c>
      <c r="O208" s="16" t="str">
        <f>IF(N208="","",COUNTIF($N$8:N208,N208))</f>
        <v/>
      </c>
      <c r="P208" s="34" t="str">
        <f t="shared" si="88"/>
        <v>outBeban Lainnya</v>
      </c>
      <c r="Q208" s="34" t="str">
        <f t="shared" si="89"/>
        <v>outMarchBeban Lainnya</v>
      </c>
      <c r="R208" s="34" t="str">
        <f t="shared" si="97"/>
        <v>Beban Lainnya</v>
      </c>
      <c r="S208" s="34" t="str">
        <f t="shared" si="98"/>
        <v>Bank</v>
      </c>
      <c r="T208" s="34" t="str">
        <f t="shared" si="99"/>
        <v/>
      </c>
      <c r="U208" s="34" t="str">
        <f>IF(AND(L208=1,bp_kode=T208,T208&lt;&gt;""),COUNTIF($T$8:T208,T208),"")</f>
        <v/>
      </c>
      <c r="V208" s="34" t="str">
        <f t="shared" si="100"/>
        <v>db</v>
      </c>
      <c r="W208" s="34" t="str">
        <f t="shared" si="101"/>
        <v>db</v>
      </c>
      <c r="X208" s="34" t="str">
        <f>IF(B208="","",COUNTIF($C$8:C208,C208)&amp;C208)</f>
        <v>0</v>
      </c>
    </row>
    <row r="209" spans="2:24" ht="23.1" customHeight="1">
      <c r="B209" s="31">
        <v>44651</v>
      </c>
      <c r="C209" s="9"/>
      <c r="D209" s="9" t="s">
        <v>685</v>
      </c>
      <c r="E209" s="7"/>
      <c r="F209" s="7"/>
      <c r="G209" s="7"/>
      <c r="H209" s="7" t="s">
        <v>640</v>
      </c>
      <c r="I209" s="7" t="s">
        <v>583</v>
      </c>
      <c r="J209" s="39">
        <v>25000</v>
      </c>
      <c r="L209" s="16">
        <f t="shared" si="86"/>
        <v>1</v>
      </c>
      <c r="M209" s="16" t="str">
        <f t="shared" si="96"/>
        <v>March</v>
      </c>
      <c r="N209" s="16" t="str">
        <f t="shared" si="87"/>
        <v/>
      </c>
      <c r="O209" s="16" t="str">
        <f>IF(N209="","",COUNTIF($N$8:N209,N209))</f>
        <v/>
      </c>
      <c r="P209" s="34" t="str">
        <f t="shared" si="88"/>
        <v>outBeban Lainnya</v>
      </c>
      <c r="Q209" s="34" t="str">
        <f t="shared" si="89"/>
        <v>outMarchBeban Lainnya</v>
      </c>
      <c r="R209" s="34" t="str">
        <f t="shared" si="97"/>
        <v>Beban Lainnya</v>
      </c>
      <c r="S209" s="34" t="str">
        <f t="shared" si="98"/>
        <v>Bank</v>
      </c>
      <c r="T209" s="34" t="str">
        <f t="shared" si="99"/>
        <v/>
      </c>
      <c r="U209" s="34" t="str">
        <f>IF(AND(L209=1,bp_kode=T209,T209&lt;&gt;""),COUNTIF($T$8:T209,T209),"")</f>
        <v/>
      </c>
      <c r="V209" s="34" t="str">
        <f t="shared" si="100"/>
        <v>db</v>
      </c>
      <c r="W209" s="34" t="str">
        <f t="shared" si="101"/>
        <v>db</v>
      </c>
      <c r="X209" s="34" t="str">
        <f>IF(B209="","",COUNTIF($C$8:C209,C209)&amp;C209)</f>
        <v>0</v>
      </c>
    </row>
    <row r="210" spans="2:24" ht="23.1" customHeight="1">
      <c r="B210" s="31">
        <v>44651</v>
      </c>
      <c r="C210" s="9"/>
      <c r="D210" s="9" t="s">
        <v>576</v>
      </c>
      <c r="E210" s="7"/>
      <c r="F210" s="7"/>
      <c r="G210" s="7"/>
      <c r="H210" s="7" t="s">
        <v>585</v>
      </c>
      <c r="I210" s="7" t="s">
        <v>569</v>
      </c>
      <c r="J210" s="39">
        <v>85220.32</v>
      </c>
      <c r="L210" s="16">
        <f t="shared" si="86"/>
        <v>1</v>
      </c>
      <c r="M210" s="16" t="str">
        <f t="shared" si="96"/>
        <v>March</v>
      </c>
      <c r="N210" s="16" t="str">
        <f t="shared" si="87"/>
        <v/>
      </c>
      <c r="O210" s="16" t="str">
        <f>IF(N210="","",COUNTIF($N$8:N210,N210))</f>
        <v/>
      </c>
      <c r="P210" s="34" t="str">
        <f t="shared" si="88"/>
        <v>InPendapatan Lainnya</v>
      </c>
      <c r="Q210" s="34" t="str">
        <f t="shared" si="89"/>
        <v>inMarchPendapatan Lainnya</v>
      </c>
      <c r="R210" s="34" t="str">
        <f t="shared" si="97"/>
        <v>Bank</v>
      </c>
      <c r="S210" s="34" t="str">
        <f t="shared" si="98"/>
        <v>Pendapatan Lainnya</v>
      </c>
      <c r="T210" s="34" t="str">
        <f t="shared" si="99"/>
        <v/>
      </c>
      <c r="U210" s="34" t="str">
        <f>IF(AND(L210=1,bp_kode=T210,T210&lt;&gt;""),COUNTIF($T$8:T210,T210),"")</f>
        <v/>
      </c>
      <c r="V210" s="34" t="str">
        <f t="shared" si="100"/>
        <v>kr</v>
      </c>
      <c r="W210" s="34" t="str">
        <f t="shared" si="101"/>
        <v>kr</v>
      </c>
      <c r="X210" s="34" t="str">
        <f>IF(B210="","",COUNTIF($C$8:C210,C210)&amp;C210)</f>
        <v>0</v>
      </c>
    </row>
    <row r="211" spans="2:24" ht="23.1" customHeight="1">
      <c r="B211" s="31">
        <v>44651</v>
      </c>
      <c r="C211" s="9"/>
      <c r="D211" s="9" t="s">
        <v>570</v>
      </c>
      <c r="E211" s="7"/>
      <c r="F211" s="7"/>
      <c r="G211" s="7"/>
      <c r="H211" s="7" t="s">
        <v>571</v>
      </c>
      <c r="I211" s="7" t="s">
        <v>585</v>
      </c>
      <c r="J211" s="39">
        <v>16863.259999999998</v>
      </c>
      <c r="L211" s="16">
        <f t="shared" si="86"/>
        <v>1</v>
      </c>
      <c r="M211" s="16" t="str">
        <f t="shared" si="96"/>
        <v>March</v>
      </c>
      <c r="N211" s="16" t="str">
        <f t="shared" si="87"/>
        <v/>
      </c>
      <c r="O211" s="16" t="str">
        <f>IF(N211="","",COUNTIF($N$8:N211,N211))</f>
        <v/>
      </c>
      <c r="P211" s="34" t="str">
        <f t="shared" si="88"/>
        <v>outBeban Lainnya</v>
      </c>
      <c r="Q211" s="34" t="str">
        <f t="shared" si="89"/>
        <v>outMarchBeban Lainnya</v>
      </c>
      <c r="R211" s="34" t="str">
        <f t="shared" si="97"/>
        <v>Beban Lainnya</v>
      </c>
      <c r="S211" s="34" t="str">
        <f t="shared" si="98"/>
        <v>Bank</v>
      </c>
      <c r="T211" s="34" t="str">
        <f t="shared" si="99"/>
        <v/>
      </c>
      <c r="U211" s="34" t="str">
        <f>IF(AND(L211=1,bp_kode=T211,T211&lt;&gt;""),COUNTIF($T$8:T211,T211),"")</f>
        <v/>
      </c>
      <c r="V211" s="34" t="str">
        <f t="shared" si="100"/>
        <v>db</v>
      </c>
      <c r="W211" s="34" t="str">
        <f t="shared" si="101"/>
        <v>db</v>
      </c>
      <c r="X211" s="34" t="str">
        <f>IF(B211="","",COUNTIF($C$8:C211,C211)&amp;C211)</f>
        <v>0</v>
      </c>
    </row>
    <row r="212" spans="2:24" ht="23.1" customHeight="1">
      <c r="B212" s="31">
        <v>44651</v>
      </c>
      <c r="C212" s="9"/>
      <c r="D212" s="9" t="s">
        <v>572</v>
      </c>
      <c r="E212" s="7"/>
      <c r="F212" s="7"/>
      <c r="G212" s="7"/>
      <c r="H212" s="7" t="s">
        <v>640</v>
      </c>
      <c r="I212" s="7" t="s">
        <v>585</v>
      </c>
      <c r="J212" s="39">
        <v>25000</v>
      </c>
      <c r="L212" s="16">
        <f t="shared" si="86"/>
        <v>1</v>
      </c>
      <c r="M212" s="16" t="str">
        <f t="shared" si="96"/>
        <v>March</v>
      </c>
      <c r="N212" s="16" t="str">
        <f t="shared" si="87"/>
        <v/>
      </c>
      <c r="O212" s="16" t="str">
        <f>IF(N212="","",COUNTIF($N$8:N212,N212))</f>
        <v/>
      </c>
      <c r="P212" s="34" t="str">
        <f t="shared" si="88"/>
        <v>outBeban Lainnya</v>
      </c>
      <c r="Q212" s="34" t="str">
        <f t="shared" si="89"/>
        <v>outMarchBeban Lainnya</v>
      </c>
      <c r="R212" s="34" t="str">
        <f t="shared" si="97"/>
        <v>Beban Lainnya</v>
      </c>
      <c r="S212" s="34" t="str">
        <f t="shared" si="98"/>
        <v>Bank</v>
      </c>
      <c r="T212" s="34" t="str">
        <f t="shared" si="99"/>
        <v/>
      </c>
      <c r="U212" s="34" t="str">
        <f>IF(AND(L212=1,bp_kode=T212,T212&lt;&gt;""),COUNTIF($T$8:T212,T212),"")</f>
        <v/>
      </c>
      <c r="V212" s="34" t="str">
        <f t="shared" si="100"/>
        <v>db</v>
      </c>
      <c r="W212" s="34" t="str">
        <f t="shared" si="101"/>
        <v>db</v>
      </c>
      <c r="X212" s="34" t="str">
        <f>IF(B212="","",COUNTIF($C$8:C212,C212)&amp;C212)</f>
        <v>0</v>
      </c>
    </row>
    <row r="213" spans="2:24" ht="23.1" customHeight="1">
      <c r="B213" s="31">
        <v>44651</v>
      </c>
      <c r="C213" s="9"/>
      <c r="D213" s="9" t="s">
        <v>578</v>
      </c>
      <c r="E213" s="7"/>
      <c r="F213" s="7"/>
      <c r="G213" s="7"/>
      <c r="H213" s="7" t="s">
        <v>640</v>
      </c>
      <c r="I213" s="7" t="s">
        <v>585</v>
      </c>
      <c r="J213" s="39">
        <v>10000</v>
      </c>
      <c r="L213" s="16">
        <f t="shared" si="86"/>
        <v>1</v>
      </c>
      <c r="M213" s="16" t="str">
        <f t="shared" si="96"/>
        <v>March</v>
      </c>
      <c r="N213" s="16" t="str">
        <f t="shared" si="87"/>
        <v/>
      </c>
      <c r="O213" s="16" t="str">
        <f>IF(N213="","",COUNTIF($N$8:N213,N213))</f>
        <v/>
      </c>
      <c r="P213" s="34" t="str">
        <f t="shared" si="88"/>
        <v>outBeban Lainnya</v>
      </c>
      <c r="Q213" s="34" t="str">
        <f t="shared" si="89"/>
        <v>outMarchBeban Lainnya</v>
      </c>
      <c r="R213" s="34" t="str">
        <f t="shared" si="97"/>
        <v>Beban Lainnya</v>
      </c>
      <c r="S213" s="34" t="str">
        <f t="shared" si="98"/>
        <v>Bank</v>
      </c>
      <c r="T213" s="34" t="str">
        <f t="shared" si="99"/>
        <v/>
      </c>
      <c r="U213" s="34" t="str">
        <f>IF(AND(L213=1,bp_kode=T213,T213&lt;&gt;""),COUNTIF($T$8:T213,T213),"")</f>
        <v/>
      </c>
      <c r="V213" s="34" t="str">
        <f t="shared" si="100"/>
        <v>db</v>
      </c>
      <c r="W213" s="34" t="str">
        <f t="shared" si="101"/>
        <v>db</v>
      </c>
      <c r="X213" s="34" t="str">
        <f>IF(B213="","",COUNTIF($C$8:C213,C213)&amp;C213)</f>
        <v>0</v>
      </c>
    </row>
    <row r="214" spans="2:24" ht="23.1" customHeight="1">
      <c r="B214" s="31">
        <v>44651</v>
      </c>
      <c r="C214" s="9"/>
      <c r="D214" s="9" t="s">
        <v>572</v>
      </c>
      <c r="E214" s="7"/>
      <c r="F214" s="7"/>
      <c r="G214" s="7"/>
      <c r="H214" s="7" t="s">
        <v>640</v>
      </c>
      <c r="I214" s="7" t="s">
        <v>586</v>
      </c>
      <c r="J214" s="39">
        <v>36500</v>
      </c>
      <c r="L214" s="16">
        <f t="shared" si="86"/>
        <v>1</v>
      </c>
      <c r="M214" s="16" t="str">
        <f t="shared" si="96"/>
        <v>March</v>
      </c>
      <c r="N214" s="16" t="str">
        <f t="shared" si="87"/>
        <v/>
      </c>
      <c r="O214" s="16" t="str">
        <f>IF(N214="","",COUNTIF($N$8:N214,N214))</f>
        <v/>
      </c>
      <c r="P214" s="34" t="str">
        <f t="shared" si="88"/>
        <v>outBeban Lainnya</v>
      </c>
      <c r="Q214" s="34" t="str">
        <f t="shared" si="89"/>
        <v>outMarchBeban Lainnya</v>
      </c>
      <c r="R214" s="34" t="str">
        <f t="shared" si="97"/>
        <v>Beban Lainnya</v>
      </c>
      <c r="S214" s="34" t="str">
        <f t="shared" si="98"/>
        <v>Bank</v>
      </c>
      <c r="T214" s="34" t="str">
        <f t="shared" si="99"/>
        <v/>
      </c>
      <c r="U214" s="34" t="str">
        <f>IF(AND(L214=1,bp_kode=T214,T214&lt;&gt;""),COUNTIF($T$8:T214,T214),"")</f>
        <v/>
      </c>
      <c r="V214" s="34" t="str">
        <f t="shared" si="100"/>
        <v>db</v>
      </c>
      <c r="W214" s="34" t="str">
        <f t="shared" si="101"/>
        <v>db</v>
      </c>
      <c r="X214" s="34" t="str">
        <f>IF(B214="","",COUNTIF($C$8:C214,C214)&amp;C214)</f>
        <v>0</v>
      </c>
    </row>
    <row r="215" spans="2:24" ht="23.1" customHeight="1">
      <c r="B215" s="31">
        <v>44651</v>
      </c>
      <c r="C215" s="9"/>
      <c r="D215" s="9" t="s">
        <v>573</v>
      </c>
      <c r="E215" s="7"/>
      <c r="F215" s="7"/>
      <c r="G215" s="7"/>
      <c r="H215" s="7" t="s">
        <v>586</v>
      </c>
      <c r="I215" s="7" t="s">
        <v>559</v>
      </c>
      <c r="J215" s="39">
        <v>13493500</v>
      </c>
      <c r="L215" s="16">
        <f t="shared" si="86"/>
        <v>1</v>
      </c>
      <c r="M215" s="16" t="str">
        <f t="shared" si="96"/>
        <v>March</v>
      </c>
      <c r="N215" s="16" t="str">
        <f t="shared" si="87"/>
        <v/>
      </c>
      <c r="O215" s="16" t="str">
        <f>IF(N215="","",COUNTIF($N$8:N215,N215))</f>
        <v/>
      </c>
      <c r="P215" s="34" t="str">
        <f t="shared" si="88"/>
        <v>InAkun Piutang</v>
      </c>
      <c r="Q215" s="34" t="str">
        <f t="shared" si="89"/>
        <v>inMarchAkun Piutang</v>
      </c>
      <c r="R215" s="34" t="str">
        <f t="shared" si="97"/>
        <v>Bank</v>
      </c>
      <c r="S215" s="34" t="str">
        <f t="shared" si="98"/>
        <v>Akun Piutang</v>
      </c>
      <c r="T215" s="34">
        <f t="shared" si="99"/>
        <v>0</v>
      </c>
      <c r="U215" s="34" t="str">
        <f>IF(AND(L215=1,bp_kode=T215,T215&lt;&gt;""),COUNTIF($T$8:T215,T215),"")</f>
        <v/>
      </c>
      <c r="V215" s="34" t="str">
        <f t="shared" si="100"/>
        <v/>
      </c>
      <c r="W215" s="34" t="str">
        <f t="shared" si="101"/>
        <v/>
      </c>
      <c r="X215" s="34" t="str">
        <f>IF(B215="","",COUNTIF($C$8:C215,C215)&amp;C215)</f>
        <v>0</v>
      </c>
    </row>
    <row r="216" spans="2:24" ht="23.1" customHeight="1">
      <c r="B216" s="31">
        <v>44651</v>
      </c>
      <c r="C216" s="9"/>
      <c r="D216" s="9" t="s">
        <v>698</v>
      </c>
      <c r="E216" s="7"/>
      <c r="F216" s="7"/>
      <c r="G216" s="7"/>
      <c r="H216" s="7" t="s">
        <v>554</v>
      </c>
      <c r="I216" s="7" t="s">
        <v>587</v>
      </c>
      <c r="J216" s="39">
        <v>4238000</v>
      </c>
      <c r="L216" s="16">
        <f t="shared" si="86"/>
        <v>1</v>
      </c>
      <c r="M216" s="16" t="str">
        <f t="shared" si="96"/>
        <v>March</v>
      </c>
      <c r="N216" s="16" t="str">
        <f t="shared" si="87"/>
        <v/>
      </c>
      <c r="O216" s="16" t="str">
        <f>IF(N216="","",COUNTIF($N$8:N216,N216))</f>
        <v/>
      </c>
      <c r="P216" s="34" t="str">
        <f t="shared" si="88"/>
        <v>InAkun Piutang</v>
      </c>
      <c r="Q216" s="34" t="str">
        <f t="shared" si="89"/>
        <v>inMarchAkun Piutang</v>
      </c>
      <c r="R216" s="34" t="str">
        <f t="shared" si="97"/>
        <v>Kas</v>
      </c>
      <c r="S216" s="34" t="str">
        <f t="shared" si="98"/>
        <v>Akun Piutang</v>
      </c>
      <c r="T216" s="34">
        <f t="shared" si="99"/>
        <v>0</v>
      </c>
      <c r="U216" s="34" t="str">
        <f>IF(AND(L216=1,bp_kode=T216,T216&lt;&gt;""),COUNTIF($T$8:T216,T216),"")</f>
        <v/>
      </c>
      <c r="V216" s="34" t="str">
        <f t="shared" si="100"/>
        <v/>
      </c>
      <c r="W216" s="34" t="str">
        <f t="shared" si="101"/>
        <v/>
      </c>
      <c r="X216" s="34" t="str">
        <f>IF(B216="","",COUNTIF($C$8:C216,C216)&amp;C216)</f>
        <v>0</v>
      </c>
    </row>
    <row r="217" spans="2:24" ht="23.1" customHeight="1">
      <c r="B217" s="31">
        <v>44651</v>
      </c>
      <c r="C217" s="9"/>
      <c r="D217" s="9" t="s">
        <v>588</v>
      </c>
      <c r="E217" s="7"/>
      <c r="F217" s="7"/>
      <c r="G217" s="7"/>
      <c r="H217" s="7" t="s">
        <v>554</v>
      </c>
      <c r="I217" s="7" t="s">
        <v>561</v>
      </c>
      <c r="J217" s="39">
        <v>11786000</v>
      </c>
      <c r="L217" s="16">
        <f t="shared" si="86"/>
        <v>1</v>
      </c>
      <c r="M217" s="16" t="str">
        <f t="shared" si="96"/>
        <v>March</v>
      </c>
      <c r="N217" s="16" t="str">
        <f t="shared" si="87"/>
        <v/>
      </c>
      <c r="O217" s="16" t="str">
        <f>IF(N217="","",COUNTIF($N$8:N217,N217))</f>
        <v/>
      </c>
      <c r="P217" s="34" t="str">
        <f t="shared" si="88"/>
        <v>InAkun Piutang</v>
      </c>
      <c r="Q217" s="34" t="str">
        <f t="shared" si="89"/>
        <v>inMarchAkun Piutang</v>
      </c>
      <c r="R217" s="34" t="str">
        <f t="shared" si="97"/>
        <v>Kas</v>
      </c>
      <c r="S217" s="34" t="str">
        <f t="shared" si="98"/>
        <v>Akun Piutang</v>
      </c>
      <c r="T217" s="34">
        <f t="shared" si="99"/>
        <v>0</v>
      </c>
      <c r="U217" s="34" t="str">
        <f>IF(AND(L217=1,bp_kode=T217,T217&lt;&gt;""),COUNTIF($T$8:T217,T217),"")</f>
        <v/>
      </c>
      <c r="V217" s="34" t="str">
        <f t="shared" si="100"/>
        <v/>
      </c>
      <c r="W217" s="34" t="str">
        <f t="shared" si="101"/>
        <v/>
      </c>
      <c r="X217" s="34" t="str">
        <f>IF(B217="","",COUNTIF($C$8:C217,C217)&amp;C217)</f>
        <v>0</v>
      </c>
    </row>
    <row r="218" spans="2:24" ht="23.1" customHeight="1">
      <c r="B218" s="31">
        <v>44651</v>
      </c>
      <c r="C218" s="9"/>
      <c r="D218" s="9" t="s">
        <v>589</v>
      </c>
      <c r="E218" s="7"/>
      <c r="F218" s="7"/>
      <c r="G218" s="7"/>
      <c r="H218" s="7" t="s">
        <v>554</v>
      </c>
      <c r="I218" s="7" t="s">
        <v>551</v>
      </c>
      <c r="J218" s="39">
        <v>444615000</v>
      </c>
      <c r="L218" s="16">
        <f t="shared" si="86"/>
        <v>1</v>
      </c>
      <c r="M218" s="16" t="str">
        <f t="shared" si="96"/>
        <v>March</v>
      </c>
      <c r="N218" s="16" t="str">
        <f t="shared" si="87"/>
        <v/>
      </c>
      <c r="O218" s="16" t="str">
        <f>IF(N218="","",COUNTIF($N$8:N218,N218))</f>
        <v/>
      </c>
      <c r="P218" s="34" t="str">
        <f t="shared" si="88"/>
        <v>InAkun Piutang</v>
      </c>
      <c r="Q218" s="34" t="str">
        <f t="shared" si="89"/>
        <v>inMarchAkun Piutang</v>
      </c>
      <c r="R218" s="34" t="str">
        <f t="shared" si="97"/>
        <v>Kas</v>
      </c>
      <c r="S218" s="34" t="str">
        <f t="shared" si="98"/>
        <v>Akun Piutang</v>
      </c>
      <c r="T218" s="34">
        <f t="shared" si="99"/>
        <v>0</v>
      </c>
      <c r="U218" s="34" t="str">
        <f>IF(AND(L218=1,bp_kode=T218,T218&lt;&gt;""),COUNTIF($T$8:T218,T218),"")</f>
        <v/>
      </c>
      <c r="V218" s="34" t="str">
        <f t="shared" si="100"/>
        <v/>
      </c>
      <c r="W218" s="34" t="str">
        <f t="shared" si="101"/>
        <v/>
      </c>
      <c r="X218" s="34" t="str">
        <f>IF(B218="","",COUNTIF($C$8:C218,C218)&amp;C218)</f>
        <v>0</v>
      </c>
    </row>
    <row r="219" spans="2:24" ht="23.1" customHeight="1">
      <c r="B219" s="31">
        <v>44651</v>
      </c>
      <c r="C219" s="9"/>
      <c r="D219" s="9" t="s">
        <v>590</v>
      </c>
      <c r="E219" s="7"/>
      <c r="F219" s="7"/>
      <c r="G219" s="7"/>
      <c r="H219" s="7" t="s">
        <v>586</v>
      </c>
      <c r="I219" s="7" t="s">
        <v>554</v>
      </c>
      <c r="J219" s="39">
        <v>706222500</v>
      </c>
      <c r="L219" s="16">
        <f t="shared" si="86"/>
        <v>1</v>
      </c>
      <c r="M219" s="16" t="str">
        <f t="shared" si="96"/>
        <v>March</v>
      </c>
      <c r="N219" s="16" t="str">
        <f t="shared" si="87"/>
        <v/>
      </c>
      <c r="O219" s="16" t="str">
        <f>IF(N219="","",COUNTIF($N$8:N219,N219))</f>
        <v/>
      </c>
      <c r="P219" s="34" t="str">
        <f t="shared" si="88"/>
        <v>InKas</v>
      </c>
      <c r="Q219" s="34" t="str">
        <f t="shared" si="89"/>
        <v>inMarchKas</v>
      </c>
      <c r="R219" s="34" t="str">
        <f t="shared" si="97"/>
        <v>Bank</v>
      </c>
      <c r="S219" s="34" t="str">
        <f t="shared" si="98"/>
        <v>Kas</v>
      </c>
      <c r="T219" s="34" t="str">
        <f t="shared" si="99"/>
        <v/>
      </c>
      <c r="U219" s="34" t="str">
        <f>IF(AND(L219=1,bp_kode=T219,T219&lt;&gt;""),COUNTIF($T$8:T219,T219),"")</f>
        <v/>
      </c>
      <c r="V219" s="34" t="str">
        <f t="shared" si="100"/>
        <v/>
      </c>
      <c r="W219" s="34" t="str">
        <f t="shared" si="101"/>
        <v/>
      </c>
      <c r="X219" s="34" t="str">
        <f>IF(B219="","",COUNTIF($C$8:C219,C219)&amp;C219)</f>
        <v>0</v>
      </c>
    </row>
    <row r="220" spans="2:24" ht="23.1" customHeight="1">
      <c r="B220" s="31">
        <v>44651</v>
      </c>
      <c r="C220" s="9"/>
      <c r="D220" s="9" t="s">
        <v>591</v>
      </c>
      <c r="E220" s="7"/>
      <c r="F220" s="7"/>
      <c r="G220" s="7"/>
      <c r="H220" s="7" t="s">
        <v>582</v>
      </c>
      <c r="I220" s="7" t="s">
        <v>586</v>
      </c>
      <c r="J220" s="39">
        <v>532779733</v>
      </c>
      <c r="L220" s="16">
        <f t="shared" si="86"/>
        <v>1</v>
      </c>
      <c r="M220" s="16" t="str">
        <f t="shared" si="96"/>
        <v>March</v>
      </c>
      <c r="N220" s="16" t="str">
        <f t="shared" si="87"/>
        <v/>
      </c>
      <c r="O220" s="16" t="str">
        <f>IF(N220="","",COUNTIF($N$8:N220,N220))</f>
        <v/>
      </c>
      <c r="P220" s="34" t="str">
        <f t="shared" si="88"/>
        <v>InBank</v>
      </c>
      <c r="Q220" s="34" t="str">
        <f t="shared" si="89"/>
        <v>inMarchBank</v>
      </c>
      <c r="R220" s="34" t="str">
        <f t="shared" si="97"/>
        <v>Kas</v>
      </c>
      <c r="S220" s="34" t="str">
        <f t="shared" si="98"/>
        <v>Bank</v>
      </c>
      <c r="T220" s="34" t="str">
        <f t="shared" si="99"/>
        <v/>
      </c>
      <c r="U220" s="34" t="str">
        <f>IF(AND(L220=1,bp_kode=T220,T220&lt;&gt;""),COUNTIF($T$8:T220,T220),"")</f>
        <v/>
      </c>
      <c r="V220" s="34" t="str">
        <f t="shared" si="100"/>
        <v/>
      </c>
      <c r="W220" s="34" t="str">
        <f t="shared" si="101"/>
        <v/>
      </c>
      <c r="X220" s="34" t="str">
        <f>IF(B220="","",COUNTIF($C$8:C220,C220)&amp;C220)</f>
        <v>0</v>
      </c>
    </row>
    <row r="221" spans="2:24" ht="23.1" customHeight="1">
      <c r="B221" s="31">
        <v>44651</v>
      </c>
      <c r="C221" s="9"/>
      <c r="D221" s="9" t="s">
        <v>576</v>
      </c>
      <c r="E221" s="7"/>
      <c r="F221" s="7"/>
      <c r="G221" s="7"/>
      <c r="H221" s="7" t="s">
        <v>592</v>
      </c>
      <c r="I221" s="7" t="s">
        <v>569</v>
      </c>
      <c r="J221" s="39">
        <v>4814</v>
      </c>
      <c r="L221" s="16">
        <f t="shared" si="86"/>
        <v>1</v>
      </c>
      <c r="M221" s="16" t="str">
        <f t="shared" si="96"/>
        <v>March</v>
      </c>
      <c r="N221" s="16" t="str">
        <f t="shared" si="87"/>
        <v/>
      </c>
      <c r="O221" s="16" t="str">
        <f>IF(N221="","",COUNTIF($N$8:N221,N221))</f>
        <v/>
      </c>
      <c r="P221" s="34" t="str">
        <f t="shared" si="88"/>
        <v>InPendapatan Lainnya</v>
      </c>
      <c r="Q221" s="34" t="str">
        <f t="shared" si="89"/>
        <v>inMarchPendapatan Lainnya</v>
      </c>
      <c r="R221" s="34" t="str">
        <f t="shared" si="97"/>
        <v>Bank</v>
      </c>
      <c r="S221" s="34" t="str">
        <f t="shared" si="98"/>
        <v>Pendapatan Lainnya</v>
      </c>
      <c r="T221" s="34" t="str">
        <f t="shared" si="99"/>
        <v/>
      </c>
      <c r="U221" s="34" t="str">
        <f>IF(AND(L221=1,bp_kode=T221,T221&lt;&gt;""),COUNTIF($T$8:T221,T221),"")</f>
        <v/>
      </c>
      <c r="V221" s="34" t="str">
        <f t="shared" si="100"/>
        <v>kr</v>
      </c>
      <c r="W221" s="34" t="str">
        <f t="shared" si="101"/>
        <v>kr</v>
      </c>
      <c r="X221" s="34" t="str">
        <f>IF(B221="","",COUNTIF($C$8:C221,C221)&amp;C221)</f>
        <v>0</v>
      </c>
    </row>
    <row r="222" spans="2:24" ht="23.1" customHeight="1">
      <c r="B222" s="31">
        <v>44651</v>
      </c>
      <c r="C222" s="9"/>
      <c r="D222" s="9" t="s">
        <v>570</v>
      </c>
      <c r="E222" s="7"/>
      <c r="F222" s="7"/>
      <c r="G222" s="7"/>
      <c r="H222" s="7" t="s">
        <v>571</v>
      </c>
      <c r="I222" s="7" t="s">
        <v>592</v>
      </c>
      <c r="J222" s="39">
        <v>963</v>
      </c>
      <c r="L222" s="16">
        <f t="shared" si="86"/>
        <v>1</v>
      </c>
      <c r="M222" s="16" t="str">
        <f t="shared" si="96"/>
        <v>March</v>
      </c>
      <c r="N222" s="16" t="str">
        <f t="shared" si="87"/>
        <v/>
      </c>
      <c r="O222" s="16" t="str">
        <f>IF(N222="","",COUNTIF($N$8:N222,N222))</f>
        <v/>
      </c>
      <c r="P222" s="34" t="str">
        <f t="shared" si="88"/>
        <v>outBeban Lainnya</v>
      </c>
      <c r="Q222" s="34" t="str">
        <f t="shared" si="89"/>
        <v>outMarchBeban Lainnya</v>
      </c>
      <c r="R222" s="34" t="str">
        <f t="shared" si="97"/>
        <v>Beban Lainnya</v>
      </c>
      <c r="S222" s="34" t="str">
        <f t="shared" si="98"/>
        <v>Bank</v>
      </c>
      <c r="T222" s="34" t="str">
        <f t="shared" si="99"/>
        <v/>
      </c>
      <c r="U222" s="34" t="str">
        <f>IF(AND(L222=1,bp_kode=T222,T222&lt;&gt;""),COUNTIF($T$8:T222,T222),"")</f>
        <v/>
      </c>
      <c r="V222" s="34" t="str">
        <f t="shared" si="100"/>
        <v>db</v>
      </c>
      <c r="W222" s="34" t="str">
        <f t="shared" si="101"/>
        <v>db</v>
      </c>
      <c r="X222" s="34" t="str">
        <f>IF(B222="","",COUNTIF($C$8:C222,C222)&amp;C222)</f>
        <v>0</v>
      </c>
    </row>
    <row r="223" spans="2:24" ht="23.1" customHeight="1">
      <c r="B223" s="31">
        <v>44651</v>
      </c>
      <c r="C223" s="9"/>
      <c r="D223" s="9" t="s">
        <v>699</v>
      </c>
      <c r="E223" s="7"/>
      <c r="F223" s="7"/>
      <c r="G223" s="7"/>
      <c r="H223" s="7" t="s">
        <v>640</v>
      </c>
      <c r="I223" s="7" t="s">
        <v>592</v>
      </c>
      <c r="J223" s="39">
        <v>25000</v>
      </c>
      <c r="L223" s="16">
        <f t="shared" si="86"/>
        <v>1</v>
      </c>
      <c r="M223" s="16" t="str">
        <f t="shared" si="96"/>
        <v>March</v>
      </c>
      <c r="N223" s="16" t="str">
        <f t="shared" si="87"/>
        <v/>
      </c>
      <c r="O223" s="16" t="str">
        <f>IF(N223="","",COUNTIF($N$8:N223,N223))</f>
        <v/>
      </c>
      <c r="P223" s="34" t="str">
        <f t="shared" si="88"/>
        <v>outBeban Lainnya</v>
      </c>
      <c r="Q223" s="34" t="str">
        <f t="shared" si="89"/>
        <v>outMarchBeban Lainnya</v>
      </c>
      <c r="R223" s="34" t="str">
        <f t="shared" si="97"/>
        <v>Beban Lainnya</v>
      </c>
      <c r="S223" s="34" t="str">
        <f t="shared" si="98"/>
        <v>Bank</v>
      </c>
      <c r="T223" s="34" t="str">
        <f t="shared" si="99"/>
        <v/>
      </c>
      <c r="U223" s="34" t="str">
        <f>IF(AND(L223=1,bp_kode=T223,T223&lt;&gt;""),COUNTIF($T$8:T223,T223),"")</f>
        <v/>
      </c>
      <c r="V223" s="34" t="str">
        <f t="shared" si="100"/>
        <v>db</v>
      </c>
      <c r="W223" s="34" t="str">
        <f t="shared" si="101"/>
        <v>db</v>
      </c>
      <c r="X223" s="34" t="str">
        <f>IF(B223="","",COUNTIF($C$8:C223,C223)&amp;C223)</f>
        <v>0</v>
      </c>
    </row>
    <row r="224" spans="2:24" ht="23.1" customHeight="1">
      <c r="B224" s="31">
        <v>44651</v>
      </c>
      <c r="C224" s="9"/>
      <c r="D224" s="9" t="s">
        <v>570</v>
      </c>
      <c r="E224" s="7"/>
      <c r="F224" s="7"/>
      <c r="G224" s="7"/>
      <c r="H224" s="7" t="s">
        <v>640</v>
      </c>
      <c r="I224" s="7" t="s">
        <v>593</v>
      </c>
      <c r="J224" s="39">
        <v>3597</v>
      </c>
      <c r="L224" s="16">
        <f t="shared" si="86"/>
        <v>1</v>
      </c>
      <c r="M224" s="16" t="str">
        <f t="shared" si="96"/>
        <v>March</v>
      </c>
      <c r="N224" s="16" t="str">
        <f t="shared" si="87"/>
        <v/>
      </c>
      <c r="O224" s="16" t="str">
        <f>IF(N224="","",COUNTIF($N$8:N224,N224))</f>
        <v/>
      </c>
      <c r="P224" s="34" t="str">
        <f t="shared" si="88"/>
        <v>outBeban Lainnya</v>
      </c>
      <c r="Q224" s="34" t="str">
        <f t="shared" si="89"/>
        <v>outMarchBeban Lainnya</v>
      </c>
      <c r="R224" s="34" t="str">
        <f t="shared" si="97"/>
        <v>Beban Lainnya</v>
      </c>
      <c r="S224" s="34" t="str">
        <f t="shared" si="98"/>
        <v>Bank</v>
      </c>
      <c r="T224" s="34" t="str">
        <f t="shared" si="99"/>
        <v/>
      </c>
      <c r="U224" s="34" t="str">
        <f>IF(AND(L224=1,bp_kode=T224,T224&lt;&gt;""),COUNTIF($T$8:T224,T224),"")</f>
        <v/>
      </c>
      <c r="V224" s="34" t="str">
        <f t="shared" si="100"/>
        <v>db</v>
      </c>
      <c r="W224" s="34" t="str">
        <f t="shared" si="101"/>
        <v>db</v>
      </c>
      <c r="X224" s="34" t="str">
        <f>IF(B224="","",COUNTIF($C$8:C224,C224)&amp;C224)</f>
        <v>0</v>
      </c>
    </row>
    <row r="225" spans="2:24" ht="23.1" customHeight="1">
      <c r="B225" s="31">
        <v>44651</v>
      </c>
      <c r="C225" s="9"/>
      <c r="D225" s="9" t="s">
        <v>572</v>
      </c>
      <c r="E225" s="7"/>
      <c r="F225" s="7"/>
      <c r="G225" s="7"/>
      <c r="H225" s="7" t="s">
        <v>640</v>
      </c>
      <c r="I225" s="7" t="s">
        <v>593</v>
      </c>
      <c r="J225" s="39">
        <v>36500</v>
      </c>
      <c r="L225" s="16">
        <f t="shared" si="86"/>
        <v>1</v>
      </c>
      <c r="M225" s="16" t="str">
        <f t="shared" si="96"/>
        <v>March</v>
      </c>
      <c r="N225" s="16" t="str">
        <f t="shared" si="87"/>
        <v/>
      </c>
      <c r="O225" s="16" t="str">
        <f>IF(N225="","",COUNTIF($N$8:N225,N225))</f>
        <v/>
      </c>
      <c r="P225" s="34" t="str">
        <f t="shared" si="88"/>
        <v>outBeban Lainnya</v>
      </c>
      <c r="Q225" s="34" t="str">
        <f t="shared" si="89"/>
        <v>outMarchBeban Lainnya</v>
      </c>
      <c r="R225" s="34" t="str">
        <f t="shared" si="97"/>
        <v>Beban Lainnya</v>
      </c>
      <c r="S225" s="34" t="str">
        <f t="shared" si="98"/>
        <v>Bank</v>
      </c>
      <c r="T225" s="34" t="str">
        <f t="shared" si="99"/>
        <v/>
      </c>
      <c r="U225" s="34" t="str">
        <f>IF(AND(L225=1,bp_kode=T225,T225&lt;&gt;""),COUNTIF($T$8:T225,T225),"")</f>
        <v/>
      </c>
      <c r="V225" s="34" t="str">
        <f t="shared" si="100"/>
        <v>db</v>
      </c>
      <c r="W225" s="34" t="str">
        <f t="shared" si="101"/>
        <v>db</v>
      </c>
      <c r="X225" s="34" t="str">
        <f>IF(B225="","",COUNTIF($C$8:C225,C225)&amp;C225)</f>
        <v>0</v>
      </c>
    </row>
    <row r="226" spans="2:24" ht="23.1" customHeight="1">
      <c r="B226" s="31">
        <v>44651</v>
      </c>
      <c r="C226" s="9"/>
      <c r="D226" s="9" t="s">
        <v>595</v>
      </c>
      <c r="E226" s="7"/>
      <c r="F226" s="7"/>
      <c r="G226" s="7"/>
      <c r="H226" s="7" t="s">
        <v>594</v>
      </c>
      <c r="I226" s="7" t="s">
        <v>582</v>
      </c>
      <c r="J226" s="39">
        <v>12800563</v>
      </c>
      <c r="L226" s="16">
        <f t="shared" si="86"/>
        <v>1</v>
      </c>
      <c r="M226" s="16" t="str">
        <f t="shared" si="96"/>
        <v>March</v>
      </c>
      <c r="N226" s="16" t="str">
        <f t="shared" si="87"/>
        <v/>
      </c>
      <c r="O226" s="16" t="str">
        <f>IF(N226="","",COUNTIF($N$8:N226,N226))</f>
        <v/>
      </c>
      <c r="P226" s="34" t="str">
        <f t="shared" si="88"/>
        <v>outAktiva Lancar Lainnya</v>
      </c>
      <c r="Q226" s="34" t="str">
        <f t="shared" si="89"/>
        <v>outMarchAktiva Lancar Lainnya</v>
      </c>
      <c r="R226" s="34" t="str">
        <f t="shared" si="97"/>
        <v>Aktiva Lancar Lainnya</v>
      </c>
      <c r="S226" s="34" t="str">
        <f t="shared" si="98"/>
        <v>Kas</v>
      </c>
      <c r="T226" s="34" t="str">
        <f t="shared" si="99"/>
        <v/>
      </c>
      <c r="U226" s="34" t="str">
        <f>IF(AND(L226=1,bp_kode=T226,T226&lt;&gt;""),COUNTIF($T$8:T226,T226),"")</f>
        <v/>
      </c>
      <c r="V226" s="34" t="str">
        <f t="shared" si="100"/>
        <v/>
      </c>
      <c r="W226" s="34" t="str">
        <f t="shared" si="101"/>
        <v/>
      </c>
      <c r="X226" s="34" t="str">
        <f>IF(B226="","",COUNTIF($C$8:C226,C226)&amp;C226)</f>
        <v>0</v>
      </c>
    </row>
    <row r="227" spans="2:24" ht="23.1" customHeight="1">
      <c r="B227" s="31">
        <v>44651</v>
      </c>
      <c r="C227" s="9"/>
      <c r="D227" s="9" t="s">
        <v>596</v>
      </c>
      <c r="E227" s="7"/>
      <c r="F227" s="7"/>
      <c r="G227" s="7"/>
      <c r="H227" s="7" t="s">
        <v>597</v>
      </c>
      <c r="I227" s="7" t="s">
        <v>582</v>
      </c>
      <c r="J227" s="39">
        <v>7200000</v>
      </c>
      <c r="L227" s="16">
        <f t="shared" ref="L227:L294" si="102">IF(AND(B227&gt;=awal,B227&lt;=akhir,B227&lt;&gt;""),1,IF(AND(B227&lt;&gt;"",B227&lt;awal),2,""))</f>
        <v>1</v>
      </c>
      <c r="M227" s="16" t="str">
        <f t="shared" si="96"/>
        <v>March</v>
      </c>
      <c r="N227" s="16" t="str">
        <f t="shared" ref="N227:N294" si="103">IF(AND(L227=1,H227=bb_akun),"Awe",IF(AND(L227=1,I227=bb_akun),"Awe",""))</f>
        <v/>
      </c>
      <c r="O227" s="16" t="str">
        <f>IF(N227="","",COUNTIF($N$8:N227,N227))</f>
        <v/>
      </c>
      <c r="P227" s="34" t="str">
        <f t="shared" ref="P227:P294" si="104">IFERROR(IF(OR(INDEX(akun_type,MATCH(H227,akun_kb,0))="Kas",INDEX(akun_type,MATCH(H227,akun_kb,0))="Bank"),"In"&amp;INDEX(akun_type,MATCH(I227,akun_kb,0)),IF(OR(INDEX(akun_type,MATCH(I227,akun_kb,0))="Kas",INDEX(akun_type,MATCH(I227,akun_kb,0))="Bank"),"out"&amp;INDEX(akun_type,MATCH(H227,akun_kb,0)),"")),"")</f>
        <v>outAktiva Lainnya</v>
      </c>
      <c r="Q227" s="34" t="str">
        <f t="shared" ref="Q227:Q294" si="105">IFERROR(IF(OR(INDEX(akun_type,MATCH(H227,akun_kb,0))="Kas",INDEX(akun_type,MATCH(H227,akun_kb,0))="Bank"),"in"&amp;TEXT(B227,"mmmm")&amp;INDEX(akun_type,MATCH(I227,akun_kb,0)),IF(OR(INDEX(akun_type,MATCH(I227,akun_kb,0))="Kas",INDEX(akun_type,MATCH(I227,akun_kb,0))="Bank"),"out"&amp;TEXT(B227,"mmmm")&amp;INDEX(akun_type,MATCH(H227,akun_kb,0)),"")),"")</f>
        <v>outMarchAktiva Lainnya</v>
      </c>
      <c r="R227" s="34" t="str">
        <f t="shared" si="97"/>
        <v>Aktiva Lainnya</v>
      </c>
      <c r="S227" s="34" t="str">
        <f t="shared" si="98"/>
        <v>Kas</v>
      </c>
      <c r="T227" s="34" t="str">
        <f t="shared" si="99"/>
        <v/>
      </c>
      <c r="U227" s="34" t="str">
        <f>IF(AND(L227=1,bp_kode=T227,T227&lt;&gt;""),COUNTIF($T$8:T227,T227),"")</f>
        <v/>
      </c>
      <c r="V227" s="34" t="str">
        <f t="shared" si="100"/>
        <v/>
      </c>
      <c r="W227" s="34" t="str">
        <f t="shared" si="101"/>
        <v/>
      </c>
      <c r="X227" s="34" t="str">
        <f>IF(B227="","",COUNTIF($C$8:C227,C227)&amp;C227)</f>
        <v>0</v>
      </c>
    </row>
    <row r="228" spans="2:24" ht="23.1" customHeight="1">
      <c r="B228" s="31">
        <v>44651</v>
      </c>
      <c r="C228" s="9"/>
      <c r="D228" s="9" t="s">
        <v>598</v>
      </c>
      <c r="E228" s="7"/>
      <c r="F228" s="7"/>
      <c r="G228" s="7"/>
      <c r="H228" s="7" t="s">
        <v>599</v>
      </c>
      <c r="I228" s="7" t="s">
        <v>582</v>
      </c>
      <c r="J228" s="39">
        <v>5050000</v>
      </c>
      <c r="L228" s="16">
        <f t="shared" si="102"/>
        <v>1</v>
      </c>
      <c r="M228" s="16" t="str">
        <f t="shared" si="96"/>
        <v>March</v>
      </c>
      <c r="N228" s="16" t="str">
        <f t="shared" si="103"/>
        <v/>
      </c>
      <c r="O228" s="16" t="str">
        <f>IF(N228="","",COUNTIF($N$8:N228,N228))</f>
        <v/>
      </c>
      <c r="P228" s="34" t="str">
        <f t="shared" si="104"/>
        <v>outAkun Hutang</v>
      </c>
      <c r="Q228" s="34" t="str">
        <f t="shared" si="105"/>
        <v>outMarchAkun Hutang</v>
      </c>
      <c r="R228" s="34" t="str">
        <f t="shared" si="97"/>
        <v>Akun Hutang</v>
      </c>
      <c r="S228" s="34" t="str">
        <f t="shared" si="98"/>
        <v>Kas</v>
      </c>
      <c r="T228" s="34">
        <f t="shared" si="99"/>
        <v>0</v>
      </c>
      <c r="U228" s="34" t="str">
        <f>IF(AND(L228=1,bp_kode=T228,T228&lt;&gt;""),COUNTIF($T$8:T228,T228),"")</f>
        <v/>
      </c>
      <c r="V228" s="34" t="str">
        <f t="shared" si="100"/>
        <v/>
      </c>
      <c r="W228" s="34" t="str">
        <f t="shared" si="101"/>
        <v/>
      </c>
      <c r="X228" s="34" t="str">
        <f>IF(B228="","",COUNTIF($C$8:C228,C228)&amp;C228)</f>
        <v>0</v>
      </c>
    </row>
    <row r="229" spans="2:24" ht="23.1" customHeight="1">
      <c r="B229" s="31">
        <v>44651</v>
      </c>
      <c r="C229" s="9"/>
      <c r="D229" s="9" t="s">
        <v>703</v>
      </c>
      <c r="E229" s="7"/>
      <c r="F229" s="7"/>
      <c r="G229" s="7"/>
      <c r="H229" s="7" t="s">
        <v>706</v>
      </c>
      <c r="I229" s="7" t="s">
        <v>705</v>
      </c>
      <c r="J229" s="39">
        <v>25688950</v>
      </c>
      <c r="L229" s="16">
        <f t="shared" ref="L229:L230" si="106">IF(AND(B229&gt;=awal,B229&lt;=akhir,B229&lt;&gt;""),1,IF(AND(B229&lt;&gt;"",B229&lt;awal),2,""))</f>
        <v>1</v>
      </c>
      <c r="M229" s="16" t="str">
        <f t="shared" ref="M229:M230" si="107">IF(B229="","",TEXT(B229,"mmmm"))</f>
        <v>March</v>
      </c>
      <c r="N229" s="16" t="str">
        <f t="shared" ref="N229:N230" si="108">IF(AND(L229=1,H229=bb_akun),"Awe",IF(AND(L229=1,I229=bb_akun),"Awe",""))</f>
        <v/>
      </c>
      <c r="O229" s="16" t="str">
        <f>IF(N229="","",COUNTIF($N$8:N229,N229))</f>
        <v/>
      </c>
      <c r="P229" s="34" t="str">
        <f t="shared" ref="P229:P230" si="109">IFERROR(IF(OR(INDEX(akun_type,MATCH(H229,akun_kb,0))="Kas",INDEX(akun_type,MATCH(H229,akun_kb,0))="Bank"),"In"&amp;INDEX(akun_type,MATCH(I229,akun_kb,0)),IF(OR(INDEX(akun_type,MATCH(I229,akun_kb,0))="Kas",INDEX(akun_type,MATCH(I229,akun_kb,0))="Bank"),"out"&amp;INDEX(akun_type,MATCH(H229,akun_kb,0)),"")),"")</f>
        <v/>
      </c>
      <c r="Q229" s="34" t="str">
        <f t="shared" ref="Q229:Q230" si="110">IFERROR(IF(OR(INDEX(akun_type,MATCH(H229,akun_kb,0))="Kas",INDEX(akun_type,MATCH(H229,akun_kb,0))="Bank"),"in"&amp;TEXT(B229,"mmmm")&amp;INDEX(akun_type,MATCH(I229,akun_kb,0)),IF(OR(INDEX(akun_type,MATCH(I229,akun_kb,0))="Kas",INDEX(akun_type,MATCH(I229,akun_kb,0))="Bank"),"out"&amp;TEXT(B229,"mmmm")&amp;INDEX(akun_type,MATCH(H229,akun_kb,0)),"")),"")</f>
        <v/>
      </c>
      <c r="R229" s="34" t="str">
        <f t="shared" ref="R229:R230" si="111">IFERROR(INDEX(akun_type,MATCH(H229,akun_kb,0)),"")</f>
        <v>Ekuitas</v>
      </c>
      <c r="S229" s="34" t="str">
        <f t="shared" ref="S229:S230" si="112">IFERROR(INDEX(akun_type,MATCH(I229,akun_kb,0)),"")</f>
        <v>Akun Hutang</v>
      </c>
      <c r="T229" s="34">
        <f t="shared" ref="T229:T230" si="113">IF(AND(L229=1,OR(R229="Akun Piutang",R229="akun hutang",S229="akun piutang",S229="akun hutang")),E229,"")</f>
        <v>0</v>
      </c>
      <c r="U229" s="34" t="str">
        <f>IF(AND(L229=1,bp_kode=T229,T229&lt;&gt;""),COUNTIF($T$8:T229,T229),"")</f>
        <v/>
      </c>
      <c r="V229" s="34" t="str">
        <f t="shared" ref="V229:V230" si="114">IF(OR(R229="Pendapatan",R229="Pendapatan Lainnya",R229="Beban",R229="Harga Pokok Penjualan",R229="Beban Lainnya"),"db"&amp;F229,IF(OR(S229="Pendapatan",S229="Pendapatan Lainnya",S229="Beban",S229="Harga Pokok Penjualan",S229="Beban Lainnya"),"kr"&amp;F229,""))</f>
        <v/>
      </c>
      <c r="W229" s="34" t="str">
        <f t="shared" ref="W229:W230" si="115">IF(OR(R229="Pendapatan",R229="Pendapatan Lainnya",R229="Beban",R229="Harga Pokok Penjualan",R229="Beban Lainnya"),"db"&amp;G229,IF(OR(S229="Pendapatan",S229="Pendapatan Lainnya",S229="Beban",S229="Harga Pokok Penjualan",S229="Beban Lainnya"),"kr"&amp;G229,""))</f>
        <v/>
      </c>
      <c r="X229" s="34" t="str">
        <f>IF(B229="","",COUNTIF($C$8:C229,C229)&amp;C229)</f>
        <v>0</v>
      </c>
    </row>
    <row r="230" spans="2:24" ht="23.1" customHeight="1">
      <c r="B230" s="31">
        <v>44651</v>
      </c>
      <c r="C230" s="9"/>
      <c r="D230" s="9" t="s">
        <v>703</v>
      </c>
      <c r="E230" s="7"/>
      <c r="F230" s="7"/>
      <c r="G230" s="7"/>
      <c r="H230" s="7" t="s">
        <v>706</v>
      </c>
      <c r="I230" s="7" t="s">
        <v>704</v>
      </c>
      <c r="J230" s="39">
        <v>107037290</v>
      </c>
      <c r="L230" s="16">
        <f t="shared" si="106"/>
        <v>1</v>
      </c>
      <c r="M230" s="16" t="str">
        <f t="shared" si="107"/>
        <v>March</v>
      </c>
      <c r="N230" s="16" t="str">
        <f t="shared" si="108"/>
        <v/>
      </c>
      <c r="O230" s="16" t="str">
        <f>IF(N230="","",COUNTIF($N$8:N230,N230))</f>
        <v/>
      </c>
      <c r="P230" s="34" t="str">
        <f t="shared" si="109"/>
        <v/>
      </c>
      <c r="Q230" s="34" t="str">
        <f t="shared" si="110"/>
        <v/>
      </c>
      <c r="R230" s="34" t="str">
        <f t="shared" si="111"/>
        <v>Ekuitas</v>
      </c>
      <c r="S230" s="34" t="str">
        <f t="shared" si="112"/>
        <v>Akun Hutang</v>
      </c>
      <c r="T230" s="34">
        <f t="shared" si="113"/>
        <v>0</v>
      </c>
      <c r="U230" s="34" t="str">
        <f>IF(AND(L230=1,bp_kode=T230,T230&lt;&gt;""),COUNTIF($T$8:T230,T230),"")</f>
        <v/>
      </c>
      <c r="V230" s="34" t="str">
        <f t="shared" si="114"/>
        <v/>
      </c>
      <c r="W230" s="34" t="str">
        <f t="shared" si="115"/>
        <v/>
      </c>
      <c r="X230" s="34" t="str">
        <f>IF(B230="","",COUNTIF($C$8:C230,C230)&amp;C230)</f>
        <v>0</v>
      </c>
    </row>
    <row r="231" spans="2:24" ht="23.1" customHeight="1">
      <c r="B231" s="31">
        <v>44651</v>
      </c>
      <c r="C231" s="9"/>
      <c r="D231" s="9" t="s">
        <v>702</v>
      </c>
      <c r="E231" s="7"/>
      <c r="F231" s="7"/>
      <c r="G231" s="7"/>
      <c r="H231" s="7" t="s">
        <v>701</v>
      </c>
      <c r="I231" s="7" t="s">
        <v>700</v>
      </c>
      <c r="J231" s="39">
        <v>470964078</v>
      </c>
      <c r="L231" s="16">
        <f t="shared" si="102"/>
        <v>1</v>
      </c>
      <c r="M231" s="16" t="str">
        <f t="shared" si="96"/>
        <v>March</v>
      </c>
      <c r="N231" s="16" t="str">
        <f t="shared" si="103"/>
        <v/>
      </c>
      <c r="O231" s="16" t="str">
        <f>IF(N231="","",COUNTIF($N$8:N231,N231))</f>
        <v/>
      </c>
      <c r="P231" s="34" t="str">
        <f t="shared" si="104"/>
        <v/>
      </c>
      <c r="Q231" s="34" t="str">
        <f t="shared" si="105"/>
        <v/>
      </c>
      <c r="R231" s="34" t="str">
        <f t="shared" si="97"/>
        <v>Ekuitas</v>
      </c>
      <c r="S231" s="34" t="str">
        <f t="shared" si="98"/>
        <v>Akun Hutang</v>
      </c>
      <c r="T231" s="34">
        <f t="shared" si="99"/>
        <v>0</v>
      </c>
      <c r="U231" s="34" t="str">
        <f>IF(AND(L231=1,bp_kode=T231,T231&lt;&gt;""),COUNTIF($T$8:T231,T231),"")</f>
        <v/>
      </c>
      <c r="V231" s="34" t="str">
        <f t="shared" si="100"/>
        <v/>
      </c>
      <c r="W231" s="34" t="str">
        <f t="shared" si="101"/>
        <v/>
      </c>
      <c r="X231" s="34" t="str">
        <f>IF(B231="","",COUNTIF($C$8:C231,C231)&amp;C231)</f>
        <v>0</v>
      </c>
    </row>
    <row r="232" spans="2:24" ht="23.1" customHeight="1">
      <c r="B232" s="31">
        <v>44651</v>
      </c>
      <c r="C232" s="9"/>
      <c r="D232" s="9" t="s">
        <v>604</v>
      </c>
      <c r="E232" s="7"/>
      <c r="F232" s="7"/>
      <c r="G232" s="7"/>
      <c r="H232" s="7" t="s">
        <v>602</v>
      </c>
      <c r="I232" s="7" t="s">
        <v>582</v>
      </c>
      <c r="J232" s="39">
        <v>3557750</v>
      </c>
      <c r="L232" s="16">
        <f t="shared" si="102"/>
        <v>1</v>
      </c>
      <c r="M232" s="16" t="str">
        <f t="shared" si="96"/>
        <v>March</v>
      </c>
      <c r="N232" s="16" t="str">
        <f t="shared" si="103"/>
        <v/>
      </c>
      <c r="O232" s="16" t="str">
        <f>IF(N232="","",COUNTIF($N$8:N232,N232))</f>
        <v/>
      </c>
      <c r="P232" s="34" t="str">
        <f t="shared" si="104"/>
        <v>outHarga Pokok Penjualan</v>
      </c>
      <c r="Q232" s="34" t="str">
        <f t="shared" si="105"/>
        <v>outMarchHarga Pokok Penjualan</v>
      </c>
      <c r="R232" s="34" t="str">
        <f t="shared" si="97"/>
        <v>Harga Pokok Penjualan</v>
      </c>
      <c r="S232" s="34" t="str">
        <f t="shared" si="98"/>
        <v>Kas</v>
      </c>
      <c r="T232" s="34" t="str">
        <f t="shared" si="99"/>
        <v/>
      </c>
      <c r="U232" s="34" t="str">
        <f>IF(AND(L232=1,bp_kode=T232,T232&lt;&gt;""),COUNTIF($T$8:T232,T232),"")</f>
        <v/>
      </c>
      <c r="V232" s="34" t="str">
        <f t="shared" si="100"/>
        <v>db</v>
      </c>
      <c r="W232" s="34" t="str">
        <f t="shared" si="101"/>
        <v>db</v>
      </c>
      <c r="X232" s="34" t="str">
        <f>IF(B232="","",COUNTIF($C$8:C232,C232)&amp;C232)</f>
        <v>0</v>
      </c>
    </row>
    <row r="233" spans="2:24" ht="23.1" customHeight="1">
      <c r="B233" s="31">
        <v>44651</v>
      </c>
      <c r="C233" s="9"/>
      <c r="D233" s="9" t="s">
        <v>605</v>
      </c>
      <c r="E233" s="7"/>
      <c r="F233" s="7"/>
      <c r="G233" s="7"/>
      <c r="H233" s="7" t="s">
        <v>603</v>
      </c>
      <c r="I233" s="7" t="s">
        <v>582</v>
      </c>
      <c r="J233" s="39">
        <v>7301250</v>
      </c>
      <c r="L233" s="16">
        <f t="shared" si="102"/>
        <v>1</v>
      </c>
      <c r="M233" s="16" t="str">
        <f t="shared" si="96"/>
        <v>March</v>
      </c>
      <c r="N233" s="16" t="str">
        <f t="shared" si="103"/>
        <v/>
      </c>
      <c r="O233" s="16" t="str">
        <f>IF(N233="","",COUNTIF($N$8:N233,N233))</f>
        <v/>
      </c>
      <c r="P233" s="34" t="str">
        <f t="shared" si="104"/>
        <v>outHarga Pokok Penjualan</v>
      </c>
      <c r="Q233" s="34" t="str">
        <f t="shared" si="105"/>
        <v>outMarchHarga Pokok Penjualan</v>
      </c>
      <c r="R233" s="34" t="str">
        <f t="shared" si="97"/>
        <v>Harga Pokok Penjualan</v>
      </c>
      <c r="S233" s="34" t="str">
        <f t="shared" si="98"/>
        <v>Kas</v>
      </c>
      <c r="T233" s="34" t="str">
        <f t="shared" si="99"/>
        <v/>
      </c>
      <c r="U233" s="34" t="str">
        <f>IF(AND(L233=1,bp_kode=T233,T233&lt;&gt;""),COUNTIF($T$8:T233,T233),"")</f>
        <v/>
      </c>
      <c r="V233" s="34" t="str">
        <f t="shared" si="100"/>
        <v>db</v>
      </c>
      <c r="W233" s="34" t="str">
        <f t="shared" si="101"/>
        <v>db</v>
      </c>
      <c r="X233" s="34" t="str">
        <f>IF(B233="","",COUNTIF($C$8:C233,C233)&amp;C233)</f>
        <v>0</v>
      </c>
    </row>
    <row r="234" spans="2:24" ht="23.1" customHeight="1">
      <c r="B234" s="31">
        <v>44651</v>
      </c>
      <c r="C234" s="9"/>
      <c r="D234" s="9" t="s">
        <v>609</v>
      </c>
      <c r="E234" s="7"/>
      <c r="F234" s="7"/>
      <c r="G234" s="7"/>
      <c r="H234" s="7" t="s">
        <v>606</v>
      </c>
      <c r="I234" s="7" t="s">
        <v>582</v>
      </c>
      <c r="J234" s="39">
        <v>3500000</v>
      </c>
      <c r="L234" s="16">
        <f t="shared" si="102"/>
        <v>1</v>
      </c>
      <c r="M234" s="16" t="str">
        <f t="shared" si="96"/>
        <v>March</v>
      </c>
      <c r="N234" s="16" t="str">
        <f t="shared" si="103"/>
        <v/>
      </c>
      <c r="O234" s="16" t="str">
        <f>IF(N234="","",COUNTIF($N$8:N234,N234))</f>
        <v/>
      </c>
      <c r="P234" s="34" t="str">
        <f t="shared" si="104"/>
        <v>outHarga Pokok Penjualan</v>
      </c>
      <c r="Q234" s="34" t="str">
        <f t="shared" si="105"/>
        <v>outMarchHarga Pokok Penjualan</v>
      </c>
      <c r="R234" s="34" t="str">
        <f t="shared" si="97"/>
        <v>Harga Pokok Penjualan</v>
      </c>
      <c r="S234" s="34" t="str">
        <f t="shared" si="98"/>
        <v>Kas</v>
      </c>
      <c r="T234" s="34" t="str">
        <f t="shared" si="99"/>
        <v/>
      </c>
      <c r="U234" s="34" t="str">
        <f>IF(AND(L234=1,bp_kode=T234,T234&lt;&gt;""),COUNTIF($T$8:T234,T234),"")</f>
        <v/>
      </c>
      <c r="V234" s="34" t="str">
        <f t="shared" si="100"/>
        <v>db</v>
      </c>
      <c r="W234" s="34" t="str">
        <f t="shared" si="101"/>
        <v>db</v>
      </c>
      <c r="X234" s="34" t="str">
        <f>IF(B234="","",COUNTIF($C$8:C234,C234)&amp;C234)</f>
        <v>0</v>
      </c>
    </row>
    <row r="235" spans="2:24" ht="23.1" customHeight="1">
      <c r="B235" s="31">
        <v>44651</v>
      </c>
      <c r="C235" s="9"/>
      <c r="D235" s="9" t="s">
        <v>610</v>
      </c>
      <c r="E235" s="7"/>
      <c r="F235" s="7"/>
      <c r="G235" s="7"/>
      <c r="H235" s="7" t="s">
        <v>607</v>
      </c>
      <c r="I235" s="7" t="s">
        <v>582</v>
      </c>
      <c r="J235" s="39">
        <v>667000</v>
      </c>
      <c r="L235" s="16">
        <f t="shared" si="102"/>
        <v>1</v>
      </c>
      <c r="M235" s="16" t="str">
        <f t="shared" si="96"/>
        <v>March</v>
      </c>
      <c r="N235" s="16" t="str">
        <f t="shared" si="103"/>
        <v/>
      </c>
      <c r="O235" s="16" t="str">
        <f>IF(N235="","",COUNTIF($N$8:N235,N235))</f>
        <v/>
      </c>
      <c r="P235" s="34" t="str">
        <f t="shared" si="104"/>
        <v>outHarga Pokok Penjualan</v>
      </c>
      <c r="Q235" s="34" t="str">
        <f t="shared" si="105"/>
        <v>outMarchHarga Pokok Penjualan</v>
      </c>
      <c r="R235" s="34" t="str">
        <f t="shared" si="97"/>
        <v>Harga Pokok Penjualan</v>
      </c>
      <c r="S235" s="34" t="str">
        <f t="shared" si="98"/>
        <v>Kas</v>
      </c>
      <c r="T235" s="34" t="str">
        <f t="shared" si="99"/>
        <v/>
      </c>
      <c r="U235" s="34" t="str">
        <f>IF(AND(L235=1,bp_kode=T235,T235&lt;&gt;""),COUNTIF($T$8:T235,T235),"")</f>
        <v/>
      </c>
      <c r="V235" s="34" t="str">
        <f t="shared" si="100"/>
        <v>db</v>
      </c>
      <c r="W235" s="34" t="str">
        <f t="shared" si="101"/>
        <v>db</v>
      </c>
      <c r="X235" s="34" t="str">
        <f>IF(B235="","",COUNTIF($C$8:C235,C235)&amp;C235)</f>
        <v>0</v>
      </c>
    </row>
    <row r="236" spans="2:24" ht="23.1" customHeight="1">
      <c r="B236" s="31">
        <v>44651</v>
      </c>
      <c r="C236" s="9"/>
      <c r="D236" s="9" t="s">
        <v>611</v>
      </c>
      <c r="E236" s="7"/>
      <c r="F236" s="7"/>
      <c r="G236" s="7"/>
      <c r="H236" s="7" t="s">
        <v>608</v>
      </c>
      <c r="I236" s="7" t="s">
        <v>582</v>
      </c>
      <c r="J236" s="39">
        <v>8654830</v>
      </c>
      <c r="L236" s="16">
        <f t="shared" si="102"/>
        <v>1</v>
      </c>
      <c r="M236" s="16" t="str">
        <f t="shared" si="96"/>
        <v>March</v>
      </c>
      <c r="N236" s="16" t="str">
        <f t="shared" si="103"/>
        <v/>
      </c>
      <c r="O236" s="16" t="str">
        <f>IF(N236="","",COUNTIF($N$8:N236,N236))</f>
        <v/>
      </c>
      <c r="P236" s="34" t="str">
        <f t="shared" si="104"/>
        <v>outHarga Pokok Penjualan</v>
      </c>
      <c r="Q236" s="34" t="str">
        <f t="shared" si="105"/>
        <v>outMarchHarga Pokok Penjualan</v>
      </c>
      <c r="R236" s="34" t="str">
        <f t="shared" si="97"/>
        <v>Harga Pokok Penjualan</v>
      </c>
      <c r="S236" s="34" t="str">
        <f t="shared" si="98"/>
        <v>Kas</v>
      </c>
      <c r="T236" s="34" t="str">
        <f t="shared" si="99"/>
        <v/>
      </c>
      <c r="U236" s="34" t="str">
        <f>IF(AND(L236=1,bp_kode=T236,T236&lt;&gt;""),COUNTIF($T$8:T236,T236),"")</f>
        <v/>
      </c>
      <c r="V236" s="34" t="str">
        <f t="shared" si="100"/>
        <v>db</v>
      </c>
      <c r="W236" s="34" t="str">
        <f t="shared" si="101"/>
        <v>db</v>
      </c>
      <c r="X236" s="34" t="str">
        <f>IF(B236="","",COUNTIF($C$8:C236,C236)&amp;C236)</f>
        <v>0</v>
      </c>
    </row>
    <row r="237" spans="2:24" ht="23.1" customHeight="1">
      <c r="B237" s="31">
        <v>44651</v>
      </c>
      <c r="C237" s="9"/>
      <c r="D237" s="9" t="s">
        <v>696</v>
      </c>
      <c r="E237" s="7"/>
      <c r="F237" s="7"/>
      <c r="G237" s="7"/>
      <c r="H237" s="7" t="s">
        <v>695</v>
      </c>
      <c r="I237" s="7" t="s">
        <v>582</v>
      </c>
      <c r="J237" s="39">
        <v>24420000</v>
      </c>
      <c r="L237" s="16">
        <f t="shared" si="102"/>
        <v>1</v>
      </c>
      <c r="M237" s="16" t="str">
        <f t="shared" si="96"/>
        <v>March</v>
      </c>
      <c r="N237" s="16" t="str">
        <f t="shared" si="103"/>
        <v>Awe</v>
      </c>
      <c r="O237" s="16">
        <f>IF(N237="","",COUNTIF($N$8:N237,N237))</f>
        <v>2</v>
      </c>
      <c r="P237" s="34" t="str">
        <f t="shared" si="104"/>
        <v>outHarga Pokok Penjualan</v>
      </c>
      <c r="Q237" s="34" t="str">
        <f t="shared" si="105"/>
        <v>outMarchHarga Pokok Penjualan</v>
      </c>
      <c r="R237" s="34" t="str">
        <f t="shared" si="97"/>
        <v>Harga Pokok Penjualan</v>
      </c>
      <c r="S237" s="34" t="str">
        <f t="shared" si="98"/>
        <v>Kas</v>
      </c>
      <c r="T237" s="34" t="str">
        <f t="shared" si="99"/>
        <v/>
      </c>
      <c r="U237" s="34" t="str">
        <f>IF(AND(L237=1,bp_kode=T237,T237&lt;&gt;""),COUNTIF($T$8:T237,T237),"")</f>
        <v/>
      </c>
      <c r="V237" s="34" t="str">
        <f t="shared" si="100"/>
        <v>db</v>
      </c>
      <c r="W237" s="34" t="str">
        <f t="shared" si="101"/>
        <v>db</v>
      </c>
      <c r="X237" s="34" t="str">
        <f>IF(B237="","",COUNTIF($C$8:C237,C237)&amp;C237)</f>
        <v>0</v>
      </c>
    </row>
    <row r="238" spans="2:24" ht="23.1" customHeight="1">
      <c r="B238" s="31">
        <v>44651</v>
      </c>
      <c r="C238" s="9"/>
      <c r="D238" s="9" t="s">
        <v>740</v>
      </c>
      <c r="E238" s="7"/>
      <c r="F238" s="7"/>
      <c r="G238" s="7"/>
      <c r="H238" s="7" t="s">
        <v>738</v>
      </c>
      <c r="I238" s="7" t="s">
        <v>695</v>
      </c>
      <c r="J238" s="39">
        <v>9660000</v>
      </c>
      <c r="L238" s="16">
        <f t="shared" ref="L238:L239" si="116">IF(AND(B238&gt;=awal,B238&lt;=akhir,B238&lt;&gt;""),1,IF(AND(B238&lt;&gt;"",B238&lt;awal),2,""))</f>
        <v>1</v>
      </c>
      <c r="M238" s="16" t="str">
        <f t="shared" ref="M238:M239" si="117">IF(B238="","",TEXT(B238,"mmmm"))</f>
        <v>March</v>
      </c>
      <c r="N238" s="16" t="str">
        <f t="shared" ref="N238:N239" si="118">IF(AND(L238=1,H238=bb_akun),"Awe",IF(AND(L238=1,I238=bb_akun),"Awe",""))</f>
        <v>Awe</v>
      </c>
      <c r="O238" s="16">
        <f>IF(N238="","",COUNTIF($N$8:N238,N238))</f>
        <v>3</v>
      </c>
      <c r="P238" s="34" t="str">
        <f t="shared" ref="P238:P239" si="119">IFERROR(IF(OR(INDEX(akun_type,MATCH(H238,akun_kb,0))="Kas",INDEX(akun_type,MATCH(H238,akun_kb,0))="Bank"),"In"&amp;INDEX(akun_type,MATCH(I238,akun_kb,0)),IF(OR(INDEX(akun_type,MATCH(I238,akun_kb,0))="Kas",INDEX(akun_type,MATCH(I238,akun_kb,0))="Bank"),"out"&amp;INDEX(akun_type,MATCH(H238,akun_kb,0)),"")),"")</f>
        <v/>
      </c>
      <c r="Q238" s="34" t="str">
        <f t="shared" ref="Q238:Q239" si="120">IFERROR(IF(OR(INDEX(akun_type,MATCH(H238,akun_kb,0))="Kas",INDEX(akun_type,MATCH(H238,akun_kb,0))="Bank"),"in"&amp;TEXT(B238,"mmmm")&amp;INDEX(akun_type,MATCH(I238,akun_kb,0)),IF(OR(INDEX(akun_type,MATCH(I238,akun_kb,0))="Kas",INDEX(akun_type,MATCH(I238,akun_kb,0))="Bank"),"out"&amp;TEXT(B238,"mmmm")&amp;INDEX(akun_type,MATCH(H238,akun_kb,0)),"")),"")</f>
        <v/>
      </c>
      <c r="R238" s="34" t="str">
        <f t="shared" ref="R238:R239" si="121">IFERROR(INDEX(akun_type,MATCH(H238,akun_kb,0)),"")</f>
        <v>Persediaan</v>
      </c>
      <c r="S238" s="34" t="str">
        <f t="shared" ref="S238:S239" si="122">IFERROR(INDEX(akun_type,MATCH(I238,akun_kb,0)),"")</f>
        <v>Harga Pokok Penjualan</v>
      </c>
      <c r="T238" s="34" t="str">
        <f t="shared" ref="T238:T239" si="123">IF(AND(L238=1,OR(R238="Akun Piutang",R238="akun hutang",S238="akun piutang",S238="akun hutang")),E238,"")</f>
        <v/>
      </c>
      <c r="U238" s="34" t="str">
        <f>IF(AND(L238=1,bp_kode=T238,T238&lt;&gt;""),COUNTIF($T$8:T238,T238),"")</f>
        <v/>
      </c>
      <c r="V238" s="34" t="str">
        <f t="shared" ref="V238:V239" si="124">IF(OR(R238="Pendapatan",R238="Pendapatan Lainnya",R238="Beban",R238="Harga Pokok Penjualan",R238="Beban Lainnya"),"db"&amp;F238,IF(OR(S238="Pendapatan",S238="Pendapatan Lainnya",S238="Beban",S238="Harga Pokok Penjualan",S238="Beban Lainnya"),"kr"&amp;F238,""))</f>
        <v>kr</v>
      </c>
      <c r="W238" s="34" t="str">
        <f t="shared" ref="W238:W239" si="125">IF(OR(R238="Pendapatan",R238="Pendapatan Lainnya",R238="Beban",R238="Harga Pokok Penjualan",R238="Beban Lainnya"),"db"&amp;G238,IF(OR(S238="Pendapatan",S238="Pendapatan Lainnya",S238="Beban",S238="Harga Pokok Penjualan",S238="Beban Lainnya"),"kr"&amp;G238,""))</f>
        <v>kr</v>
      </c>
      <c r="X238" s="34" t="str">
        <f>IF(B238="","",COUNTIF($C$8:C238,C238)&amp;C238)</f>
        <v>0</v>
      </c>
    </row>
    <row r="239" spans="2:24" ht="23.1" customHeight="1">
      <c r="B239" s="31">
        <v>44651</v>
      </c>
      <c r="C239" s="9"/>
      <c r="D239" s="9" t="s">
        <v>741</v>
      </c>
      <c r="E239" s="7"/>
      <c r="F239" s="7"/>
      <c r="G239" s="7"/>
      <c r="H239" s="7" t="s">
        <v>739</v>
      </c>
      <c r="I239" s="7" t="s">
        <v>695</v>
      </c>
      <c r="J239" s="39">
        <v>7265000</v>
      </c>
      <c r="L239" s="16">
        <f t="shared" si="116"/>
        <v>1</v>
      </c>
      <c r="M239" s="16" t="str">
        <f t="shared" si="117"/>
        <v>March</v>
      </c>
      <c r="N239" s="16" t="str">
        <f t="shared" si="118"/>
        <v>Awe</v>
      </c>
      <c r="O239" s="16">
        <f>IF(N239="","",COUNTIF($N$8:N239,N239))</f>
        <v>4</v>
      </c>
      <c r="P239" s="34" t="str">
        <f t="shared" si="119"/>
        <v/>
      </c>
      <c r="Q239" s="34" t="str">
        <f t="shared" si="120"/>
        <v/>
      </c>
      <c r="R239" s="34" t="str">
        <f t="shared" si="121"/>
        <v>Persediaan</v>
      </c>
      <c r="S239" s="34" t="str">
        <f t="shared" si="122"/>
        <v>Harga Pokok Penjualan</v>
      </c>
      <c r="T239" s="34" t="str">
        <f t="shared" si="123"/>
        <v/>
      </c>
      <c r="U239" s="34" t="str">
        <f>IF(AND(L239=1,bp_kode=T239,T239&lt;&gt;""),COUNTIF($T$8:T239,T239),"")</f>
        <v/>
      </c>
      <c r="V239" s="34" t="str">
        <f t="shared" si="124"/>
        <v>kr</v>
      </c>
      <c r="W239" s="34" t="str">
        <f t="shared" si="125"/>
        <v>kr</v>
      </c>
      <c r="X239" s="34" t="str">
        <f>IF(B239="","",COUNTIF($C$8:C239,C239)&amp;C239)</f>
        <v>0</v>
      </c>
    </row>
    <row r="240" spans="2:24" ht="23.1" customHeight="1">
      <c r="B240" s="31">
        <v>44651</v>
      </c>
      <c r="C240" s="9"/>
      <c r="D240" s="9" t="s">
        <v>612</v>
      </c>
      <c r="E240" s="7"/>
      <c r="F240" s="7"/>
      <c r="G240" s="7"/>
      <c r="H240" s="7" t="s">
        <v>613</v>
      </c>
      <c r="I240" s="7" t="s">
        <v>582</v>
      </c>
      <c r="J240" s="39">
        <v>23648000</v>
      </c>
      <c r="L240" s="16">
        <f t="shared" si="102"/>
        <v>1</v>
      </c>
      <c r="M240" s="16" t="str">
        <f t="shared" si="96"/>
        <v>March</v>
      </c>
      <c r="N240" s="16" t="str">
        <f t="shared" si="103"/>
        <v/>
      </c>
      <c r="O240" s="16" t="str">
        <f>IF(N240="","",COUNTIF($N$8:N240,N240))</f>
        <v/>
      </c>
      <c r="P240" s="34" t="str">
        <f t="shared" si="104"/>
        <v>outHarga Pokok Penjualan</v>
      </c>
      <c r="Q240" s="34" t="str">
        <f t="shared" si="105"/>
        <v>outMarchHarga Pokok Penjualan</v>
      </c>
      <c r="R240" s="34" t="str">
        <f t="shared" si="97"/>
        <v>Harga Pokok Penjualan</v>
      </c>
      <c r="S240" s="34" t="str">
        <f t="shared" si="98"/>
        <v>Kas</v>
      </c>
      <c r="T240" s="34" t="str">
        <f t="shared" si="99"/>
        <v/>
      </c>
      <c r="U240" s="34" t="str">
        <f>IF(AND(L240=1,bp_kode=T240,T240&lt;&gt;""),COUNTIF($T$8:T240,T240),"")</f>
        <v/>
      </c>
      <c r="V240" s="34" t="str">
        <f t="shared" si="100"/>
        <v>db</v>
      </c>
      <c r="W240" s="34" t="str">
        <f t="shared" si="101"/>
        <v>db</v>
      </c>
      <c r="X240" s="34" t="str">
        <f>IF(B240="","",COUNTIF($C$8:C240,C240)&amp;C240)</f>
        <v>0</v>
      </c>
    </row>
    <row r="241" spans="2:24" ht="23.1" customHeight="1">
      <c r="B241" s="31">
        <v>44651</v>
      </c>
      <c r="C241" s="9"/>
      <c r="D241" s="9" t="s">
        <v>621</v>
      </c>
      <c r="E241" s="7"/>
      <c r="F241" s="7"/>
      <c r="G241" s="7"/>
      <c r="H241" s="7" t="s">
        <v>614</v>
      </c>
      <c r="I241" s="7" t="s">
        <v>582</v>
      </c>
      <c r="J241" s="39">
        <v>12852942</v>
      </c>
      <c r="L241" s="16">
        <f t="shared" si="102"/>
        <v>1</v>
      </c>
      <c r="M241" s="16" t="str">
        <f t="shared" si="96"/>
        <v>March</v>
      </c>
      <c r="N241" s="16" t="str">
        <f t="shared" si="103"/>
        <v/>
      </c>
      <c r="O241" s="16" t="str">
        <f>IF(N241="","",COUNTIF($N$8:N241,N241))</f>
        <v/>
      </c>
      <c r="P241" s="34" t="str">
        <f t="shared" si="104"/>
        <v>outBeban</v>
      </c>
      <c r="Q241" s="34" t="str">
        <f t="shared" si="105"/>
        <v>outMarchBeban</v>
      </c>
      <c r="R241" s="34" t="str">
        <f t="shared" si="97"/>
        <v>Beban</v>
      </c>
      <c r="S241" s="34" t="str">
        <f t="shared" si="98"/>
        <v>Kas</v>
      </c>
      <c r="T241" s="34" t="str">
        <f t="shared" si="99"/>
        <v/>
      </c>
      <c r="U241" s="34" t="str">
        <f>IF(AND(L241=1,bp_kode=T241,T241&lt;&gt;""),COUNTIF($T$8:T241,T241),"")</f>
        <v/>
      </c>
      <c r="V241" s="34" t="str">
        <f t="shared" si="100"/>
        <v>db</v>
      </c>
      <c r="W241" s="34" t="str">
        <f t="shared" si="101"/>
        <v>db</v>
      </c>
      <c r="X241" s="34" t="str">
        <f>IF(B241="","",COUNTIF($C$8:C241,C241)&amp;C241)</f>
        <v>0</v>
      </c>
    </row>
    <row r="242" spans="2:24" ht="23.1" customHeight="1">
      <c r="B242" s="31">
        <v>44651</v>
      </c>
      <c r="C242" s="9"/>
      <c r="D242" s="9" t="s">
        <v>622</v>
      </c>
      <c r="E242" s="7"/>
      <c r="F242" s="7"/>
      <c r="G242" s="7"/>
      <c r="H242" s="7" t="s">
        <v>615</v>
      </c>
      <c r="I242" s="7" t="s">
        <v>582</v>
      </c>
      <c r="J242" s="39">
        <v>2428800</v>
      </c>
      <c r="L242" s="16">
        <f t="shared" si="102"/>
        <v>1</v>
      </c>
      <c r="M242" s="16" t="str">
        <f t="shared" si="96"/>
        <v>March</v>
      </c>
      <c r="N242" s="16" t="str">
        <f t="shared" si="103"/>
        <v/>
      </c>
      <c r="O242" s="16" t="str">
        <f>IF(N242="","",COUNTIF($N$8:N242,N242))</f>
        <v/>
      </c>
      <c r="P242" s="34" t="str">
        <f t="shared" si="104"/>
        <v>outBeban</v>
      </c>
      <c r="Q242" s="34" t="str">
        <f t="shared" si="105"/>
        <v>outMarchBeban</v>
      </c>
      <c r="R242" s="34" t="str">
        <f t="shared" si="97"/>
        <v>Beban</v>
      </c>
      <c r="S242" s="34" t="str">
        <f t="shared" si="98"/>
        <v>Kas</v>
      </c>
      <c r="T242" s="34" t="str">
        <f t="shared" si="99"/>
        <v/>
      </c>
      <c r="U242" s="34" t="str">
        <f>IF(AND(L242=1,bp_kode=T242,T242&lt;&gt;""),COUNTIF($T$8:T242,T242),"")</f>
        <v/>
      </c>
      <c r="V242" s="34" t="str">
        <f t="shared" si="100"/>
        <v>db</v>
      </c>
      <c r="W242" s="34" t="str">
        <f t="shared" si="101"/>
        <v>db</v>
      </c>
      <c r="X242" s="34" t="str">
        <f>IF(B242="","",COUNTIF($C$8:C242,C242)&amp;C242)</f>
        <v>0</v>
      </c>
    </row>
    <row r="243" spans="2:24" ht="23.1" customHeight="1">
      <c r="B243" s="31">
        <v>44651</v>
      </c>
      <c r="C243" s="9"/>
      <c r="D243" s="9" t="s">
        <v>623</v>
      </c>
      <c r="E243" s="7"/>
      <c r="F243" s="7"/>
      <c r="G243" s="7"/>
      <c r="H243" s="7" t="s">
        <v>616</v>
      </c>
      <c r="I243" s="7" t="s">
        <v>582</v>
      </c>
      <c r="J243" s="39">
        <v>1200000</v>
      </c>
      <c r="L243" s="16">
        <f t="shared" si="102"/>
        <v>1</v>
      </c>
      <c r="M243" s="16" t="str">
        <f t="shared" si="96"/>
        <v>March</v>
      </c>
      <c r="N243" s="16" t="str">
        <f t="shared" si="103"/>
        <v/>
      </c>
      <c r="O243" s="16" t="str">
        <f>IF(N243="","",COUNTIF($N$8:N243,N243))</f>
        <v/>
      </c>
      <c r="P243" s="34" t="str">
        <f t="shared" si="104"/>
        <v>outBeban</v>
      </c>
      <c r="Q243" s="34" t="str">
        <f t="shared" si="105"/>
        <v>outMarchBeban</v>
      </c>
      <c r="R243" s="34" t="str">
        <f t="shared" si="97"/>
        <v>Beban</v>
      </c>
      <c r="S243" s="34" t="str">
        <f t="shared" si="98"/>
        <v>Kas</v>
      </c>
      <c r="T243" s="34" t="str">
        <f t="shared" si="99"/>
        <v/>
      </c>
      <c r="U243" s="34" t="str">
        <f>IF(AND(L243=1,bp_kode=T243,T243&lt;&gt;""),COUNTIF($T$8:T243,T243),"")</f>
        <v/>
      </c>
      <c r="V243" s="34" t="str">
        <f t="shared" si="100"/>
        <v>db</v>
      </c>
      <c r="W243" s="34" t="str">
        <f t="shared" si="101"/>
        <v>db</v>
      </c>
      <c r="X243" s="34" t="str">
        <f>IF(B243="","",COUNTIF($C$8:C243,C243)&amp;C243)</f>
        <v>0</v>
      </c>
    </row>
    <row r="244" spans="2:24" ht="23.1" customHeight="1">
      <c r="B244" s="31">
        <v>44651</v>
      </c>
      <c r="C244" s="9"/>
      <c r="D244" s="9" t="s">
        <v>624</v>
      </c>
      <c r="E244" s="7"/>
      <c r="F244" s="7"/>
      <c r="G244" s="7"/>
      <c r="H244" s="7" t="s">
        <v>617</v>
      </c>
      <c r="I244" s="7" t="s">
        <v>582</v>
      </c>
      <c r="J244" s="39">
        <v>32132356</v>
      </c>
      <c r="L244" s="16">
        <f t="shared" si="102"/>
        <v>1</v>
      </c>
      <c r="M244" s="16" t="str">
        <f t="shared" si="96"/>
        <v>March</v>
      </c>
      <c r="N244" s="16" t="str">
        <f t="shared" si="103"/>
        <v/>
      </c>
      <c r="O244" s="16" t="str">
        <f>IF(N244="","",COUNTIF($N$8:N244,N244))</f>
        <v/>
      </c>
      <c r="P244" s="34" t="str">
        <f t="shared" si="104"/>
        <v>outBeban</v>
      </c>
      <c r="Q244" s="34" t="str">
        <f t="shared" si="105"/>
        <v>outMarchBeban</v>
      </c>
      <c r="R244" s="34" t="str">
        <f t="shared" si="97"/>
        <v>Beban</v>
      </c>
      <c r="S244" s="34" t="str">
        <f t="shared" si="98"/>
        <v>Kas</v>
      </c>
      <c r="T244" s="34" t="str">
        <f t="shared" si="99"/>
        <v/>
      </c>
      <c r="U244" s="34" t="str">
        <f>IF(AND(L244=1,bp_kode=T244,T244&lt;&gt;""),COUNTIF($T$8:T244,T244),"")</f>
        <v/>
      </c>
      <c r="V244" s="34" t="str">
        <f t="shared" si="100"/>
        <v>db</v>
      </c>
      <c r="W244" s="34" t="str">
        <f t="shared" si="101"/>
        <v>db</v>
      </c>
      <c r="X244" s="34" t="str">
        <f>IF(B244="","",COUNTIF($C$8:C244,C244)&amp;C244)</f>
        <v>0</v>
      </c>
    </row>
    <row r="245" spans="2:24" ht="23.1" customHeight="1">
      <c r="B245" s="31">
        <v>44651</v>
      </c>
      <c r="C245" s="9"/>
      <c r="D245" s="9" t="s">
        <v>625</v>
      </c>
      <c r="E245" s="7"/>
      <c r="F245" s="7"/>
      <c r="G245" s="7"/>
      <c r="H245" s="7" t="s">
        <v>618</v>
      </c>
      <c r="I245" s="7" t="s">
        <v>582</v>
      </c>
      <c r="J245" s="39">
        <v>200072403</v>
      </c>
      <c r="L245" s="16">
        <f t="shared" si="102"/>
        <v>1</v>
      </c>
      <c r="M245" s="16" t="str">
        <f t="shared" si="96"/>
        <v>March</v>
      </c>
      <c r="N245" s="16" t="str">
        <f t="shared" si="103"/>
        <v/>
      </c>
      <c r="O245" s="16" t="str">
        <f>IF(N245="","",COUNTIF($N$8:N245,N245))</f>
        <v/>
      </c>
      <c r="P245" s="34" t="str">
        <f t="shared" si="104"/>
        <v>outBeban</v>
      </c>
      <c r="Q245" s="34" t="str">
        <f t="shared" si="105"/>
        <v>outMarchBeban</v>
      </c>
      <c r="R245" s="34" t="str">
        <f t="shared" si="97"/>
        <v>Beban</v>
      </c>
      <c r="S245" s="34" t="str">
        <f t="shared" si="98"/>
        <v>Kas</v>
      </c>
      <c r="T245" s="34" t="str">
        <f t="shared" si="99"/>
        <v/>
      </c>
      <c r="U245" s="34" t="str">
        <f>IF(AND(L245=1,bp_kode=T245,T245&lt;&gt;""),COUNTIF($T$8:T245,T245),"")</f>
        <v/>
      </c>
      <c r="V245" s="34" t="str">
        <f t="shared" si="100"/>
        <v>db</v>
      </c>
      <c r="W245" s="34" t="str">
        <f t="shared" si="101"/>
        <v>db</v>
      </c>
      <c r="X245" s="34" t="str">
        <f>IF(B245="","",COUNTIF($C$8:C245,C245)&amp;C245)</f>
        <v>0</v>
      </c>
    </row>
    <row r="246" spans="2:24" ht="23.1" customHeight="1">
      <c r="B246" s="31">
        <v>44651</v>
      </c>
      <c r="C246" s="9"/>
      <c r="D246" s="9" t="s">
        <v>626</v>
      </c>
      <c r="E246" s="7"/>
      <c r="F246" s="7"/>
      <c r="G246" s="7"/>
      <c r="H246" s="7" t="s">
        <v>619</v>
      </c>
      <c r="I246" s="7" t="s">
        <v>582</v>
      </c>
      <c r="J246" s="39">
        <v>209593366</v>
      </c>
      <c r="L246" s="16">
        <f t="shared" si="102"/>
        <v>1</v>
      </c>
      <c r="M246" s="16" t="str">
        <f t="shared" si="96"/>
        <v>March</v>
      </c>
      <c r="N246" s="16" t="str">
        <f t="shared" si="103"/>
        <v/>
      </c>
      <c r="O246" s="16" t="str">
        <f>IF(N246="","",COUNTIF($N$8:N246,N246))</f>
        <v/>
      </c>
      <c r="P246" s="34" t="str">
        <f t="shared" si="104"/>
        <v>outBeban</v>
      </c>
      <c r="Q246" s="34" t="str">
        <f t="shared" si="105"/>
        <v>outMarchBeban</v>
      </c>
      <c r="R246" s="34" t="str">
        <f t="shared" si="97"/>
        <v>Beban</v>
      </c>
      <c r="S246" s="34" t="str">
        <f t="shared" si="98"/>
        <v>Kas</v>
      </c>
      <c r="T246" s="34" t="str">
        <f t="shared" si="99"/>
        <v/>
      </c>
      <c r="U246" s="34" t="str">
        <f>IF(AND(L246=1,bp_kode=T246,T246&lt;&gt;""),COUNTIF($T$8:T246,T246),"")</f>
        <v/>
      </c>
      <c r="V246" s="34" t="str">
        <f t="shared" si="100"/>
        <v>db</v>
      </c>
      <c r="W246" s="34" t="str">
        <f t="shared" si="101"/>
        <v>db</v>
      </c>
      <c r="X246" s="34" t="str">
        <f>IF(B246="","",COUNTIF($C$8:C246,C246)&amp;C246)</f>
        <v>0</v>
      </c>
    </row>
    <row r="247" spans="2:24" ht="23.1" customHeight="1">
      <c r="B247" s="31">
        <v>44651</v>
      </c>
      <c r="C247" s="9"/>
      <c r="D247" s="9" t="s">
        <v>627</v>
      </c>
      <c r="E247" s="7"/>
      <c r="F247" s="7"/>
      <c r="G247" s="7"/>
      <c r="H247" s="7" t="s">
        <v>620</v>
      </c>
      <c r="I247" s="7" t="s">
        <v>582</v>
      </c>
      <c r="J247" s="39">
        <v>13353616</v>
      </c>
      <c r="L247" s="16">
        <f t="shared" si="102"/>
        <v>1</v>
      </c>
      <c r="M247" s="16" t="str">
        <f t="shared" si="96"/>
        <v>March</v>
      </c>
      <c r="N247" s="16" t="str">
        <f t="shared" si="103"/>
        <v/>
      </c>
      <c r="O247" s="16" t="str">
        <f>IF(N247="","",COUNTIF($N$8:N247,N247))</f>
        <v/>
      </c>
      <c r="P247" s="34" t="str">
        <f t="shared" si="104"/>
        <v>outBeban</v>
      </c>
      <c r="Q247" s="34" t="str">
        <f t="shared" si="105"/>
        <v>outMarchBeban</v>
      </c>
      <c r="R247" s="34" t="str">
        <f t="shared" si="97"/>
        <v>Beban</v>
      </c>
      <c r="S247" s="34" t="str">
        <f t="shared" si="98"/>
        <v>Kas</v>
      </c>
      <c r="T247" s="34" t="str">
        <f t="shared" si="99"/>
        <v/>
      </c>
      <c r="U247" s="34" t="str">
        <f>IF(AND(L247=1,bp_kode=T247,T247&lt;&gt;""),COUNTIF($T$8:T247,T247),"")</f>
        <v/>
      </c>
      <c r="V247" s="34" t="str">
        <f t="shared" si="100"/>
        <v>db</v>
      </c>
      <c r="W247" s="34" t="str">
        <f t="shared" si="101"/>
        <v>db</v>
      </c>
      <c r="X247" s="34" t="str">
        <f>IF(B247="","",COUNTIF($C$8:C247,C247)&amp;C247)</f>
        <v>0</v>
      </c>
    </row>
    <row r="248" spans="2:24" ht="23.1" customHeight="1">
      <c r="B248" s="31">
        <v>44651</v>
      </c>
      <c r="C248" s="9"/>
      <c r="D248" s="9" t="s">
        <v>644</v>
      </c>
      <c r="E248" s="7"/>
      <c r="F248" s="7"/>
      <c r="G248" s="7"/>
      <c r="H248" s="7" t="s">
        <v>628</v>
      </c>
      <c r="I248" s="7" t="s">
        <v>582</v>
      </c>
      <c r="J248" s="39">
        <v>21900000</v>
      </c>
      <c r="L248" s="16">
        <f t="shared" si="102"/>
        <v>1</v>
      </c>
      <c r="M248" s="16" t="str">
        <f t="shared" si="96"/>
        <v>March</v>
      </c>
      <c r="N248" s="16" t="str">
        <f t="shared" si="103"/>
        <v/>
      </c>
      <c r="O248" s="16" t="str">
        <f>IF(N248="","",COUNTIF($N$8:N248,N248))</f>
        <v/>
      </c>
      <c r="P248" s="34" t="str">
        <f t="shared" si="104"/>
        <v>outBeban</v>
      </c>
      <c r="Q248" s="34" t="str">
        <f t="shared" si="105"/>
        <v>outMarchBeban</v>
      </c>
      <c r="R248" s="34" t="str">
        <f t="shared" si="97"/>
        <v>Beban</v>
      </c>
      <c r="S248" s="34" t="str">
        <f t="shared" si="98"/>
        <v>Kas</v>
      </c>
      <c r="T248" s="34" t="str">
        <f t="shared" si="99"/>
        <v/>
      </c>
      <c r="U248" s="34" t="str">
        <f>IF(AND(L248=1,bp_kode=T248,T248&lt;&gt;""),COUNTIF($T$8:T248,T248),"")</f>
        <v/>
      </c>
      <c r="V248" s="34" t="str">
        <f t="shared" si="100"/>
        <v>db</v>
      </c>
      <c r="W248" s="34" t="str">
        <f t="shared" si="101"/>
        <v>db</v>
      </c>
      <c r="X248" s="34" t="str">
        <f>IF(B248="","",COUNTIF($C$8:C248,C248)&amp;C248)</f>
        <v>0</v>
      </c>
    </row>
    <row r="249" spans="2:24" ht="23.1" customHeight="1">
      <c r="B249" s="31">
        <v>44651</v>
      </c>
      <c r="C249" s="9"/>
      <c r="D249" s="9" t="s">
        <v>693</v>
      </c>
      <c r="E249" s="7"/>
      <c r="F249" s="7"/>
      <c r="G249" s="7"/>
      <c r="H249" s="7" t="s">
        <v>694</v>
      </c>
      <c r="I249" s="7" t="s">
        <v>582</v>
      </c>
      <c r="J249" s="39">
        <v>6407000</v>
      </c>
      <c r="L249" s="16">
        <f t="shared" si="102"/>
        <v>1</v>
      </c>
      <c r="M249" s="16" t="str">
        <f t="shared" si="96"/>
        <v>March</v>
      </c>
      <c r="N249" s="16" t="str">
        <f t="shared" si="103"/>
        <v/>
      </c>
      <c r="O249" s="16" t="str">
        <f>IF(N249="","",COUNTIF($N$8:N249,N249))</f>
        <v/>
      </c>
      <c r="P249" s="34" t="str">
        <f t="shared" si="104"/>
        <v>outBeban</v>
      </c>
      <c r="Q249" s="34" t="str">
        <f t="shared" si="105"/>
        <v>outMarchBeban</v>
      </c>
      <c r="R249" s="34" t="str">
        <f t="shared" si="97"/>
        <v>Beban</v>
      </c>
      <c r="S249" s="34" t="str">
        <f t="shared" si="98"/>
        <v>Kas</v>
      </c>
      <c r="T249" s="34" t="str">
        <f t="shared" si="99"/>
        <v/>
      </c>
      <c r="U249" s="34" t="str">
        <f>IF(AND(L249=1,bp_kode=T249,T249&lt;&gt;""),COUNTIF($T$8:T249,T249),"")</f>
        <v/>
      </c>
      <c r="V249" s="34" t="str">
        <f t="shared" si="100"/>
        <v>db</v>
      </c>
      <c r="W249" s="34" t="str">
        <f t="shared" si="101"/>
        <v>db</v>
      </c>
      <c r="X249" s="34" t="str">
        <f>IF(B249="","",COUNTIF($C$8:C249,C249)&amp;C249)</f>
        <v>0</v>
      </c>
    </row>
    <row r="250" spans="2:24" ht="23.1" customHeight="1">
      <c r="B250" s="31">
        <v>44651</v>
      </c>
      <c r="C250" s="9"/>
      <c r="D250" s="9" t="s">
        <v>645</v>
      </c>
      <c r="E250" s="7"/>
      <c r="F250" s="7"/>
      <c r="G250" s="7"/>
      <c r="H250" s="7" t="s">
        <v>629</v>
      </c>
      <c r="I250" s="7" t="s">
        <v>582</v>
      </c>
      <c r="J250" s="39">
        <v>24632000</v>
      </c>
      <c r="L250" s="16">
        <f t="shared" si="102"/>
        <v>1</v>
      </c>
      <c r="M250" s="16" t="str">
        <f t="shared" si="96"/>
        <v>March</v>
      </c>
      <c r="N250" s="16" t="str">
        <f t="shared" si="103"/>
        <v/>
      </c>
      <c r="O250" s="16" t="str">
        <f>IF(N250="","",COUNTIF($N$8:N250,N250))</f>
        <v/>
      </c>
      <c r="P250" s="34" t="str">
        <f t="shared" si="104"/>
        <v>outBeban</v>
      </c>
      <c r="Q250" s="34" t="str">
        <f t="shared" si="105"/>
        <v>outMarchBeban</v>
      </c>
      <c r="R250" s="34" t="str">
        <f t="shared" si="97"/>
        <v>Beban</v>
      </c>
      <c r="S250" s="34" t="str">
        <f t="shared" si="98"/>
        <v>Kas</v>
      </c>
      <c r="T250" s="34" t="str">
        <f t="shared" si="99"/>
        <v/>
      </c>
      <c r="U250" s="34" t="str">
        <f>IF(AND(L250=1,bp_kode=T250,T250&lt;&gt;""),COUNTIF($T$8:T250,T250),"")</f>
        <v/>
      </c>
      <c r="V250" s="34" t="str">
        <f t="shared" si="100"/>
        <v>db</v>
      </c>
      <c r="W250" s="34" t="str">
        <f t="shared" si="101"/>
        <v>db</v>
      </c>
      <c r="X250" s="34" t="str">
        <f>IF(B250="","",COUNTIF($C$8:C250,C250)&amp;C250)</f>
        <v>0</v>
      </c>
    </row>
    <row r="251" spans="2:24" ht="23.1" customHeight="1">
      <c r="B251" s="31">
        <v>44651</v>
      </c>
      <c r="C251" s="9"/>
      <c r="D251" s="9" t="s">
        <v>646</v>
      </c>
      <c r="E251" s="7"/>
      <c r="F251" s="7"/>
      <c r="G251" s="7"/>
      <c r="H251" s="7" t="s">
        <v>630</v>
      </c>
      <c r="I251" s="7" t="s">
        <v>582</v>
      </c>
      <c r="J251" s="39">
        <v>3394500</v>
      </c>
      <c r="L251" s="16">
        <f t="shared" si="102"/>
        <v>1</v>
      </c>
      <c r="M251" s="16" t="str">
        <f t="shared" si="96"/>
        <v>March</v>
      </c>
      <c r="N251" s="16" t="str">
        <f t="shared" si="103"/>
        <v/>
      </c>
      <c r="O251" s="16" t="str">
        <f>IF(N251="","",COUNTIF($N$8:N251,N251))</f>
        <v/>
      </c>
      <c r="P251" s="34" t="str">
        <f t="shared" si="104"/>
        <v>outBeban</v>
      </c>
      <c r="Q251" s="34" t="str">
        <f t="shared" si="105"/>
        <v>outMarchBeban</v>
      </c>
      <c r="R251" s="34" t="str">
        <f t="shared" si="97"/>
        <v>Beban</v>
      </c>
      <c r="S251" s="34" t="str">
        <f t="shared" si="98"/>
        <v>Kas</v>
      </c>
      <c r="T251" s="34" t="str">
        <f t="shared" si="99"/>
        <v/>
      </c>
      <c r="U251" s="34" t="str">
        <f>IF(AND(L251=1,bp_kode=T251,T251&lt;&gt;""),COUNTIF($T$8:T251,T251),"")</f>
        <v/>
      </c>
      <c r="V251" s="34" t="str">
        <f t="shared" si="100"/>
        <v>db</v>
      </c>
      <c r="W251" s="34" t="str">
        <f t="shared" si="101"/>
        <v>db</v>
      </c>
      <c r="X251" s="34" t="str">
        <f>IF(B251="","",COUNTIF($C$8:C251,C251)&amp;C251)</f>
        <v>0</v>
      </c>
    </row>
    <row r="252" spans="2:24" ht="23.1" customHeight="1">
      <c r="B252" s="31">
        <v>44651</v>
      </c>
      <c r="C252" s="9"/>
      <c r="D252" s="9" t="s">
        <v>647</v>
      </c>
      <c r="E252" s="7"/>
      <c r="F252" s="7"/>
      <c r="G252" s="7"/>
      <c r="H252" s="7" t="s">
        <v>631</v>
      </c>
      <c r="I252" s="7" t="s">
        <v>582</v>
      </c>
      <c r="J252" s="39">
        <v>350000</v>
      </c>
      <c r="L252" s="16">
        <f t="shared" si="102"/>
        <v>1</v>
      </c>
      <c r="M252" s="16" t="str">
        <f t="shared" si="96"/>
        <v>March</v>
      </c>
      <c r="N252" s="16" t="str">
        <f t="shared" si="103"/>
        <v/>
      </c>
      <c r="O252" s="16" t="str">
        <f>IF(N252="","",COUNTIF($N$8:N252,N252))</f>
        <v/>
      </c>
      <c r="P252" s="34" t="str">
        <f t="shared" si="104"/>
        <v>outBeban</v>
      </c>
      <c r="Q252" s="34" t="str">
        <f t="shared" si="105"/>
        <v>outMarchBeban</v>
      </c>
      <c r="R252" s="34" t="str">
        <f t="shared" si="97"/>
        <v>Beban</v>
      </c>
      <c r="S252" s="34" t="str">
        <f t="shared" si="98"/>
        <v>Kas</v>
      </c>
      <c r="T252" s="34" t="str">
        <f t="shared" si="99"/>
        <v/>
      </c>
      <c r="U252" s="34" t="str">
        <f>IF(AND(L252=1,bp_kode=T252,T252&lt;&gt;""),COUNTIF($T$8:T252,T252),"")</f>
        <v/>
      </c>
      <c r="V252" s="34" t="str">
        <f t="shared" si="100"/>
        <v>db</v>
      </c>
      <c r="W252" s="34" t="str">
        <f t="shared" si="101"/>
        <v>db</v>
      </c>
      <c r="X252" s="34" t="str">
        <f>IF(B252="","",COUNTIF($C$8:C252,C252)&amp;C252)</f>
        <v>0</v>
      </c>
    </row>
    <row r="253" spans="2:24" ht="23.1" customHeight="1">
      <c r="B253" s="31">
        <v>44651</v>
      </c>
      <c r="C253" s="9"/>
      <c r="D253" s="9" t="s">
        <v>648</v>
      </c>
      <c r="E253" s="7"/>
      <c r="F253" s="7"/>
      <c r="G253" s="7"/>
      <c r="H253" s="7" t="s">
        <v>632</v>
      </c>
      <c r="I253" s="7" t="s">
        <v>582</v>
      </c>
      <c r="J253" s="39">
        <v>25000000</v>
      </c>
      <c r="L253" s="16">
        <f t="shared" si="102"/>
        <v>1</v>
      </c>
      <c r="M253" s="16" t="str">
        <f t="shared" si="96"/>
        <v>March</v>
      </c>
      <c r="N253" s="16" t="str">
        <f t="shared" si="103"/>
        <v/>
      </c>
      <c r="O253" s="16" t="str">
        <f>IF(N253="","",COUNTIF($N$8:N253,N253))</f>
        <v/>
      </c>
      <c r="P253" s="34" t="str">
        <f t="shared" si="104"/>
        <v>outBeban</v>
      </c>
      <c r="Q253" s="34" t="str">
        <f t="shared" si="105"/>
        <v>outMarchBeban</v>
      </c>
      <c r="R253" s="34" t="str">
        <f t="shared" si="97"/>
        <v>Beban</v>
      </c>
      <c r="S253" s="34" t="str">
        <f t="shared" si="98"/>
        <v>Kas</v>
      </c>
      <c r="T253" s="34" t="str">
        <f t="shared" si="99"/>
        <v/>
      </c>
      <c r="U253" s="34" t="str">
        <f>IF(AND(L253=1,bp_kode=T253,T253&lt;&gt;""),COUNTIF($T$8:T253,T253),"")</f>
        <v/>
      </c>
      <c r="V253" s="34" t="str">
        <f t="shared" si="100"/>
        <v>db</v>
      </c>
      <c r="W253" s="34" t="str">
        <f t="shared" si="101"/>
        <v>db</v>
      </c>
      <c r="X253" s="34" t="str">
        <f>IF(B253="","",COUNTIF($C$8:C253,C253)&amp;C253)</f>
        <v>0</v>
      </c>
    </row>
    <row r="254" spans="2:24" ht="23.1" customHeight="1">
      <c r="B254" s="31">
        <v>44651</v>
      </c>
      <c r="C254" s="9"/>
      <c r="D254" s="9" t="s">
        <v>649</v>
      </c>
      <c r="E254" s="7"/>
      <c r="F254" s="7"/>
      <c r="G254" s="7"/>
      <c r="H254" s="7" t="s">
        <v>633</v>
      </c>
      <c r="I254" s="7" t="s">
        <v>582</v>
      </c>
      <c r="J254" s="39">
        <v>1972640</v>
      </c>
      <c r="L254" s="16">
        <f t="shared" si="102"/>
        <v>1</v>
      </c>
      <c r="M254" s="16" t="str">
        <f t="shared" si="96"/>
        <v>March</v>
      </c>
      <c r="N254" s="16" t="str">
        <f t="shared" si="103"/>
        <v/>
      </c>
      <c r="O254" s="16" t="str">
        <f>IF(N254="","",COUNTIF($N$8:N254,N254))</f>
        <v/>
      </c>
      <c r="P254" s="34" t="str">
        <f t="shared" si="104"/>
        <v>outBeban</v>
      </c>
      <c r="Q254" s="34" t="str">
        <f t="shared" si="105"/>
        <v>outMarchBeban</v>
      </c>
      <c r="R254" s="34" t="str">
        <f t="shared" si="97"/>
        <v>Beban</v>
      </c>
      <c r="S254" s="34" t="str">
        <f t="shared" si="98"/>
        <v>Kas</v>
      </c>
      <c r="T254" s="34" t="str">
        <f t="shared" si="99"/>
        <v/>
      </c>
      <c r="U254" s="34" t="str">
        <f>IF(AND(L254=1,bp_kode=T254,T254&lt;&gt;""),COUNTIF($T$8:T254,T254),"")</f>
        <v/>
      </c>
      <c r="V254" s="34" t="str">
        <f t="shared" si="100"/>
        <v>db</v>
      </c>
      <c r="W254" s="34" t="str">
        <f t="shared" si="101"/>
        <v>db</v>
      </c>
      <c r="X254" s="34" t="str">
        <f>IF(B254="","",COUNTIF($C$8:C254,C254)&amp;C254)</f>
        <v>0</v>
      </c>
    </row>
    <row r="255" spans="2:24" ht="23.1" customHeight="1">
      <c r="B255" s="31">
        <v>44651</v>
      </c>
      <c r="C255" s="9"/>
      <c r="D255" s="9" t="s">
        <v>650</v>
      </c>
      <c r="E255" s="7"/>
      <c r="F255" s="7"/>
      <c r="G255" s="7"/>
      <c r="H255" s="7" t="s">
        <v>634</v>
      </c>
      <c r="I255" s="7" t="s">
        <v>582</v>
      </c>
      <c r="J255" s="39">
        <v>4098836</v>
      </c>
      <c r="L255" s="16">
        <f t="shared" si="102"/>
        <v>1</v>
      </c>
      <c r="M255" s="16" t="str">
        <f t="shared" si="96"/>
        <v>March</v>
      </c>
      <c r="N255" s="16" t="str">
        <f t="shared" si="103"/>
        <v/>
      </c>
      <c r="O255" s="16" t="str">
        <f>IF(N255="","",COUNTIF($N$8:N255,N255))</f>
        <v/>
      </c>
      <c r="P255" s="34" t="str">
        <f t="shared" si="104"/>
        <v>outBeban</v>
      </c>
      <c r="Q255" s="34" t="str">
        <f t="shared" si="105"/>
        <v>outMarchBeban</v>
      </c>
      <c r="R255" s="34" t="str">
        <f t="shared" si="97"/>
        <v>Beban</v>
      </c>
      <c r="S255" s="34" t="str">
        <f t="shared" si="98"/>
        <v>Kas</v>
      </c>
      <c r="T255" s="34" t="str">
        <f t="shared" si="99"/>
        <v/>
      </c>
      <c r="U255" s="34" t="str">
        <f>IF(AND(L255=1,bp_kode=T255,T255&lt;&gt;""),COUNTIF($T$8:T255,T255),"")</f>
        <v/>
      </c>
      <c r="V255" s="34" t="str">
        <f t="shared" si="100"/>
        <v>db</v>
      </c>
      <c r="W255" s="34" t="str">
        <f t="shared" si="101"/>
        <v>db</v>
      </c>
      <c r="X255" s="34" t="str">
        <f>IF(B255="","",COUNTIF($C$8:C255,C255)&amp;C255)</f>
        <v>0</v>
      </c>
    </row>
    <row r="256" spans="2:24" ht="23.1" customHeight="1">
      <c r="B256" s="31">
        <v>44651</v>
      </c>
      <c r="C256" s="9"/>
      <c r="D256" s="9" t="s">
        <v>651</v>
      </c>
      <c r="E256" s="7"/>
      <c r="F256" s="7"/>
      <c r="G256" s="7"/>
      <c r="H256" s="7" t="s">
        <v>635</v>
      </c>
      <c r="I256" s="7" t="s">
        <v>582</v>
      </c>
      <c r="J256" s="39">
        <v>500000</v>
      </c>
      <c r="L256" s="16">
        <f t="shared" si="102"/>
        <v>1</v>
      </c>
      <c r="M256" s="16" t="str">
        <f t="shared" si="96"/>
        <v>March</v>
      </c>
      <c r="N256" s="16" t="str">
        <f t="shared" si="103"/>
        <v/>
      </c>
      <c r="O256" s="16" t="str">
        <f>IF(N256="","",COUNTIF($N$8:N256,N256))</f>
        <v/>
      </c>
      <c r="P256" s="34" t="str">
        <f t="shared" si="104"/>
        <v>outBeban</v>
      </c>
      <c r="Q256" s="34" t="str">
        <f t="shared" si="105"/>
        <v>outMarchBeban</v>
      </c>
      <c r="R256" s="34" t="str">
        <f t="shared" si="97"/>
        <v>Beban</v>
      </c>
      <c r="S256" s="34" t="str">
        <f t="shared" si="98"/>
        <v>Kas</v>
      </c>
      <c r="T256" s="34" t="str">
        <f t="shared" si="99"/>
        <v/>
      </c>
      <c r="U256" s="34" t="str">
        <f>IF(AND(L256=1,bp_kode=T256,T256&lt;&gt;""),COUNTIF($T$8:T256,T256),"")</f>
        <v/>
      </c>
      <c r="V256" s="34" t="str">
        <f t="shared" si="100"/>
        <v>db</v>
      </c>
      <c r="W256" s="34" t="str">
        <f t="shared" si="101"/>
        <v>db</v>
      </c>
      <c r="X256" s="34" t="str">
        <f>IF(B256="","",COUNTIF($C$8:C256,C256)&amp;C256)</f>
        <v>0</v>
      </c>
    </row>
    <row r="257" spans="2:24" ht="23.1" customHeight="1">
      <c r="B257" s="31">
        <v>44651</v>
      </c>
      <c r="C257" s="9"/>
      <c r="D257" s="9" t="s">
        <v>652</v>
      </c>
      <c r="E257" s="7"/>
      <c r="F257" s="7"/>
      <c r="G257" s="7"/>
      <c r="H257" s="7" t="s">
        <v>636</v>
      </c>
      <c r="I257" s="7" t="s">
        <v>582</v>
      </c>
      <c r="J257" s="39">
        <v>7850250</v>
      </c>
      <c r="L257" s="16">
        <f t="shared" si="102"/>
        <v>1</v>
      </c>
      <c r="M257" s="16" t="str">
        <f t="shared" si="96"/>
        <v>March</v>
      </c>
      <c r="N257" s="16" t="str">
        <f t="shared" si="103"/>
        <v/>
      </c>
      <c r="O257" s="16" t="str">
        <f>IF(N257="","",COUNTIF($N$8:N257,N257))</f>
        <v/>
      </c>
      <c r="P257" s="34" t="str">
        <f t="shared" si="104"/>
        <v>outBeban</v>
      </c>
      <c r="Q257" s="34" t="str">
        <f t="shared" si="105"/>
        <v>outMarchBeban</v>
      </c>
      <c r="R257" s="34" t="str">
        <f t="shared" si="97"/>
        <v>Beban</v>
      </c>
      <c r="S257" s="34" t="str">
        <f t="shared" si="98"/>
        <v>Kas</v>
      </c>
      <c r="T257" s="34" t="str">
        <f t="shared" si="99"/>
        <v/>
      </c>
      <c r="U257" s="34" t="str">
        <f>IF(AND(L257=1,bp_kode=T257,T257&lt;&gt;""),COUNTIF($T$8:T257,T257),"")</f>
        <v/>
      </c>
      <c r="V257" s="34" t="str">
        <f t="shared" si="100"/>
        <v>db</v>
      </c>
      <c r="W257" s="34" t="str">
        <f t="shared" si="101"/>
        <v>db</v>
      </c>
      <c r="X257" s="34" t="str">
        <f>IF(B257="","",COUNTIF($C$8:C257,C257)&amp;C257)</f>
        <v>0</v>
      </c>
    </row>
    <row r="258" spans="2:24" ht="23.1" customHeight="1">
      <c r="B258" s="31">
        <v>44651</v>
      </c>
      <c r="C258" s="9"/>
      <c r="D258" s="9" t="s">
        <v>653</v>
      </c>
      <c r="E258" s="7"/>
      <c r="F258" s="7"/>
      <c r="G258" s="7"/>
      <c r="H258" s="7" t="s">
        <v>637</v>
      </c>
      <c r="I258" s="7" t="s">
        <v>582</v>
      </c>
      <c r="J258" s="39">
        <v>3239062</v>
      </c>
      <c r="L258" s="16">
        <f t="shared" si="102"/>
        <v>1</v>
      </c>
      <c r="M258" s="16" t="str">
        <f t="shared" si="96"/>
        <v>March</v>
      </c>
      <c r="N258" s="16" t="str">
        <f t="shared" si="103"/>
        <v/>
      </c>
      <c r="O258" s="16" t="str">
        <f>IF(N258="","",COUNTIF($N$8:N258,N258))</f>
        <v/>
      </c>
      <c r="P258" s="34" t="str">
        <f t="shared" si="104"/>
        <v>outBeban</v>
      </c>
      <c r="Q258" s="34" t="str">
        <f t="shared" si="105"/>
        <v>outMarchBeban</v>
      </c>
      <c r="R258" s="34" t="str">
        <f t="shared" si="97"/>
        <v>Beban</v>
      </c>
      <c r="S258" s="34" t="str">
        <f t="shared" si="98"/>
        <v>Kas</v>
      </c>
      <c r="T258" s="34" t="str">
        <f t="shared" si="99"/>
        <v/>
      </c>
      <c r="U258" s="34" t="str">
        <f>IF(AND(L258=1,bp_kode=T258,T258&lt;&gt;""),COUNTIF($T$8:T258,T258),"")</f>
        <v/>
      </c>
      <c r="V258" s="34" t="str">
        <f t="shared" si="100"/>
        <v>db</v>
      </c>
      <c r="W258" s="34" t="str">
        <f t="shared" si="101"/>
        <v>db</v>
      </c>
      <c r="X258" s="34" t="str">
        <f>IF(B258="","",COUNTIF($C$8:C258,C258)&amp;C258)</f>
        <v>0</v>
      </c>
    </row>
    <row r="259" spans="2:24" ht="23.1" customHeight="1">
      <c r="B259" s="31">
        <v>44651</v>
      </c>
      <c r="C259" s="9"/>
      <c r="D259" s="9" t="s">
        <v>844</v>
      </c>
      <c r="E259" s="7"/>
      <c r="F259" s="7"/>
      <c r="G259" s="7"/>
      <c r="H259" s="7" t="s">
        <v>712</v>
      </c>
      <c r="I259" s="7" t="s">
        <v>582</v>
      </c>
      <c r="J259" s="39">
        <v>950000</v>
      </c>
      <c r="L259" s="16">
        <f t="shared" ref="L259:L260" si="126">IF(AND(B259&gt;=awal,B259&lt;=akhir,B259&lt;&gt;""),1,IF(AND(B259&lt;&gt;"",B259&lt;awal),2,""))</f>
        <v>1</v>
      </c>
      <c r="M259" s="16" t="str">
        <f t="shared" ref="M259:M260" si="127">IF(B259="","",TEXT(B259,"mmmm"))</f>
        <v>March</v>
      </c>
      <c r="N259" s="16" t="str">
        <f t="shared" ref="N259:N260" si="128">IF(AND(L259=1,H259=bb_akun),"Awe",IF(AND(L259=1,I259=bb_akun),"Awe",""))</f>
        <v/>
      </c>
      <c r="O259" s="16" t="str">
        <f>IF(N259="","",COUNTIF($N$8:N259,N259))</f>
        <v/>
      </c>
      <c r="P259" s="34" t="str">
        <f t="shared" ref="P259:P260" si="129">IFERROR(IF(OR(INDEX(akun_type,MATCH(H259,akun_kb,0))="Kas",INDEX(akun_type,MATCH(H259,akun_kb,0))="Bank"),"In"&amp;INDEX(akun_type,MATCH(I259,akun_kb,0)),IF(OR(INDEX(akun_type,MATCH(I259,akun_kb,0))="Kas",INDEX(akun_type,MATCH(I259,akun_kb,0))="Bank"),"out"&amp;INDEX(akun_type,MATCH(H259,akun_kb,0)),"")),"")</f>
        <v>outAktiva Tetap</v>
      </c>
      <c r="Q259" s="34" t="str">
        <f t="shared" ref="Q259:Q260" si="130">IFERROR(IF(OR(INDEX(akun_type,MATCH(H259,akun_kb,0))="Kas",INDEX(akun_type,MATCH(H259,akun_kb,0))="Bank"),"in"&amp;TEXT(B259,"mmmm")&amp;INDEX(akun_type,MATCH(I259,akun_kb,0)),IF(OR(INDEX(akun_type,MATCH(I259,akun_kb,0))="Kas",INDEX(akun_type,MATCH(I259,akun_kb,0))="Bank"),"out"&amp;TEXT(B259,"mmmm")&amp;INDEX(akun_type,MATCH(H259,akun_kb,0)),"")),"")</f>
        <v>outMarchAktiva Tetap</v>
      </c>
      <c r="R259" s="34" t="str">
        <f t="shared" ref="R259:R260" si="131">IFERROR(INDEX(akun_type,MATCH(H259,akun_kb,0)),"")</f>
        <v>Aktiva Tetap</v>
      </c>
      <c r="S259" s="34" t="str">
        <f t="shared" ref="S259:S260" si="132">IFERROR(INDEX(akun_type,MATCH(I259,akun_kb,0)),"")</f>
        <v>Kas</v>
      </c>
      <c r="T259" s="34" t="str">
        <f t="shared" ref="T259:T260" si="133">IF(AND(L259=1,OR(R259="Akun Piutang",R259="akun hutang",S259="akun piutang",S259="akun hutang")),E259,"")</f>
        <v/>
      </c>
      <c r="U259" s="34" t="str">
        <f>IF(AND(L259=1,bp_kode=T259,T259&lt;&gt;""),COUNTIF($T$8:T259,T259),"")</f>
        <v/>
      </c>
      <c r="V259" s="34" t="str">
        <f t="shared" ref="V259:V260" si="134">IF(OR(R259="Pendapatan",R259="Pendapatan Lainnya",R259="Beban",R259="Harga Pokok Penjualan",R259="Beban Lainnya"),"db"&amp;F259,IF(OR(S259="Pendapatan",S259="Pendapatan Lainnya",S259="Beban",S259="Harga Pokok Penjualan",S259="Beban Lainnya"),"kr"&amp;F259,""))</f>
        <v/>
      </c>
      <c r="W259" s="34" t="str">
        <f t="shared" ref="W259:W260" si="135">IF(OR(R259="Pendapatan",R259="Pendapatan Lainnya",R259="Beban",R259="Harga Pokok Penjualan",R259="Beban Lainnya"),"db"&amp;G259,IF(OR(S259="Pendapatan",S259="Pendapatan Lainnya",S259="Beban",S259="Harga Pokok Penjualan",S259="Beban Lainnya"),"kr"&amp;G259,""))</f>
        <v/>
      </c>
      <c r="X259" s="34" t="str">
        <f>IF(B259="","",COUNTIF($C$8:C259,C259)&amp;C259)</f>
        <v>0</v>
      </c>
    </row>
    <row r="260" spans="2:24" ht="23.1" customHeight="1">
      <c r="B260" s="31">
        <v>44651</v>
      </c>
      <c r="C260" s="9"/>
      <c r="D260" s="9" t="s">
        <v>845</v>
      </c>
      <c r="E260" s="7"/>
      <c r="F260" s="7"/>
      <c r="G260" s="7"/>
      <c r="H260" s="7" t="s">
        <v>767</v>
      </c>
      <c r="I260" s="7" t="s">
        <v>582</v>
      </c>
      <c r="J260" s="39">
        <v>1439500</v>
      </c>
      <c r="L260" s="16">
        <f t="shared" si="126"/>
        <v>1</v>
      </c>
      <c r="M260" s="16" t="str">
        <f t="shared" si="127"/>
        <v>March</v>
      </c>
      <c r="N260" s="16" t="str">
        <f t="shared" si="128"/>
        <v/>
      </c>
      <c r="O260" s="16" t="str">
        <f>IF(N260="","",COUNTIF($N$8:N260,N260))</f>
        <v/>
      </c>
      <c r="P260" s="34" t="str">
        <f t="shared" si="129"/>
        <v>outBeban</v>
      </c>
      <c r="Q260" s="34" t="str">
        <f t="shared" si="130"/>
        <v>outMarchBeban</v>
      </c>
      <c r="R260" s="34" t="str">
        <f t="shared" si="131"/>
        <v>Beban</v>
      </c>
      <c r="S260" s="34" t="str">
        <f t="shared" si="132"/>
        <v>Kas</v>
      </c>
      <c r="T260" s="34" t="str">
        <f t="shared" si="133"/>
        <v/>
      </c>
      <c r="U260" s="34" t="str">
        <f>IF(AND(L260=1,bp_kode=T260,T260&lt;&gt;""),COUNTIF($T$8:T260,T260),"")</f>
        <v/>
      </c>
      <c r="V260" s="34" t="str">
        <f t="shared" si="134"/>
        <v>db</v>
      </c>
      <c r="W260" s="34" t="str">
        <f t="shared" si="135"/>
        <v>db</v>
      </c>
      <c r="X260" s="34" t="str">
        <f>IF(B260="","",COUNTIF($C$8:C260,C260)&amp;C260)</f>
        <v>0</v>
      </c>
    </row>
    <row r="261" spans="2:24" ht="23.1" customHeight="1">
      <c r="B261" s="31">
        <v>44651</v>
      </c>
      <c r="C261" s="9"/>
      <c r="D261" s="9" t="s">
        <v>707</v>
      </c>
      <c r="E261" s="7"/>
      <c r="F261" s="7"/>
      <c r="G261" s="7"/>
      <c r="H261" s="7" t="s">
        <v>708</v>
      </c>
      <c r="I261" s="7" t="s">
        <v>582</v>
      </c>
      <c r="J261" s="39">
        <v>60500000</v>
      </c>
      <c r="L261" s="16">
        <f t="shared" si="102"/>
        <v>1</v>
      </c>
      <c r="M261" s="16" t="str">
        <f t="shared" si="96"/>
        <v>March</v>
      </c>
      <c r="N261" s="16" t="str">
        <f t="shared" si="103"/>
        <v/>
      </c>
      <c r="O261" s="16" t="str">
        <f>IF(N261="","",COUNTIF($N$8:N261,N261))</f>
        <v/>
      </c>
      <c r="P261" s="34" t="str">
        <f t="shared" si="104"/>
        <v>outBeban</v>
      </c>
      <c r="Q261" s="34" t="str">
        <f t="shared" si="105"/>
        <v>outMarchBeban</v>
      </c>
      <c r="R261" s="34" t="str">
        <f t="shared" si="97"/>
        <v>Beban</v>
      </c>
      <c r="S261" s="34" t="str">
        <f t="shared" si="98"/>
        <v>Kas</v>
      </c>
      <c r="T261" s="34" t="str">
        <f t="shared" si="99"/>
        <v/>
      </c>
      <c r="U261" s="34" t="str">
        <f>IF(AND(L261=1,bp_kode=T261,T261&lt;&gt;""),COUNTIF($T$8:T261,T261),"")</f>
        <v/>
      </c>
      <c r="V261" s="34" t="str">
        <f t="shared" si="100"/>
        <v>db</v>
      </c>
      <c r="W261" s="34" t="str">
        <f t="shared" si="101"/>
        <v>db</v>
      </c>
      <c r="X261" s="34" t="str">
        <f>IF(B261="","",COUNTIF($C$8:C261,C261)&amp;C261)</f>
        <v>0</v>
      </c>
    </row>
    <row r="262" spans="2:24" ht="23.1" customHeight="1">
      <c r="B262" s="31">
        <v>44651</v>
      </c>
      <c r="C262" s="9"/>
      <c r="D262" s="9" t="s">
        <v>655</v>
      </c>
      <c r="E262" s="7"/>
      <c r="F262" s="7"/>
      <c r="G262" s="7"/>
      <c r="H262" s="7" t="s">
        <v>639</v>
      </c>
      <c r="I262" s="7" t="s">
        <v>582</v>
      </c>
      <c r="J262" s="39">
        <v>23386400</v>
      </c>
      <c r="L262" s="16">
        <f t="shared" si="102"/>
        <v>1</v>
      </c>
      <c r="M262" s="16" t="str">
        <f t="shared" si="96"/>
        <v>March</v>
      </c>
      <c r="N262" s="16" t="str">
        <f t="shared" si="103"/>
        <v/>
      </c>
      <c r="O262" s="16" t="str">
        <f>IF(N262="","",COUNTIF($N$8:N262,N262))</f>
        <v/>
      </c>
      <c r="P262" s="34" t="str">
        <f t="shared" si="104"/>
        <v>outBeban</v>
      </c>
      <c r="Q262" s="34" t="str">
        <f t="shared" si="105"/>
        <v>outMarchBeban</v>
      </c>
      <c r="R262" s="34" t="str">
        <f t="shared" si="97"/>
        <v>Beban</v>
      </c>
      <c r="S262" s="34" t="str">
        <f t="shared" si="98"/>
        <v>Kas</v>
      </c>
      <c r="T262" s="34" t="str">
        <f t="shared" si="99"/>
        <v/>
      </c>
      <c r="U262" s="34" t="str">
        <f>IF(AND(L262=1,bp_kode=T262,T262&lt;&gt;""),COUNTIF($T$8:T262,T262),"")</f>
        <v/>
      </c>
      <c r="V262" s="34" t="str">
        <f t="shared" si="100"/>
        <v>db</v>
      </c>
      <c r="W262" s="34" t="str">
        <f t="shared" si="101"/>
        <v>db</v>
      </c>
      <c r="X262" s="34" t="str">
        <f>IF(B262="","",COUNTIF($C$8:C262,C262)&amp;C262)</f>
        <v>0</v>
      </c>
    </row>
    <row r="263" spans="2:24" ht="23.1" customHeight="1">
      <c r="B263" s="31">
        <v>44651</v>
      </c>
      <c r="C263" s="9"/>
      <c r="D263" s="9" t="s">
        <v>710</v>
      </c>
      <c r="E263" s="7"/>
      <c r="F263" s="7"/>
      <c r="G263" s="7"/>
      <c r="H263" s="7" t="s">
        <v>709</v>
      </c>
      <c r="I263" s="7" t="s">
        <v>582</v>
      </c>
      <c r="J263" s="39">
        <v>24856320</v>
      </c>
      <c r="L263" s="16">
        <f t="shared" ref="L263" si="136">IF(AND(B263&gt;=awal,B263&lt;=akhir,B263&lt;&gt;""),1,IF(AND(B263&lt;&gt;"",B263&lt;awal),2,""))</f>
        <v>1</v>
      </c>
      <c r="M263" s="16" t="str">
        <f t="shared" ref="M263" si="137">IF(B263="","",TEXT(B263,"mmmm"))</f>
        <v>March</v>
      </c>
      <c r="N263" s="16" t="str">
        <f t="shared" ref="N263" si="138">IF(AND(L263=1,H263=bb_akun),"Awe",IF(AND(L263=1,I263=bb_akun),"Awe",""))</f>
        <v/>
      </c>
      <c r="O263" s="16" t="str">
        <f>IF(N263="","",COUNTIF($N$8:N263,N263))</f>
        <v/>
      </c>
      <c r="P263" s="34" t="str">
        <f t="shared" ref="P263" si="139">IFERROR(IF(OR(INDEX(akun_type,MATCH(H263,akun_kb,0))="Kas",INDEX(akun_type,MATCH(H263,akun_kb,0))="Bank"),"In"&amp;INDEX(akun_type,MATCH(I263,akun_kb,0)),IF(OR(INDEX(akun_type,MATCH(I263,akun_kb,0))="Kas",INDEX(akun_type,MATCH(I263,akun_kb,0))="Bank"),"out"&amp;INDEX(akun_type,MATCH(H263,akun_kb,0)),"")),"")</f>
        <v>outBeban</v>
      </c>
      <c r="Q263" s="34" t="str">
        <f t="shared" ref="Q263" si="140">IFERROR(IF(OR(INDEX(akun_type,MATCH(H263,akun_kb,0))="Kas",INDEX(akun_type,MATCH(H263,akun_kb,0))="Bank"),"in"&amp;TEXT(B263,"mmmm")&amp;INDEX(akun_type,MATCH(I263,akun_kb,0)),IF(OR(INDEX(akun_type,MATCH(I263,akun_kb,0))="Kas",INDEX(akun_type,MATCH(I263,akun_kb,0))="Bank"),"out"&amp;TEXT(B263,"mmmm")&amp;INDEX(akun_type,MATCH(H263,akun_kb,0)),"")),"")</f>
        <v>outMarchBeban</v>
      </c>
      <c r="R263" s="34" t="str">
        <f t="shared" ref="R263" si="141">IFERROR(INDEX(akun_type,MATCH(H263,akun_kb,0)),"")</f>
        <v>Beban</v>
      </c>
      <c r="S263" s="34" t="str">
        <f t="shared" ref="S263" si="142">IFERROR(INDEX(akun_type,MATCH(I263,akun_kb,0)),"")</f>
        <v>Kas</v>
      </c>
      <c r="T263" s="34" t="str">
        <f t="shared" ref="T263" si="143">IF(AND(L263=1,OR(R263="Akun Piutang",R263="akun hutang",S263="akun piutang",S263="akun hutang")),E263,"")</f>
        <v/>
      </c>
      <c r="U263" s="34" t="str">
        <f>IF(AND(L263=1,bp_kode=T263,T263&lt;&gt;""),COUNTIF($T$8:T263,T263),"")</f>
        <v/>
      </c>
      <c r="V263" s="34" t="str">
        <f t="shared" ref="V263" si="144">IF(OR(R263="Pendapatan",R263="Pendapatan Lainnya",R263="Beban",R263="Harga Pokok Penjualan",R263="Beban Lainnya"),"db"&amp;F263,IF(OR(S263="Pendapatan",S263="Pendapatan Lainnya",S263="Beban",S263="Harga Pokok Penjualan",S263="Beban Lainnya"),"kr"&amp;F263,""))</f>
        <v>db</v>
      </c>
      <c r="W263" s="34" t="str">
        <f t="shared" ref="W263" si="145">IF(OR(R263="Pendapatan",R263="Pendapatan Lainnya",R263="Beban",R263="Harga Pokok Penjualan",R263="Beban Lainnya"),"db"&amp;G263,IF(OR(S263="Pendapatan",S263="Pendapatan Lainnya",S263="Beban",S263="Harga Pokok Penjualan",S263="Beban Lainnya"),"kr"&amp;G263,""))</f>
        <v>db</v>
      </c>
      <c r="X263" s="34" t="str">
        <f>IF(B263="","",COUNTIF($C$8:C263,C263)&amp;C263)</f>
        <v>0</v>
      </c>
    </row>
    <row r="264" spans="2:24" ht="23.1" customHeight="1">
      <c r="B264" s="31">
        <v>44651</v>
      </c>
      <c r="C264" s="9"/>
      <c r="D264" s="9" t="s">
        <v>663</v>
      </c>
      <c r="E264" s="7"/>
      <c r="F264" s="7"/>
      <c r="G264" s="7"/>
      <c r="H264" s="7" t="s">
        <v>658</v>
      </c>
      <c r="I264" s="7" t="s">
        <v>671</v>
      </c>
      <c r="J264" s="39">
        <v>2806459</v>
      </c>
      <c r="L264" s="16">
        <f t="shared" si="102"/>
        <v>1</v>
      </c>
      <c r="M264" s="16" t="str">
        <f t="shared" si="96"/>
        <v>March</v>
      </c>
      <c r="N264" s="16" t="str">
        <f t="shared" si="103"/>
        <v/>
      </c>
      <c r="O264" s="16" t="str">
        <f>IF(N264="","",COUNTIF($N$8:N264,N264))</f>
        <v/>
      </c>
      <c r="P264" s="34" t="str">
        <f t="shared" si="104"/>
        <v/>
      </c>
      <c r="Q264" s="34" t="str">
        <f t="shared" si="105"/>
        <v/>
      </c>
      <c r="R264" s="34" t="str">
        <f t="shared" si="97"/>
        <v>Beban</v>
      </c>
      <c r="S264" s="34" t="str">
        <f t="shared" si="98"/>
        <v>Depresiasi &amp; Amortisasi</v>
      </c>
      <c r="T264" s="34" t="str">
        <f t="shared" si="99"/>
        <v/>
      </c>
      <c r="U264" s="34" t="str">
        <f>IF(AND(L264=1,bp_kode=T264,T264&lt;&gt;""),COUNTIF($T$8:T264,T264),"")</f>
        <v/>
      </c>
      <c r="V264" s="34" t="str">
        <f t="shared" si="100"/>
        <v>db</v>
      </c>
      <c r="W264" s="34" t="str">
        <f t="shared" si="101"/>
        <v>db</v>
      </c>
      <c r="X264" s="34" t="str">
        <f>IF(B264="","",COUNTIF($C$8:C264,C264)&amp;C264)</f>
        <v>0</v>
      </c>
    </row>
    <row r="265" spans="2:24" ht="23.1" customHeight="1">
      <c r="B265" s="31">
        <v>44651</v>
      </c>
      <c r="C265" s="9"/>
      <c r="D265" s="9" t="s">
        <v>664</v>
      </c>
      <c r="E265" s="7"/>
      <c r="F265" s="7"/>
      <c r="G265" s="7"/>
      <c r="H265" s="7" t="s">
        <v>660</v>
      </c>
      <c r="I265" s="7" t="s">
        <v>659</v>
      </c>
      <c r="J265" s="39">
        <v>29031950</v>
      </c>
      <c r="L265" s="16">
        <f t="shared" si="102"/>
        <v>1</v>
      </c>
      <c r="M265" s="16" t="str">
        <f t="shared" si="96"/>
        <v>March</v>
      </c>
      <c r="N265" s="16" t="str">
        <f t="shared" si="103"/>
        <v/>
      </c>
      <c r="O265" s="16" t="str">
        <f>IF(N265="","",COUNTIF($N$8:N265,N265))</f>
        <v/>
      </c>
      <c r="P265" s="34" t="str">
        <f t="shared" si="104"/>
        <v/>
      </c>
      <c r="Q265" s="34" t="str">
        <f t="shared" si="105"/>
        <v/>
      </c>
      <c r="R265" s="34" t="str">
        <f t="shared" si="97"/>
        <v>Beban</v>
      </c>
      <c r="S265" s="34" t="str">
        <f t="shared" si="98"/>
        <v>Depresiasi &amp; Amortisasi</v>
      </c>
      <c r="T265" s="34" t="str">
        <f t="shared" si="99"/>
        <v/>
      </c>
      <c r="U265" s="34" t="str">
        <f>IF(AND(L265=1,bp_kode=T265,T265&lt;&gt;""),COUNTIF($T$8:T265,T265),"")</f>
        <v/>
      </c>
      <c r="V265" s="34" t="str">
        <f t="shared" si="100"/>
        <v>db</v>
      </c>
      <c r="W265" s="34" t="str">
        <f t="shared" si="101"/>
        <v>db</v>
      </c>
      <c r="X265" s="34" t="str">
        <f>IF(B265="","",COUNTIF($C$8:C265,C265)&amp;C265)</f>
        <v>0</v>
      </c>
    </row>
    <row r="266" spans="2:24" ht="23.1" customHeight="1">
      <c r="B266" s="31">
        <v>44651</v>
      </c>
      <c r="C266" s="9"/>
      <c r="D266" s="9" t="s">
        <v>665</v>
      </c>
      <c r="E266" s="7"/>
      <c r="F266" s="7"/>
      <c r="G266" s="7"/>
      <c r="H266" s="7" t="s">
        <v>661</v>
      </c>
      <c r="I266" s="7" t="s">
        <v>672</v>
      </c>
      <c r="J266" s="39">
        <v>41666</v>
      </c>
      <c r="L266" s="16">
        <f t="shared" si="102"/>
        <v>1</v>
      </c>
      <c r="M266" s="16" t="str">
        <f t="shared" si="96"/>
        <v>March</v>
      </c>
      <c r="N266" s="16" t="str">
        <f t="shared" si="103"/>
        <v/>
      </c>
      <c r="O266" s="16" t="str">
        <f>IF(N266="","",COUNTIF($N$8:N266,N266))</f>
        <v/>
      </c>
      <c r="P266" s="34" t="str">
        <f t="shared" si="104"/>
        <v/>
      </c>
      <c r="Q266" s="34" t="str">
        <f t="shared" si="105"/>
        <v/>
      </c>
      <c r="R266" s="34" t="str">
        <f t="shared" si="97"/>
        <v>Beban</v>
      </c>
      <c r="S266" s="34" t="str">
        <f t="shared" si="98"/>
        <v>Depresiasi &amp; Amortisasi</v>
      </c>
      <c r="T266" s="34" t="str">
        <f t="shared" si="99"/>
        <v/>
      </c>
      <c r="U266" s="34" t="str">
        <f>IF(AND(L266=1,bp_kode=T266,T266&lt;&gt;""),COUNTIF($T$8:T266,T266),"")</f>
        <v/>
      </c>
      <c r="V266" s="34" t="str">
        <f t="shared" si="100"/>
        <v>db</v>
      </c>
      <c r="W266" s="34" t="str">
        <f t="shared" si="101"/>
        <v>db</v>
      </c>
      <c r="X266" s="34" t="str">
        <f>IF(B266="","",COUNTIF($C$8:C266,C266)&amp;C266)</f>
        <v>0</v>
      </c>
    </row>
    <row r="267" spans="2:24" ht="23.1" customHeight="1">
      <c r="B267" s="31">
        <v>44651</v>
      </c>
      <c r="C267" s="9"/>
      <c r="D267" s="9" t="s">
        <v>666</v>
      </c>
      <c r="E267" s="7"/>
      <c r="F267" s="7"/>
      <c r="G267" s="7"/>
      <c r="H267" s="7" t="s">
        <v>662</v>
      </c>
      <c r="I267" s="7" t="s">
        <v>673</v>
      </c>
      <c r="J267" s="39">
        <v>5654493</v>
      </c>
      <c r="L267" s="16">
        <f t="shared" si="102"/>
        <v>1</v>
      </c>
      <c r="M267" s="16" t="str">
        <f t="shared" si="96"/>
        <v>March</v>
      </c>
      <c r="N267" s="16" t="str">
        <f t="shared" si="103"/>
        <v/>
      </c>
      <c r="O267" s="16" t="str">
        <f>IF(N267="","",COUNTIF($N$8:N267,N267))</f>
        <v/>
      </c>
      <c r="P267" s="34" t="str">
        <f t="shared" si="104"/>
        <v/>
      </c>
      <c r="Q267" s="34" t="str">
        <f t="shared" si="105"/>
        <v/>
      </c>
      <c r="R267" s="34" t="str">
        <f t="shared" ref="R267:R322" si="146">IFERROR(INDEX(akun_type,MATCH(H267,akun_kb,0)),"")</f>
        <v>Beban</v>
      </c>
      <c r="S267" s="34" t="str">
        <f t="shared" ref="S267:S322" si="147">IFERROR(INDEX(akun_type,MATCH(I267,akun_kb,0)),"")</f>
        <v>Depresiasi &amp; Amortisasi</v>
      </c>
      <c r="T267" s="34" t="str">
        <f t="shared" si="99"/>
        <v/>
      </c>
      <c r="U267" s="34" t="str">
        <f>IF(AND(L267=1,bp_kode=T267,T267&lt;&gt;""),COUNTIF($T$8:T267,T267),"")</f>
        <v/>
      </c>
      <c r="V267" s="34" t="str">
        <f t="shared" si="100"/>
        <v>db</v>
      </c>
      <c r="W267" s="34" t="str">
        <f t="shared" si="101"/>
        <v>db</v>
      </c>
      <c r="X267" s="34" t="str">
        <f>IF(B267="","",COUNTIF($C$8:C267,C267)&amp;C267)</f>
        <v>0</v>
      </c>
    </row>
    <row r="268" spans="2:24" ht="23.1" customHeight="1">
      <c r="B268" s="31">
        <v>44651</v>
      </c>
      <c r="C268" s="9"/>
      <c r="D268" s="9" t="s">
        <v>669</v>
      </c>
      <c r="E268" s="7"/>
      <c r="F268" s="7"/>
      <c r="G268" s="7"/>
      <c r="H268" s="7" t="s">
        <v>667</v>
      </c>
      <c r="I268" s="7" t="s">
        <v>674</v>
      </c>
      <c r="J268" s="39">
        <v>17325229</v>
      </c>
      <c r="L268" s="16">
        <f t="shared" si="102"/>
        <v>1</v>
      </c>
      <c r="M268" s="16" t="str">
        <f t="shared" ref="M268:M323" si="148">IF(B268="","",TEXT(B268,"mmmm"))</f>
        <v>March</v>
      </c>
      <c r="N268" s="16" t="str">
        <f t="shared" si="103"/>
        <v/>
      </c>
      <c r="O268" s="16" t="str">
        <f>IF(N268="","",COUNTIF($N$8:N268,N268))</f>
        <v/>
      </c>
      <c r="P268" s="34" t="str">
        <f t="shared" si="104"/>
        <v/>
      </c>
      <c r="Q268" s="34" t="str">
        <f t="shared" si="105"/>
        <v/>
      </c>
      <c r="R268" s="34" t="str">
        <f t="shared" si="146"/>
        <v>Beban</v>
      </c>
      <c r="S268" s="34" t="str">
        <f t="shared" si="147"/>
        <v>Depresiasi &amp; Amortisasi</v>
      </c>
      <c r="T268" s="34" t="str">
        <f t="shared" ref="T268:T323" si="149">IF(AND(L268=1,OR(R268="Akun Piutang",R268="akun hutang",S268="akun piutang",S268="akun hutang")),E268,"")</f>
        <v/>
      </c>
      <c r="U268" s="34" t="str">
        <f>IF(AND(L268=1,bp_kode=T268,T268&lt;&gt;""),COUNTIF($T$8:T268,T268),"")</f>
        <v/>
      </c>
      <c r="V268" s="34" t="str">
        <f t="shared" ref="V268:V323" si="150">IF(OR(R268="Pendapatan",R268="Pendapatan Lainnya",R268="Beban",R268="Harga Pokok Penjualan",R268="Beban Lainnya"),"db"&amp;F268,IF(OR(S268="Pendapatan",S268="Pendapatan Lainnya",S268="Beban",S268="Harga Pokok Penjualan",S268="Beban Lainnya"),"kr"&amp;F268,""))</f>
        <v>db</v>
      </c>
      <c r="W268" s="34" t="str">
        <f t="shared" ref="W268:W323" si="151">IF(OR(R268="Pendapatan",R268="Pendapatan Lainnya",R268="Beban",R268="Harga Pokok Penjualan",R268="Beban Lainnya"),"db"&amp;G268,IF(OR(S268="Pendapatan",S268="Pendapatan Lainnya",S268="Beban",S268="Harga Pokok Penjualan",S268="Beban Lainnya"),"kr"&amp;G268,""))</f>
        <v>db</v>
      </c>
      <c r="X268" s="34" t="str">
        <f>IF(B268="","",COUNTIF($C$8:C268,C268)&amp;C268)</f>
        <v>0</v>
      </c>
    </row>
    <row r="269" spans="2:24" ht="23.1" customHeight="1">
      <c r="B269" s="31">
        <v>44651</v>
      </c>
      <c r="C269" s="9"/>
      <c r="D269" s="9" t="s">
        <v>670</v>
      </c>
      <c r="E269" s="7"/>
      <c r="F269" s="7"/>
      <c r="G269" s="7"/>
      <c r="H269" s="7" t="s">
        <v>668</v>
      </c>
      <c r="I269" s="7" t="s">
        <v>675</v>
      </c>
      <c r="J269" s="39">
        <v>5265000</v>
      </c>
      <c r="L269" s="16">
        <f t="shared" si="102"/>
        <v>1</v>
      </c>
      <c r="M269" s="16" t="str">
        <f t="shared" si="148"/>
        <v>March</v>
      </c>
      <c r="N269" s="16" t="str">
        <f t="shared" si="103"/>
        <v/>
      </c>
      <c r="O269" s="16" t="str">
        <f>IF(N269="","",COUNTIF($N$8:N269,N269))</f>
        <v/>
      </c>
      <c r="P269" s="34" t="str">
        <f t="shared" si="104"/>
        <v/>
      </c>
      <c r="Q269" s="34" t="str">
        <f t="shared" si="105"/>
        <v/>
      </c>
      <c r="R269" s="34" t="str">
        <f t="shared" si="146"/>
        <v>Beban</v>
      </c>
      <c r="S269" s="34" t="str">
        <f t="shared" si="147"/>
        <v>Depresiasi &amp; Amortisasi</v>
      </c>
      <c r="T269" s="34" t="str">
        <f t="shared" si="149"/>
        <v/>
      </c>
      <c r="U269" s="34" t="str">
        <f>IF(AND(L269=1,bp_kode=T269,T269&lt;&gt;""),COUNTIF($T$8:T269,T269),"")</f>
        <v/>
      </c>
      <c r="V269" s="34" t="str">
        <f t="shared" si="150"/>
        <v>db</v>
      </c>
      <c r="W269" s="34" t="str">
        <f t="shared" si="151"/>
        <v>db</v>
      </c>
      <c r="X269" s="34" t="str">
        <f>IF(B269="","",COUNTIF($C$8:C269,C269)&amp;C269)</f>
        <v>0</v>
      </c>
    </row>
    <row r="270" spans="2:24" s="342" customFormat="1" ht="23.1" customHeight="1">
      <c r="B270" s="343">
        <v>44651</v>
      </c>
      <c r="C270" s="344"/>
      <c r="D270" s="344" t="s">
        <v>691</v>
      </c>
      <c r="E270" s="345"/>
      <c r="F270" s="345"/>
      <c r="G270" s="345"/>
      <c r="H270" s="345" t="s">
        <v>692</v>
      </c>
      <c r="I270" s="345" t="s">
        <v>582</v>
      </c>
      <c r="J270" s="346">
        <v>91500</v>
      </c>
      <c r="L270" s="347">
        <f t="shared" si="102"/>
        <v>1</v>
      </c>
      <c r="M270" s="347" t="str">
        <f t="shared" si="148"/>
        <v>March</v>
      </c>
      <c r="N270" s="347" t="str">
        <f t="shared" si="103"/>
        <v/>
      </c>
      <c r="O270" s="347" t="str">
        <f>IF(N270="","",COUNTIF($N$8:N270,N270))</f>
        <v/>
      </c>
      <c r="P270" s="348" t="str">
        <f t="shared" si="104"/>
        <v>outHarga Pokok Penjualan</v>
      </c>
      <c r="Q270" s="348" t="str">
        <f t="shared" si="105"/>
        <v>outMarchHarga Pokok Penjualan</v>
      </c>
      <c r="R270" s="348" t="str">
        <f t="shared" si="146"/>
        <v>Harga Pokok Penjualan</v>
      </c>
      <c r="S270" s="348" t="str">
        <f t="shared" si="147"/>
        <v>Kas</v>
      </c>
      <c r="T270" s="348" t="str">
        <f t="shared" si="149"/>
        <v/>
      </c>
      <c r="U270" s="348" t="str">
        <f>IF(AND(L270=1,bp_kode=T270,T270&lt;&gt;""),COUNTIF($T$8:T270,T270),"")</f>
        <v/>
      </c>
      <c r="V270" s="348" t="str">
        <f t="shared" si="150"/>
        <v>db</v>
      </c>
      <c r="W270" s="348" t="str">
        <f t="shared" si="151"/>
        <v>db</v>
      </c>
      <c r="X270" s="348" t="str">
        <f>IF(B270="","",COUNTIF($C$8:C270,C270)&amp;C270)</f>
        <v>0</v>
      </c>
    </row>
    <row r="271" spans="2:24" ht="23.1" customHeight="1">
      <c r="B271" s="31">
        <v>44681</v>
      </c>
      <c r="C271" s="9"/>
      <c r="D271" s="9" t="s">
        <v>550</v>
      </c>
      <c r="E271" s="7"/>
      <c r="F271" s="7"/>
      <c r="G271" s="7"/>
      <c r="H271" s="7" t="s">
        <v>551</v>
      </c>
      <c r="I271" s="7" t="s">
        <v>503</v>
      </c>
      <c r="J271" s="39">
        <v>604511200</v>
      </c>
      <c r="L271" s="16">
        <f t="shared" si="102"/>
        <v>1</v>
      </c>
      <c r="M271" s="16" t="str">
        <f t="shared" si="148"/>
        <v>April</v>
      </c>
      <c r="N271" s="16" t="str">
        <f t="shared" si="103"/>
        <v/>
      </c>
      <c r="O271" s="16" t="str">
        <f>IF(N271="","",COUNTIF($N$8:N271,N271))</f>
        <v/>
      </c>
      <c r="P271" s="34" t="str">
        <f t="shared" si="104"/>
        <v/>
      </c>
      <c r="Q271" s="34" t="str">
        <f t="shared" si="105"/>
        <v/>
      </c>
      <c r="R271" s="34" t="str">
        <f t="shared" si="146"/>
        <v>Akun Piutang</v>
      </c>
      <c r="S271" s="34" t="str">
        <f t="shared" si="147"/>
        <v>Pendapatan</v>
      </c>
      <c r="T271" s="34">
        <f t="shared" si="149"/>
        <v>0</v>
      </c>
      <c r="U271" s="34" t="str">
        <f>IF(AND(L271=1,bp_kode=T271,T271&lt;&gt;""),COUNTIF($T$8:T271,T271),"")</f>
        <v/>
      </c>
      <c r="V271" s="34" t="str">
        <f t="shared" si="150"/>
        <v>kr</v>
      </c>
      <c r="W271" s="34" t="str">
        <f t="shared" si="151"/>
        <v>kr</v>
      </c>
      <c r="X271" s="34" t="str">
        <f>IF(B271="","",COUNTIF($C$8:C271,C271)&amp;C271)</f>
        <v>0</v>
      </c>
    </row>
    <row r="272" spans="2:24" ht="23.1" customHeight="1">
      <c r="B272" s="31">
        <v>44681</v>
      </c>
      <c r="C272" s="9"/>
      <c r="D272" s="9" t="s">
        <v>552</v>
      </c>
      <c r="E272" s="7"/>
      <c r="F272" s="7"/>
      <c r="G272" s="7"/>
      <c r="H272" s="7" t="s">
        <v>587</v>
      </c>
      <c r="I272" s="7" t="s">
        <v>553</v>
      </c>
      <c r="J272" s="39">
        <v>12852000</v>
      </c>
      <c r="L272" s="16">
        <f t="shared" si="102"/>
        <v>1</v>
      </c>
      <c r="M272" s="16" t="str">
        <f t="shared" si="148"/>
        <v>April</v>
      </c>
      <c r="N272" s="16" t="str">
        <f t="shared" si="103"/>
        <v/>
      </c>
      <c r="O272" s="16" t="str">
        <f>IF(N272="","",COUNTIF($N$8:N272,N272))</f>
        <v/>
      </c>
      <c r="P272" s="34" t="str">
        <f t="shared" si="104"/>
        <v/>
      </c>
      <c r="Q272" s="34" t="str">
        <f t="shared" si="105"/>
        <v/>
      </c>
      <c r="R272" s="34" t="str">
        <f t="shared" si="146"/>
        <v>Akun Piutang</v>
      </c>
      <c r="S272" s="34" t="str">
        <f t="shared" si="147"/>
        <v>Pendapatan</v>
      </c>
      <c r="T272" s="34">
        <f t="shared" si="149"/>
        <v>0</v>
      </c>
      <c r="U272" s="34" t="str">
        <f>IF(AND(L272=1,bp_kode=T272,T272&lt;&gt;""),COUNTIF($T$8:T272,T272),"")</f>
        <v/>
      </c>
      <c r="V272" s="34" t="str">
        <f t="shared" si="150"/>
        <v>kr</v>
      </c>
      <c r="W272" s="34" t="str">
        <f t="shared" si="151"/>
        <v>kr</v>
      </c>
      <c r="X272" s="34" t="str">
        <f>IF(B272="","",COUNTIF($C$8:C272,C272)&amp;C272)</f>
        <v>0</v>
      </c>
    </row>
    <row r="273" spans="2:24" ht="23.1" customHeight="1">
      <c r="B273" s="31">
        <v>44681</v>
      </c>
      <c r="C273" s="9"/>
      <c r="D273" s="9" t="s">
        <v>555</v>
      </c>
      <c r="E273" s="7"/>
      <c r="F273" s="7"/>
      <c r="G273" s="7"/>
      <c r="H273" s="7" t="s">
        <v>557</v>
      </c>
      <c r="I273" s="7" t="s">
        <v>556</v>
      </c>
      <c r="J273" s="39">
        <v>235075000</v>
      </c>
      <c r="L273" s="16">
        <f t="shared" si="102"/>
        <v>1</v>
      </c>
      <c r="M273" s="16" t="str">
        <f t="shared" si="148"/>
        <v>April</v>
      </c>
      <c r="N273" s="16" t="str">
        <f t="shared" si="103"/>
        <v/>
      </c>
      <c r="O273" s="16" t="str">
        <f>IF(N273="","",COUNTIF($N$8:N273,N273))</f>
        <v/>
      </c>
      <c r="P273" s="34" t="str">
        <f t="shared" si="104"/>
        <v/>
      </c>
      <c r="Q273" s="34" t="str">
        <f t="shared" si="105"/>
        <v/>
      </c>
      <c r="R273" s="34" t="str">
        <f t="shared" si="146"/>
        <v>Akun Piutang</v>
      </c>
      <c r="S273" s="34" t="str">
        <f t="shared" si="147"/>
        <v>Pendapatan</v>
      </c>
      <c r="T273" s="34">
        <f t="shared" si="149"/>
        <v>0</v>
      </c>
      <c r="U273" s="34" t="str">
        <f>IF(AND(L273=1,bp_kode=T273,T273&lt;&gt;""),COUNTIF($T$8:T273,T273),"")</f>
        <v/>
      </c>
      <c r="V273" s="34" t="str">
        <f t="shared" si="150"/>
        <v>kr</v>
      </c>
      <c r="W273" s="34" t="str">
        <f t="shared" si="151"/>
        <v>kr</v>
      </c>
      <c r="X273" s="34" t="str">
        <f>IF(B273="","",COUNTIF($C$8:C273,C273)&amp;C273)</f>
        <v>0</v>
      </c>
    </row>
    <row r="274" spans="2:24" ht="23.1" customHeight="1">
      <c r="B274" s="31">
        <v>44681</v>
      </c>
      <c r="C274" s="9"/>
      <c r="D274" s="9" t="s">
        <v>558</v>
      </c>
      <c r="E274" s="7"/>
      <c r="F274" s="7"/>
      <c r="G274" s="7"/>
      <c r="H274" s="7" t="s">
        <v>559</v>
      </c>
      <c r="I274" s="7" t="s">
        <v>560</v>
      </c>
      <c r="J274" s="39">
        <v>417147000</v>
      </c>
      <c r="L274" s="16">
        <f t="shared" si="102"/>
        <v>1</v>
      </c>
      <c r="M274" s="16" t="str">
        <f t="shared" si="148"/>
        <v>April</v>
      </c>
      <c r="N274" s="16" t="str">
        <f t="shared" si="103"/>
        <v/>
      </c>
      <c r="O274" s="16" t="str">
        <f>IF(N274="","",COUNTIF($N$8:N274,N274))</f>
        <v/>
      </c>
      <c r="P274" s="34" t="str">
        <f t="shared" si="104"/>
        <v/>
      </c>
      <c r="Q274" s="34" t="str">
        <f t="shared" si="105"/>
        <v/>
      </c>
      <c r="R274" s="34" t="str">
        <f t="shared" si="146"/>
        <v>Akun Piutang</v>
      </c>
      <c r="S274" s="34" t="str">
        <f t="shared" si="147"/>
        <v>Pendapatan</v>
      </c>
      <c r="T274" s="34">
        <f t="shared" si="149"/>
        <v>0</v>
      </c>
      <c r="U274" s="34" t="str">
        <f>IF(AND(L274=1,bp_kode=T274,T274&lt;&gt;""),COUNTIF($T$8:T274,T274),"")</f>
        <v/>
      </c>
      <c r="V274" s="34" t="str">
        <f t="shared" si="150"/>
        <v>kr</v>
      </c>
      <c r="W274" s="34" t="str">
        <f t="shared" si="151"/>
        <v>kr</v>
      </c>
      <c r="X274" s="34" t="str">
        <f>IF(B274="","",COUNTIF($C$8:C274,C274)&amp;C274)</f>
        <v>0</v>
      </c>
    </row>
    <row r="275" spans="2:24" ht="23.1" customHeight="1">
      <c r="B275" s="31">
        <v>44681</v>
      </c>
      <c r="C275" s="9"/>
      <c r="D275" s="9" t="s">
        <v>562</v>
      </c>
      <c r="E275" s="7"/>
      <c r="F275" s="7"/>
      <c r="G275" s="7"/>
      <c r="H275" s="7" t="s">
        <v>561</v>
      </c>
      <c r="I275" s="7" t="s">
        <v>504</v>
      </c>
      <c r="J275" s="39">
        <v>143504000</v>
      </c>
      <c r="L275" s="16">
        <f t="shared" si="102"/>
        <v>1</v>
      </c>
      <c r="M275" s="16" t="str">
        <f t="shared" si="148"/>
        <v>April</v>
      </c>
      <c r="N275" s="16" t="str">
        <f t="shared" si="103"/>
        <v/>
      </c>
      <c r="O275" s="16" t="str">
        <f>IF(N275="","",COUNTIF($N$8:N275,N275))</f>
        <v/>
      </c>
      <c r="P275" s="34" t="str">
        <f t="shared" si="104"/>
        <v/>
      </c>
      <c r="Q275" s="34" t="str">
        <f t="shared" si="105"/>
        <v/>
      </c>
      <c r="R275" s="34" t="str">
        <f t="shared" si="146"/>
        <v>Akun Piutang</v>
      </c>
      <c r="S275" s="34" t="str">
        <f t="shared" si="147"/>
        <v>Pendapatan</v>
      </c>
      <c r="T275" s="34">
        <f t="shared" si="149"/>
        <v>0</v>
      </c>
      <c r="U275" s="34" t="str">
        <f>IF(AND(L275=1,bp_kode=T275,T275&lt;&gt;""),COUNTIF($T$8:T275,T275),"")</f>
        <v/>
      </c>
      <c r="V275" s="34" t="str">
        <f t="shared" si="150"/>
        <v>kr</v>
      </c>
      <c r="W275" s="34" t="str">
        <f t="shared" si="151"/>
        <v>kr</v>
      </c>
      <c r="X275" s="34" t="str">
        <f>IF(B275="","",COUNTIF($C$8:C275,C275)&amp;C275)</f>
        <v>0</v>
      </c>
    </row>
    <row r="276" spans="2:24" ht="23.1" customHeight="1">
      <c r="B276" s="31">
        <v>44681</v>
      </c>
      <c r="C276" s="9"/>
      <c r="D276" s="9" t="s">
        <v>563</v>
      </c>
      <c r="E276" s="7"/>
      <c r="F276" s="7"/>
      <c r="G276" s="7"/>
      <c r="H276" s="7" t="s">
        <v>565</v>
      </c>
      <c r="I276" s="7" t="s">
        <v>551</v>
      </c>
      <c r="J276" s="39">
        <v>244944500</v>
      </c>
      <c r="L276" s="16">
        <f t="shared" si="102"/>
        <v>1</v>
      </c>
      <c r="M276" s="16" t="str">
        <f t="shared" si="148"/>
        <v>April</v>
      </c>
      <c r="N276" s="16" t="str">
        <f t="shared" si="103"/>
        <v/>
      </c>
      <c r="O276" s="16" t="str">
        <f>IF(N276="","",COUNTIF($N$8:N276,N276))</f>
        <v/>
      </c>
      <c r="P276" s="34" t="str">
        <f t="shared" si="104"/>
        <v/>
      </c>
      <c r="Q276" s="34" t="str">
        <f t="shared" si="105"/>
        <v/>
      </c>
      <c r="R276" s="34" t="str">
        <f t="shared" si="146"/>
        <v>Pendapatan</v>
      </c>
      <c r="S276" s="34" t="str">
        <f t="shared" si="147"/>
        <v>Akun Piutang</v>
      </c>
      <c r="T276" s="34">
        <f t="shared" si="149"/>
        <v>0</v>
      </c>
      <c r="U276" s="34" t="str">
        <f>IF(AND(L276=1,bp_kode=T276,T276&lt;&gt;""),COUNTIF($T$8:T276,T276),"")</f>
        <v/>
      </c>
      <c r="V276" s="34" t="str">
        <f t="shared" si="150"/>
        <v>db</v>
      </c>
      <c r="W276" s="34" t="str">
        <f t="shared" si="151"/>
        <v>db</v>
      </c>
      <c r="X276" s="34" t="str">
        <f>IF(B276="","",COUNTIF($C$8:C276,C276)&amp;C276)</f>
        <v>0</v>
      </c>
    </row>
    <row r="277" spans="2:24" ht="23.1" customHeight="1">
      <c r="B277" s="31">
        <v>44681</v>
      </c>
      <c r="C277" s="9"/>
      <c r="D277" s="9" t="s">
        <v>564</v>
      </c>
      <c r="E277" s="7"/>
      <c r="F277" s="7"/>
      <c r="G277" s="7"/>
      <c r="H277" s="7" t="s">
        <v>566</v>
      </c>
      <c r="I277" s="7" t="s">
        <v>559</v>
      </c>
      <c r="J277" s="39">
        <v>43223900</v>
      </c>
      <c r="L277" s="16">
        <f t="shared" si="102"/>
        <v>1</v>
      </c>
      <c r="M277" s="16" t="str">
        <f t="shared" si="148"/>
        <v>April</v>
      </c>
      <c r="N277" s="16" t="str">
        <f t="shared" si="103"/>
        <v/>
      </c>
      <c r="O277" s="16" t="str">
        <f>IF(N277="","",COUNTIF($N$8:N277,N277))</f>
        <v/>
      </c>
      <c r="P277" s="34" t="str">
        <f t="shared" si="104"/>
        <v/>
      </c>
      <c r="Q277" s="34" t="str">
        <f t="shared" si="105"/>
        <v/>
      </c>
      <c r="R277" s="34" t="str">
        <f t="shared" si="146"/>
        <v>Pendapatan</v>
      </c>
      <c r="S277" s="34" t="str">
        <f t="shared" si="147"/>
        <v>Akun Piutang</v>
      </c>
      <c r="T277" s="34">
        <f t="shared" si="149"/>
        <v>0</v>
      </c>
      <c r="U277" s="34" t="str">
        <f>IF(AND(L277=1,bp_kode=T277,T277&lt;&gt;""),COUNTIF($T$8:T277,T277),"")</f>
        <v/>
      </c>
      <c r="V277" s="34" t="str">
        <f t="shared" si="150"/>
        <v>db</v>
      </c>
      <c r="W277" s="34" t="str">
        <f t="shared" si="151"/>
        <v>db</v>
      </c>
      <c r="X277" s="34" t="str">
        <f>IF(B277="","",COUNTIF($C$8:C277,C277)&amp;C277)</f>
        <v>0</v>
      </c>
    </row>
    <row r="278" spans="2:24" ht="23.1" customHeight="1">
      <c r="B278" s="31">
        <v>44681</v>
      </c>
      <c r="C278" s="9"/>
      <c r="D278" s="9" t="s">
        <v>555</v>
      </c>
      <c r="E278" s="7"/>
      <c r="F278" s="7"/>
      <c r="G278" s="7"/>
      <c r="H278" s="7" t="s">
        <v>554</v>
      </c>
      <c r="I278" s="7" t="s">
        <v>557</v>
      </c>
      <c r="J278" s="39">
        <v>238575000</v>
      </c>
      <c r="L278" s="16">
        <f t="shared" si="102"/>
        <v>1</v>
      </c>
      <c r="M278" s="16" t="str">
        <f t="shared" si="148"/>
        <v>April</v>
      </c>
      <c r="N278" s="16" t="str">
        <f t="shared" si="103"/>
        <v/>
      </c>
      <c r="O278" s="16" t="str">
        <f>IF(N278="","",COUNTIF($N$8:N278,N278))</f>
        <v/>
      </c>
      <c r="P278" s="34" t="str">
        <f t="shared" si="104"/>
        <v>InAkun Piutang</v>
      </c>
      <c r="Q278" s="34" t="str">
        <f t="shared" si="105"/>
        <v>inAprilAkun Piutang</v>
      </c>
      <c r="R278" s="34" t="str">
        <f t="shared" si="146"/>
        <v>Kas</v>
      </c>
      <c r="S278" s="34" t="str">
        <f t="shared" si="147"/>
        <v>Akun Piutang</v>
      </c>
      <c r="T278" s="34">
        <f t="shared" si="149"/>
        <v>0</v>
      </c>
      <c r="U278" s="34" t="str">
        <f>IF(AND(L278=1,bp_kode=T278,T278&lt;&gt;""),COUNTIF($T$8:T278,T278),"")</f>
        <v/>
      </c>
      <c r="V278" s="34" t="str">
        <f t="shared" si="150"/>
        <v/>
      </c>
      <c r="W278" s="34" t="str">
        <f t="shared" si="151"/>
        <v/>
      </c>
      <c r="X278" s="34" t="str">
        <f>IF(B278="","",COUNTIF($C$8:C278,C278)&amp;C278)</f>
        <v>0</v>
      </c>
    </row>
    <row r="279" spans="2:24" ht="23.1" customHeight="1">
      <c r="B279" s="31">
        <v>44681</v>
      </c>
      <c r="C279" s="9"/>
      <c r="D279" s="9" t="s">
        <v>687</v>
      </c>
      <c r="E279" s="7"/>
      <c r="F279" s="7"/>
      <c r="G279" s="7"/>
      <c r="H279" s="7" t="s">
        <v>568</v>
      </c>
      <c r="I279" s="7" t="s">
        <v>569</v>
      </c>
      <c r="J279" s="39">
        <v>190056</v>
      </c>
      <c r="L279" s="16">
        <f t="shared" si="102"/>
        <v>1</v>
      </c>
      <c r="M279" s="16" t="str">
        <f t="shared" si="148"/>
        <v>April</v>
      </c>
      <c r="N279" s="16" t="str">
        <f t="shared" si="103"/>
        <v/>
      </c>
      <c r="O279" s="16" t="str">
        <f>IF(N279="","",COUNTIF($N$8:N279,N279))</f>
        <v/>
      </c>
      <c r="P279" s="34" t="str">
        <f t="shared" si="104"/>
        <v>InPendapatan Lainnya</v>
      </c>
      <c r="Q279" s="34" t="str">
        <f t="shared" si="105"/>
        <v>inAprilPendapatan Lainnya</v>
      </c>
      <c r="R279" s="34" t="str">
        <f t="shared" si="146"/>
        <v>Bank</v>
      </c>
      <c r="S279" s="34" t="str">
        <f t="shared" si="147"/>
        <v>Pendapatan Lainnya</v>
      </c>
      <c r="T279" s="34" t="str">
        <f t="shared" si="149"/>
        <v/>
      </c>
      <c r="U279" s="34" t="str">
        <f>IF(AND(L279=1,bp_kode=T279,T279&lt;&gt;""),COUNTIF($T$8:T279,T279),"")</f>
        <v/>
      </c>
      <c r="V279" s="34" t="str">
        <f t="shared" si="150"/>
        <v>kr</v>
      </c>
      <c r="W279" s="34" t="str">
        <f t="shared" si="151"/>
        <v>kr</v>
      </c>
      <c r="X279" s="34" t="str">
        <f>IF(B279="","",COUNTIF($C$8:C279,C279)&amp;C279)</f>
        <v>0</v>
      </c>
    </row>
    <row r="280" spans="2:24" ht="23.1" customHeight="1">
      <c r="B280" s="31">
        <v>44681</v>
      </c>
      <c r="C280" s="9"/>
      <c r="D280" s="9" t="s">
        <v>570</v>
      </c>
      <c r="E280" s="7"/>
      <c r="F280" s="7"/>
      <c r="G280" s="7"/>
      <c r="H280" s="7" t="s">
        <v>571</v>
      </c>
      <c r="I280" s="7" t="s">
        <v>568</v>
      </c>
      <c r="J280" s="39">
        <v>38001</v>
      </c>
      <c r="L280" s="16">
        <f t="shared" si="102"/>
        <v>1</v>
      </c>
      <c r="M280" s="16" t="str">
        <f t="shared" si="148"/>
        <v>April</v>
      </c>
      <c r="N280" s="16" t="str">
        <f t="shared" si="103"/>
        <v/>
      </c>
      <c r="O280" s="16" t="str">
        <f>IF(N280="","",COUNTIF($N$8:N280,N280))</f>
        <v/>
      </c>
      <c r="P280" s="34" t="str">
        <f t="shared" si="104"/>
        <v>outBeban Lainnya</v>
      </c>
      <c r="Q280" s="34" t="str">
        <f t="shared" si="105"/>
        <v>outAprilBeban Lainnya</v>
      </c>
      <c r="R280" s="34" t="str">
        <f t="shared" si="146"/>
        <v>Beban Lainnya</v>
      </c>
      <c r="S280" s="34" t="str">
        <f t="shared" si="147"/>
        <v>Bank</v>
      </c>
      <c r="T280" s="34" t="str">
        <f t="shared" si="149"/>
        <v/>
      </c>
      <c r="U280" s="34" t="str">
        <f>IF(AND(L280=1,bp_kode=T280,T280&lt;&gt;""),COUNTIF($T$8:T280,T280),"")</f>
        <v/>
      </c>
      <c r="V280" s="34" t="str">
        <f t="shared" si="150"/>
        <v>db</v>
      </c>
      <c r="W280" s="34" t="str">
        <f t="shared" si="151"/>
        <v>db</v>
      </c>
      <c r="X280" s="34" t="str">
        <f>IF(B280="","",COUNTIF($C$8:C280,C280)&amp;C280)</f>
        <v>0</v>
      </c>
    </row>
    <row r="281" spans="2:24" ht="23.1" customHeight="1">
      <c r="B281" s="31">
        <v>44681</v>
      </c>
      <c r="C281" s="9"/>
      <c r="D281" s="9" t="s">
        <v>572</v>
      </c>
      <c r="E281" s="7"/>
      <c r="F281" s="7"/>
      <c r="G281" s="7"/>
      <c r="H281" s="7" t="s">
        <v>640</v>
      </c>
      <c r="I281" s="7" t="s">
        <v>568</v>
      </c>
      <c r="J281" s="39">
        <v>36500</v>
      </c>
      <c r="L281" s="16">
        <f t="shared" si="102"/>
        <v>1</v>
      </c>
      <c r="M281" s="16" t="str">
        <f t="shared" si="148"/>
        <v>April</v>
      </c>
      <c r="N281" s="16" t="str">
        <f t="shared" si="103"/>
        <v/>
      </c>
      <c r="O281" s="16" t="str">
        <f>IF(N281="","",COUNTIF($N$8:N281,N281))</f>
        <v/>
      </c>
      <c r="P281" s="34" t="str">
        <f t="shared" si="104"/>
        <v>outBeban Lainnya</v>
      </c>
      <c r="Q281" s="34" t="str">
        <f t="shared" si="105"/>
        <v>outAprilBeban Lainnya</v>
      </c>
      <c r="R281" s="34" t="str">
        <f t="shared" si="146"/>
        <v>Beban Lainnya</v>
      </c>
      <c r="S281" s="34" t="str">
        <f t="shared" si="147"/>
        <v>Bank</v>
      </c>
      <c r="T281" s="34" t="str">
        <f t="shared" si="149"/>
        <v/>
      </c>
      <c r="U281" s="34" t="str">
        <f>IF(AND(L281=1,bp_kode=T281,T281&lt;&gt;""),COUNTIF($T$8:T281,T281),"")</f>
        <v/>
      </c>
      <c r="V281" s="34" t="str">
        <f t="shared" si="150"/>
        <v>db</v>
      </c>
      <c r="W281" s="34" t="str">
        <f t="shared" si="151"/>
        <v>db</v>
      </c>
      <c r="X281" s="34" t="str">
        <f>IF(B281="","",COUNTIF($C$8:C281,C281)&amp;C281)</f>
        <v>0</v>
      </c>
    </row>
    <row r="282" spans="2:24" ht="23.1" customHeight="1">
      <c r="B282" s="31">
        <v>44681</v>
      </c>
      <c r="C282" s="9"/>
      <c r="D282" s="9" t="s">
        <v>573</v>
      </c>
      <c r="E282" s="7"/>
      <c r="F282" s="7"/>
      <c r="G282" s="7"/>
      <c r="H282" s="7" t="s">
        <v>568</v>
      </c>
      <c r="I282" s="7" t="s">
        <v>559</v>
      </c>
      <c r="J282" s="39">
        <v>42397100</v>
      </c>
      <c r="L282" s="16">
        <f t="shared" si="102"/>
        <v>1</v>
      </c>
      <c r="M282" s="16" t="str">
        <f t="shared" si="148"/>
        <v>April</v>
      </c>
      <c r="N282" s="16" t="str">
        <f t="shared" si="103"/>
        <v/>
      </c>
      <c r="O282" s="16" t="str">
        <f>IF(N282="","",COUNTIF($N$8:N282,N282))</f>
        <v/>
      </c>
      <c r="P282" s="34" t="str">
        <f t="shared" si="104"/>
        <v>InAkun Piutang</v>
      </c>
      <c r="Q282" s="34" t="str">
        <f t="shared" si="105"/>
        <v>inAprilAkun Piutang</v>
      </c>
      <c r="R282" s="34" t="str">
        <f t="shared" si="146"/>
        <v>Bank</v>
      </c>
      <c r="S282" s="34" t="str">
        <f t="shared" si="147"/>
        <v>Akun Piutang</v>
      </c>
      <c r="T282" s="34">
        <f t="shared" si="149"/>
        <v>0</v>
      </c>
      <c r="U282" s="34" t="str">
        <f>IF(AND(L282=1,bp_kode=T282,T282&lt;&gt;""),COUNTIF($T$8:T282,T282),"")</f>
        <v/>
      </c>
      <c r="V282" s="34" t="str">
        <f t="shared" si="150"/>
        <v/>
      </c>
      <c r="W282" s="34" t="str">
        <f t="shared" si="151"/>
        <v/>
      </c>
      <c r="X282" s="34" t="str">
        <f>IF(B282="","",COUNTIF($C$8:C282,C282)&amp;C282)</f>
        <v>0</v>
      </c>
    </row>
    <row r="283" spans="2:24" ht="23.1" customHeight="1">
      <c r="B283" s="31">
        <v>44681</v>
      </c>
      <c r="C283" s="9"/>
      <c r="D283" s="9" t="s">
        <v>687</v>
      </c>
      <c r="E283" s="7"/>
      <c r="F283" s="7"/>
      <c r="G283" s="7"/>
      <c r="H283" s="7" t="s">
        <v>575</v>
      </c>
      <c r="I283" s="7" t="s">
        <v>569</v>
      </c>
      <c r="J283" s="39">
        <v>1237</v>
      </c>
      <c r="L283" s="16">
        <f t="shared" si="102"/>
        <v>1</v>
      </c>
      <c r="M283" s="16" t="str">
        <f t="shared" si="148"/>
        <v>April</v>
      </c>
      <c r="N283" s="16" t="str">
        <f t="shared" si="103"/>
        <v/>
      </c>
      <c r="O283" s="16" t="str">
        <f>IF(N283="","",COUNTIF($N$8:N283,N283))</f>
        <v/>
      </c>
      <c r="P283" s="34" t="str">
        <f t="shared" si="104"/>
        <v>InPendapatan Lainnya</v>
      </c>
      <c r="Q283" s="34" t="str">
        <f t="shared" si="105"/>
        <v>inAprilPendapatan Lainnya</v>
      </c>
      <c r="R283" s="34" t="str">
        <f t="shared" si="146"/>
        <v>Bank</v>
      </c>
      <c r="S283" s="34" t="str">
        <f t="shared" si="147"/>
        <v>Pendapatan Lainnya</v>
      </c>
      <c r="T283" s="34" t="str">
        <f t="shared" si="149"/>
        <v/>
      </c>
      <c r="U283" s="34" t="str">
        <f>IF(AND(L283=1,bp_kode=T283,T283&lt;&gt;""),COUNTIF($T$8:T283,T283),"")</f>
        <v/>
      </c>
      <c r="V283" s="34" t="str">
        <f t="shared" si="150"/>
        <v>kr</v>
      </c>
      <c r="W283" s="34" t="str">
        <f t="shared" si="151"/>
        <v>kr</v>
      </c>
      <c r="X283" s="34" t="str">
        <f>IF(B283="","",COUNTIF($C$8:C283,C283)&amp;C283)</f>
        <v>0</v>
      </c>
    </row>
    <row r="284" spans="2:24" ht="23.1" customHeight="1">
      <c r="B284" s="31">
        <v>44681</v>
      </c>
      <c r="C284" s="9"/>
      <c r="D284" s="9" t="s">
        <v>574</v>
      </c>
      <c r="E284" s="7"/>
      <c r="F284" s="7"/>
      <c r="G284" s="7"/>
      <c r="H284" s="7" t="s">
        <v>640</v>
      </c>
      <c r="I284" s="7" t="s">
        <v>575</v>
      </c>
      <c r="J284" s="39">
        <v>36500</v>
      </c>
      <c r="L284" s="16">
        <f t="shared" si="102"/>
        <v>1</v>
      </c>
      <c r="M284" s="16" t="str">
        <f t="shared" si="148"/>
        <v>April</v>
      </c>
      <c r="N284" s="16" t="str">
        <f t="shared" si="103"/>
        <v/>
      </c>
      <c r="O284" s="16" t="str">
        <f>IF(N284="","",COUNTIF($N$8:N284,N284))</f>
        <v/>
      </c>
      <c r="P284" s="34" t="str">
        <f t="shared" si="104"/>
        <v>outBeban Lainnya</v>
      </c>
      <c r="Q284" s="34" t="str">
        <f t="shared" si="105"/>
        <v>outAprilBeban Lainnya</v>
      </c>
      <c r="R284" s="34" t="str">
        <f t="shared" si="146"/>
        <v>Beban Lainnya</v>
      </c>
      <c r="S284" s="34" t="str">
        <f t="shared" si="147"/>
        <v>Bank</v>
      </c>
      <c r="T284" s="34" t="str">
        <f t="shared" si="149"/>
        <v/>
      </c>
      <c r="U284" s="34" t="str">
        <f>IF(AND(L284=1,bp_kode=T284,T284&lt;&gt;""),COUNTIF($T$8:T284,T284),"")</f>
        <v/>
      </c>
      <c r="V284" s="34" t="str">
        <f t="shared" si="150"/>
        <v>db</v>
      </c>
      <c r="W284" s="34" t="str">
        <f t="shared" si="151"/>
        <v>db</v>
      </c>
      <c r="X284" s="34" t="str">
        <f>IF(B284="","",COUNTIF($C$8:C284,C284)&amp;C284)</f>
        <v>0</v>
      </c>
    </row>
    <row r="285" spans="2:24" ht="23.1" customHeight="1">
      <c r="B285" s="31">
        <v>44681</v>
      </c>
      <c r="C285" s="9"/>
      <c r="D285" s="9" t="s">
        <v>687</v>
      </c>
      <c r="E285" s="7"/>
      <c r="F285" s="7"/>
      <c r="G285" s="7"/>
      <c r="H285" s="7" t="s">
        <v>577</v>
      </c>
      <c r="I285" s="7" t="s">
        <v>569</v>
      </c>
      <c r="J285" s="39">
        <v>1298497.47</v>
      </c>
      <c r="L285" s="16">
        <f t="shared" si="102"/>
        <v>1</v>
      </c>
      <c r="M285" s="16" t="str">
        <f t="shared" si="148"/>
        <v>April</v>
      </c>
      <c r="N285" s="16" t="str">
        <f t="shared" si="103"/>
        <v/>
      </c>
      <c r="O285" s="16" t="str">
        <f>IF(N285="","",COUNTIF($N$8:N285,N285))</f>
        <v/>
      </c>
      <c r="P285" s="34" t="str">
        <f t="shared" si="104"/>
        <v>InPendapatan Lainnya</v>
      </c>
      <c r="Q285" s="34" t="str">
        <f t="shared" si="105"/>
        <v>inAprilPendapatan Lainnya</v>
      </c>
      <c r="R285" s="34" t="str">
        <f t="shared" si="146"/>
        <v>Bank</v>
      </c>
      <c r="S285" s="34" t="str">
        <f t="shared" si="147"/>
        <v>Pendapatan Lainnya</v>
      </c>
      <c r="T285" s="34" t="str">
        <f t="shared" si="149"/>
        <v/>
      </c>
      <c r="U285" s="34" t="str">
        <f>IF(AND(L285=1,bp_kode=T285,T285&lt;&gt;""),COUNTIF($T$8:T285,T285),"")</f>
        <v/>
      </c>
      <c r="V285" s="34" t="str">
        <f t="shared" si="150"/>
        <v>kr</v>
      </c>
      <c r="W285" s="34" t="str">
        <f t="shared" si="151"/>
        <v>kr</v>
      </c>
      <c r="X285" s="34" t="str">
        <f>IF(B285="","",COUNTIF($C$8:C285,C285)&amp;C285)</f>
        <v>0</v>
      </c>
    </row>
    <row r="286" spans="2:24" ht="23.1" customHeight="1">
      <c r="B286" s="31">
        <v>44681</v>
      </c>
      <c r="C286" s="9"/>
      <c r="D286" s="9" t="s">
        <v>570</v>
      </c>
      <c r="E286" s="7"/>
      <c r="F286" s="7"/>
      <c r="G286" s="7"/>
      <c r="H286" s="7" t="s">
        <v>571</v>
      </c>
      <c r="I286" s="7" t="s">
        <v>577</v>
      </c>
      <c r="J286" s="39">
        <v>259699.47</v>
      </c>
      <c r="L286" s="16">
        <f t="shared" si="102"/>
        <v>1</v>
      </c>
      <c r="M286" s="16" t="str">
        <f t="shared" si="148"/>
        <v>April</v>
      </c>
      <c r="N286" s="16" t="str">
        <f t="shared" si="103"/>
        <v/>
      </c>
      <c r="O286" s="16" t="str">
        <f>IF(N286="","",COUNTIF($N$8:N286,N286))</f>
        <v/>
      </c>
      <c r="P286" s="34" t="str">
        <f t="shared" si="104"/>
        <v>outBeban Lainnya</v>
      </c>
      <c r="Q286" s="34" t="str">
        <f t="shared" si="105"/>
        <v>outAprilBeban Lainnya</v>
      </c>
      <c r="R286" s="34" t="str">
        <f t="shared" si="146"/>
        <v>Beban Lainnya</v>
      </c>
      <c r="S286" s="34" t="str">
        <f t="shared" si="147"/>
        <v>Bank</v>
      </c>
      <c r="T286" s="34" t="str">
        <f t="shared" si="149"/>
        <v/>
      </c>
      <c r="U286" s="34" t="str">
        <f>IF(AND(L286=1,bp_kode=T286,T286&lt;&gt;""),COUNTIF($T$8:T286,T286),"")</f>
        <v/>
      </c>
      <c r="V286" s="34" t="str">
        <f t="shared" si="150"/>
        <v>db</v>
      </c>
      <c r="W286" s="34" t="str">
        <f t="shared" si="151"/>
        <v>db</v>
      </c>
      <c r="X286" s="34" t="str">
        <f>IF(B286="","",COUNTIF($C$8:C286,C286)&amp;C286)</f>
        <v>0</v>
      </c>
    </row>
    <row r="287" spans="2:24" ht="23.1" customHeight="1">
      <c r="B287" s="31">
        <v>44681</v>
      </c>
      <c r="C287" s="9"/>
      <c r="D287" s="9" t="s">
        <v>572</v>
      </c>
      <c r="E287" s="7"/>
      <c r="F287" s="7"/>
      <c r="G287" s="7"/>
      <c r="H287" s="7" t="s">
        <v>640</v>
      </c>
      <c r="I287" s="7" t="s">
        <v>577</v>
      </c>
      <c r="J287" s="39">
        <v>25000</v>
      </c>
      <c r="L287" s="16">
        <f t="shared" si="102"/>
        <v>1</v>
      </c>
      <c r="M287" s="16" t="str">
        <f t="shared" si="148"/>
        <v>April</v>
      </c>
      <c r="N287" s="16" t="str">
        <f t="shared" si="103"/>
        <v/>
      </c>
      <c r="O287" s="16" t="str">
        <f>IF(N287="","",COUNTIF($N$8:N287,N287))</f>
        <v/>
      </c>
      <c r="P287" s="34" t="str">
        <f t="shared" si="104"/>
        <v>outBeban Lainnya</v>
      </c>
      <c r="Q287" s="34" t="str">
        <f t="shared" si="105"/>
        <v>outAprilBeban Lainnya</v>
      </c>
      <c r="R287" s="34" t="str">
        <f t="shared" si="146"/>
        <v>Beban Lainnya</v>
      </c>
      <c r="S287" s="34" t="str">
        <f t="shared" si="147"/>
        <v>Bank</v>
      </c>
      <c r="T287" s="34" t="str">
        <f t="shared" si="149"/>
        <v/>
      </c>
      <c r="U287" s="34" t="str">
        <f>IF(AND(L287=1,bp_kode=T287,T287&lt;&gt;""),COUNTIF($T$8:T287,T287),"")</f>
        <v/>
      </c>
      <c r="V287" s="34" t="str">
        <f t="shared" si="150"/>
        <v>db</v>
      </c>
      <c r="W287" s="34" t="str">
        <f t="shared" si="151"/>
        <v>db</v>
      </c>
      <c r="X287" s="34" t="str">
        <f>IF(B287="","",COUNTIF($C$8:C287,C287)&amp;C287)</f>
        <v>0</v>
      </c>
    </row>
    <row r="288" spans="2:24" ht="23.1" customHeight="1">
      <c r="B288" s="31">
        <v>44681</v>
      </c>
      <c r="C288" s="9"/>
      <c r="D288" s="9" t="s">
        <v>578</v>
      </c>
      <c r="E288" s="7"/>
      <c r="F288" s="7"/>
      <c r="G288" s="7"/>
      <c r="H288" s="7" t="s">
        <v>640</v>
      </c>
      <c r="I288" s="7" t="s">
        <v>577</v>
      </c>
      <c r="J288" s="39">
        <v>10000</v>
      </c>
      <c r="L288" s="16">
        <f t="shared" si="102"/>
        <v>1</v>
      </c>
      <c r="M288" s="16" t="str">
        <f t="shared" si="148"/>
        <v>April</v>
      </c>
      <c r="N288" s="16" t="str">
        <f t="shared" si="103"/>
        <v/>
      </c>
      <c r="O288" s="16" t="str">
        <f>IF(N288="","",COUNTIF($N$8:N288,N288))</f>
        <v/>
      </c>
      <c r="P288" s="34" t="str">
        <f t="shared" si="104"/>
        <v>outBeban Lainnya</v>
      </c>
      <c r="Q288" s="34" t="str">
        <f t="shared" si="105"/>
        <v>outAprilBeban Lainnya</v>
      </c>
      <c r="R288" s="34" t="str">
        <f t="shared" si="146"/>
        <v>Beban Lainnya</v>
      </c>
      <c r="S288" s="34" t="str">
        <f t="shared" si="147"/>
        <v>Bank</v>
      </c>
      <c r="T288" s="34" t="str">
        <f t="shared" si="149"/>
        <v/>
      </c>
      <c r="U288" s="34" t="str">
        <f>IF(AND(L288=1,bp_kode=T288,T288&lt;&gt;""),COUNTIF($T$8:T288,T288),"")</f>
        <v/>
      </c>
      <c r="V288" s="34" t="str">
        <f t="shared" si="150"/>
        <v>db</v>
      </c>
      <c r="W288" s="34" t="str">
        <f t="shared" si="151"/>
        <v>db</v>
      </c>
      <c r="X288" s="34" t="str">
        <f>IF(B288="","",COUNTIF($C$8:C288,C288)&amp;C288)</f>
        <v>0</v>
      </c>
    </row>
    <row r="289" spans="2:24" ht="23.1" customHeight="1">
      <c r="B289" s="31">
        <v>44681</v>
      </c>
      <c r="C289" s="9"/>
      <c r="D289" s="9" t="s">
        <v>573</v>
      </c>
      <c r="E289" s="7"/>
      <c r="F289" s="7"/>
      <c r="G289" s="7"/>
      <c r="H289" s="7" t="s">
        <v>577</v>
      </c>
      <c r="I289" s="7" t="s">
        <v>559</v>
      </c>
      <c r="J289" s="39">
        <v>68344200</v>
      </c>
      <c r="L289" s="16">
        <f t="shared" si="102"/>
        <v>1</v>
      </c>
      <c r="M289" s="16" t="str">
        <f t="shared" si="148"/>
        <v>April</v>
      </c>
      <c r="N289" s="16" t="str">
        <f t="shared" si="103"/>
        <v/>
      </c>
      <c r="O289" s="16" t="str">
        <f>IF(N289="","",COUNTIF($N$8:N289,N289))</f>
        <v/>
      </c>
      <c r="P289" s="34" t="str">
        <f t="shared" si="104"/>
        <v>InAkun Piutang</v>
      </c>
      <c r="Q289" s="34" t="str">
        <f t="shared" si="105"/>
        <v>inAprilAkun Piutang</v>
      </c>
      <c r="R289" s="34" t="str">
        <f t="shared" si="146"/>
        <v>Bank</v>
      </c>
      <c r="S289" s="34" t="str">
        <f t="shared" si="147"/>
        <v>Akun Piutang</v>
      </c>
      <c r="T289" s="34">
        <f t="shared" si="149"/>
        <v>0</v>
      </c>
      <c r="U289" s="34" t="str">
        <f>IF(AND(L289=1,bp_kode=T289,T289&lt;&gt;""),COUNTIF($T$8:T289,T289),"")</f>
        <v/>
      </c>
      <c r="V289" s="34" t="str">
        <f t="shared" si="150"/>
        <v/>
      </c>
      <c r="W289" s="34" t="str">
        <f t="shared" si="151"/>
        <v/>
      </c>
      <c r="X289" s="34" t="str">
        <f>IF(B289="","",COUNTIF($C$8:C289,C289)&amp;C289)</f>
        <v>0</v>
      </c>
    </row>
    <row r="290" spans="2:24" ht="23.1" customHeight="1">
      <c r="B290" s="31">
        <v>44681</v>
      </c>
      <c r="C290" s="9"/>
      <c r="D290" s="9" t="s">
        <v>687</v>
      </c>
      <c r="E290" s="7"/>
      <c r="F290" s="7"/>
      <c r="G290" s="7"/>
      <c r="H290" s="7" t="s">
        <v>579</v>
      </c>
      <c r="I290" s="7" t="s">
        <v>569</v>
      </c>
      <c r="J290" s="39">
        <v>463507.94</v>
      </c>
      <c r="L290" s="16">
        <f t="shared" si="102"/>
        <v>1</v>
      </c>
      <c r="M290" s="16" t="str">
        <f t="shared" si="148"/>
        <v>April</v>
      </c>
      <c r="N290" s="16" t="str">
        <f t="shared" si="103"/>
        <v/>
      </c>
      <c r="O290" s="16" t="str">
        <f>IF(N290="","",COUNTIF($N$8:N290,N290))</f>
        <v/>
      </c>
      <c r="P290" s="34" t="str">
        <f t="shared" si="104"/>
        <v>InPendapatan Lainnya</v>
      </c>
      <c r="Q290" s="34" t="str">
        <f t="shared" si="105"/>
        <v>inAprilPendapatan Lainnya</v>
      </c>
      <c r="R290" s="34" t="str">
        <f t="shared" si="146"/>
        <v>Bank</v>
      </c>
      <c r="S290" s="34" t="str">
        <f t="shared" si="147"/>
        <v>Pendapatan Lainnya</v>
      </c>
      <c r="T290" s="34" t="str">
        <f t="shared" si="149"/>
        <v/>
      </c>
      <c r="U290" s="34" t="str">
        <f>IF(AND(L290=1,bp_kode=T290,T290&lt;&gt;""),COUNTIF($T$8:T290,T290),"")</f>
        <v/>
      </c>
      <c r="V290" s="34" t="str">
        <f t="shared" si="150"/>
        <v>kr</v>
      </c>
      <c r="W290" s="34" t="str">
        <f t="shared" si="151"/>
        <v>kr</v>
      </c>
      <c r="X290" s="34" t="str">
        <f>IF(B290="","",COUNTIF($C$8:C290,C290)&amp;C290)</f>
        <v>0</v>
      </c>
    </row>
    <row r="291" spans="2:24" ht="23.1" customHeight="1">
      <c r="B291" s="31">
        <v>44681</v>
      </c>
      <c r="C291" s="9"/>
      <c r="D291" s="9" t="s">
        <v>689</v>
      </c>
      <c r="E291" s="7"/>
      <c r="F291" s="7"/>
      <c r="G291" s="7"/>
      <c r="H291" s="7" t="s">
        <v>640</v>
      </c>
      <c r="I291" s="7" t="s">
        <v>579</v>
      </c>
      <c r="J291" s="39">
        <v>25000</v>
      </c>
      <c r="L291" s="16">
        <f t="shared" si="102"/>
        <v>1</v>
      </c>
      <c r="M291" s="16" t="str">
        <f t="shared" si="148"/>
        <v>April</v>
      </c>
      <c r="N291" s="16" t="str">
        <f t="shared" si="103"/>
        <v/>
      </c>
      <c r="O291" s="16" t="str">
        <f>IF(N291="","",COUNTIF($N$8:N291,N291))</f>
        <v/>
      </c>
      <c r="P291" s="34" t="str">
        <f t="shared" si="104"/>
        <v>outBeban Lainnya</v>
      </c>
      <c r="Q291" s="34" t="str">
        <f t="shared" si="105"/>
        <v>outAprilBeban Lainnya</v>
      </c>
      <c r="R291" s="34" t="str">
        <f t="shared" si="146"/>
        <v>Beban Lainnya</v>
      </c>
      <c r="S291" s="34" t="str">
        <f t="shared" si="147"/>
        <v>Bank</v>
      </c>
      <c r="T291" s="34" t="str">
        <f t="shared" si="149"/>
        <v/>
      </c>
      <c r="U291" s="34" t="str">
        <f>IF(AND(L291=1,bp_kode=T291,T291&lt;&gt;""),COUNTIF($T$8:T291,T291),"")</f>
        <v/>
      </c>
      <c r="V291" s="34" t="str">
        <f t="shared" si="150"/>
        <v>db</v>
      </c>
      <c r="W291" s="34" t="str">
        <f t="shared" si="151"/>
        <v>db</v>
      </c>
      <c r="X291" s="34" t="str">
        <f>IF(B291="","",COUNTIF($C$8:C291,C291)&amp;C291)</f>
        <v>0</v>
      </c>
    </row>
    <row r="292" spans="2:24" ht="23.1" customHeight="1">
      <c r="B292" s="31">
        <v>44681</v>
      </c>
      <c r="C292" s="9"/>
      <c r="D292" s="9" t="s">
        <v>573</v>
      </c>
      <c r="E292" s="7"/>
      <c r="F292" s="7"/>
      <c r="G292" s="7"/>
      <c r="H292" s="7" t="s">
        <v>579</v>
      </c>
      <c r="I292" s="7" t="s">
        <v>559</v>
      </c>
      <c r="J292" s="39">
        <v>262362300</v>
      </c>
      <c r="L292" s="16">
        <f t="shared" si="102"/>
        <v>1</v>
      </c>
      <c r="M292" s="16" t="str">
        <f t="shared" si="148"/>
        <v>April</v>
      </c>
      <c r="N292" s="16" t="str">
        <f t="shared" si="103"/>
        <v/>
      </c>
      <c r="O292" s="16" t="str">
        <f>IF(N292="","",COUNTIF($N$8:N292,N292))</f>
        <v/>
      </c>
      <c r="P292" s="34" t="str">
        <f t="shared" si="104"/>
        <v>InAkun Piutang</v>
      </c>
      <c r="Q292" s="34" t="str">
        <f t="shared" si="105"/>
        <v>inAprilAkun Piutang</v>
      </c>
      <c r="R292" s="34" t="str">
        <f t="shared" si="146"/>
        <v>Bank</v>
      </c>
      <c r="S292" s="34" t="str">
        <f t="shared" si="147"/>
        <v>Akun Piutang</v>
      </c>
      <c r="T292" s="34">
        <f t="shared" si="149"/>
        <v>0</v>
      </c>
      <c r="U292" s="34" t="str">
        <f>IF(AND(L292=1,bp_kode=T292,T292&lt;&gt;""),COUNTIF($T$8:T292,T292),"")</f>
        <v/>
      </c>
      <c r="V292" s="34" t="str">
        <f t="shared" si="150"/>
        <v/>
      </c>
      <c r="W292" s="34" t="str">
        <f t="shared" si="151"/>
        <v/>
      </c>
      <c r="X292" s="34" t="str">
        <f>IF(B292="","",COUNTIF($C$8:C292,C292)&amp;C292)</f>
        <v>0</v>
      </c>
    </row>
    <row r="293" spans="2:24" ht="23.1" customHeight="1">
      <c r="B293" s="31">
        <v>44681</v>
      </c>
      <c r="C293" s="9"/>
      <c r="D293" s="9" t="s">
        <v>581</v>
      </c>
      <c r="E293" s="7"/>
      <c r="F293" s="7"/>
      <c r="G293" s="7"/>
      <c r="H293" s="7" t="s">
        <v>582</v>
      </c>
      <c r="I293" s="7" t="s">
        <v>579</v>
      </c>
      <c r="J293" s="39">
        <v>353610363</v>
      </c>
      <c r="L293" s="16">
        <f t="shared" si="102"/>
        <v>1</v>
      </c>
      <c r="M293" s="16" t="str">
        <f t="shared" si="148"/>
        <v>April</v>
      </c>
      <c r="N293" s="16" t="str">
        <f t="shared" si="103"/>
        <v/>
      </c>
      <c r="O293" s="16" t="str">
        <f>IF(N293="","",COUNTIF($N$8:N293,N293))</f>
        <v/>
      </c>
      <c r="P293" s="34" t="str">
        <f t="shared" si="104"/>
        <v>InBank</v>
      </c>
      <c r="Q293" s="34" t="str">
        <f t="shared" si="105"/>
        <v>inAprilBank</v>
      </c>
      <c r="R293" s="34" t="str">
        <f t="shared" si="146"/>
        <v>Kas</v>
      </c>
      <c r="S293" s="34" t="str">
        <f t="shared" si="147"/>
        <v>Bank</v>
      </c>
      <c r="T293" s="34" t="str">
        <f t="shared" si="149"/>
        <v/>
      </c>
      <c r="U293" s="34" t="str">
        <f>IF(AND(L293=1,bp_kode=T293,T293&lt;&gt;""),COUNTIF($T$8:T293,T293),"")</f>
        <v/>
      </c>
      <c r="V293" s="34" t="str">
        <f t="shared" si="150"/>
        <v/>
      </c>
      <c r="W293" s="34" t="str">
        <f t="shared" si="151"/>
        <v/>
      </c>
      <c r="X293" s="34" t="str">
        <f>IF(B293="","",COUNTIF($C$8:C293,C293)&amp;C293)</f>
        <v>0</v>
      </c>
    </row>
    <row r="294" spans="2:24" ht="23.1" customHeight="1">
      <c r="B294" s="31">
        <v>44681</v>
      </c>
      <c r="C294" s="9"/>
      <c r="D294" s="9" t="s">
        <v>584</v>
      </c>
      <c r="E294" s="7"/>
      <c r="F294" s="7"/>
      <c r="G294" s="7"/>
      <c r="H294" s="7" t="s">
        <v>583</v>
      </c>
      <c r="I294" s="7" t="s">
        <v>561</v>
      </c>
      <c r="J294" s="39">
        <v>137875000</v>
      </c>
      <c r="L294" s="16">
        <f t="shared" si="102"/>
        <v>1</v>
      </c>
      <c r="M294" s="16" t="str">
        <f t="shared" si="148"/>
        <v>April</v>
      </c>
      <c r="N294" s="16" t="str">
        <f t="shared" si="103"/>
        <v/>
      </c>
      <c r="O294" s="16" t="str">
        <f>IF(N294="","",COUNTIF($N$8:N294,N294))</f>
        <v/>
      </c>
      <c r="P294" s="34" t="str">
        <f t="shared" si="104"/>
        <v>InAkun Piutang</v>
      </c>
      <c r="Q294" s="34" t="str">
        <f t="shared" si="105"/>
        <v>inAprilAkun Piutang</v>
      </c>
      <c r="R294" s="34" t="str">
        <f t="shared" si="146"/>
        <v>Bank</v>
      </c>
      <c r="S294" s="34" t="str">
        <f t="shared" si="147"/>
        <v>Akun Piutang</v>
      </c>
      <c r="T294" s="34">
        <f t="shared" si="149"/>
        <v>0</v>
      </c>
      <c r="U294" s="34" t="str">
        <f>IF(AND(L294=1,bp_kode=T294,T294&lt;&gt;""),COUNTIF($T$8:T294,T294),"")</f>
        <v/>
      </c>
      <c r="V294" s="34" t="str">
        <f t="shared" si="150"/>
        <v/>
      </c>
      <c r="W294" s="34" t="str">
        <f t="shared" si="151"/>
        <v/>
      </c>
      <c r="X294" s="34" t="str">
        <f>IF(B294="","",COUNTIF($C$8:C294,C294)&amp;C294)</f>
        <v>0</v>
      </c>
    </row>
    <row r="295" spans="2:24" ht="23.1" customHeight="1">
      <c r="B295" s="31">
        <v>44681</v>
      </c>
      <c r="C295" s="9"/>
      <c r="D295" s="9" t="s">
        <v>589</v>
      </c>
      <c r="E295" s="7"/>
      <c r="F295" s="7"/>
      <c r="G295" s="7"/>
      <c r="H295" s="7" t="s">
        <v>583</v>
      </c>
      <c r="I295" s="7" t="s">
        <v>551</v>
      </c>
      <c r="J295" s="39">
        <v>700000</v>
      </c>
      <c r="L295" s="16">
        <f t="shared" ref="L295:L352" si="152">IF(AND(B295&gt;=awal,B295&lt;=akhir,B295&lt;&gt;""),1,IF(AND(B295&lt;&gt;"",B295&lt;awal),2,""))</f>
        <v>1</v>
      </c>
      <c r="M295" s="16" t="str">
        <f t="shared" si="148"/>
        <v>April</v>
      </c>
      <c r="N295" s="16" t="str">
        <f t="shared" ref="N295:N352" si="153">IF(AND(L295=1,H295=bb_akun),"Awe",IF(AND(L295=1,I295=bb_akun),"Awe",""))</f>
        <v/>
      </c>
      <c r="O295" s="16" t="str">
        <f>IF(N295="","",COUNTIF($N$8:N295,N295))</f>
        <v/>
      </c>
      <c r="P295" s="34" t="str">
        <f t="shared" ref="P295:P352" si="154">IFERROR(IF(OR(INDEX(akun_type,MATCH(H295,akun_kb,0))="Kas",INDEX(akun_type,MATCH(H295,akun_kb,0))="Bank"),"In"&amp;INDEX(akun_type,MATCH(I295,akun_kb,0)),IF(OR(INDEX(akun_type,MATCH(I295,akun_kb,0))="Kas",INDEX(akun_type,MATCH(I295,akun_kb,0))="Bank"),"out"&amp;INDEX(akun_type,MATCH(H295,akun_kb,0)),"")),"")</f>
        <v>InAkun Piutang</v>
      </c>
      <c r="Q295" s="34" t="str">
        <f t="shared" ref="Q295:Q352" si="155">IFERROR(IF(OR(INDEX(akun_type,MATCH(H295,akun_kb,0))="Kas",INDEX(akun_type,MATCH(H295,akun_kb,0))="Bank"),"in"&amp;TEXT(B295,"mmmm")&amp;INDEX(akun_type,MATCH(I295,akun_kb,0)),IF(OR(INDEX(akun_type,MATCH(I295,akun_kb,0))="Kas",INDEX(akun_type,MATCH(I295,akun_kb,0))="Bank"),"out"&amp;TEXT(B295,"mmmm")&amp;INDEX(akun_type,MATCH(H295,akun_kb,0)),"")),"")</f>
        <v>inAprilAkun Piutang</v>
      </c>
      <c r="R295" s="34" t="str">
        <f t="shared" si="146"/>
        <v>Bank</v>
      </c>
      <c r="S295" s="34" t="str">
        <f t="shared" si="147"/>
        <v>Akun Piutang</v>
      </c>
      <c r="T295" s="34">
        <f t="shared" si="149"/>
        <v>0</v>
      </c>
      <c r="U295" s="34" t="str">
        <f>IF(AND(L295=1,bp_kode=T295,T295&lt;&gt;""),COUNTIF($T$8:T295,T295),"")</f>
        <v/>
      </c>
      <c r="V295" s="34" t="str">
        <f t="shared" si="150"/>
        <v/>
      </c>
      <c r="W295" s="34" t="str">
        <f t="shared" si="151"/>
        <v/>
      </c>
      <c r="X295" s="34" t="str">
        <f>IF(B295="","",COUNTIF($C$8:C295,C295)&amp;C295)</f>
        <v>0</v>
      </c>
    </row>
    <row r="296" spans="2:24" ht="23.1" customHeight="1">
      <c r="B296" s="31">
        <v>44681</v>
      </c>
      <c r="C296" s="9"/>
      <c r="D296" s="9" t="s">
        <v>687</v>
      </c>
      <c r="E296" s="7"/>
      <c r="F296" s="7"/>
      <c r="G296" s="7"/>
      <c r="H296" s="7" t="s">
        <v>583</v>
      </c>
      <c r="I296" s="7" t="s">
        <v>569</v>
      </c>
      <c r="J296" s="39">
        <v>1650604.76</v>
      </c>
      <c r="L296" s="16">
        <f t="shared" si="152"/>
        <v>1</v>
      </c>
      <c r="M296" s="16" t="str">
        <f t="shared" si="148"/>
        <v>April</v>
      </c>
      <c r="N296" s="16" t="str">
        <f t="shared" si="153"/>
        <v/>
      </c>
      <c r="O296" s="16" t="str">
        <f>IF(N296="","",COUNTIF($N$8:N296,N296))</f>
        <v/>
      </c>
      <c r="P296" s="34" t="str">
        <f t="shared" si="154"/>
        <v>InPendapatan Lainnya</v>
      </c>
      <c r="Q296" s="34" t="str">
        <f t="shared" si="155"/>
        <v>inAprilPendapatan Lainnya</v>
      </c>
      <c r="R296" s="34" t="str">
        <f t="shared" si="146"/>
        <v>Bank</v>
      </c>
      <c r="S296" s="34" t="str">
        <f t="shared" si="147"/>
        <v>Pendapatan Lainnya</v>
      </c>
      <c r="T296" s="34" t="str">
        <f t="shared" si="149"/>
        <v/>
      </c>
      <c r="U296" s="34" t="str">
        <f>IF(AND(L296=1,bp_kode=T296,T296&lt;&gt;""),COUNTIF($T$8:T296,T296),"")</f>
        <v/>
      </c>
      <c r="V296" s="34" t="str">
        <f t="shared" si="150"/>
        <v>kr</v>
      </c>
      <c r="W296" s="34" t="str">
        <f t="shared" si="151"/>
        <v>kr</v>
      </c>
      <c r="X296" s="34" t="str">
        <f>IF(B296="","",COUNTIF($C$8:C296,C296)&amp;C296)</f>
        <v>0</v>
      </c>
    </row>
    <row r="297" spans="2:24" ht="23.1" customHeight="1">
      <c r="B297" s="31">
        <v>44681</v>
      </c>
      <c r="C297" s="9"/>
      <c r="D297" s="9" t="s">
        <v>570</v>
      </c>
      <c r="E297" s="7"/>
      <c r="F297" s="7"/>
      <c r="G297" s="7"/>
      <c r="H297" s="7" t="s">
        <v>571</v>
      </c>
      <c r="I297" s="7" t="s">
        <v>583</v>
      </c>
      <c r="J297" s="39">
        <v>330120.95</v>
      </c>
      <c r="L297" s="16">
        <f t="shared" si="152"/>
        <v>1</v>
      </c>
      <c r="M297" s="16" t="str">
        <f t="shared" si="148"/>
        <v>April</v>
      </c>
      <c r="N297" s="16" t="str">
        <f t="shared" si="153"/>
        <v/>
      </c>
      <c r="O297" s="16" t="str">
        <f>IF(N297="","",COUNTIF($N$8:N297,N297))</f>
        <v/>
      </c>
      <c r="P297" s="34" t="str">
        <f t="shared" si="154"/>
        <v>outBeban Lainnya</v>
      </c>
      <c r="Q297" s="34" t="str">
        <f t="shared" si="155"/>
        <v>outAprilBeban Lainnya</v>
      </c>
      <c r="R297" s="34" t="str">
        <f t="shared" si="146"/>
        <v>Beban Lainnya</v>
      </c>
      <c r="S297" s="34" t="str">
        <f t="shared" si="147"/>
        <v>Bank</v>
      </c>
      <c r="T297" s="34" t="str">
        <f t="shared" si="149"/>
        <v/>
      </c>
      <c r="U297" s="34" t="str">
        <f>IF(AND(L297=1,bp_kode=T297,T297&lt;&gt;""),COUNTIF($T$8:T297,T297),"")</f>
        <v/>
      </c>
      <c r="V297" s="34" t="str">
        <f t="shared" si="150"/>
        <v>db</v>
      </c>
      <c r="W297" s="34" t="str">
        <f t="shared" si="151"/>
        <v>db</v>
      </c>
      <c r="X297" s="34" t="str">
        <f>IF(B297="","",COUNTIF($C$8:C297,C297)&amp;C297)</f>
        <v>0</v>
      </c>
    </row>
    <row r="298" spans="2:24" ht="23.1" customHeight="1">
      <c r="B298" s="31">
        <v>44681</v>
      </c>
      <c r="C298" s="9"/>
      <c r="D298" s="9" t="s">
        <v>685</v>
      </c>
      <c r="E298" s="7"/>
      <c r="F298" s="7"/>
      <c r="G298" s="7"/>
      <c r="H298" s="7" t="s">
        <v>640</v>
      </c>
      <c r="I298" s="7" t="s">
        <v>583</v>
      </c>
      <c r="J298" s="39">
        <v>25000</v>
      </c>
      <c r="L298" s="16">
        <f t="shared" si="152"/>
        <v>1</v>
      </c>
      <c r="M298" s="16" t="str">
        <f t="shared" si="148"/>
        <v>April</v>
      </c>
      <c r="N298" s="16" t="str">
        <f t="shared" si="153"/>
        <v/>
      </c>
      <c r="O298" s="16" t="str">
        <f>IF(N298="","",COUNTIF($N$8:N298,N298))</f>
        <v/>
      </c>
      <c r="P298" s="34" t="str">
        <f t="shared" si="154"/>
        <v>outBeban Lainnya</v>
      </c>
      <c r="Q298" s="34" t="str">
        <f t="shared" si="155"/>
        <v>outAprilBeban Lainnya</v>
      </c>
      <c r="R298" s="34" t="str">
        <f t="shared" si="146"/>
        <v>Beban Lainnya</v>
      </c>
      <c r="S298" s="34" t="str">
        <f t="shared" si="147"/>
        <v>Bank</v>
      </c>
      <c r="T298" s="34" t="str">
        <f t="shared" si="149"/>
        <v/>
      </c>
      <c r="U298" s="34" t="str">
        <f>IF(AND(L298=1,bp_kode=T298,T298&lt;&gt;""),COUNTIF($T$8:T298,T298),"")</f>
        <v/>
      </c>
      <c r="V298" s="34" t="str">
        <f t="shared" si="150"/>
        <v>db</v>
      </c>
      <c r="W298" s="34" t="str">
        <f t="shared" si="151"/>
        <v>db</v>
      </c>
      <c r="X298" s="34" t="str">
        <f>IF(B298="","",COUNTIF($C$8:C298,C298)&amp;C298)</f>
        <v>0</v>
      </c>
    </row>
    <row r="299" spans="2:24" ht="23.1" customHeight="1">
      <c r="B299" s="31">
        <v>44681</v>
      </c>
      <c r="C299" s="9"/>
      <c r="D299" s="9" t="s">
        <v>576</v>
      </c>
      <c r="E299" s="7"/>
      <c r="F299" s="7"/>
      <c r="G299" s="7"/>
      <c r="H299" s="7" t="s">
        <v>586</v>
      </c>
      <c r="I299" s="7" t="s">
        <v>569</v>
      </c>
      <c r="J299" s="39">
        <v>1022043</v>
      </c>
      <c r="L299" s="16">
        <f t="shared" si="152"/>
        <v>1</v>
      </c>
      <c r="M299" s="16" t="str">
        <f t="shared" si="148"/>
        <v>April</v>
      </c>
      <c r="N299" s="16" t="str">
        <f t="shared" si="153"/>
        <v/>
      </c>
      <c r="O299" s="16" t="str">
        <f>IF(N299="","",COUNTIF($N$8:N299,N299))</f>
        <v/>
      </c>
      <c r="P299" s="34" t="str">
        <f t="shared" si="154"/>
        <v>InPendapatan Lainnya</v>
      </c>
      <c r="Q299" s="34" t="str">
        <f t="shared" si="155"/>
        <v>inAprilPendapatan Lainnya</v>
      </c>
      <c r="R299" s="34" t="str">
        <f t="shared" si="146"/>
        <v>Bank</v>
      </c>
      <c r="S299" s="34" t="str">
        <f t="shared" si="147"/>
        <v>Pendapatan Lainnya</v>
      </c>
      <c r="T299" s="34" t="str">
        <f t="shared" si="149"/>
        <v/>
      </c>
      <c r="U299" s="34" t="str">
        <f>IF(AND(L299=1,bp_kode=T299,T299&lt;&gt;""),COUNTIF($T$8:T299,T299),"")</f>
        <v/>
      </c>
      <c r="V299" s="34" t="str">
        <f t="shared" si="150"/>
        <v>kr</v>
      </c>
      <c r="W299" s="34" t="str">
        <f t="shared" si="151"/>
        <v>kr</v>
      </c>
      <c r="X299" s="34" t="str">
        <f>IF(B299="","",COUNTIF($C$8:C299,C299)&amp;C299)</f>
        <v>0</v>
      </c>
    </row>
    <row r="300" spans="2:24" ht="23.1" customHeight="1">
      <c r="B300" s="31">
        <v>44681</v>
      </c>
      <c r="C300" s="9"/>
      <c r="D300" s="9" t="s">
        <v>570</v>
      </c>
      <c r="E300" s="7"/>
      <c r="F300" s="7"/>
      <c r="G300" s="7"/>
      <c r="H300" s="7" t="s">
        <v>571</v>
      </c>
      <c r="I300" s="7" t="s">
        <v>586</v>
      </c>
      <c r="J300" s="39">
        <v>204399</v>
      </c>
      <c r="L300" s="16">
        <f t="shared" si="152"/>
        <v>1</v>
      </c>
      <c r="M300" s="16" t="str">
        <f t="shared" si="148"/>
        <v>April</v>
      </c>
      <c r="N300" s="16" t="str">
        <f t="shared" si="153"/>
        <v/>
      </c>
      <c r="O300" s="16" t="str">
        <f>IF(N300="","",COUNTIF($N$8:N300,N300))</f>
        <v/>
      </c>
      <c r="P300" s="34" t="str">
        <f t="shared" si="154"/>
        <v>outBeban Lainnya</v>
      </c>
      <c r="Q300" s="34" t="str">
        <f t="shared" si="155"/>
        <v>outAprilBeban Lainnya</v>
      </c>
      <c r="R300" s="34" t="str">
        <f t="shared" si="146"/>
        <v>Beban Lainnya</v>
      </c>
      <c r="S300" s="34" t="str">
        <f t="shared" si="147"/>
        <v>Bank</v>
      </c>
      <c r="T300" s="34" t="str">
        <f t="shared" si="149"/>
        <v/>
      </c>
      <c r="U300" s="34" t="str">
        <f>IF(AND(L300=1,bp_kode=T300,T300&lt;&gt;""),COUNTIF($T$8:T300,T300),"")</f>
        <v/>
      </c>
      <c r="V300" s="34" t="str">
        <f t="shared" si="150"/>
        <v>db</v>
      </c>
      <c r="W300" s="34" t="str">
        <f t="shared" si="151"/>
        <v>db</v>
      </c>
      <c r="X300" s="34" t="str">
        <f>IF(B300="","",COUNTIF($C$8:C300,C300)&amp;C300)</f>
        <v>0</v>
      </c>
    </row>
    <row r="301" spans="2:24" ht="23.1" customHeight="1">
      <c r="B301" s="31">
        <v>44681</v>
      </c>
      <c r="C301" s="9"/>
      <c r="D301" s="9" t="s">
        <v>572</v>
      </c>
      <c r="E301" s="7"/>
      <c r="F301" s="7"/>
      <c r="G301" s="7"/>
      <c r="H301" s="7" t="s">
        <v>640</v>
      </c>
      <c r="I301" s="7" t="s">
        <v>586</v>
      </c>
      <c r="J301" s="39">
        <v>36500</v>
      </c>
      <c r="L301" s="16">
        <f t="shared" si="152"/>
        <v>1</v>
      </c>
      <c r="M301" s="16" t="str">
        <f t="shared" si="148"/>
        <v>April</v>
      </c>
      <c r="N301" s="16" t="str">
        <f t="shared" si="153"/>
        <v/>
      </c>
      <c r="O301" s="16" t="str">
        <f>IF(N301="","",COUNTIF($N$8:N301,N301))</f>
        <v/>
      </c>
      <c r="P301" s="34" t="str">
        <f t="shared" si="154"/>
        <v>outBeban Lainnya</v>
      </c>
      <c r="Q301" s="34" t="str">
        <f t="shared" si="155"/>
        <v>outAprilBeban Lainnya</v>
      </c>
      <c r="R301" s="34" t="str">
        <f t="shared" si="146"/>
        <v>Beban Lainnya</v>
      </c>
      <c r="S301" s="34" t="str">
        <f t="shared" si="147"/>
        <v>Bank</v>
      </c>
      <c r="T301" s="34" t="str">
        <f t="shared" si="149"/>
        <v/>
      </c>
      <c r="U301" s="34" t="str">
        <f>IF(AND(L301=1,bp_kode=T301,T301&lt;&gt;""),COUNTIF($T$8:T301,T301),"")</f>
        <v/>
      </c>
      <c r="V301" s="34" t="str">
        <f t="shared" si="150"/>
        <v>db</v>
      </c>
      <c r="W301" s="34" t="str">
        <f t="shared" si="151"/>
        <v>db</v>
      </c>
      <c r="X301" s="34" t="str">
        <f>IF(B301="","",COUNTIF($C$8:C301,C301)&amp;C301)</f>
        <v>0</v>
      </c>
    </row>
    <row r="302" spans="2:24" ht="23.1" customHeight="1">
      <c r="B302" s="31">
        <v>44681</v>
      </c>
      <c r="C302" s="9"/>
      <c r="D302" s="9" t="s">
        <v>573</v>
      </c>
      <c r="E302" s="7"/>
      <c r="F302" s="7"/>
      <c r="G302" s="7"/>
      <c r="H302" s="7" t="s">
        <v>586</v>
      </c>
      <c r="I302" s="7" t="s">
        <v>559</v>
      </c>
      <c r="J302" s="39">
        <v>25993500</v>
      </c>
      <c r="L302" s="16">
        <f t="shared" si="152"/>
        <v>1</v>
      </c>
      <c r="M302" s="16" t="str">
        <f t="shared" si="148"/>
        <v>April</v>
      </c>
      <c r="N302" s="16" t="str">
        <f t="shared" si="153"/>
        <v/>
      </c>
      <c r="O302" s="16" t="str">
        <f>IF(N302="","",COUNTIF($N$8:N302,N302))</f>
        <v/>
      </c>
      <c r="P302" s="34" t="str">
        <f t="shared" si="154"/>
        <v>InAkun Piutang</v>
      </c>
      <c r="Q302" s="34" t="str">
        <f t="shared" si="155"/>
        <v>inAprilAkun Piutang</v>
      </c>
      <c r="R302" s="34" t="str">
        <f t="shared" si="146"/>
        <v>Bank</v>
      </c>
      <c r="S302" s="34" t="str">
        <f t="shared" si="147"/>
        <v>Akun Piutang</v>
      </c>
      <c r="T302" s="34">
        <f t="shared" si="149"/>
        <v>0</v>
      </c>
      <c r="U302" s="34" t="str">
        <f>IF(AND(L302=1,bp_kode=T302,T302&lt;&gt;""),COUNTIF($T$8:T302,T302),"")</f>
        <v/>
      </c>
      <c r="V302" s="34" t="str">
        <f t="shared" si="150"/>
        <v/>
      </c>
      <c r="W302" s="34" t="str">
        <f t="shared" si="151"/>
        <v/>
      </c>
      <c r="X302" s="34" t="str">
        <f>IF(B302="","",COUNTIF($C$8:C302,C302)&amp;C302)</f>
        <v>0</v>
      </c>
    </row>
    <row r="303" spans="2:24" ht="23.1" customHeight="1">
      <c r="B303" s="31">
        <v>44681</v>
      </c>
      <c r="C303" s="9"/>
      <c r="D303" s="9" t="s">
        <v>552</v>
      </c>
      <c r="E303" s="7"/>
      <c r="F303" s="7"/>
      <c r="G303" s="7"/>
      <c r="H303" s="7" t="s">
        <v>554</v>
      </c>
      <c r="I303" s="7" t="s">
        <v>587</v>
      </c>
      <c r="J303" s="39">
        <v>12722000</v>
      </c>
      <c r="L303" s="16">
        <f t="shared" si="152"/>
        <v>1</v>
      </c>
      <c r="M303" s="16" t="str">
        <f t="shared" si="148"/>
        <v>April</v>
      </c>
      <c r="N303" s="16" t="str">
        <f t="shared" si="153"/>
        <v/>
      </c>
      <c r="O303" s="16" t="str">
        <f>IF(N303="","",COUNTIF($N$8:N303,N303))</f>
        <v/>
      </c>
      <c r="P303" s="34" t="str">
        <f t="shared" si="154"/>
        <v>InAkun Piutang</v>
      </c>
      <c r="Q303" s="34" t="str">
        <f t="shared" si="155"/>
        <v>inAprilAkun Piutang</v>
      </c>
      <c r="R303" s="34" t="str">
        <f t="shared" si="146"/>
        <v>Kas</v>
      </c>
      <c r="S303" s="34" t="str">
        <f t="shared" si="147"/>
        <v>Akun Piutang</v>
      </c>
      <c r="T303" s="34">
        <f t="shared" si="149"/>
        <v>0</v>
      </c>
      <c r="U303" s="34" t="str">
        <f>IF(AND(L303=1,bp_kode=T303,T303&lt;&gt;""),COUNTIF($T$8:T303,T303),"")</f>
        <v/>
      </c>
      <c r="V303" s="34" t="str">
        <f t="shared" si="150"/>
        <v/>
      </c>
      <c r="W303" s="34" t="str">
        <f t="shared" si="151"/>
        <v/>
      </c>
      <c r="X303" s="34" t="str">
        <f>IF(B303="","",COUNTIF($C$8:C303,C303)&amp;C303)</f>
        <v>0</v>
      </c>
    </row>
    <row r="304" spans="2:24" ht="23.1" customHeight="1">
      <c r="B304" s="31">
        <v>44681</v>
      </c>
      <c r="C304" s="9"/>
      <c r="D304" s="9" t="s">
        <v>588</v>
      </c>
      <c r="E304" s="7"/>
      <c r="F304" s="7"/>
      <c r="G304" s="7"/>
      <c r="H304" s="7" t="s">
        <v>554</v>
      </c>
      <c r="I304" s="7" t="s">
        <v>561</v>
      </c>
      <c r="J304" s="39">
        <v>6031000</v>
      </c>
      <c r="L304" s="16">
        <f t="shared" si="152"/>
        <v>1</v>
      </c>
      <c r="M304" s="16" t="str">
        <f t="shared" si="148"/>
        <v>April</v>
      </c>
      <c r="N304" s="16" t="str">
        <f t="shared" si="153"/>
        <v/>
      </c>
      <c r="O304" s="16" t="str">
        <f>IF(N304="","",COUNTIF($N$8:N304,N304))</f>
        <v/>
      </c>
      <c r="P304" s="34" t="str">
        <f t="shared" si="154"/>
        <v>InAkun Piutang</v>
      </c>
      <c r="Q304" s="34" t="str">
        <f t="shared" si="155"/>
        <v>inAprilAkun Piutang</v>
      </c>
      <c r="R304" s="34" t="str">
        <f t="shared" si="146"/>
        <v>Kas</v>
      </c>
      <c r="S304" s="34" t="str">
        <f t="shared" si="147"/>
        <v>Akun Piutang</v>
      </c>
      <c r="T304" s="34">
        <f t="shared" si="149"/>
        <v>0</v>
      </c>
      <c r="U304" s="34" t="str">
        <f>IF(AND(L304=1,bp_kode=T304,T304&lt;&gt;""),COUNTIF($T$8:T304,T304),"")</f>
        <v/>
      </c>
      <c r="V304" s="34" t="str">
        <f t="shared" si="150"/>
        <v/>
      </c>
      <c r="W304" s="34" t="str">
        <f t="shared" si="151"/>
        <v/>
      </c>
      <c r="X304" s="34" t="str">
        <f>IF(B304="","",COUNTIF($C$8:C304,C304)&amp;C304)</f>
        <v>0</v>
      </c>
    </row>
    <row r="305" spans="2:24" ht="23.1" customHeight="1">
      <c r="B305" s="31">
        <v>44681</v>
      </c>
      <c r="C305" s="9"/>
      <c r="D305" s="9" t="s">
        <v>589</v>
      </c>
      <c r="E305" s="7"/>
      <c r="F305" s="7"/>
      <c r="G305" s="7"/>
      <c r="H305" s="7" t="s">
        <v>554</v>
      </c>
      <c r="I305" s="7" t="s">
        <v>551</v>
      </c>
      <c r="J305" s="39">
        <v>361707700</v>
      </c>
      <c r="L305" s="16">
        <f t="shared" si="152"/>
        <v>1</v>
      </c>
      <c r="M305" s="16" t="str">
        <f t="shared" si="148"/>
        <v>April</v>
      </c>
      <c r="N305" s="16" t="str">
        <f t="shared" si="153"/>
        <v/>
      </c>
      <c r="O305" s="16" t="str">
        <f>IF(N305="","",COUNTIF($N$8:N305,N305))</f>
        <v/>
      </c>
      <c r="P305" s="34" t="str">
        <f t="shared" si="154"/>
        <v>InAkun Piutang</v>
      </c>
      <c r="Q305" s="34" t="str">
        <f t="shared" si="155"/>
        <v>inAprilAkun Piutang</v>
      </c>
      <c r="R305" s="34" t="str">
        <f t="shared" si="146"/>
        <v>Kas</v>
      </c>
      <c r="S305" s="34" t="str">
        <f t="shared" si="147"/>
        <v>Akun Piutang</v>
      </c>
      <c r="T305" s="34">
        <f t="shared" si="149"/>
        <v>0</v>
      </c>
      <c r="U305" s="34" t="str">
        <f>IF(AND(L305=1,bp_kode=T305,T305&lt;&gt;""),COUNTIF($T$8:T305,T305),"")</f>
        <v/>
      </c>
      <c r="V305" s="34" t="str">
        <f t="shared" si="150"/>
        <v/>
      </c>
      <c r="W305" s="34" t="str">
        <f t="shared" si="151"/>
        <v/>
      </c>
      <c r="X305" s="34" t="str">
        <f>IF(B305="","",COUNTIF($C$8:C305,C305)&amp;C305)</f>
        <v>0</v>
      </c>
    </row>
    <row r="306" spans="2:24" ht="23.1" customHeight="1">
      <c r="B306" s="31">
        <v>44681</v>
      </c>
      <c r="C306" s="9"/>
      <c r="D306" s="9" t="s">
        <v>590</v>
      </c>
      <c r="E306" s="7"/>
      <c r="F306" s="7"/>
      <c r="G306" s="7"/>
      <c r="H306" s="7" t="s">
        <v>586</v>
      </c>
      <c r="I306" s="7" t="s">
        <v>554</v>
      </c>
      <c r="J306" s="39">
        <v>605952700</v>
      </c>
      <c r="L306" s="16">
        <f t="shared" si="152"/>
        <v>1</v>
      </c>
      <c r="M306" s="16" t="str">
        <f t="shared" si="148"/>
        <v>April</v>
      </c>
      <c r="N306" s="16" t="str">
        <f t="shared" si="153"/>
        <v/>
      </c>
      <c r="O306" s="16" t="str">
        <f>IF(N306="","",COUNTIF($N$8:N306,N306))</f>
        <v/>
      </c>
      <c r="P306" s="34" t="str">
        <f t="shared" si="154"/>
        <v>InKas</v>
      </c>
      <c r="Q306" s="34" t="str">
        <f t="shared" si="155"/>
        <v>inAprilKas</v>
      </c>
      <c r="R306" s="34" t="str">
        <f t="shared" si="146"/>
        <v>Bank</v>
      </c>
      <c r="S306" s="34" t="str">
        <f t="shared" si="147"/>
        <v>Kas</v>
      </c>
      <c r="T306" s="34" t="str">
        <f t="shared" si="149"/>
        <v/>
      </c>
      <c r="U306" s="34" t="str">
        <f>IF(AND(L306=1,bp_kode=T306,T306&lt;&gt;""),COUNTIF($T$8:T306,T306),"")</f>
        <v/>
      </c>
      <c r="V306" s="34" t="str">
        <f t="shared" si="150"/>
        <v/>
      </c>
      <c r="W306" s="34" t="str">
        <f t="shared" si="151"/>
        <v/>
      </c>
      <c r="X306" s="34" t="str">
        <f>IF(B306="","",COUNTIF($C$8:C306,C306)&amp;C306)</f>
        <v>0</v>
      </c>
    </row>
    <row r="307" spans="2:24" ht="23.1" customHeight="1">
      <c r="B307" s="31">
        <v>44681</v>
      </c>
      <c r="C307" s="9"/>
      <c r="D307" s="9" t="s">
        <v>591</v>
      </c>
      <c r="E307" s="7"/>
      <c r="F307" s="7"/>
      <c r="G307" s="7"/>
      <c r="H307" s="7" t="s">
        <v>582</v>
      </c>
      <c r="I307" s="7" t="s">
        <v>586</v>
      </c>
      <c r="J307" s="39">
        <v>1015982012</v>
      </c>
      <c r="L307" s="16">
        <f t="shared" si="152"/>
        <v>1</v>
      </c>
      <c r="M307" s="16" t="str">
        <f t="shared" si="148"/>
        <v>April</v>
      </c>
      <c r="N307" s="16" t="str">
        <f t="shared" si="153"/>
        <v/>
      </c>
      <c r="O307" s="16" t="str">
        <f>IF(N307="","",COUNTIF($N$8:N307,N307))</f>
        <v/>
      </c>
      <c r="P307" s="34" t="str">
        <f t="shared" si="154"/>
        <v>InBank</v>
      </c>
      <c r="Q307" s="34" t="str">
        <f t="shared" si="155"/>
        <v>inAprilBank</v>
      </c>
      <c r="R307" s="34" t="str">
        <f t="shared" si="146"/>
        <v>Kas</v>
      </c>
      <c r="S307" s="34" t="str">
        <f t="shared" si="147"/>
        <v>Bank</v>
      </c>
      <c r="T307" s="34" t="str">
        <f t="shared" si="149"/>
        <v/>
      </c>
      <c r="U307" s="34" t="str">
        <f>IF(AND(L307=1,bp_kode=T307,T307&lt;&gt;""),COUNTIF($T$8:T307,T307),"")</f>
        <v/>
      </c>
      <c r="V307" s="34" t="str">
        <f t="shared" si="150"/>
        <v/>
      </c>
      <c r="W307" s="34" t="str">
        <f t="shared" si="151"/>
        <v/>
      </c>
      <c r="X307" s="34" t="str">
        <f>IF(B307="","",COUNTIF($C$8:C307,C307)&amp;C307)</f>
        <v>0</v>
      </c>
    </row>
    <row r="308" spans="2:24" ht="23.1" customHeight="1">
      <c r="B308" s="31">
        <v>44681</v>
      </c>
      <c r="C308" s="9"/>
      <c r="D308" s="9" t="s">
        <v>576</v>
      </c>
      <c r="E308" s="7"/>
      <c r="F308" s="7"/>
      <c r="G308" s="7"/>
      <c r="H308" s="7" t="s">
        <v>592</v>
      </c>
      <c r="I308" s="7" t="s">
        <v>569</v>
      </c>
      <c r="J308" s="39">
        <v>4650</v>
      </c>
      <c r="L308" s="16">
        <f t="shared" si="152"/>
        <v>1</v>
      </c>
      <c r="M308" s="16" t="str">
        <f t="shared" si="148"/>
        <v>April</v>
      </c>
      <c r="N308" s="16" t="str">
        <f t="shared" si="153"/>
        <v/>
      </c>
      <c r="O308" s="16" t="str">
        <f>IF(N308="","",COUNTIF($N$8:N308,N308))</f>
        <v/>
      </c>
      <c r="P308" s="34" t="str">
        <f t="shared" si="154"/>
        <v>InPendapatan Lainnya</v>
      </c>
      <c r="Q308" s="34" t="str">
        <f t="shared" si="155"/>
        <v>inAprilPendapatan Lainnya</v>
      </c>
      <c r="R308" s="34" t="str">
        <f t="shared" si="146"/>
        <v>Bank</v>
      </c>
      <c r="S308" s="34" t="str">
        <f t="shared" si="147"/>
        <v>Pendapatan Lainnya</v>
      </c>
      <c r="T308" s="34" t="str">
        <f t="shared" si="149"/>
        <v/>
      </c>
      <c r="U308" s="34" t="str">
        <f>IF(AND(L308=1,bp_kode=T308,T308&lt;&gt;""),COUNTIF($T$8:T308,T308),"")</f>
        <v/>
      </c>
      <c r="V308" s="34" t="str">
        <f t="shared" si="150"/>
        <v>kr</v>
      </c>
      <c r="W308" s="34" t="str">
        <f t="shared" si="151"/>
        <v>kr</v>
      </c>
      <c r="X308" s="34" t="str">
        <f>IF(B308="","",COUNTIF($C$8:C308,C308)&amp;C308)</f>
        <v>0</v>
      </c>
    </row>
    <row r="309" spans="2:24" ht="23.1" customHeight="1">
      <c r="B309" s="31">
        <v>44681</v>
      </c>
      <c r="C309" s="9"/>
      <c r="D309" s="9" t="s">
        <v>570</v>
      </c>
      <c r="E309" s="7"/>
      <c r="F309" s="7"/>
      <c r="G309" s="7"/>
      <c r="H309" s="7" t="s">
        <v>571</v>
      </c>
      <c r="I309" s="7" t="s">
        <v>592</v>
      </c>
      <c r="J309" s="39">
        <v>930</v>
      </c>
      <c r="L309" s="16">
        <f t="shared" si="152"/>
        <v>1</v>
      </c>
      <c r="M309" s="16" t="str">
        <f t="shared" si="148"/>
        <v>April</v>
      </c>
      <c r="N309" s="16" t="str">
        <f t="shared" si="153"/>
        <v/>
      </c>
      <c r="O309" s="16" t="str">
        <f>IF(N309="","",COUNTIF($N$8:N309,N309))</f>
        <v/>
      </c>
      <c r="P309" s="34" t="str">
        <f t="shared" si="154"/>
        <v>outBeban Lainnya</v>
      </c>
      <c r="Q309" s="34" t="str">
        <f t="shared" si="155"/>
        <v>outAprilBeban Lainnya</v>
      </c>
      <c r="R309" s="34" t="str">
        <f t="shared" si="146"/>
        <v>Beban Lainnya</v>
      </c>
      <c r="S309" s="34" t="str">
        <f t="shared" si="147"/>
        <v>Bank</v>
      </c>
      <c r="T309" s="34" t="str">
        <f t="shared" si="149"/>
        <v/>
      </c>
      <c r="U309" s="34" t="str">
        <f>IF(AND(L309=1,bp_kode=T309,T309&lt;&gt;""),COUNTIF($T$8:T309,T309),"")</f>
        <v/>
      </c>
      <c r="V309" s="34" t="str">
        <f t="shared" si="150"/>
        <v>db</v>
      </c>
      <c r="W309" s="34" t="str">
        <f t="shared" si="151"/>
        <v>db</v>
      </c>
      <c r="X309" s="34" t="str">
        <f>IF(B309="","",COUNTIF($C$8:C309,C309)&amp;C309)</f>
        <v>0</v>
      </c>
    </row>
    <row r="310" spans="2:24" ht="23.1" customHeight="1">
      <c r="B310" s="31">
        <v>44681</v>
      </c>
      <c r="C310" s="9"/>
      <c r="D310" s="9" t="s">
        <v>572</v>
      </c>
      <c r="E310" s="7"/>
      <c r="F310" s="7"/>
      <c r="G310" s="7"/>
      <c r="H310" s="7" t="s">
        <v>640</v>
      </c>
      <c r="I310" s="7" t="s">
        <v>592</v>
      </c>
      <c r="J310" s="39">
        <v>25000</v>
      </c>
      <c r="L310" s="16">
        <f t="shared" si="152"/>
        <v>1</v>
      </c>
      <c r="M310" s="16" t="str">
        <f t="shared" si="148"/>
        <v>April</v>
      </c>
      <c r="N310" s="16" t="str">
        <f t="shared" si="153"/>
        <v/>
      </c>
      <c r="O310" s="16" t="str">
        <f>IF(N310="","",COUNTIF($N$8:N310,N310))</f>
        <v/>
      </c>
      <c r="P310" s="34" t="str">
        <f t="shared" si="154"/>
        <v>outBeban Lainnya</v>
      </c>
      <c r="Q310" s="34" t="str">
        <f t="shared" si="155"/>
        <v>outAprilBeban Lainnya</v>
      </c>
      <c r="R310" s="34" t="str">
        <f t="shared" si="146"/>
        <v>Beban Lainnya</v>
      </c>
      <c r="S310" s="34" t="str">
        <f t="shared" si="147"/>
        <v>Bank</v>
      </c>
      <c r="T310" s="34" t="str">
        <f t="shared" si="149"/>
        <v/>
      </c>
      <c r="U310" s="34" t="str">
        <f>IF(AND(L310=1,bp_kode=T310,T310&lt;&gt;""),COUNTIF($T$8:T310,T310),"")</f>
        <v/>
      </c>
      <c r="V310" s="34" t="str">
        <f t="shared" si="150"/>
        <v>db</v>
      </c>
      <c r="W310" s="34" t="str">
        <f t="shared" si="151"/>
        <v>db</v>
      </c>
      <c r="X310" s="34" t="str">
        <f>IF(B310="","",COUNTIF($C$8:C310,C310)&amp;C310)</f>
        <v>0</v>
      </c>
    </row>
    <row r="311" spans="2:24" ht="23.1" customHeight="1">
      <c r="B311" s="31">
        <v>44681</v>
      </c>
      <c r="C311" s="9"/>
      <c r="D311" s="9" t="s">
        <v>576</v>
      </c>
      <c r="E311" s="7"/>
      <c r="F311" s="7"/>
      <c r="G311" s="7"/>
      <c r="H311" s="7" t="s">
        <v>593</v>
      </c>
      <c r="I311" s="7" t="s">
        <v>569</v>
      </c>
      <c r="J311" s="39">
        <v>4362</v>
      </c>
      <c r="L311" s="16">
        <f t="shared" si="152"/>
        <v>1</v>
      </c>
      <c r="M311" s="16" t="str">
        <f t="shared" si="148"/>
        <v>April</v>
      </c>
      <c r="N311" s="16" t="str">
        <f t="shared" si="153"/>
        <v/>
      </c>
      <c r="O311" s="16" t="str">
        <f>IF(N311="","",COUNTIF($N$8:N311,N311))</f>
        <v/>
      </c>
      <c r="P311" s="34" t="str">
        <f t="shared" si="154"/>
        <v>InPendapatan Lainnya</v>
      </c>
      <c r="Q311" s="34" t="str">
        <f t="shared" si="155"/>
        <v>inAprilPendapatan Lainnya</v>
      </c>
      <c r="R311" s="34" t="str">
        <f t="shared" si="146"/>
        <v>Bank</v>
      </c>
      <c r="S311" s="34" t="str">
        <f t="shared" si="147"/>
        <v>Pendapatan Lainnya</v>
      </c>
      <c r="T311" s="34" t="str">
        <f t="shared" si="149"/>
        <v/>
      </c>
      <c r="U311" s="34" t="str">
        <f>IF(AND(L311=1,bp_kode=T311,T311&lt;&gt;""),COUNTIF($T$8:T311,T311),"")</f>
        <v/>
      </c>
      <c r="V311" s="34" t="str">
        <f t="shared" si="150"/>
        <v>kr</v>
      </c>
      <c r="W311" s="34" t="str">
        <f t="shared" si="151"/>
        <v>kr</v>
      </c>
      <c r="X311" s="34" t="str">
        <f>IF(B311="","",COUNTIF($C$8:C311,C311)&amp;C311)</f>
        <v>0</v>
      </c>
    </row>
    <row r="312" spans="2:24" ht="23.1" customHeight="1">
      <c r="B312" s="31">
        <v>44681</v>
      </c>
      <c r="C312" s="9"/>
      <c r="D312" s="9" t="s">
        <v>570</v>
      </c>
      <c r="E312" s="7"/>
      <c r="F312" s="7"/>
      <c r="G312" s="7"/>
      <c r="H312" s="7" t="s">
        <v>571</v>
      </c>
      <c r="I312" s="7" t="s">
        <v>593</v>
      </c>
      <c r="J312" s="39">
        <v>863</v>
      </c>
      <c r="L312" s="16">
        <f t="shared" si="152"/>
        <v>1</v>
      </c>
      <c r="M312" s="16" t="str">
        <f t="shared" si="148"/>
        <v>April</v>
      </c>
      <c r="N312" s="16" t="str">
        <f t="shared" si="153"/>
        <v/>
      </c>
      <c r="O312" s="16" t="str">
        <f>IF(N312="","",COUNTIF($N$8:N312,N312))</f>
        <v/>
      </c>
      <c r="P312" s="34" t="str">
        <f t="shared" si="154"/>
        <v>outBeban Lainnya</v>
      </c>
      <c r="Q312" s="34" t="str">
        <f t="shared" si="155"/>
        <v>outAprilBeban Lainnya</v>
      </c>
      <c r="R312" s="34" t="str">
        <f t="shared" si="146"/>
        <v>Beban Lainnya</v>
      </c>
      <c r="S312" s="34" t="str">
        <f t="shared" si="147"/>
        <v>Bank</v>
      </c>
      <c r="T312" s="34" t="str">
        <f t="shared" si="149"/>
        <v/>
      </c>
      <c r="U312" s="34" t="str">
        <f>IF(AND(L312=1,bp_kode=T312,T312&lt;&gt;""),COUNTIF($T$8:T312,T312),"")</f>
        <v/>
      </c>
      <c r="V312" s="34" t="str">
        <f t="shared" si="150"/>
        <v>db</v>
      </c>
      <c r="W312" s="34" t="str">
        <f t="shared" si="151"/>
        <v>db</v>
      </c>
      <c r="X312" s="34" t="str">
        <f>IF(B312="","",COUNTIF($C$8:C312,C312)&amp;C312)</f>
        <v>0</v>
      </c>
    </row>
    <row r="313" spans="2:24" ht="23.1" customHeight="1">
      <c r="B313" s="31">
        <v>44681</v>
      </c>
      <c r="C313" s="9"/>
      <c r="D313" s="9" t="s">
        <v>572</v>
      </c>
      <c r="E313" s="7"/>
      <c r="F313" s="7"/>
      <c r="G313" s="7"/>
      <c r="H313" s="7" t="s">
        <v>640</v>
      </c>
      <c r="I313" s="7" t="s">
        <v>593</v>
      </c>
      <c r="J313" s="39">
        <v>36500</v>
      </c>
      <c r="L313" s="16">
        <f t="shared" si="152"/>
        <v>1</v>
      </c>
      <c r="M313" s="16" t="str">
        <f t="shared" si="148"/>
        <v>April</v>
      </c>
      <c r="N313" s="16" t="str">
        <f t="shared" si="153"/>
        <v/>
      </c>
      <c r="O313" s="16" t="str">
        <f>IF(N313="","",COUNTIF($N$8:N313,N313))</f>
        <v/>
      </c>
      <c r="P313" s="34" t="str">
        <f t="shared" si="154"/>
        <v>outBeban Lainnya</v>
      </c>
      <c r="Q313" s="34" t="str">
        <f t="shared" si="155"/>
        <v>outAprilBeban Lainnya</v>
      </c>
      <c r="R313" s="34" t="str">
        <f t="shared" si="146"/>
        <v>Beban Lainnya</v>
      </c>
      <c r="S313" s="34" t="str">
        <f t="shared" si="147"/>
        <v>Bank</v>
      </c>
      <c r="T313" s="34" t="str">
        <f t="shared" si="149"/>
        <v/>
      </c>
      <c r="U313" s="34" t="str">
        <f>IF(AND(L313=1,bp_kode=T313,T313&lt;&gt;""),COUNTIF($T$8:T313,T313),"")</f>
        <v/>
      </c>
      <c r="V313" s="34" t="str">
        <f t="shared" si="150"/>
        <v>db</v>
      </c>
      <c r="W313" s="34" t="str">
        <f t="shared" si="151"/>
        <v>db</v>
      </c>
      <c r="X313" s="34" t="str">
        <f>IF(B313="","",COUNTIF($C$8:C313,C313)&amp;C313)</f>
        <v>0</v>
      </c>
    </row>
    <row r="314" spans="2:24" ht="23.1" customHeight="1">
      <c r="B314" s="31">
        <v>44681</v>
      </c>
      <c r="C314" s="9"/>
      <c r="D314" s="9" t="s">
        <v>595</v>
      </c>
      <c r="E314" s="7"/>
      <c r="F314" s="7"/>
      <c r="G314" s="7"/>
      <c r="H314" s="7" t="s">
        <v>594</v>
      </c>
      <c r="I314" s="7" t="s">
        <v>582</v>
      </c>
      <c r="J314" s="39">
        <v>12800563</v>
      </c>
      <c r="L314" s="16">
        <f t="shared" si="152"/>
        <v>1</v>
      </c>
      <c r="M314" s="16" t="str">
        <f t="shared" si="148"/>
        <v>April</v>
      </c>
      <c r="N314" s="16" t="str">
        <f t="shared" si="153"/>
        <v/>
      </c>
      <c r="O314" s="16" t="str">
        <f>IF(N314="","",COUNTIF($N$8:N314,N314))</f>
        <v/>
      </c>
      <c r="P314" s="34" t="str">
        <f t="shared" si="154"/>
        <v>outAktiva Lancar Lainnya</v>
      </c>
      <c r="Q314" s="34" t="str">
        <f t="shared" si="155"/>
        <v>outAprilAktiva Lancar Lainnya</v>
      </c>
      <c r="R314" s="34" t="str">
        <f t="shared" si="146"/>
        <v>Aktiva Lancar Lainnya</v>
      </c>
      <c r="S314" s="34" t="str">
        <f t="shared" si="147"/>
        <v>Kas</v>
      </c>
      <c r="T314" s="34" t="str">
        <f t="shared" si="149"/>
        <v/>
      </c>
      <c r="U314" s="34" t="str">
        <f>IF(AND(L314=1,bp_kode=T314,T314&lt;&gt;""),COUNTIF($T$8:T314,T314),"")</f>
        <v/>
      </c>
      <c r="V314" s="34" t="str">
        <f t="shared" si="150"/>
        <v/>
      </c>
      <c r="W314" s="34" t="str">
        <f t="shared" si="151"/>
        <v/>
      </c>
      <c r="X314" s="34" t="str">
        <f>IF(B314="","",COUNTIF($C$8:C314,C314)&amp;C314)</f>
        <v>0</v>
      </c>
    </row>
    <row r="315" spans="2:24" ht="23.1" customHeight="1">
      <c r="B315" s="31">
        <v>44681</v>
      </c>
      <c r="C315" s="9"/>
      <c r="D315" s="9" t="s">
        <v>711</v>
      </c>
      <c r="E315" s="7"/>
      <c r="F315" s="7"/>
      <c r="G315" s="7"/>
      <c r="H315" s="7" t="s">
        <v>712</v>
      </c>
      <c r="I315" s="7" t="s">
        <v>582</v>
      </c>
      <c r="J315" s="39">
        <v>2450000</v>
      </c>
      <c r="L315" s="16">
        <f t="shared" si="152"/>
        <v>1</v>
      </c>
      <c r="M315" s="16" t="str">
        <f t="shared" si="148"/>
        <v>April</v>
      </c>
      <c r="N315" s="16" t="str">
        <f t="shared" si="153"/>
        <v/>
      </c>
      <c r="O315" s="16" t="str">
        <f>IF(N315="","",COUNTIF($N$8:N315,N315))</f>
        <v/>
      </c>
      <c r="P315" s="34" t="str">
        <f t="shared" si="154"/>
        <v>outAktiva Tetap</v>
      </c>
      <c r="Q315" s="34" t="str">
        <f t="shared" si="155"/>
        <v>outAprilAktiva Tetap</v>
      </c>
      <c r="R315" s="34" t="str">
        <f t="shared" si="146"/>
        <v>Aktiva Tetap</v>
      </c>
      <c r="S315" s="34" t="str">
        <f t="shared" si="147"/>
        <v>Kas</v>
      </c>
      <c r="T315" s="34" t="str">
        <f t="shared" si="149"/>
        <v/>
      </c>
      <c r="U315" s="34" t="str">
        <f>IF(AND(L315=1,bp_kode=T315,T315&lt;&gt;""),COUNTIF($T$8:T315,T315),"")</f>
        <v/>
      </c>
      <c r="V315" s="34" t="str">
        <f t="shared" si="150"/>
        <v/>
      </c>
      <c r="W315" s="34" t="str">
        <f t="shared" si="151"/>
        <v/>
      </c>
      <c r="X315" s="34" t="str">
        <f>IF(B315="","",COUNTIF($C$8:C315,C315)&amp;C315)</f>
        <v>0</v>
      </c>
    </row>
    <row r="316" spans="2:24" ht="23.1" customHeight="1">
      <c r="B316" s="31">
        <v>44681</v>
      </c>
      <c r="C316" s="9"/>
      <c r="D316" s="9" t="s">
        <v>598</v>
      </c>
      <c r="E316" s="7"/>
      <c r="F316" s="7"/>
      <c r="G316" s="7"/>
      <c r="H316" s="7" t="s">
        <v>599</v>
      </c>
      <c r="I316" s="7" t="s">
        <v>582</v>
      </c>
      <c r="J316" s="39">
        <v>5050000</v>
      </c>
      <c r="L316" s="16">
        <f t="shared" si="152"/>
        <v>1</v>
      </c>
      <c r="M316" s="16" t="str">
        <f t="shared" si="148"/>
        <v>April</v>
      </c>
      <c r="N316" s="16" t="str">
        <f t="shared" si="153"/>
        <v/>
      </c>
      <c r="O316" s="16" t="str">
        <f>IF(N316="","",COUNTIF($N$8:N316,N316))</f>
        <v/>
      </c>
      <c r="P316" s="34" t="str">
        <f t="shared" si="154"/>
        <v>outAkun Hutang</v>
      </c>
      <c r="Q316" s="34" t="str">
        <f t="shared" si="155"/>
        <v>outAprilAkun Hutang</v>
      </c>
      <c r="R316" s="34" t="str">
        <f t="shared" si="146"/>
        <v>Akun Hutang</v>
      </c>
      <c r="S316" s="34" t="str">
        <f t="shared" si="147"/>
        <v>Kas</v>
      </c>
      <c r="T316" s="34">
        <f t="shared" si="149"/>
        <v>0</v>
      </c>
      <c r="U316" s="34" t="str">
        <f>IF(AND(L316=1,bp_kode=T316,T316&lt;&gt;""),COUNTIF($T$8:T316,T316),"")</f>
        <v/>
      </c>
      <c r="V316" s="34" t="str">
        <f t="shared" si="150"/>
        <v/>
      </c>
      <c r="W316" s="34" t="str">
        <f t="shared" si="151"/>
        <v/>
      </c>
      <c r="X316" s="34" t="str">
        <f>IF(B316="","",COUNTIF($C$8:C316,C316)&amp;C316)</f>
        <v>0</v>
      </c>
    </row>
    <row r="317" spans="2:24" ht="23.1" customHeight="1">
      <c r="B317" s="31">
        <v>44681</v>
      </c>
      <c r="C317" s="9"/>
      <c r="D317" s="9" t="s">
        <v>600</v>
      </c>
      <c r="E317" s="7"/>
      <c r="F317" s="7"/>
      <c r="G317" s="7"/>
      <c r="H317" s="7" t="s">
        <v>601</v>
      </c>
      <c r="I317" s="7" t="s">
        <v>582</v>
      </c>
      <c r="J317" s="39">
        <v>29100000</v>
      </c>
      <c r="L317" s="16">
        <f t="shared" si="152"/>
        <v>1</v>
      </c>
      <c r="M317" s="16" t="str">
        <f t="shared" si="148"/>
        <v>April</v>
      </c>
      <c r="N317" s="16" t="str">
        <f t="shared" si="153"/>
        <v/>
      </c>
      <c r="O317" s="16" t="str">
        <f>IF(N317="","",COUNTIF($N$8:N317,N317))</f>
        <v/>
      </c>
      <c r="P317" s="34" t="str">
        <f t="shared" si="154"/>
        <v>outKewajiban Lancar Lainnya</v>
      </c>
      <c r="Q317" s="34" t="str">
        <f t="shared" si="155"/>
        <v>outAprilKewajiban Lancar Lainnya</v>
      </c>
      <c r="R317" s="34" t="str">
        <f t="shared" si="146"/>
        <v>Kewajiban Lancar Lainnya</v>
      </c>
      <c r="S317" s="34" t="str">
        <f t="shared" si="147"/>
        <v>Kas</v>
      </c>
      <c r="T317" s="34" t="str">
        <f t="shared" si="149"/>
        <v/>
      </c>
      <c r="U317" s="34" t="str">
        <f>IF(AND(L317=1,bp_kode=T317,T317&lt;&gt;""),COUNTIF($T$8:T317,T317),"")</f>
        <v/>
      </c>
      <c r="V317" s="34" t="str">
        <f t="shared" si="150"/>
        <v/>
      </c>
      <c r="W317" s="34" t="str">
        <f t="shared" si="151"/>
        <v/>
      </c>
      <c r="X317" s="34" t="str">
        <f>IF(B317="","",COUNTIF($C$8:C317,C317)&amp;C317)</f>
        <v>0</v>
      </c>
    </row>
    <row r="318" spans="2:24" ht="23.1" customHeight="1">
      <c r="B318" s="31">
        <v>44681</v>
      </c>
      <c r="C318" s="9"/>
      <c r="D318" s="9" t="s">
        <v>604</v>
      </c>
      <c r="E318" s="7"/>
      <c r="F318" s="7"/>
      <c r="G318" s="7"/>
      <c r="H318" s="7" t="s">
        <v>602</v>
      </c>
      <c r="I318" s="7" t="s">
        <v>582</v>
      </c>
      <c r="J318" s="39">
        <v>4466350</v>
      </c>
      <c r="L318" s="16">
        <f t="shared" si="152"/>
        <v>1</v>
      </c>
      <c r="M318" s="16" t="str">
        <f t="shared" si="148"/>
        <v>April</v>
      </c>
      <c r="N318" s="16" t="str">
        <f t="shared" si="153"/>
        <v/>
      </c>
      <c r="O318" s="16" t="str">
        <f>IF(N318="","",COUNTIF($N$8:N318,N318))</f>
        <v/>
      </c>
      <c r="P318" s="34" t="str">
        <f t="shared" si="154"/>
        <v>outHarga Pokok Penjualan</v>
      </c>
      <c r="Q318" s="34" t="str">
        <f t="shared" si="155"/>
        <v>outAprilHarga Pokok Penjualan</v>
      </c>
      <c r="R318" s="34" t="str">
        <f t="shared" si="146"/>
        <v>Harga Pokok Penjualan</v>
      </c>
      <c r="S318" s="34" t="str">
        <f t="shared" si="147"/>
        <v>Kas</v>
      </c>
      <c r="T318" s="34" t="str">
        <f t="shared" si="149"/>
        <v/>
      </c>
      <c r="U318" s="34" t="str">
        <f>IF(AND(L318=1,bp_kode=T318,T318&lt;&gt;""),COUNTIF($T$8:T318,T318),"")</f>
        <v/>
      </c>
      <c r="V318" s="34" t="str">
        <f t="shared" si="150"/>
        <v>db</v>
      </c>
      <c r="W318" s="34" t="str">
        <f t="shared" si="151"/>
        <v>db</v>
      </c>
      <c r="X318" s="34" t="str">
        <f>IF(B318="","",COUNTIF($C$8:C318,C318)&amp;C318)</f>
        <v>0</v>
      </c>
    </row>
    <row r="319" spans="2:24" ht="23.1" customHeight="1">
      <c r="B319" s="31">
        <v>44681</v>
      </c>
      <c r="C319" s="9"/>
      <c r="D319" s="9" t="s">
        <v>605</v>
      </c>
      <c r="E319" s="7"/>
      <c r="F319" s="7"/>
      <c r="G319" s="7"/>
      <c r="H319" s="7" t="s">
        <v>603</v>
      </c>
      <c r="I319" s="7" t="s">
        <v>582</v>
      </c>
      <c r="J319" s="39">
        <v>7301250</v>
      </c>
      <c r="L319" s="16">
        <f t="shared" si="152"/>
        <v>1</v>
      </c>
      <c r="M319" s="16" t="str">
        <f t="shared" si="148"/>
        <v>April</v>
      </c>
      <c r="N319" s="16" t="str">
        <f t="shared" si="153"/>
        <v/>
      </c>
      <c r="O319" s="16" t="str">
        <f>IF(N319="","",COUNTIF($N$8:N319,N319))</f>
        <v/>
      </c>
      <c r="P319" s="34" t="str">
        <f t="shared" si="154"/>
        <v>outHarga Pokok Penjualan</v>
      </c>
      <c r="Q319" s="34" t="str">
        <f t="shared" si="155"/>
        <v>outAprilHarga Pokok Penjualan</v>
      </c>
      <c r="R319" s="34" t="str">
        <f t="shared" si="146"/>
        <v>Harga Pokok Penjualan</v>
      </c>
      <c r="S319" s="34" t="str">
        <f t="shared" si="147"/>
        <v>Kas</v>
      </c>
      <c r="T319" s="34" t="str">
        <f t="shared" si="149"/>
        <v/>
      </c>
      <c r="U319" s="34" t="str">
        <f>IF(AND(L319=1,bp_kode=T319,T319&lt;&gt;""),COUNTIF($T$8:T319,T319),"")</f>
        <v/>
      </c>
      <c r="V319" s="34" t="str">
        <f t="shared" si="150"/>
        <v>db</v>
      </c>
      <c r="W319" s="34" t="str">
        <f t="shared" si="151"/>
        <v>db</v>
      </c>
      <c r="X319" s="34" t="str">
        <f>IF(B319="","",COUNTIF($C$8:C319,C319)&amp;C319)</f>
        <v>0</v>
      </c>
    </row>
    <row r="320" spans="2:24" ht="23.1" customHeight="1">
      <c r="B320" s="31">
        <v>44681</v>
      </c>
      <c r="C320" s="9"/>
      <c r="D320" s="9" t="s">
        <v>609</v>
      </c>
      <c r="E320" s="7"/>
      <c r="F320" s="7"/>
      <c r="G320" s="7"/>
      <c r="H320" s="7" t="s">
        <v>606</v>
      </c>
      <c r="I320" s="7" t="s">
        <v>582</v>
      </c>
      <c r="J320" s="39">
        <v>3500000</v>
      </c>
      <c r="L320" s="16">
        <f t="shared" si="152"/>
        <v>1</v>
      </c>
      <c r="M320" s="16" t="str">
        <f t="shared" si="148"/>
        <v>April</v>
      </c>
      <c r="N320" s="16" t="str">
        <f t="shared" si="153"/>
        <v/>
      </c>
      <c r="O320" s="16" t="str">
        <f>IF(N320="","",COUNTIF($N$8:N320,N320))</f>
        <v/>
      </c>
      <c r="P320" s="34" t="str">
        <f t="shared" si="154"/>
        <v>outHarga Pokok Penjualan</v>
      </c>
      <c r="Q320" s="34" t="str">
        <f t="shared" si="155"/>
        <v>outAprilHarga Pokok Penjualan</v>
      </c>
      <c r="R320" s="34" t="str">
        <f t="shared" si="146"/>
        <v>Harga Pokok Penjualan</v>
      </c>
      <c r="S320" s="34" t="str">
        <f t="shared" si="147"/>
        <v>Kas</v>
      </c>
      <c r="T320" s="34" t="str">
        <f t="shared" si="149"/>
        <v/>
      </c>
      <c r="U320" s="34" t="str">
        <f>IF(AND(L320=1,bp_kode=T320,T320&lt;&gt;""),COUNTIF($T$8:T320,T320),"")</f>
        <v/>
      </c>
      <c r="V320" s="34" t="str">
        <f t="shared" si="150"/>
        <v>db</v>
      </c>
      <c r="W320" s="34" t="str">
        <f t="shared" si="151"/>
        <v>db</v>
      </c>
      <c r="X320" s="34" t="str">
        <f>IF(B320="","",COUNTIF($C$8:C320,C320)&amp;C320)</f>
        <v>0</v>
      </c>
    </row>
    <row r="321" spans="2:24" ht="23.1" customHeight="1">
      <c r="B321" s="31">
        <v>44681</v>
      </c>
      <c r="C321" s="9"/>
      <c r="D321" s="9" t="s">
        <v>610</v>
      </c>
      <c r="E321" s="7"/>
      <c r="F321" s="7"/>
      <c r="G321" s="7"/>
      <c r="H321" s="7" t="s">
        <v>607</v>
      </c>
      <c r="I321" s="7" t="s">
        <v>582</v>
      </c>
      <c r="J321" s="39">
        <v>650000</v>
      </c>
      <c r="L321" s="16">
        <f t="shared" si="152"/>
        <v>1</v>
      </c>
      <c r="M321" s="16" t="str">
        <f t="shared" si="148"/>
        <v>April</v>
      </c>
      <c r="N321" s="16" t="str">
        <f t="shared" si="153"/>
        <v/>
      </c>
      <c r="O321" s="16" t="str">
        <f>IF(N321="","",COUNTIF($N$8:N321,N321))</f>
        <v/>
      </c>
      <c r="P321" s="34" t="str">
        <f t="shared" si="154"/>
        <v>outHarga Pokok Penjualan</v>
      </c>
      <c r="Q321" s="34" t="str">
        <f t="shared" si="155"/>
        <v>outAprilHarga Pokok Penjualan</v>
      </c>
      <c r="R321" s="34" t="str">
        <f t="shared" si="146"/>
        <v>Harga Pokok Penjualan</v>
      </c>
      <c r="S321" s="34" t="str">
        <f t="shared" si="147"/>
        <v>Kas</v>
      </c>
      <c r="T321" s="34" t="str">
        <f t="shared" si="149"/>
        <v/>
      </c>
      <c r="U321" s="34" t="str">
        <f>IF(AND(L321=1,bp_kode=T321,T321&lt;&gt;""),COUNTIF($T$8:T321,T321),"")</f>
        <v/>
      </c>
      <c r="V321" s="34" t="str">
        <f t="shared" si="150"/>
        <v>db</v>
      </c>
      <c r="W321" s="34" t="str">
        <f t="shared" si="151"/>
        <v>db</v>
      </c>
      <c r="X321" s="34" t="str">
        <f>IF(B321="","",COUNTIF($C$8:C321,C321)&amp;C321)</f>
        <v>0</v>
      </c>
    </row>
    <row r="322" spans="2:24" ht="23.1" customHeight="1">
      <c r="B322" s="31">
        <v>44681</v>
      </c>
      <c r="C322" s="9"/>
      <c r="D322" s="9" t="s">
        <v>716</v>
      </c>
      <c r="E322" s="7"/>
      <c r="F322" s="7"/>
      <c r="G322" s="7"/>
      <c r="H322" s="7" t="s">
        <v>715</v>
      </c>
      <c r="I322" s="7" t="s">
        <v>582</v>
      </c>
      <c r="J322" s="39">
        <v>4020000</v>
      </c>
      <c r="L322" s="16">
        <f t="shared" si="152"/>
        <v>1</v>
      </c>
      <c r="M322" s="16" t="str">
        <f t="shared" si="148"/>
        <v>April</v>
      </c>
      <c r="N322" s="16" t="str">
        <f t="shared" si="153"/>
        <v/>
      </c>
      <c r="O322" s="16" t="str">
        <f>IF(N322="","",COUNTIF($N$8:N322,N322))</f>
        <v/>
      </c>
      <c r="P322" s="34" t="str">
        <f t="shared" si="154"/>
        <v>outHarga Pokok Penjualan</v>
      </c>
      <c r="Q322" s="34" t="str">
        <f t="shared" si="155"/>
        <v>outAprilHarga Pokok Penjualan</v>
      </c>
      <c r="R322" s="34" t="str">
        <f t="shared" si="146"/>
        <v>Harga Pokok Penjualan</v>
      </c>
      <c r="S322" s="34" t="str">
        <f t="shared" si="147"/>
        <v>Kas</v>
      </c>
      <c r="T322" s="34" t="str">
        <f t="shared" si="149"/>
        <v/>
      </c>
      <c r="U322" s="34" t="str">
        <f>IF(AND(L322=1,bp_kode=T322,T322&lt;&gt;""),COUNTIF($T$8:T322,T322),"")</f>
        <v/>
      </c>
      <c r="V322" s="34" t="str">
        <f t="shared" si="150"/>
        <v>db</v>
      </c>
      <c r="W322" s="34" t="str">
        <f t="shared" si="151"/>
        <v>db</v>
      </c>
      <c r="X322" s="34" t="str">
        <f>IF(B322="","",COUNTIF($C$8:C322,C322)&amp;C322)</f>
        <v>0</v>
      </c>
    </row>
    <row r="323" spans="2:24" ht="23.1" customHeight="1">
      <c r="B323" s="31">
        <v>44681</v>
      </c>
      <c r="C323" s="9"/>
      <c r="D323" s="9" t="s">
        <v>714</v>
      </c>
      <c r="E323" s="7"/>
      <c r="F323" s="7"/>
      <c r="G323" s="7"/>
      <c r="H323" s="7" t="s">
        <v>713</v>
      </c>
      <c r="I323" s="7" t="s">
        <v>582</v>
      </c>
      <c r="J323" s="39">
        <v>248976000</v>
      </c>
      <c r="L323" s="16">
        <f t="shared" si="152"/>
        <v>1</v>
      </c>
      <c r="M323" s="16" t="str">
        <f t="shared" si="148"/>
        <v>April</v>
      </c>
      <c r="N323" s="16" t="str">
        <f t="shared" si="153"/>
        <v/>
      </c>
      <c r="O323" s="16" t="str">
        <f>IF(N323="","",COUNTIF($N$8:N323,N323))</f>
        <v/>
      </c>
      <c r="P323" s="34" t="str">
        <f t="shared" si="154"/>
        <v>outHarga Pokok Penjualan</v>
      </c>
      <c r="Q323" s="34" t="str">
        <f t="shared" si="155"/>
        <v>outAprilHarga Pokok Penjualan</v>
      </c>
      <c r="R323" s="34" t="str">
        <f t="shared" ref="R323:R387" si="156">IFERROR(INDEX(akun_type,MATCH(H323,akun_kb,0)),"")</f>
        <v>Harga Pokok Penjualan</v>
      </c>
      <c r="S323" s="34" t="str">
        <f t="shared" ref="S323:S387" si="157">IFERROR(INDEX(akun_type,MATCH(I323,akun_kb,0)),"")</f>
        <v>Kas</v>
      </c>
      <c r="T323" s="34" t="str">
        <f t="shared" si="149"/>
        <v/>
      </c>
      <c r="U323" s="34" t="str">
        <f>IF(AND(L323=1,bp_kode=T323,T323&lt;&gt;""),COUNTIF($T$8:T323,T323),"")</f>
        <v/>
      </c>
      <c r="V323" s="34" t="str">
        <f t="shared" si="150"/>
        <v>db</v>
      </c>
      <c r="W323" s="34" t="str">
        <f t="shared" si="151"/>
        <v>db</v>
      </c>
      <c r="X323" s="34" t="str">
        <f>IF(B323="","",COUNTIF($C$8:C323,C323)&amp;C323)</f>
        <v>0</v>
      </c>
    </row>
    <row r="324" spans="2:24" ht="23.1" customHeight="1">
      <c r="B324" s="31">
        <v>44681</v>
      </c>
      <c r="C324" s="9"/>
      <c r="D324" s="9" t="s">
        <v>612</v>
      </c>
      <c r="E324" s="7"/>
      <c r="F324" s="7"/>
      <c r="G324" s="7"/>
      <c r="H324" s="7" t="s">
        <v>613</v>
      </c>
      <c r="I324" s="7" t="s">
        <v>582</v>
      </c>
      <c r="J324" s="39">
        <v>24550000</v>
      </c>
      <c r="L324" s="16">
        <f t="shared" si="152"/>
        <v>1</v>
      </c>
      <c r="M324" s="16" t="str">
        <f t="shared" ref="M324:M388" si="158">IF(B324="","",TEXT(B324,"mmmm"))</f>
        <v>April</v>
      </c>
      <c r="N324" s="16" t="str">
        <f t="shared" si="153"/>
        <v/>
      </c>
      <c r="O324" s="16" t="str">
        <f>IF(N324="","",COUNTIF($N$8:N324,N324))</f>
        <v/>
      </c>
      <c r="P324" s="34" t="str">
        <f t="shared" si="154"/>
        <v>outHarga Pokok Penjualan</v>
      </c>
      <c r="Q324" s="34" t="str">
        <f t="shared" si="155"/>
        <v>outAprilHarga Pokok Penjualan</v>
      </c>
      <c r="R324" s="34" t="str">
        <f t="shared" si="156"/>
        <v>Harga Pokok Penjualan</v>
      </c>
      <c r="S324" s="34" t="str">
        <f t="shared" si="157"/>
        <v>Kas</v>
      </c>
      <c r="T324" s="34" t="str">
        <f t="shared" ref="T324:T388" si="159">IF(AND(L324=1,OR(R324="Akun Piutang",R324="akun hutang",S324="akun piutang",S324="akun hutang")),E324,"")</f>
        <v/>
      </c>
      <c r="U324" s="34" t="str">
        <f>IF(AND(L324=1,bp_kode=T324,T324&lt;&gt;""),COUNTIF($T$8:T324,T324),"")</f>
        <v/>
      </c>
      <c r="V324" s="34" t="str">
        <f t="shared" ref="V324:V388" si="160">IF(OR(R324="Pendapatan",R324="Pendapatan Lainnya",R324="Beban",R324="Harga Pokok Penjualan",R324="Beban Lainnya"),"db"&amp;F324,IF(OR(S324="Pendapatan",S324="Pendapatan Lainnya",S324="Beban",S324="Harga Pokok Penjualan",S324="Beban Lainnya"),"kr"&amp;F324,""))</f>
        <v>db</v>
      </c>
      <c r="W324" s="34" t="str">
        <f t="shared" ref="W324:W388" si="161">IF(OR(R324="Pendapatan",R324="Pendapatan Lainnya",R324="Beban",R324="Harga Pokok Penjualan",R324="Beban Lainnya"),"db"&amp;G324,IF(OR(S324="Pendapatan",S324="Pendapatan Lainnya",S324="Beban",S324="Harga Pokok Penjualan",S324="Beban Lainnya"),"kr"&amp;G324,""))</f>
        <v>db</v>
      </c>
      <c r="X324" s="34" t="str">
        <f>IF(B324="","",COUNTIF($C$8:C324,C324)&amp;C324)</f>
        <v>0</v>
      </c>
    </row>
    <row r="325" spans="2:24" ht="23.1" customHeight="1">
      <c r="B325" s="31">
        <v>44681</v>
      </c>
      <c r="C325" s="9"/>
      <c r="D325" s="9" t="s">
        <v>621</v>
      </c>
      <c r="E325" s="7"/>
      <c r="F325" s="7"/>
      <c r="G325" s="7"/>
      <c r="H325" s="7" t="s">
        <v>614</v>
      </c>
      <c r="I325" s="7" t="s">
        <v>582</v>
      </c>
      <c r="J325" s="39">
        <v>12852942</v>
      </c>
      <c r="L325" s="16">
        <f t="shared" si="152"/>
        <v>1</v>
      </c>
      <c r="M325" s="16" t="str">
        <f t="shared" si="158"/>
        <v>April</v>
      </c>
      <c r="N325" s="16" t="str">
        <f t="shared" si="153"/>
        <v/>
      </c>
      <c r="O325" s="16" t="str">
        <f>IF(N325="","",COUNTIF($N$8:N325,N325))</f>
        <v/>
      </c>
      <c r="P325" s="34" t="str">
        <f t="shared" si="154"/>
        <v>outBeban</v>
      </c>
      <c r="Q325" s="34" t="str">
        <f t="shared" si="155"/>
        <v>outAprilBeban</v>
      </c>
      <c r="R325" s="34" t="str">
        <f t="shared" si="156"/>
        <v>Beban</v>
      </c>
      <c r="S325" s="34" t="str">
        <f t="shared" si="157"/>
        <v>Kas</v>
      </c>
      <c r="T325" s="34" t="str">
        <f t="shared" si="159"/>
        <v/>
      </c>
      <c r="U325" s="34" t="str">
        <f>IF(AND(L325=1,bp_kode=T325,T325&lt;&gt;""),COUNTIF($T$8:T325,T325),"")</f>
        <v/>
      </c>
      <c r="V325" s="34" t="str">
        <f t="shared" si="160"/>
        <v>db</v>
      </c>
      <c r="W325" s="34" t="str">
        <f t="shared" si="161"/>
        <v>db</v>
      </c>
      <c r="X325" s="34" t="str">
        <f>IF(B325="","",COUNTIF($C$8:C325,C325)&amp;C325)</f>
        <v>0</v>
      </c>
    </row>
    <row r="326" spans="2:24" ht="23.1" customHeight="1">
      <c r="B326" s="31">
        <v>44681</v>
      </c>
      <c r="C326" s="9"/>
      <c r="D326" s="9" t="s">
        <v>622</v>
      </c>
      <c r="E326" s="7"/>
      <c r="F326" s="7"/>
      <c r="G326" s="7"/>
      <c r="H326" s="7" t="s">
        <v>615</v>
      </c>
      <c r="I326" s="7" t="s">
        <v>582</v>
      </c>
      <c r="J326" s="39">
        <v>2428800</v>
      </c>
      <c r="L326" s="16">
        <f t="shared" si="152"/>
        <v>1</v>
      </c>
      <c r="M326" s="16" t="str">
        <f t="shared" si="158"/>
        <v>April</v>
      </c>
      <c r="N326" s="16" t="str">
        <f t="shared" si="153"/>
        <v/>
      </c>
      <c r="O326" s="16" t="str">
        <f>IF(N326="","",COUNTIF($N$8:N326,N326))</f>
        <v/>
      </c>
      <c r="P326" s="34" t="str">
        <f t="shared" si="154"/>
        <v>outBeban</v>
      </c>
      <c r="Q326" s="34" t="str">
        <f t="shared" si="155"/>
        <v>outAprilBeban</v>
      </c>
      <c r="R326" s="34" t="str">
        <f t="shared" si="156"/>
        <v>Beban</v>
      </c>
      <c r="S326" s="34" t="str">
        <f t="shared" si="157"/>
        <v>Kas</v>
      </c>
      <c r="T326" s="34" t="str">
        <f t="shared" si="159"/>
        <v/>
      </c>
      <c r="U326" s="34" t="str">
        <f>IF(AND(L326=1,bp_kode=T326,T326&lt;&gt;""),COUNTIF($T$8:T326,T326),"")</f>
        <v/>
      </c>
      <c r="V326" s="34" t="str">
        <f t="shared" si="160"/>
        <v>db</v>
      </c>
      <c r="W326" s="34" t="str">
        <f t="shared" si="161"/>
        <v>db</v>
      </c>
      <c r="X326" s="34" t="str">
        <f>IF(B326="","",COUNTIF($C$8:C326,C326)&amp;C326)</f>
        <v>0</v>
      </c>
    </row>
    <row r="327" spans="2:24" ht="23.1" customHeight="1">
      <c r="B327" s="31">
        <v>44681</v>
      </c>
      <c r="C327" s="9"/>
      <c r="D327" s="9" t="s">
        <v>623</v>
      </c>
      <c r="E327" s="7"/>
      <c r="F327" s="7"/>
      <c r="G327" s="7"/>
      <c r="H327" s="7" t="s">
        <v>616</v>
      </c>
      <c r="I327" s="7" t="s">
        <v>582</v>
      </c>
      <c r="J327" s="39">
        <v>1200000</v>
      </c>
      <c r="L327" s="16">
        <f t="shared" si="152"/>
        <v>1</v>
      </c>
      <c r="M327" s="16" t="str">
        <f t="shared" si="158"/>
        <v>April</v>
      </c>
      <c r="N327" s="16" t="str">
        <f t="shared" si="153"/>
        <v/>
      </c>
      <c r="O327" s="16" t="str">
        <f>IF(N327="","",COUNTIF($N$8:N327,N327))</f>
        <v/>
      </c>
      <c r="P327" s="34" t="str">
        <f t="shared" si="154"/>
        <v>outBeban</v>
      </c>
      <c r="Q327" s="34" t="str">
        <f t="shared" si="155"/>
        <v>outAprilBeban</v>
      </c>
      <c r="R327" s="34" t="str">
        <f t="shared" si="156"/>
        <v>Beban</v>
      </c>
      <c r="S327" s="34" t="str">
        <f t="shared" si="157"/>
        <v>Kas</v>
      </c>
      <c r="T327" s="34" t="str">
        <f t="shared" si="159"/>
        <v/>
      </c>
      <c r="U327" s="34" t="str">
        <f>IF(AND(L327=1,bp_kode=T327,T327&lt;&gt;""),COUNTIF($T$8:T327,T327),"")</f>
        <v/>
      </c>
      <c r="V327" s="34" t="str">
        <f t="shared" si="160"/>
        <v>db</v>
      </c>
      <c r="W327" s="34" t="str">
        <f t="shared" si="161"/>
        <v>db</v>
      </c>
      <c r="X327" s="34" t="str">
        <f>IF(B327="","",COUNTIF($C$8:C327,C327)&amp;C327)</f>
        <v>0</v>
      </c>
    </row>
    <row r="328" spans="2:24" ht="23.1" customHeight="1">
      <c r="B328" s="31">
        <v>44681</v>
      </c>
      <c r="C328" s="9"/>
      <c r="D328" s="9" t="s">
        <v>624</v>
      </c>
      <c r="E328" s="7"/>
      <c r="F328" s="7"/>
      <c r="G328" s="7"/>
      <c r="H328" s="7" t="s">
        <v>617</v>
      </c>
      <c r="I328" s="7" t="s">
        <v>582</v>
      </c>
      <c r="J328" s="39">
        <v>32132356</v>
      </c>
      <c r="L328" s="16">
        <f t="shared" si="152"/>
        <v>1</v>
      </c>
      <c r="M328" s="16" t="str">
        <f t="shared" si="158"/>
        <v>April</v>
      </c>
      <c r="N328" s="16" t="str">
        <f t="shared" si="153"/>
        <v/>
      </c>
      <c r="O328" s="16" t="str">
        <f>IF(N328="","",COUNTIF($N$8:N328,N328))</f>
        <v/>
      </c>
      <c r="P328" s="34" t="str">
        <f t="shared" si="154"/>
        <v>outBeban</v>
      </c>
      <c r="Q328" s="34" t="str">
        <f t="shared" si="155"/>
        <v>outAprilBeban</v>
      </c>
      <c r="R328" s="34" t="str">
        <f t="shared" si="156"/>
        <v>Beban</v>
      </c>
      <c r="S328" s="34" t="str">
        <f t="shared" si="157"/>
        <v>Kas</v>
      </c>
      <c r="T328" s="34" t="str">
        <f t="shared" si="159"/>
        <v/>
      </c>
      <c r="U328" s="34" t="str">
        <f>IF(AND(L328=1,bp_kode=T328,T328&lt;&gt;""),COUNTIF($T$8:T328,T328),"")</f>
        <v/>
      </c>
      <c r="V328" s="34" t="str">
        <f t="shared" si="160"/>
        <v>db</v>
      </c>
      <c r="W328" s="34" t="str">
        <f t="shared" si="161"/>
        <v>db</v>
      </c>
      <c r="X328" s="34" t="str">
        <f>IF(B328="","",COUNTIF($C$8:C328,C328)&amp;C328)</f>
        <v>0</v>
      </c>
    </row>
    <row r="329" spans="2:24" ht="23.1" customHeight="1">
      <c r="B329" s="31">
        <v>44681</v>
      </c>
      <c r="C329" s="9"/>
      <c r="D329" s="9" t="s">
        <v>625</v>
      </c>
      <c r="E329" s="7"/>
      <c r="F329" s="7"/>
      <c r="G329" s="7"/>
      <c r="H329" s="7" t="s">
        <v>618</v>
      </c>
      <c r="I329" s="7" t="s">
        <v>582</v>
      </c>
      <c r="J329" s="39">
        <v>200195803</v>
      </c>
      <c r="L329" s="16">
        <f t="shared" si="152"/>
        <v>1</v>
      </c>
      <c r="M329" s="16" t="str">
        <f t="shared" si="158"/>
        <v>April</v>
      </c>
      <c r="N329" s="16" t="str">
        <f t="shared" si="153"/>
        <v/>
      </c>
      <c r="O329" s="16" t="str">
        <f>IF(N329="","",COUNTIF($N$8:N329,N329))</f>
        <v/>
      </c>
      <c r="P329" s="34" t="str">
        <f t="shared" si="154"/>
        <v>outBeban</v>
      </c>
      <c r="Q329" s="34" t="str">
        <f t="shared" si="155"/>
        <v>outAprilBeban</v>
      </c>
      <c r="R329" s="34" t="str">
        <f t="shared" si="156"/>
        <v>Beban</v>
      </c>
      <c r="S329" s="34" t="str">
        <f t="shared" si="157"/>
        <v>Kas</v>
      </c>
      <c r="T329" s="34" t="str">
        <f t="shared" si="159"/>
        <v/>
      </c>
      <c r="U329" s="34" t="str">
        <f>IF(AND(L329=1,bp_kode=T329,T329&lt;&gt;""),COUNTIF($T$8:T329,T329),"")</f>
        <v/>
      </c>
      <c r="V329" s="34" t="str">
        <f t="shared" si="160"/>
        <v>db</v>
      </c>
      <c r="W329" s="34" t="str">
        <f t="shared" si="161"/>
        <v>db</v>
      </c>
      <c r="X329" s="34" t="str">
        <f>IF(B329="","",COUNTIF($C$8:C329,C329)&amp;C329)</f>
        <v>0</v>
      </c>
    </row>
    <row r="330" spans="2:24" ht="23.1" customHeight="1">
      <c r="B330" s="31">
        <v>44681</v>
      </c>
      <c r="C330" s="9"/>
      <c r="D330" s="9" t="s">
        <v>626</v>
      </c>
      <c r="E330" s="7"/>
      <c r="F330" s="7"/>
      <c r="G330" s="7"/>
      <c r="H330" s="7" t="s">
        <v>619</v>
      </c>
      <c r="I330" s="7" t="s">
        <v>582</v>
      </c>
      <c r="J330" s="39">
        <v>209670166</v>
      </c>
      <c r="L330" s="16">
        <f t="shared" si="152"/>
        <v>1</v>
      </c>
      <c r="M330" s="16" t="str">
        <f t="shared" si="158"/>
        <v>April</v>
      </c>
      <c r="N330" s="16" t="str">
        <f t="shared" si="153"/>
        <v/>
      </c>
      <c r="O330" s="16" t="str">
        <f>IF(N330="","",COUNTIF($N$8:N330,N330))</f>
        <v/>
      </c>
      <c r="P330" s="34" t="str">
        <f t="shared" si="154"/>
        <v>outBeban</v>
      </c>
      <c r="Q330" s="34" t="str">
        <f t="shared" si="155"/>
        <v>outAprilBeban</v>
      </c>
      <c r="R330" s="34" t="str">
        <f t="shared" si="156"/>
        <v>Beban</v>
      </c>
      <c r="S330" s="34" t="str">
        <f t="shared" si="157"/>
        <v>Kas</v>
      </c>
      <c r="T330" s="34" t="str">
        <f t="shared" si="159"/>
        <v/>
      </c>
      <c r="U330" s="34" t="str">
        <f>IF(AND(L330=1,bp_kode=T330,T330&lt;&gt;""),COUNTIF($T$8:T330,T330),"")</f>
        <v/>
      </c>
      <c r="V330" s="34" t="str">
        <f t="shared" si="160"/>
        <v>db</v>
      </c>
      <c r="W330" s="34" t="str">
        <f t="shared" si="161"/>
        <v>db</v>
      </c>
      <c r="X330" s="34" t="str">
        <f>IF(B330="","",COUNTIF($C$8:C330,C330)&amp;C330)</f>
        <v>0</v>
      </c>
    </row>
    <row r="331" spans="2:24" ht="23.1" customHeight="1">
      <c r="B331" s="31">
        <v>44681</v>
      </c>
      <c r="C331" s="9"/>
      <c r="D331" s="9" t="s">
        <v>627</v>
      </c>
      <c r="E331" s="7"/>
      <c r="F331" s="7"/>
      <c r="G331" s="7"/>
      <c r="H331" s="7" t="s">
        <v>620</v>
      </c>
      <c r="I331" s="7" t="s">
        <v>582</v>
      </c>
      <c r="J331" s="39">
        <v>11684414</v>
      </c>
      <c r="L331" s="16">
        <f t="shared" si="152"/>
        <v>1</v>
      </c>
      <c r="M331" s="16" t="str">
        <f t="shared" si="158"/>
        <v>April</v>
      </c>
      <c r="N331" s="16" t="str">
        <f t="shared" si="153"/>
        <v/>
      </c>
      <c r="O331" s="16" t="str">
        <f>IF(N331="","",COUNTIF($N$8:N331,N331))</f>
        <v/>
      </c>
      <c r="P331" s="34" t="str">
        <f t="shared" si="154"/>
        <v>outBeban</v>
      </c>
      <c r="Q331" s="34" t="str">
        <f t="shared" si="155"/>
        <v>outAprilBeban</v>
      </c>
      <c r="R331" s="34" t="str">
        <f t="shared" si="156"/>
        <v>Beban</v>
      </c>
      <c r="S331" s="34" t="str">
        <f t="shared" si="157"/>
        <v>Kas</v>
      </c>
      <c r="T331" s="34" t="str">
        <f t="shared" si="159"/>
        <v/>
      </c>
      <c r="U331" s="34" t="str">
        <f>IF(AND(L331=1,bp_kode=T331,T331&lt;&gt;""),COUNTIF($T$8:T331,T331),"")</f>
        <v/>
      </c>
      <c r="V331" s="34" t="str">
        <f t="shared" si="160"/>
        <v>db</v>
      </c>
      <c r="W331" s="34" t="str">
        <f t="shared" si="161"/>
        <v>db</v>
      </c>
      <c r="X331" s="34" t="str">
        <f>IF(B331="","",COUNTIF($C$8:C331,C331)&amp;C331)</f>
        <v>0</v>
      </c>
    </row>
    <row r="332" spans="2:24" ht="23.1" customHeight="1">
      <c r="B332" s="31">
        <v>44681</v>
      </c>
      <c r="C332" s="9"/>
      <c r="D332" s="9" t="s">
        <v>718</v>
      </c>
      <c r="E332" s="7"/>
      <c r="F332" s="7"/>
      <c r="G332" s="7"/>
      <c r="H332" s="7" t="s">
        <v>717</v>
      </c>
      <c r="I332" s="7" t="s">
        <v>582</v>
      </c>
      <c r="J332" s="39">
        <v>492066281</v>
      </c>
      <c r="L332" s="16">
        <f t="shared" ref="L332" si="162">IF(AND(B332&gt;=awal,B332&lt;=akhir,B332&lt;&gt;""),1,IF(AND(B332&lt;&gt;"",B332&lt;awal),2,""))</f>
        <v>1</v>
      </c>
      <c r="M332" s="16" t="str">
        <f t="shared" ref="M332" si="163">IF(B332="","",TEXT(B332,"mmmm"))</f>
        <v>April</v>
      </c>
      <c r="N332" s="16" t="str">
        <f t="shared" ref="N332" si="164">IF(AND(L332=1,H332=bb_akun),"Awe",IF(AND(L332=1,I332=bb_akun),"Awe",""))</f>
        <v/>
      </c>
      <c r="O332" s="16" t="str">
        <f>IF(N332="","",COUNTIF($N$8:N332,N332))</f>
        <v/>
      </c>
      <c r="P332" s="34" t="str">
        <f t="shared" ref="P332" si="165">IFERROR(IF(OR(INDEX(akun_type,MATCH(H332,akun_kb,0))="Kas",INDEX(akun_type,MATCH(H332,akun_kb,0))="Bank"),"In"&amp;INDEX(akun_type,MATCH(I332,akun_kb,0)),IF(OR(INDEX(akun_type,MATCH(I332,akun_kb,0))="Kas",INDEX(akun_type,MATCH(I332,akun_kb,0))="Bank"),"out"&amp;INDEX(akun_type,MATCH(H332,akun_kb,0)),"")),"")</f>
        <v>outBeban</v>
      </c>
      <c r="Q332" s="34" t="str">
        <f t="shared" ref="Q332" si="166">IFERROR(IF(OR(INDEX(akun_type,MATCH(H332,akun_kb,0))="Kas",INDEX(akun_type,MATCH(H332,akun_kb,0))="Bank"),"in"&amp;TEXT(B332,"mmmm")&amp;INDEX(akun_type,MATCH(I332,akun_kb,0)),IF(OR(INDEX(akun_type,MATCH(I332,akun_kb,0))="Kas",INDEX(akun_type,MATCH(I332,akun_kb,0))="Bank"),"out"&amp;TEXT(B332,"mmmm")&amp;INDEX(akun_type,MATCH(H332,akun_kb,0)),"")),"")</f>
        <v>outAprilBeban</v>
      </c>
      <c r="R332" s="34" t="str">
        <f t="shared" ref="R332" si="167">IFERROR(INDEX(akun_type,MATCH(H332,akun_kb,0)),"")</f>
        <v>Beban</v>
      </c>
      <c r="S332" s="34" t="str">
        <f t="shared" ref="S332" si="168">IFERROR(INDEX(akun_type,MATCH(I332,akun_kb,0)),"")</f>
        <v>Kas</v>
      </c>
      <c r="T332" s="34" t="str">
        <f t="shared" ref="T332" si="169">IF(AND(L332=1,OR(R332="Akun Piutang",R332="akun hutang",S332="akun piutang",S332="akun hutang")),E332,"")</f>
        <v/>
      </c>
      <c r="U332" s="34" t="str">
        <f>IF(AND(L332=1,bp_kode=T332,T332&lt;&gt;""),COUNTIF($T$8:T332,T332),"")</f>
        <v/>
      </c>
      <c r="V332" s="34" t="str">
        <f t="shared" ref="V332" si="170">IF(OR(R332="Pendapatan",R332="Pendapatan Lainnya",R332="Beban",R332="Harga Pokok Penjualan",R332="Beban Lainnya"),"db"&amp;F332,IF(OR(S332="Pendapatan",S332="Pendapatan Lainnya",S332="Beban",S332="Harga Pokok Penjualan",S332="Beban Lainnya"),"kr"&amp;F332,""))</f>
        <v>db</v>
      </c>
      <c r="W332" s="34" t="str">
        <f t="shared" ref="W332" si="171">IF(OR(R332="Pendapatan",R332="Pendapatan Lainnya",R332="Beban",R332="Harga Pokok Penjualan",R332="Beban Lainnya"),"db"&amp;G332,IF(OR(S332="Pendapatan",S332="Pendapatan Lainnya",S332="Beban",S332="Harga Pokok Penjualan",S332="Beban Lainnya"),"kr"&amp;G332,""))</f>
        <v>db</v>
      </c>
      <c r="X332" s="34" t="str">
        <f>IF(B332="","",COUNTIF($C$8:C332,C332)&amp;C332)</f>
        <v>0</v>
      </c>
    </row>
    <row r="333" spans="2:24" ht="23.1" customHeight="1">
      <c r="B333" s="31">
        <v>44681</v>
      </c>
      <c r="C333" s="9"/>
      <c r="D333" s="9" t="s">
        <v>644</v>
      </c>
      <c r="E333" s="7"/>
      <c r="F333" s="7"/>
      <c r="G333" s="7"/>
      <c r="H333" s="7" t="s">
        <v>628</v>
      </c>
      <c r="I333" s="7" t="s">
        <v>582</v>
      </c>
      <c r="J333" s="39">
        <v>21900000</v>
      </c>
      <c r="L333" s="16">
        <f t="shared" si="152"/>
        <v>1</v>
      </c>
      <c r="M333" s="16" t="str">
        <f t="shared" si="158"/>
        <v>April</v>
      </c>
      <c r="N333" s="16" t="str">
        <f t="shared" si="153"/>
        <v/>
      </c>
      <c r="O333" s="16" t="str">
        <f>IF(N333="","",COUNTIF($N$8:N333,N333))</f>
        <v/>
      </c>
      <c r="P333" s="34" t="str">
        <f t="shared" si="154"/>
        <v>outBeban</v>
      </c>
      <c r="Q333" s="34" t="str">
        <f t="shared" si="155"/>
        <v>outAprilBeban</v>
      </c>
      <c r="R333" s="34" t="str">
        <f t="shared" si="156"/>
        <v>Beban</v>
      </c>
      <c r="S333" s="34" t="str">
        <f t="shared" si="157"/>
        <v>Kas</v>
      </c>
      <c r="T333" s="34" t="str">
        <f t="shared" si="159"/>
        <v/>
      </c>
      <c r="U333" s="34" t="str">
        <f>IF(AND(L333=1,bp_kode=T333,T333&lt;&gt;""),COUNTIF($T$8:T333,T333),"")</f>
        <v/>
      </c>
      <c r="V333" s="34" t="str">
        <f t="shared" si="160"/>
        <v>db</v>
      </c>
      <c r="W333" s="34" t="str">
        <f t="shared" si="161"/>
        <v>db</v>
      </c>
      <c r="X333" s="34" t="str">
        <f>IF(B333="","",COUNTIF($C$8:C333,C333)&amp;C333)</f>
        <v>0</v>
      </c>
    </row>
    <row r="334" spans="2:24" ht="23.1" customHeight="1">
      <c r="B334" s="31">
        <v>44681</v>
      </c>
      <c r="C334" s="9"/>
      <c r="D334" s="9" t="s">
        <v>693</v>
      </c>
      <c r="E334" s="7"/>
      <c r="F334" s="7"/>
      <c r="G334" s="7"/>
      <c r="H334" s="7" t="s">
        <v>694</v>
      </c>
      <c r="I334" s="7" t="s">
        <v>582</v>
      </c>
      <c r="J334" s="39">
        <v>1500000</v>
      </c>
      <c r="L334" s="16">
        <f t="shared" si="152"/>
        <v>1</v>
      </c>
      <c r="M334" s="16" t="str">
        <f t="shared" si="158"/>
        <v>April</v>
      </c>
      <c r="N334" s="16" t="str">
        <f t="shared" si="153"/>
        <v/>
      </c>
      <c r="O334" s="16" t="str">
        <f>IF(N334="","",COUNTIF($N$8:N334,N334))</f>
        <v/>
      </c>
      <c r="P334" s="34" t="str">
        <f t="shared" si="154"/>
        <v>outBeban</v>
      </c>
      <c r="Q334" s="34" t="str">
        <f t="shared" si="155"/>
        <v>outAprilBeban</v>
      </c>
      <c r="R334" s="34" t="str">
        <f t="shared" si="156"/>
        <v>Beban</v>
      </c>
      <c r="S334" s="34" t="str">
        <f t="shared" si="157"/>
        <v>Kas</v>
      </c>
      <c r="T334" s="34" t="str">
        <f t="shared" si="159"/>
        <v/>
      </c>
      <c r="U334" s="34" t="str">
        <f>IF(AND(L334=1,bp_kode=T334,T334&lt;&gt;""),COUNTIF($T$8:T334,T334),"")</f>
        <v/>
      </c>
      <c r="V334" s="34" t="str">
        <f t="shared" si="160"/>
        <v>db</v>
      </c>
      <c r="W334" s="34" t="str">
        <f t="shared" si="161"/>
        <v>db</v>
      </c>
      <c r="X334" s="34" t="str">
        <f>IF(B334="","",COUNTIF($C$8:C334,C334)&amp;C334)</f>
        <v>0</v>
      </c>
    </row>
    <row r="335" spans="2:24" ht="23.1" customHeight="1">
      <c r="B335" s="31">
        <v>44681</v>
      </c>
      <c r="C335" s="9"/>
      <c r="D335" s="9" t="s">
        <v>645</v>
      </c>
      <c r="E335" s="7"/>
      <c r="F335" s="7"/>
      <c r="G335" s="7"/>
      <c r="H335" s="7" t="s">
        <v>629</v>
      </c>
      <c r="I335" s="7" t="s">
        <v>582</v>
      </c>
      <c r="J335" s="39">
        <v>21475000</v>
      </c>
      <c r="L335" s="16">
        <f t="shared" si="152"/>
        <v>1</v>
      </c>
      <c r="M335" s="16" t="str">
        <f t="shared" si="158"/>
        <v>April</v>
      </c>
      <c r="N335" s="16" t="str">
        <f t="shared" si="153"/>
        <v/>
      </c>
      <c r="O335" s="16" t="str">
        <f>IF(N335="","",COUNTIF($N$8:N335,N335))</f>
        <v/>
      </c>
      <c r="P335" s="34" t="str">
        <f t="shared" si="154"/>
        <v>outBeban</v>
      </c>
      <c r="Q335" s="34" t="str">
        <f t="shared" si="155"/>
        <v>outAprilBeban</v>
      </c>
      <c r="R335" s="34" t="str">
        <f t="shared" si="156"/>
        <v>Beban</v>
      </c>
      <c r="S335" s="34" t="str">
        <f t="shared" si="157"/>
        <v>Kas</v>
      </c>
      <c r="T335" s="34" t="str">
        <f t="shared" si="159"/>
        <v/>
      </c>
      <c r="U335" s="34" t="str">
        <f>IF(AND(L335=1,bp_kode=T335,T335&lt;&gt;""),COUNTIF($T$8:T335,T335),"")</f>
        <v/>
      </c>
      <c r="V335" s="34" t="str">
        <f t="shared" si="160"/>
        <v>db</v>
      </c>
      <c r="W335" s="34" t="str">
        <f t="shared" si="161"/>
        <v>db</v>
      </c>
      <c r="X335" s="34" t="str">
        <f>IF(B335="","",COUNTIF($C$8:C335,C335)&amp;C335)</f>
        <v>0</v>
      </c>
    </row>
    <row r="336" spans="2:24" ht="23.1" customHeight="1">
      <c r="B336" s="31">
        <v>44681</v>
      </c>
      <c r="C336" s="9"/>
      <c r="D336" s="9" t="s">
        <v>646</v>
      </c>
      <c r="E336" s="7"/>
      <c r="F336" s="7"/>
      <c r="G336" s="7"/>
      <c r="H336" s="7" t="s">
        <v>630</v>
      </c>
      <c r="I336" s="7" t="s">
        <v>582</v>
      </c>
      <c r="J336" s="39">
        <v>3434000</v>
      </c>
      <c r="L336" s="16">
        <f t="shared" si="152"/>
        <v>1</v>
      </c>
      <c r="M336" s="16" t="str">
        <f t="shared" si="158"/>
        <v>April</v>
      </c>
      <c r="N336" s="16" t="str">
        <f t="shared" si="153"/>
        <v/>
      </c>
      <c r="O336" s="16" t="str">
        <f>IF(N336="","",COUNTIF($N$8:N336,N336))</f>
        <v/>
      </c>
      <c r="P336" s="34" t="str">
        <f t="shared" si="154"/>
        <v>outBeban</v>
      </c>
      <c r="Q336" s="34" t="str">
        <f t="shared" si="155"/>
        <v>outAprilBeban</v>
      </c>
      <c r="R336" s="34" t="str">
        <f t="shared" si="156"/>
        <v>Beban</v>
      </c>
      <c r="S336" s="34" t="str">
        <f t="shared" si="157"/>
        <v>Kas</v>
      </c>
      <c r="T336" s="34" t="str">
        <f t="shared" si="159"/>
        <v/>
      </c>
      <c r="U336" s="34" t="str">
        <f>IF(AND(L336=1,bp_kode=T336,T336&lt;&gt;""),COUNTIF($T$8:T336,T336),"")</f>
        <v/>
      </c>
      <c r="V336" s="34" t="str">
        <f t="shared" si="160"/>
        <v>db</v>
      </c>
      <c r="W336" s="34" t="str">
        <f t="shared" si="161"/>
        <v>db</v>
      </c>
      <c r="X336" s="34" t="str">
        <f>IF(B336="","",COUNTIF($C$8:C336,C336)&amp;C336)</f>
        <v>0</v>
      </c>
    </row>
    <row r="337" spans="2:24" ht="23.1" customHeight="1">
      <c r="B337" s="31">
        <v>44681</v>
      </c>
      <c r="C337" s="9"/>
      <c r="D337" s="9" t="s">
        <v>647</v>
      </c>
      <c r="E337" s="7"/>
      <c r="F337" s="7"/>
      <c r="G337" s="7"/>
      <c r="H337" s="7" t="s">
        <v>631</v>
      </c>
      <c r="I337" s="7" t="s">
        <v>582</v>
      </c>
      <c r="J337" s="39">
        <v>350000</v>
      </c>
      <c r="L337" s="16">
        <f t="shared" si="152"/>
        <v>1</v>
      </c>
      <c r="M337" s="16" t="str">
        <f t="shared" si="158"/>
        <v>April</v>
      </c>
      <c r="N337" s="16" t="str">
        <f t="shared" si="153"/>
        <v/>
      </c>
      <c r="O337" s="16" t="str">
        <f>IF(N337="","",COUNTIF($N$8:N337,N337))</f>
        <v/>
      </c>
      <c r="P337" s="34" t="str">
        <f t="shared" si="154"/>
        <v>outBeban</v>
      </c>
      <c r="Q337" s="34" t="str">
        <f t="shared" si="155"/>
        <v>outAprilBeban</v>
      </c>
      <c r="R337" s="34" t="str">
        <f t="shared" si="156"/>
        <v>Beban</v>
      </c>
      <c r="S337" s="34" t="str">
        <f t="shared" si="157"/>
        <v>Kas</v>
      </c>
      <c r="T337" s="34" t="str">
        <f t="shared" si="159"/>
        <v/>
      </c>
      <c r="U337" s="34" t="str">
        <f>IF(AND(L337=1,bp_kode=T337,T337&lt;&gt;""),COUNTIF($T$8:T337,T337),"")</f>
        <v/>
      </c>
      <c r="V337" s="34" t="str">
        <f t="shared" si="160"/>
        <v>db</v>
      </c>
      <c r="W337" s="34" t="str">
        <f t="shared" si="161"/>
        <v>db</v>
      </c>
      <c r="X337" s="34" t="str">
        <f>IF(B337="","",COUNTIF($C$8:C337,C337)&amp;C337)</f>
        <v>0</v>
      </c>
    </row>
    <row r="338" spans="2:24" ht="23.1" customHeight="1">
      <c r="B338" s="31">
        <v>44681</v>
      </c>
      <c r="C338" s="9"/>
      <c r="D338" s="9" t="s">
        <v>648</v>
      </c>
      <c r="E338" s="7"/>
      <c r="F338" s="7"/>
      <c r="G338" s="7"/>
      <c r="H338" s="7" t="s">
        <v>632</v>
      </c>
      <c r="I338" s="7" t="s">
        <v>582</v>
      </c>
      <c r="J338" s="39">
        <v>900000</v>
      </c>
      <c r="L338" s="16">
        <f t="shared" si="152"/>
        <v>1</v>
      </c>
      <c r="M338" s="16" t="str">
        <f t="shared" si="158"/>
        <v>April</v>
      </c>
      <c r="N338" s="16" t="str">
        <f t="shared" si="153"/>
        <v/>
      </c>
      <c r="O338" s="16" t="str">
        <f>IF(N338="","",COUNTIF($N$8:N338,N338))</f>
        <v/>
      </c>
      <c r="P338" s="34" t="str">
        <f t="shared" si="154"/>
        <v>outBeban</v>
      </c>
      <c r="Q338" s="34" t="str">
        <f t="shared" si="155"/>
        <v>outAprilBeban</v>
      </c>
      <c r="R338" s="34" t="str">
        <f t="shared" si="156"/>
        <v>Beban</v>
      </c>
      <c r="S338" s="34" t="str">
        <f t="shared" si="157"/>
        <v>Kas</v>
      </c>
      <c r="T338" s="34" t="str">
        <f t="shared" si="159"/>
        <v/>
      </c>
      <c r="U338" s="34" t="str">
        <f>IF(AND(L338=1,bp_kode=T338,T338&lt;&gt;""),COUNTIF($T$8:T338,T338),"")</f>
        <v/>
      </c>
      <c r="V338" s="34" t="str">
        <f t="shared" si="160"/>
        <v>db</v>
      </c>
      <c r="W338" s="34" t="str">
        <f t="shared" si="161"/>
        <v>db</v>
      </c>
      <c r="X338" s="34" t="str">
        <f>IF(B338="","",COUNTIF($C$8:C338,C338)&amp;C338)</f>
        <v>0</v>
      </c>
    </row>
    <row r="339" spans="2:24" ht="23.1" customHeight="1">
      <c r="B339" s="31">
        <v>44681</v>
      </c>
      <c r="C339" s="9"/>
      <c r="D339" s="9" t="s">
        <v>649</v>
      </c>
      <c r="E339" s="7"/>
      <c r="F339" s="7"/>
      <c r="G339" s="7"/>
      <c r="H339" s="7" t="s">
        <v>633</v>
      </c>
      <c r="I339" s="7" t="s">
        <v>582</v>
      </c>
      <c r="J339" s="39">
        <v>1990314</v>
      </c>
      <c r="L339" s="16">
        <f t="shared" si="152"/>
        <v>1</v>
      </c>
      <c r="M339" s="16" t="str">
        <f t="shared" si="158"/>
        <v>April</v>
      </c>
      <c r="N339" s="16" t="str">
        <f t="shared" si="153"/>
        <v/>
      </c>
      <c r="O339" s="16" t="str">
        <f>IF(N339="","",COUNTIF($N$8:N339,N339))</f>
        <v/>
      </c>
      <c r="P339" s="34" t="str">
        <f t="shared" si="154"/>
        <v>outBeban</v>
      </c>
      <c r="Q339" s="34" t="str">
        <f t="shared" si="155"/>
        <v>outAprilBeban</v>
      </c>
      <c r="R339" s="34" t="str">
        <f t="shared" si="156"/>
        <v>Beban</v>
      </c>
      <c r="S339" s="34" t="str">
        <f t="shared" si="157"/>
        <v>Kas</v>
      </c>
      <c r="T339" s="34" t="str">
        <f t="shared" si="159"/>
        <v/>
      </c>
      <c r="U339" s="34" t="str">
        <f>IF(AND(L339=1,bp_kode=T339,T339&lt;&gt;""),COUNTIF($T$8:T339,T339),"")</f>
        <v/>
      </c>
      <c r="V339" s="34" t="str">
        <f t="shared" si="160"/>
        <v>db</v>
      </c>
      <c r="W339" s="34" t="str">
        <f t="shared" si="161"/>
        <v>db</v>
      </c>
      <c r="X339" s="34" t="str">
        <f>IF(B339="","",COUNTIF($C$8:C339,C339)&amp;C339)</f>
        <v>0</v>
      </c>
    </row>
    <row r="340" spans="2:24" ht="23.1" customHeight="1">
      <c r="B340" s="31">
        <v>44681</v>
      </c>
      <c r="C340" s="9"/>
      <c r="D340" s="9" t="s">
        <v>650</v>
      </c>
      <c r="E340" s="7"/>
      <c r="F340" s="7"/>
      <c r="G340" s="7"/>
      <c r="H340" s="7" t="s">
        <v>634</v>
      </c>
      <c r="I340" s="7" t="s">
        <v>582</v>
      </c>
      <c r="J340" s="39">
        <v>4932427</v>
      </c>
      <c r="L340" s="16">
        <f t="shared" si="152"/>
        <v>1</v>
      </c>
      <c r="M340" s="16" t="str">
        <f t="shared" si="158"/>
        <v>April</v>
      </c>
      <c r="N340" s="16" t="str">
        <f t="shared" si="153"/>
        <v/>
      </c>
      <c r="O340" s="16" t="str">
        <f>IF(N340="","",COUNTIF($N$8:N340,N340))</f>
        <v/>
      </c>
      <c r="P340" s="34" t="str">
        <f t="shared" si="154"/>
        <v>outBeban</v>
      </c>
      <c r="Q340" s="34" t="str">
        <f t="shared" si="155"/>
        <v>outAprilBeban</v>
      </c>
      <c r="R340" s="34" t="str">
        <f t="shared" si="156"/>
        <v>Beban</v>
      </c>
      <c r="S340" s="34" t="str">
        <f t="shared" si="157"/>
        <v>Kas</v>
      </c>
      <c r="T340" s="34" t="str">
        <f t="shared" si="159"/>
        <v/>
      </c>
      <c r="U340" s="34" t="str">
        <f>IF(AND(L340=1,bp_kode=T340,T340&lt;&gt;""),COUNTIF($T$8:T340,T340),"")</f>
        <v/>
      </c>
      <c r="V340" s="34" t="str">
        <f t="shared" si="160"/>
        <v>db</v>
      </c>
      <c r="W340" s="34" t="str">
        <f t="shared" si="161"/>
        <v>db</v>
      </c>
      <c r="X340" s="34" t="str">
        <f>IF(B340="","",COUNTIF($C$8:C340,C340)&amp;C340)</f>
        <v>0</v>
      </c>
    </row>
    <row r="341" spans="2:24" ht="23.1" customHeight="1">
      <c r="B341" s="31">
        <v>44681</v>
      </c>
      <c r="C341" s="9"/>
      <c r="D341" s="9" t="s">
        <v>651</v>
      </c>
      <c r="E341" s="7"/>
      <c r="F341" s="7"/>
      <c r="G341" s="7"/>
      <c r="H341" s="7" t="s">
        <v>635</v>
      </c>
      <c r="I341" s="7" t="s">
        <v>582</v>
      </c>
      <c r="J341" s="39">
        <v>806500</v>
      </c>
      <c r="L341" s="16">
        <f t="shared" si="152"/>
        <v>1</v>
      </c>
      <c r="M341" s="16" t="str">
        <f t="shared" si="158"/>
        <v>April</v>
      </c>
      <c r="N341" s="16" t="str">
        <f t="shared" si="153"/>
        <v/>
      </c>
      <c r="O341" s="16" t="str">
        <f>IF(N341="","",COUNTIF($N$8:N341,N341))</f>
        <v/>
      </c>
      <c r="P341" s="34" t="str">
        <f t="shared" si="154"/>
        <v>outBeban</v>
      </c>
      <c r="Q341" s="34" t="str">
        <f t="shared" si="155"/>
        <v>outAprilBeban</v>
      </c>
      <c r="R341" s="34" t="str">
        <f t="shared" si="156"/>
        <v>Beban</v>
      </c>
      <c r="S341" s="34" t="str">
        <f t="shared" si="157"/>
        <v>Kas</v>
      </c>
      <c r="T341" s="34" t="str">
        <f t="shared" si="159"/>
        <v/>
      </c>
      <c r="U341" s="34" t="str">
        <f>IF(AND(L341=1,bp_kode=T341,T341&lt;&gt;""),COUNTIF($T$8:T341,T341),"")</f>
        <v/>
      </c>
      <c r="V341" s="34" t="str">
        <f t="shared" si="160"/>
        <v>db</v>
      </c>
      <c r="W341" s="34" t="str">
        <f t="shared" si="161"/>
        <v>db</v>
      </c>
      <c r="X341" s="34" t="str">
        <f>IF(B341="","",COUNTIF($C$8:C341,C341)&amp;C341)</f>
        <v>0</v>
      </c>
    </row>
    <row r="342" spans="2:24" ht="23.1" customHeight="1">
      <c r="B342" s="31">
        <v>44681</v>
      </c>
      <c r="C342" s="9"/>
      <c r="D342" s="9" t="s">
        <v>652</v>
      </c>
      <c r="E342" s="7"/>
      <c r="F342" s="7"/>
      <c r="G342" s="7"/>
      <c r="H342" s="7" t="s">
        <v>636</v>
      </c>
      <c r="I342" s="7" t="s">
        <v>582</v>
      </c>
      <c r="J342" s="39">
        <v>4560875</v>
      </c>
      <c r="L342" s="16">
        <f t="shared" si="152"/>
        <v>1</v>
      </c>
      <c r="M342" s="16" t="str">
        <f t="shared" si="158"/>
        <v>April</v>
      </c>
      <c r="N342" s="16" t="str">
        <f t="shared" si="153"/>
        <v/>
      </c>
      <c r="O342" s="16" t="str">
        <f>IF(N342="","",COUNTIF($N$8:N342,N342))</f>
        <v/>
      </c>
      <c r="P342" s="34" t="str">
        <f t="shared" si="154"/>
        <v>outBeban</v>
      </c>
      <c r="Q342" s="34" t="str">
        <f t="shared" si="155"/>
        <v>outAprilBeban</v>
      </c>
      <c r="R342" s="34" t="str">
        <f t="shared" si="156"/>
        <v>Beban</v>
      </c>
      <c r="S342" s="34" t="str">
        <f t="shared" si="157"/>
        <v>Kas</v>
      </c>
      <c r="T342" s="34" t="str">
        <f t="shared" si="159"/>
        <v/>
      </c>
      <c r="U342" s="34" t="str">
        <f>IF(AND(L342=1,bp_kode=T342,T342&lt;&gt;""),COUNTIF($T$8:T342,T342),"")</f>
        <v/>
      </c>
      <c r="V342" s="34" t="str">
        <f t="shared" si="160"/>
        <v>db</v>
      </c>
      <c r="W342" s="34" t="str">
        <f t="shared" si="161"/>
        <v>db</v>
      </c>
      <c r="X342" s="34" t="str">
        <f>IF(B342="","",COUNTIF($C$8:C342,C342)&amp;C342)</f>
        <v>0</v>
      </c>
    </row>
    <row r="343" spans="2:24" ht="23.1" customHeight="1">
      <c r="B343" s="31">
        <v>44681</v>
      </c>
      <c r="C343" s="9"/>
      <c r="D343" s="9" t="s">
        <v>653</v>
      </c>
      <c r="E343" s="7"/>
      <c r="F343" s="7"/>
      <c r="G343" s="7"/>
      <c r="H343" s="7" t="s">
        <v>637</v>
      </c>
      <c r="I343" s="7" t="s">
        <v>582</v>
      </c>
      <c r="J343" s="39">
        <v>2345500</v>
      </c>
      <c r="L343" s="16">
        <f t="shared" si="152"/>
        <v>1</v>
      </c>
      <c r="M343" s="16" t="str">
        <f t="shared" si="158"/>
        <v>April</v>
      </c>
      <c r="N343" s="16" t="str">
        <f t="shared" si="153"/>
        <v/>
      </c>
      <c r="O343" s="16" t="str">
        <f>IF(N343="","",COUNTIF($N$8:N343,N343))</f>
        <v/>
      </c>
      <c r="P343" s="34" t="str">
        <f t="shared" si="154"/>
        <v>outBeban</v>
      </c>
      <c r="Q343" s="34" t="str">
        <f t="shared" si="155"/>
        <v>outAprilBeban</v>
      </c>
      <c r="R343" s="34" t="str">
        <f t="shared" si="156"/>
        <v>Beban</v>
      </c>
      <c r="S343" s="34" t="str">
        <f t="shared" si="157"/>
        <v>Kas</v>
      </c>
      <c r="T343" s="34" t="str">
        <f t="shared" si="159"/>
        <v/>
      </c>
      <c r="U343" s="34" t="str">
        <f>IF(AND(L343=1,bp_kode=T343,T343&lt;&gt;""),COUNTIF($T$8:T343,T343),"")</f>
        <v/>
      </c>
      <c r="V343" s="34" t="str">
        <f t="shared" si="160"/>
        <v>db</v>
      </c>
      <c r="W343" s="34" t="str">
        <f t="shared" si="161"/>
        <v>db</v>
      </c>
      <c r="X343" s="34" t="str">
        <f>IF(B343="","",COUNTIF($C$8:C343,C343)&amp;C343)</f>
        <v>0</v>
      </c>
    </row>
    <row r="344" spans="2:24" ht="23.1" customHeight="1">
      <c r="B344" s="31">
        <v>44681</v>
      </c>
      <c r="C344" s="9"/>
      <c r="D344" s="9" t="s">
        <v>720</v>
      </c>
      <c r="E344" s="7"/>
      <c r="F344" s="7"/>
      <c r="G344" s="7"/>
      <c r="H344" s="7" t="s">
        <v>719</v>
      </c>
      <c r="I344" s="7" t="s">
        <v>582</v>
      </c>
      <c r="J344" s="39">
        <v>2000000</v>
      </c>
      <c r="L344" s="16">
        <f t="shared" si="152"/>
        <v>1</v>
      </c>
      <c r="M344" s="16" t="str">
        <f t="shared" si="158"/>
        <v>April</v>
      </c>
      <c r="N344" s="16" t="str">
        <f t="shared" si="153"/>
        <v/>
      </c>
      <c r="O344" s="16" t="str">
        <f>IF(N344="","",COUNTIF($N$8:N344,N344))</f>
        <v/>
      </c>
      <c r="P344" s="34" t="str">
        <f t="shared" si="154"/>
        <v>outBeban</v>
      </c>
      <c r="Q344" s="34" t="str">
        <f t="shared" si="155"/>
        <v>outAprilBeban</v>
      </c>
      <c r="R344" s="34" t="str">
        <f t="shared" si="156"/>
        <v>Beban</v>
      </c>
      <c r="S344" s="34" t="str">
        <f t="shared" si="157"/>
        <v>Kas</v>
      </c>
      <c r="T344" s="34" t="str">
        <f t="shared" si="159"/>
        <v/>
      </c>
      <c r="U344" s="34" t="str">
        <f>IF(AND(L344=1,bp_kode=T344,T344&lt;&gt;""),COUNTIF($T$8:T344,T344),"")</f>
        <v/>
      </c>
      <c r="V344" s="34" t="str">
        <f t="shared" si="160"/>
        <v>db</v>
      </c>
      <c r="W344" s="34" t="str">
        <f t="shared" si="161"/>
        <v>db</v>
      </c>
      <c r="X344" s="34" t="str">
        <f>IF(B344="","",COUNTIF($C$8:C344,C344)&amp;C344)</f>
        <v>0</v>
      </c>
    </row>
    <row r="345" spans="2:24" ht="23.1" customHeight="1">
      <c r="B345" s="31">
        <v>44681</v>
      </c>
      <c r="C345" s="9"/>
      <c r="D345" s="9" t="s">
        <v>655</v>
      </c>
      <c r="E345" s="7"/>
      <c r="F345" s="7"/>
      <c r="G345" s="7"/>
      <c r="H345" s="7" t="s">
        <v>639</v>
      </c>
      <c r="I345" s="7" t="s">
        <v>582</v>
      </c>
      <c r="J345" s="39">
        <v>21201600</v>
      </c>
      <c r="L345" s="16">
        <f t="shared" si="152"/>
        <v>1</v>
      </c>
      <c r="M345" s="16" t="str">
        <f t="shared" si="158"/>
        <v>April</v>
      </c>
      <c r="N345" s="16" t="str">
        <f t="shared" si="153"/>
        <v/>
      </c>
      <c r="O345" s="16" t="str">
        <f>IF(N345="","",COUNTIF($N$8:N345,N345))</f>
        <v/>
      </c>
      <c r="P345" s="34" t="str">
        <f t="shared" si="154"/>
        <v>outBeban</v>
      </c>
      <c r="Q345" s="34" t="str">
        <f t="shared" si="155"/>
        <v>outAprilBeban</v>
      </c>
      <c r="R345" s="34" t="str">
        <f t="shared" si="156"/>
        <v>Beban</v>
      </c>
      <c r="S345" s="34" t="str">
        <f t="shared" si="157"/>
        <v>Kas</v>
      </c>
      <c r="T345" s="34" t="str">
        <f t="shared" si="159"/>
        <v/>
      </c>
      <c r="U345" s="34" t="str">
        <f>IF(AND(L345=1,bp_kode=T345,T345&lt;&gt;""),COUNTIF($T$8:T345,T345),"")</f>
        <v/>
      </c>
      <c r="V345" s="34" t="str">
        <f t="shared" si="160"/>
        <v>db</v>
      </c>
      <c r="W345" s="34" t="str">
        <f t="shared" si="161"/>
        <v>db</v>
      </c>
      <c r="X345" s="34" t="str">
        <f>IF(B345="","",COUNTIF($C$8:C345,C345)&amp;C345)</f>
        <v>0</v>
      </c>
    </row>
    <row r="346" spans="2:24" ht="23.1" customHeight="1">
      <c r="B346" s="31">
        <v>44681</v>
      </c>
      <c r="C346" s="9"/>
      <c r="D346" s="9" t="s">
        <v>663</v>
      </c>
      <c r="E346" s="7"/>
      <c r="F346" s="7"/>
      <c r="G346" s="7"/>
      <c r="H346" s="7" t="s">
        <v>658</v>
      </c>
      <c r="I346" s="7" t="s">
        <v>671</v>
      </c>
      <c r="J346" s="39">
        <v>2806459</v>
      </c>
      <c r="L346" s="16">
        <f t="shared" si="152"/>
        <v>1</v>
      </c>
      <c r="M346" s="16" t="str">
        <f t="shared" si="158"/>
        <v>April</v>
      </c>
      <c r="N346" s="16" t="str">
        <f t="shared" si="153"/>
        <v/>
      </c>
      <c r="O346" s="16" t="str">
        <f>IF(N346="","",COUNTIF($N$8:N346,N346))</f>
        <v/>
      </c>
      <c r="P346" s="34" t="str">
        <f t="shared" si="154"/>
        <v/>
      </c>
      <c r="Q346" s="34" t="str">
        <f t="shared" si="155"/>
        <v/>
      </c>
      <c r="R346" s="34" t="str">
        <f t="shared" si="156"/>
        <v>Beban</v>
      </c>
      <c r="S346" s="34" t="str">
        <f t="shared" si="157"/>
        <v>Depresiasi &amp; Amortisasi</v>
      </c>
      <c r="T346" s="34" t="str">
        <f t="shared" si="159"/>
        <v/>
      </c>
      <c r="U346" s="34" t="str">
        <f>IF(AND(L346=1,bp_kode=T346,T346&lt;&gt;""),COUNTIF($T$8:T346,T346),"")</f>
        <v/>
      </c>
      <c r="V346" s="34" t="str">
        <f t="shared" si="160"/>
        <v>db</v>
      </c>
      <c r="W346" s="34" t="str">
        <f t="shared" si="161"/>
        <v>db</v>
      </c>
      <c r="X346" s="34" t="str">
        <f>IF(B346="","",COUNTIF($C$8:C346,C346)&amp;C346)</f>
        <v>0</v>
      </c>
    </row>
    <row r="347" spans="2:24" ht="23.1" customHeight="1">
      <c r="B347" s="31">
        <v>44681</v>
      </c>
      <c r="C347" s="9"/>
      <c r="D347" s="9" t="s">
        <v>664</v>
      </c>
      <c r="E347" s="7"/>
      <c r="F347" s="7"/>
      <c r="G347" s="7"/>
      <c r="H347" s="7" t="s">
        <v>660</v>
      </c>
      <c r="I347" s="7" t="s">
        <v>659</v>
      </c>
      <c r="J347" s="39">
        <v>29031950</v>
      </c>
      <c r="L347" s="16">
        <f t="shared" si="152"/>
        <v>1</v>
      </c>
      <c r="M347" s="16" t="str">
        <f t="shared" si="158"/>
        <v>April</v>
      </c>
      <c r="N347" s="16" t="str">
        <f t="shared" si="153"/>
        <v/>
      </c>
      <c r="O347" s="16" t="str">
        <f>IF(N347="","",COUNTIF($N$8:N347,N347))</f>
        <v/>
      </c>
      <c r="P347" s="34" t="str">
        <f t="shared" si="154"/>
        <v/>
      </c>
      <c r="Q347" s="34" t="str">
        <f t="shared" si="155"/>
        <v/>
      </c>
      <c r="R347" s="34" t="str">
        <f t="shared" si="156"/>
        <v>Beban</v>
      </c>
      <c r="S347" s="34" t="str">
        <f t="shared" si="157"/>
        <v>Depresiasi &amp; Amortisasi</v>
      </c>
      <c r="T347" s="34" t="str">
        <f t="shared" si="159"/>
        <v/>
      </c>
      <c r="U347" s="34" t="str">
        <f>IF(AND(L347=1,bp_kode=T347,T347&lt;&gt;""),COUNTIF($T$8:T347,T347),"")</f>
        <v/>
      </c>
      <c r="V347" s="34" t="str">
        <f t="shared" si="160"/>
        <v>db</v>
      </c>
      <c r="W347" s="34" t="str">
        <f t="shared" si="161"/>
        <v>db</v>
      </c>
      <c r="X347" s="34" t="str">
        <f>IF(B347="","",COUNTIF($C$8:C347,C347)&amp;C347)</f>
        <v>0</v>
      </c>
    </row>
    <row r="348" spans="2:24" ht="23.1" customHeight="1">
      <c r="B348" s="31">
        <v>44681</v>
      </c>
      <c r="C348" s="9"/>
      <c r="D348" s="9" t="s">
        <v>665</v>
      </c>
      <c r="E348" s="7"/>
      <c r="F348" s="7"/>
      <c r="G348" s="7"/>
      <c r="H348" s="7" t="s">
        <v>661</v>
      </c>
      <c r="I348" s="7" t="s">
        <v>672</v>
      </c>
      <c r="J348" s="39">
        <v>41666</v>
      </c>
      <c r="L348" s="16">
        <f t="shared" si="152"/>
        <v>1</v>
      </c>
      <c r="M348" s="16" t="str">
        <f t="shared" si="158"/>
        <v>April</v>
      </c>
      <c r="N348" s="16" t="str">
        <f t="shared" si="153"/>
        <v/>
      </c>
      <c r="O348" s="16" t="str">
        <f>IF(N348="","",COUNTIF($N$8:N348,N348))</f>
        <v/>
      </c>
      <c r="P348" s="34" t="str">
        <f t="shared" si="154"/>
        <v/>
      </c>
      <c r="Q348" s="34" t="str">
        <f t="shared" si="155"/>
        <v/>
      </c>
      <c r="R348" s="34" t="str">
        <f t="shared" si="156"/>
        <v>Beban</v>
      </c>
      <c r="S348" s="34" t="str">
        <f t="shared" si="157"/>
        <v>Depresiasi &amp; Amortisasi</v>
      </c>
      <c r="T348" s="34" t="str">
        <f t="shared" si="159"/>
        <v/>
      </c>
      <c r="U348" s="34" t="str">
        <f>IF(AND(L348=1,bp_kode=T348,T348&lt;&gt;""),COUNTIF($T$8:T348,T348),"")</f>
        <v/>
      </c>
      <c r="V348" s="34" t="str">
        <f t="shared" si="160"/>
        <v>db</v>
      </c>
      <c r="W348" s="34" t="str">
        <f t="shared" si="161"/>
        <v>db</v>
      </c>
      <c r="X348" s="34" t="str">
        <f>IF(B348="","",COUNTIF($C$8:C348,C348)&amp;C348)</f>
        <v>0</v>
      </c>
    </row>
    <row r="349" spans="2:24" ht="23.1" customHeight="1">
      <c r="B349" s="31">
        <v>44681</v>
      </c>
      <c r="C349" s="9"/>
      <c r="D349" s="9" t="s">
        <v>666</v>
      </c>
      <c r="E349" s="7"/>
      <c r="F349" s="7"/>
      <c r="G349" s="7"/>
      <c r="H349" s="7" t="s">
        <v>662</v>
      </c>
      <c r="I349" s="7" t="s">
        <v>673</v>
      </c>
      <c r="J349" s="39">
        <v>5654493</v>
      </c>
      <c r="L349" s="16">
        <f t="shared" si="152"/>
        <v>1</v>
      </c>
      <c r="M349" s="16" t="str">
        <f t="shared" si="158"/>
        <v>April</v>
      </c>
      <c r="N349" s="16" t="str">
        <f t="shared" si="153"/>
        <v/>
      </c>
      <c r="O349" s="16" t="str">
        <f>IF(N349="","",COUNTIF($N$8:N349,N349))</f>
        <v/>
      </c>
      <c r="P349" s="34" t="str">
        <f t="shared" si="154"/>
        <v/>
      </c>
      <c r="Q349" s="34" t="str">
        <f t="shared" si="155"/>
        <v/>
      </c>
      <c r="R349" s="34" t="str">
        <f t="shared" si="156"/>
        <v>Beban</v>
      </c>
      <c r="S349" s="34" t="str">
        <f t="shared" si="157"/>
        <v>Depresiasi &amp; Amortisasi</v>
      </c>
      <c r="T349" s="34" t="str">
        <f t="shared" si="159"/>
        <v/>
      </c>
      <c r="U349" s="34" t="str">
        <f>IF(AND(L349=1,bp_kode=T349,T349&lt;&gt;""),COUNTIF($T$8:T349,T349),"")</f>
        <v/>
      </c>
      <c r="V349" s="34" t="str">
        <f t="shared" si="160"/>
        <v>db</v>
      </c>
      <c r="W349" s="34" t="str">
        <f t="shared" si="161"/>
        <v>db</v>
      </c>
      <c r="X349" s="34" t="str">
        <f>IF(B349="","",COUNTIF($C$8:C349,C349)&amp;C349)</f>
        <v>0</v>
      </c>
    </row>
    <row r="350" spans="2:24" ht="23.1" customHeight="1">
      <c r="B350" s="31">
        <v>44681</v>
      </c>
      <c r="C350" s="9"/>
      <c r="D350" s="9" t="s">
        <v>669</v>
      </c>
      <c r="E350" s="7"/>
      <c r="F350" s="7"/>
      <c r="G350" s="7"/>
      <c r="H350" s="7" t="s">
        <v>667</v>
      </c>
      <c r="I350" s="7" t="s">
        <v>674</v>
      </c>
      <c r="J350" s="39">
        <v>17325229</v>
      </c>
      <c r="L350" s="16">
        <f t="shared" si="152"/>
        <v>1</v>
      </c>
      <c r="M350" s="16" t="str">
        <f t="shared" si="158"/>
        <v>April</v>
      </c>
      <c r="N350" s="16" t="str">
        <f t="shared" si="153"/>
        <v/>
      </c>
      <c r="O350" s="16" t="str">
        <f>IF(N350="","",COUNTIF($N$8:N350,N350))</f>
        <v/>
      </c>
      <c r="P350" s="34" t="str">
        <f t="shared" si="154"/>
        <v/>
      </c>
      <c r="Q350" s="34" t="str">
        <f t="shared" si="155"/>
        <v/>
      </c>
      <c r="R350" s="34" t="str">
        <f t="shared" si="156"/>
        <v>Beban</v>
      </c>
      <c r="S350" s="34" t="str">
        <f t="shared" si="157"/>
        <v>Depresiasi &amp; Amortisasi</v>
      </c>
      <c r="T350" s="34" t="str">
        <f t="shared" si="159"/>
        <v/>
      </c>
      <c r="U350" s="34" t="str">
        <f>IF(AND(L350=1,bp_kode=T350,T350&lt;&gt;""),COUNTIF($T$8:T350,T350),"")</f>
        <v/>
      </c>
      <c r="V350" s="34" t="str">
        <f t="shared" si="160"/>
        <v>db</v>
      </c>
      <c r="W350" s="34" t="str">
        <f t="shared" si="161"/>
        <v>db</v>
      </c>
      <c r="X350" s="34" t="str">
        <f>IF(B350="","",COUNTIF($C$8:C350,C350)&amp;C350)</f>
        <v>0</v>
      </c>
    </row>
    <row r="351" spans="2:24" s="349" customFormat="1" ht="23.1" customHeight="1">
      <c r="B351" s="350">
        <v>44681</v>
      </c>
      <c r="C351" s="351"/>
      <c r="D351" s="351" t="s">
        <v>670</v>
      </c>
      <c r="E351" s="352"/>
      <c r="F351" s="352"/>
      <c r="G351" s="352"/>
      <c r="H351" s="352" t="s">
        <v>668</v>
      </c>
      <c r="I351" s="352" t="s">
        <v>675</v>
      </c>
      <c r="J351" s="353">
        <v>5265000</v>
      </c>
      <c r="L351" s="354">
        <f t="shared" si="152"/>
        <v>1</v>
      </c>
      <c r="M351" s="354" t="str">
        <f t="shared" si="158"/>
        <v>April</v>
      </c>
      <c r="N351" s="354" t="str">
        <f t="shared" si="153"/>
        <v/>
      </c>
      <c r="O351" s="354" t="str">
        <f>IF(N351="","",COUNTIF($N$8:N351,N351))</f>
        <v/>
      </c>
      <c r="P351" s="355" t="str">
        <f t="shared" si="154"/>
        <v/>
      </c>
      <c r="Q351" s="355" t="str">
        <f t="shared" si="155"/>
        <v/>
      </c>
      <c r="R351" s="355" t="str">
        <f t="shared" si="156"/>
        <v>Beban</v>
      </c>
      <c r="S351" s="355" t="str">
        <f t="shared" si="157"/>
        <v>Depresiasi &amp; Amortisasi</v>
      </c>
      <c r="T351" s="355" t="str">
        <f t="shared" si="159"/>
        <v/>
      </c>
      <c r="U351" s="355" t="str">
        <f>IF(AND(L351=1,bp_kode=T351,T351&lt;&gt;""),COUNTIF($T$8:T351,T351),"")</f>
        <v/>
      </c>
      <c r="V351" s="355" t="str">
        <f t="shared" si="160"/>
        <v>db</v>
      </c>
      <c r="W351" s="355" t="str">
        <f t="shared" si="161"/>
        <v>db</v>
      </c>
      <c r="X351" s="355" t="str">
        <f>IF(B351="","",COUNTIF($C$8:C351,C351)&amp;C351)</f>
        <v>0</v>
      </c>
    </row>
    <row r="352" spans="2:24" s="349" customFormat="1" ht="23.1" customHeight="1">
      <c r="B352" s="350">
        <v>44681</v>
      </c>
      <c r="C352" s="351"/>
      <c r="D352" s="351" t="s">
        <v>666</v>
      </c>
      <c r="E352" s="352"/>
      <c r="F352" s="352"/>
      <c r="G352" s="352"/>
      <c r="H352" s="352" t="s">
        <v>662</v>
      </c>
      <c r="I352" s="352" t="s">
        <v>673</v>
      </c>
      <c r="J352" s="353">
        <v>40833.33</v>
      </c>
      <c r="L352" s="354">
        <f t="shared" si="152"/>
        <v>1</v>
      </c>
      <c r="M352" s="354" t="str">
        <f t="shared" si="158"/>
        <v>April</v>
      </c>
      <c r="N352" s="354" t="str">
        <f t="shared" si="153"/>
        <v/>
      </c>
      <c r="O352" s="354" t="str">
        <f>IF(N352="","",COUNTIF($N$8:N352,N352))</f>
        <v/>
      </c>
      <c r="P352" s="355" t="str">
        <f t="shared" si="154"/>
        <v/>
      </c>
      <c r="Q352" s="355" t="str">
        <f t="shared" si="155"/>
        <v/>
      </c>
      <c r="R352" s="355" t="str">
        <f t="shared" si="156"/>
        <v>Beban</v>
      </c>
      <c r="S352" s="355" t="str">
        <f t="shared" si="157"/>
        <v>Depresiasi &amp; Amortisasi</v>
      </c>
      <c r="T352" s="355" t="str">
        <f t="shared" si="159"/>
        <v/>
      </c>
      <c r="U352" s="355" t="str">
        <f>IF(AND(L352=1,bp_kode=T352,T352&lt;&gt;""),COUNTIF($T$8:T352,T352),"")</f>
        <v/>
      </c>
      <c r="V352" s="355" t="str">
        <f t="shared" si="160"/>
        <v>db</v>
      </c>
      <c r="W352" s="355" t="str">
        <f t="shared" si="161"/>
        <v>db</v>
      </c>
      <c r="X352" s="355" t="str">
        <f>IF(B352="","",COUNTIF($C$8:C352,C352)&amp;C352)</f>
        <v>0</v>
      </c>
    </row>
    <row r="353" spans="2:24" s="349" customFormat="1" ht="23.1" customHeight="1">
      <c r="B353" s="350">
        <v>44681</v>
      </c>
      <c r="C353" s="351"/>
      <c r="D353" s="351" t="s">
        <v>666</v>
      </c>
      <c r="E353" s="352"/>
      <c r="F353" s="352"/>
      <c r="G353" s="352"/>
      <c r="H353" s="352" t="s">
        <v>662</v>
      </c>
      <c r="I353" s="352" t="s">
        <v>673</v>
      </c>
      <c r="J353" s="353">
        <v>15833.333333333334</v>
      </c>
      <c r="L353" s="354">
        <f t="shared" ref="L353" si="172">IF(AND(B353&gt;=awal,B353&lt;=akhir,B353&lt;&gt;""),1,IF(AND(B353&lt;&gt;"",B353&lt;awal),2,""))</f>
        <v>1</v>
      </c>
      <c r="M353" s="354" t="str">
        <f t="shared" ref="M353" si="173">IF(B353="","",TEXT(B353,"mmmm"))</f>
        <v>April</v>
      </c>
      <c r="N353" s="354" t="str">
        <f t="shared" ref="N353" si="174">IF(AND(L353=1,H353=bb_akun),"Awe",IF(AND(L353=1,I353=bb_akun),"Awe",""))</f>
        <v/>
      </c>
      <c r="O353" s="354" t="str">
        <f>IF(N353="","",COUNTIF($N$8:N353,N353))</f>
        <v/>
      </c>
      <c r="P353" s="355" t="str">
        <f t="shared" ref="P353" si="175">IFERROR(IF(OR(INDEX(akun_type,MATCH(H353,akun_kb,0))="Kas",INDEX(akun_type,MATCH(H353,akun_kb,0))="Bank"),"In"&amp;INDEX(akun_type,MATCH(I353,akun_kb,0)),IF(OR(INDEX(akun_type,MATCH(I353,akun_kb,0))="Kas",INDEX(akun_type,MATCH(I353,akun_kb,0))="Bank"),"out"&amp;INDEX(akun_type,MATCH(H353,akun_kb,0)),"")),"")</f>
        <v/>
      </c>
      <c r="Q353" s="355" t="str">
        <f t="shared" ref="Q353" si="176">IFERROR(IF(OR(INDEX(akun_type,MATCH(H353,akun_kb,0))="Kas",INDEX(akun_type,MATCH(H353,akun_kb,0))="Bank"),"in"&amp;TEXT(B353,"mmmm")&amp;INDEX(akun_type,MATCH(I353,akun_kb,0)),IF(OR(INDEX(akun_type,MATCH(I353,akun_kb,0))="Kas",INDEX(akun_type,MATCH(I353,akun_kb,0))="Bank"),"out"&amp;TEXT(B353,"mmmm")&amp;INDEX(akun_type,MATCH(H353,akun_kb,0)),"")),"")</f>
        <v/>
      </c>
      <c r="R353" s="355" t="str">
        <f t="shared" ref="R353" si="177">IFERROR(INDEX(akun_type,MATCH(H353,akun_kb,0)),"")</f>
        <v>Beban</v>
      </c>
      <c r="S353" s="355" t="str">
        <f t="shared" ref="S353" si="178">IFERROR(INDEX(akun_type,MATCH(I353,akun_kb,0)),"")</f>
        <v>Depresiasi &amp; Amortisasi</v>
      </c>
      <c r="T353" s="355" t="str">
        <f t="shared" ref="T353" si="179">IF(AND(L353=1,OR(R353="Akun Piutang",R353="akun hutang",S353="akun piutang",S353="akun hutang")),E353,"")</f>
        <v/>
      </c>
      <c r="U353" s="355" t="str">
        <f>IF(AND(L353=1,bp_kode=T353,T353&lt;&gt;""),COUNTIF($T$8:T353,T353),"")</f>
        <v/>
      </c>
      <c r="V353" s="355" t="str">
        <f t="shared" ref="V353" si="180">IF(OR(R353="Pendapatan",R353="Pendapatan Lainnya",R353="Beban",R353="Harga Pokok Penjualan",R353="Beban Lainnya"),"db"&amp;F353,IF(OR(S353="Pendapatan",S353="Pendapatan Lainnya",S353="Beban",S353="Harga Pokok Penjualan",S353="Beban Lainnya"),"kr"&amp;F353,""))</f>
        <v>db</v>
      </c>
      <c r="W353" s="355" t="str">
        <f t="shared" ref="W353" si="181">IF(OR(R353="Pendapatan",R353="Pendapatan Lainnya",R353="Beban",R353="Harga Pokok Penjualan",R353="Beban Lainnya"),"db"&amp;G353,IF(OR(S353="Pendapatan",S353="Pendapatan Lainnya",S353="Beban",S353="Harga Pokok Penjualan",S353="Beban Lainnya"),"kr"&amp;G353,""))</f>
        <v>db</v>
      </c>
      <c r="X353" s="355" t="str">
        <f>IF(B353="","",COUNTIF($C$8:C353,C353)&amp;C353)</f>
        <v>0</v>
      </c>
    </row>
    <row r="354" spans="2:24" ht="23.1" customHeight="1">
      <c r="B354" s="31">
        <v>44712</v>
      </c>
      <c r="C354" s="9"/>
      <c r="D354" s="9" t="s">
        <v>550</v>
      </c>
      <c r="E354" s="7"/>
      <c r="F354" s="7"/>
      <c r="G354" s="7"/>
      <c r="H354" s="7" t="s">
        <v>551</v>
      </c>
      <c r="I354" s="7" t="s">
        <v>503</v>
      </c>
      <c r="J354" s="39">
        <v>559017000</v>
      </c>
      <c r="L354" s="16">
        <f t="shared" ref="L354:L416" si="182">IF(AND(B354&gt;=awal,B354&lt;=akhir,B354&lt;&gt;""),1,IF(AND(B354&lt;&gt;"",B354&lt;awal),2,""))</f>
        <v>1</v>
      </c>
      <c r="M354" s="16" t="str">
        <f t="shared" si="158"/>
        <v>May</v>
      </c>
      <c r="N354" s="16" t="str">
        <f t="shared" ref="N354:N416" si="183">IF(AND(L354=1,H354=bb_akun),"Awe",IF(AND(L354=1,I354=bb_akun),"Awe",""))</f>
        <v/>
      </c>
      <c r="O354" s="16" t="str">
        <f>IF(N354="","",COUNTIF($N$8:N354,N354))</f>
        <v/>
      </c>
      <c r="P354" s="34" t="str">
        <f t="shared" ref="P354:P416" si="184">IFERROR(IF(OR(INDEX(akun_type,MATCH(H354,akun_kb,0))="Kas",INDEX(akun_type,MATCH(H354,akun_kb,0))="Bank"),"In"&amp;INDEX(akun_type,MATCH(I354,akun_kb,0)),IF(OR(INDEX(akun_type,MATCH(I354,akun_kb,0))="Kas",INDEX(akun_type,MATCH(I354,akun_kb,0))="Bank"),"out"&amp;INDEX(akun_type,MATCH(H354,akun_kb,0)),"")),"")</f>
        <v/>
      </c>
      <c r="Q354" s="34" t="str">
        <f t="shared" ref="Q354:Q416" si="185">IFERROR(IF(OR(INDEX(akun_type,MATCH(H354,akun_kb,0))="Kas",INDEX(akun_type,MATCH(H354,akun_kb,0))="Bank"),"in"&amp;TEXT(B354,"mmmm")&amp;INDEX(akun_type,MATCH(I354,akun_kb,0)),IF(OR(INDEX(akun_type,MATCH(I354,akun_kb,0))="Kas",INDEX(akun_type,MATCH(I354,akun_kb,0))="Bank"),"out"&amp;TEXT(B354,"mmmm")&amp;INDEX(akun_type,MATCH(H354,akun_kb,0)),"")),"")</f>
        <v/>
      </c>
      <c r="R354" s="34" t="str">
        <f t="shared" si="156"/>
        <v>Akun Piutang</v>
      </c>
      <c r="S354" s="34" t="str">
        <f t="shared" si="157"/>
        <v>Pendapatan</v>
      </c>
      <c r="T354" s="34">
        <f t="shared" si="159"/>
        <v>0</v>
      </c>
      <c r="U354" s="34" t="str">
        <f>IF(AND(L354=1,bp_kode=T354,T354&lt;&gt;""),COUNTIF($T$8:T354,T354),"")</f>
        <v/>
      </c>
      <c r="V354" s="34" t="str">
        <f t="shared" si="160"/>
        <v>kr</v>
      </c>
      <c r="W354" s="34" t="str">
        <f t="shared" si="161"/>
        <v>kr</v>
      </c>
      <c r="X354" s="34" t="str">
        <f>IF(B354="","",COUNTIF($C$8:C354,C354)&amp;C354)</f>
        <v>0</v>
      </c>
    </row>
    <row r="355" spans="2:24" ht="23.1" customHeight="1">
      <c r="B355" s="31">
        <v>44712</v>
      </c>
      <c r="C355" s="9"/>
      <c r="D355" s="9" t="s">
        <v>552</v>
      </c>
      <c r="E355" s="7"/>
      <c r="F355" s="7"/>
      <c r="G355" s="7"/>
      <c r="H355" s="7" t="s">
        <v>587</v>
      </c>
      <c r="I355" s="7" t="s">
        <v>553</v>
      </c>
      <c r="J355" s="39">
        <v>3785000</v>
      </c>
      <c r="L355" s="16">
        <f t="shared" si="182"/>
        <v>1</v>
      </c>
      <c r="M355" s="16" t="str">
        <f t="shared" si="158"/>
        <v>May</v>
      </c>
      <c r="N355" s="16" t="str">
        <f t="shared" si="183"/>
        <v/>
      </c>
      <c r="O355" s="16" t="str">
        <f>IF(N355="","",COUNTIF($N$8:N355,N355))</f>
        <v/>
      </c>
      <c r="P355" s="34" t="str">
        <f t="shared" si="184"/>
        <v/>
      </c>
      <c r="Q355" s="34" t="str">
        <f t="shared" si="185"/>
        <v/>
      </c>
      <c r="R355" s="34" t="str">
        <f t="shared" si="156"/>
        <v>Akun Piutang</v>
      </c>
      <c r="S355" s="34" t="str">
        <f t="shared" si="157"/>
        <v>Pendapatan</v>
      </c>
      <c r="T355" s="34">
        <f t="shared" si="159"/>
        <v>0</v>
      </c>
      <c r="U355" s="34" t="str">
        <f>IF(AND(L355=1,bp_kode=T355,T355&lt;&gt;""),COUNTIF($T$8:T355,T355),"")</f>
        <v/>
      </c>
      <c r="V355" s="34" t="str">
        <f t="shared" si="160"/>
        <v>kr</v>
      </c>
      <c r="W355" s="34" t="str">
        <f t="shared" si="161"/>
        <v>kr</v>
      </c>
      <c r="X355" s="34" t="str">
        <f>IF(B355="","",COUNTIF($C$8:C355,C355)&amp;C355)</f>
        <v>0</v>
      </c>
    </row>
    <row r="356" spans="2:24" ht="23.1" customHeight="1">
      <c r="B356" s="31">
        <v>44712</v>
      </c>
      <c r="C356" s="9"/>
      <c r="D356" s="9" t="s">
        <v>555</v>
      </c>
      <c r="E356" s="7"/>
      <c r="F356" s="7"/>
      <c r="G356" s="7"/>
      <c r="H356" s="7" t="s">
        <v>557</v>
      </c>
      <c r="I356" s="7" t="s">
        <v>556</v>
      </c>
      <c r="J356" s="39">
        <v>165200000</v>
      </c>
      <c r="L356" s="16">
        <f t="shared" si="182"/>
        <v>1</v>
      </c>
      <c r="M356" s="16" t="str">
        <f t="shared" si="158"/>
        <v>May</v>
      </c>
      <c r="N356" s="16" t="str">
        <f t="shared" si="183"/>
        <v/>
      </c>
      <c r="O356" s="16" t="str">
        <f>IF(N356="","",COUNTIF($N$8:N356,N356))</f>
        <v/>
      </c>
      <c r="P356" s="34" t="str">
        <f t="shared" si="184"/>
        <v/>
      </c>
      <c r="Q356" s="34" t="str">
        <f t="shared" si="185"/>
        <v/>
      </c>
      <c r="R356" s="34" t="str">
        <f t="shared" si="156"/>
        <v>Akun Piutang</v>
      </c>
      <c r="S356" s="34" t="str">
        <f t="shared" si="157"/>
        <v>Pendapatan</v>
      </c>
      <c r="T356" s="34">
        <f t="shared" si="159"/>
        <v>0</v>
      </c>
      <c r="U356" s="34" t="str">
        <f>IF(AND(L356=1,bp_kode=T356,T356&lt;&gt;""),COUNTIF($T$8:T356,T356),"")</f>
        <v/>
      </c>
      <c r="V356" s="34" t="str">
        <f t="shared" si="160"/>
        <v>kr</v>
      </c>
      <c r="W356" s="34" t="str">
        <f t="shared" si="161"/>
        <v>kr</v>
      </c>
      <c r="X356" s="34" t="str">
        <f>IF(B356="","",COUNTIF($C$8:C356,C356)&amp;C356)</f>
        <v>0</v>
      </c>
    </row>
    <row r="357" spans="2:24" ht="23.1" customHeight="1">
      <c r="B357" s="31">
        <v>44712</v>
      </c>
      <c r="C357" s="9"/>
      <c r="D357" s="9" t="s">
        <v>558</v>
      </c>
      <c r="E357" s="7"/>
      <c r="F357" s="7"/>
      <c r="G357" s="7"/>
      <c r="H357" s="7" t="s">
        <v>559</v>
      </c>
      <c r="I357" s="7" t="s">
        <v>560</v>
      </c>
      <c r="J357" s="39">
        <v>420597000</v>
      </c>
      <c r="L357" s="16">
        <f t="shared" si="182"/>
        <v>1</v>
      </c>
      <c r="M357" s="16" t="str">
        <f t="shared" si="158"/>
        <v>May</v>
      </c>
      <c r="N357" s="16" t="str">
        <f t="shared" si="183"/>
        <v/>
      </c>
      <c r="O357" s="16" t="str">
        <f>IF(N357="","",COUNTIF($N$8:N357,N357))</f>
        <v/>
      </c>
      <c r="P357" s="34" t="str">
        <f t="shared" si="184"/>
        <v/>
      </c>
      <c r="Q357" s="34" t="str">
        <f t="shared" si="185"/>
        <v/>
      </c>
      <c r="R357" s="34" t="str">
        <f t="shared" si="156"/>
        <v>Akun Piutang</v>
      </c>
      <c r="S357" s="34" t="str">
        <f t="shared" si="157"/>
        <v>Pendapatan</v>
      </c>
      <c r="T357" s="34">
        <f t="shared" si="159"/>
        <v>0</v>
      </c>
      <c r="U357" s="34" t="str">
        <f>IF(AND(L357=1,bp_kode=T357,T357&lt;&gt;""),COUNTIF($T$8:T357,T357),"")</f>
        <v/>
      </c>
      <c r="V357" s="34" t="str">
        <f t="shared" si="160"/>
        <v>kr</v>
      </c>
      <c r="W357" s="34" t="str">
        <f t="shared" si="161"/>
        <v>kr</v>
      </c>
      <c r="X357" s="34" t="str">
        <f>IF(B357="","",COUNTIF($C$8:C357,C357)&amp;C357)</f>
        <v>0</v>
      </c>
    </row>
    <row r="358" spans="2:24" ht="23.1" customHeight="1">
      <c r="B358" s="31">
        <v>44712</v>
      </c>
      <c r="C358" s="9"/>
      <c r="D358" s="9" t="s">
        <v>562</v>
      </c>
      <c r="E358" s="7"/>
      <c r="F358" s="7"/>
      <c r="G358" s="7"/>
      <c r="H358" s="7" t="s">
        <v>561</v>
      </c>
      <c r="I358" s="7" t="s">
        <v>504</v>
      </c>
      <c r="J358" s="39">
        <v>124268000</v>
      </c>
      <c r="L358" s="16">
        <f t="shared" si="182"/>
        <v>1</v>
      </c>
      <c r="M358" s="16" t="str">
        <f t="shared" si="158"/>
        <v>May</v>
      </c>
      <c r="N358" s="16" t="str">
        <f t="shared" si="183"/>
        <v/>
      </c>
      <c r="O358" s="16" t="str">
        <f>IF(N358="","",COUNTIF($N$8:N358,N358))</f>
        <v/>
      </c>
      <c r="P358" s="34" t="str">
        <f t="shared" si="184"/>
        <v/>
      </c>
      <c r="Q358" s="34" t="str">
        <f t="shared" si="185"/>
        <v/>
      </c>
      <c r="R358" s="34" t="str">
        <f t="shared" si="156"/>
        <v>Akun Piutang</v>
      </c>
      <c r="S358" s="34" t="str">
        <f t="shared" si="157"/>
        <v>Pendapatan</v>
      </c>
      <c r="T358" s="34">
        <f t="shared" si="159"/>
        <v>0</v>
      </c>
      <c r="U358" s="34" t="str">
        <f>IF(AND(L358=1,bp_kode=T358,T358&lt;&gt;""),COUNTIF($T$8:T358,T358),"")</f>
        <v/>
      </c>
      <c r="V358" s="34" t="str">
        <f t="shared" si="160"/>
        <v>kr</v>
      </c>
      <c r="W358" s="34" t="str">
        <f t="shared" si="161"/>
        <v>kr</v>
      </c>
      <c r="X358" s="34" t="str">
        <f>IF(B358="","",COUNTIF($C$8:C358,C358)&amp;C358)</f>
        <v>0</v>
      </c>
    </row>
    <row r="359" spans="2:24" ht="23.1" customHeight="1">
      <c r="B359" s="31">
        <v>44712</v>
      </c>
      <c r="C359" s="9"/>
      <c r="D359" s="9" t="s">
        <v>562</v>
      </c>
      <c r="E359" s="7"/>
      <c r="F359" s="7"/>
      <c r="G359" s="7"/>
      <c r="H359" s="7" t="s">
        <v>727</v>
      </c>
      <c r="I359" s="7" t="s">
        <v>504</v>
      </c>
      <c r="J359" s="39">
        <v>3000000</v>
      </c>
      <c r="L359" s="16">
        <f t="shared" ref="L359" si="186">IF(AND(B359&gt;=awal,B359&lt;=akhir,B359&lt;&gt;""),1,IF(AND(B359&lt;&gt;"",B359&lt;awal),2,""))</f>
        <v>1</v>
      </c>
      <c r="M359" s="16" t="str">
        <f t="shared" ref="M359" si="187">IF(B359="","",TEXT(B359,"mmmm"))</f>
        <v>May</v>
      </c>
      <c r="N359" s="16" t="str">
        <f t="shared" ref="N359" si="188">IF(AND(L359=1,H359=bb_akun),"Awe",IF(AND(L359=1,I359=bb_akun),"Awe",""))</f>
        <v/>
      </c>
      <c r="O359" s="16" t="str">
        <f>IF(N359="","",COUNTIF($N$8:N359,N359))</f>
        <v/>
      </c>
      <c r="P359" s="34" t="str">
        <f t="shared" ref="P359" si="189">IFERROR(IF(OR(INDEX(akun_type,MATCH(H359,akun_kb,0))="Kas",INDEX(akun_type,MATCH(H359,akun_kb,0))="Bank"),"In"&amp;INDEX(akun_type,MATCH(I359,akun_kb,0)),IF(OR(INDEX(akun_type,MATCH(I359,akun_kb,0))="Kas",INDEX(akun_type,MATCH(I359,akun_kb,0))="Bank"),"out"&amp;INDEX(akun_type,MATCH(H359,akun_kb,0)),"")),"")</f>
        <v/>
      </c>
      <c r="Q359" s="34" t="str">
        <f t="shared" ref="Q359" si="190">IFERROR(IF(OR(INDEX(akun_type,MATCH(H359,akun_kb,0))="Kas",INDEX(akun_type,MATCH(H359,akun_kb,0))="Bank"),"in"&amp;TEXT(B359,"mmmm")&amp;INDEX(akun_type,MATCH(I359,akun_kb,0)),IF(OR(INDEX(akun_type,MATCH(I359,akun_kb,0))="Kas",INDEX(akun_type,MATCH(I359,akun_kb,0))="Bank"),"out"&amp;TEXT(B359,"mmmm")&amp;INDEX(akun_type,MATCH(H359,akun_kb,0)),"")),"")</f>
        <v/>
      </c>
      <c r="R359" s="34" t="str">
        <f t="shared" ref="R359" si="191">IFERROR(INDEX(akun_type,MATCH(H359,akun_kb,0)),"")</f>
        <v>Akun Piutang</v>
      </c>
      <c r="S359" s="34" t="str">
        <f t="shared" ref="S359" si="192">IFERROR(INDEX(akun_type,MATCH(I359,akun_kb,0)),"")</f>
        <v>Pendapatan</v>
      </c>
      <c r="T359" s="34">
        <f t="shared" ref="T359" si="193">IF(AND(L359=1,OR(R359="Akun Piutang",R359="akun hutang",S359="akun piutang",S359="akun hutang")),E359,"")</f>
        <v>0</v>
      </c>
      <c r="U359" s="34" t="str">
        <f>IF(AND(L359=1,bp_kode=T359,T359&lt;&gt;""),COUNTIF($T$8:T359,T359),"")</f>
        <v/>
      </c>
      <c r="V359" s="34" t="str">
        <f t="shared" ref="V359" si="194">IF(OR(R359="Pendapatan",R359="Pendapatan Lainnya",R359="Beban",R359="Harga Pokok Penjualan",R359="Beban Lainnya"),"db"&amp;F359,IF(OR(S359="Pendapatan",S359="Pendapatan Lainnya",S359="Beban",S359="Harga Pokok Penjualan",S359="Beban Lainnya"),"kr"&amp;F359,""))</f>
        <v>kr</v>
      </c>
      <c r="W359" s="34" t="str">
        <f t="shared" ref="W359" si="195">IF(OR(R359="Pendapatan",R359="Pendapatan Lainnya",R359="Beban",R359="Harga Pokok Penjualan",R359="Beban Lainnya"),"db"&amp;G359,IF(OR(S359="Pendapatan",S359="Pendapatan Lainnya",S359="Beban",S359="Harga Pokok Penjualan",S359="Beban Lainnya"),"kr"&amp;G359,""))</f>
        <v>kr</v>
      </c>
      <c r="X359" s="34" t="str">
        <f>IF(B359="","",COUNTIF($C$8:C359,C359)&amp;C359)</f>
        <v>0</v>
      </c>
    </row>
    <row r="360" spans="2:24" ht="23.1" customHeight="1">
      <c r="B360" s="31">
        <v>44712</v>
      </c>
      <c r="C360" s="9"/>
      <c r="D360" s="9" t="s">
        <v>563</v>
      </c>
      <c r="E360" s="7"/>
      <c r="F360" s="7"/>
      <c r="G360" s="7"/>
      <c r="H360" s="7" t="s">
        <v>565</v>
      </c>
      <c r="I360" s="7" t="s">
        <v>551</v>
      </c>
      <c r="J360" s="39">
        <v>226784500</v>
      </c>
      <c r="L360" s="16">
        <f t="shared" si="182"/>
        <v>1</v>
      </c>
      <c r="M360" s="16" t="str">
        <f t="shared" si="158"/>
        <v>May</v>
      </c>
      <c r="N360" s="16" t="str">
        <f t="shared" si="183"/>
        <v/>
      </c>
      <c r="O360" s="16" t="str">
        <f>IF(N360="","",COUNTIF($N$8:N360,N360))</f>
        <v/>
      </c>
      <c r="P360" s="34" t="str">
        <f t="shared" si="184"/>
        <v/>
      </c>
      <c r="Q360" s="34" t="str">
        <f t="shared" si="185"/>
        <v/>
      </c>
      <c r="R360" s="34" t="str">
        <f t="shared" si="156"/>
        <v>Pendapatan</v>
      </c>
      <c r="S360" s="34" t="str">
        <f t="shared" si="157"/>
        <v>Akun Piutang</v>
      </c>
      <c r="T360" s="34">
        <f t="shared" si="159"/>
        <v>0</v>
      </c>
      <c r="U360" s="34" t="str">
        <f>IF(AND(L360=1,bp_kode=T360,T360&lt;&gt;""),COUNTIF($T$8:T360,T360),"")</f>
        <v/>
      </c>
      <c r="V360" s="34" t="str">
        <f t="shared" si="160"/>
        <v>db</v>
      </c>
      <c r="W360" s="34" t="str">
        <f t="shared" si="161"/>
        <v>db</v>
      </c>
      <c r="X360" s="34" t="str">
        <f>IF(B360="","",COUNTIF($C$8:C360,C360)&amp;C360)</f>
        <v>0</v>
      </c>
    </row>
    <row r="361" spans="2:24" ht="23.1" customHeight="1">
      <c r="B361" s="31">
        <v>44712</v>
      </c>
      <c r="C361" s="9"/>
      <c r="D361" s="9" t="s">
        <v>564</v>
      </c>
      <c r="E361" s="7"/>
      <c r="F361" s="7"/>
      <c r="G361" s="7"/>
      <c r="H361" s="7" t="s">
        <v>566</v>
      </c>
      <c r="I361" s="7" t="s">
        <v>559</v>
      </c>
      <c r="J361" s="39">
        <v>14323900</v>
      </c>
      <c r="L361" s="16">
        <f t="shared" si="182"/>
        <v>1</v>
      </c>
      <c r="M361" s="16" t="str">
        <f t="shared" si="158"/>
        <v>May</v>
      </c>
      <c r="N361" s="16" t="str">
        <f t="shared" si="183"/>
        <v/>
      </c>
      <c r="O361" s="16" t="str">
        <f>IF(N361="","",COUNTIF($N$8:N361,N361))</f>
        <v/>
      </c>
      <c r="P361" s="34" t="str">
        <f t="shared" si="184"/>
        <v/>
      </c>
      <c r="Q361" s="34" t="str">
        <f t="shared" si="185"/>
        <v/>
      </c>
      <c r="R361" s="34" t="str">
        <f t="shared" si="156"/>
        <v>Pendapatan</v>
      </c>
      <c r="S361" s="34" t="str">
        <f t="shared" si="157"/>
        <v>Akun Piutang</v>
      </c>
      <c r="T361" s="34">
        <f t="shared" si="159"/>
        <v>0</v>
      </c>
      <c r="U361" s="34" t="str">
        <f>IF(AND(L361=1,bp_kode=T361,T361&lt;&gt;""),COUNTIF($T$8:T361,T361),"")</f>
        <v/>
      </c>
      <c r="V361" s="34" t="str">
        <f t="shared" si="160"/>
        <v>db</v>
      </c>
      <c r="W361" s="34" t="str">
        <f t="shared" si="161"/>
        <v>db</v>
      </c>
      <c r="X361" s="34" t="str">
        <f>IF(B361="","",COUNTIF($C$8:C361,C361)&amp;C361)</f>
        <v>0</v>
      </c>
    </row>
    <row r="362" spans="2:24" ht="23.1" customHeight="1">
      <c r="B362" s="31">
        <v>44712</v>
      </c>
      <c r="C362" s="9"/>
      <c r="D362" s="9" t="s">
        <v>555</v>
      </c>
      <c r="E362" s="7"/>
      <c r="F362" s="7"/>
      <c r="G362" s="7"/>
      <c r="H362" s="7" t="s">
        <v>554</v>
      </c>
      <c r="I362" s="7" t="s">
        <v>557</v>
      </c>
      <c r="J362" s="39">
        <v>161550000</v>
      </c>
      <c r="L362" s="16">
        <f t="shared" si="182"/>
        <v>1</v>
      </c>
      <c r="M362" s="16" t="str">
        <f t="shared" si="158"/>
        <v>May</v>
      </c>
      <c r="N362" s="16" t="str">
        <f t="shared" si="183"/>
        <v/>
      </c>
      <c r="O362" s="16" t="str">
        <f>IF(N362="","",COUNTIF($N$8:N362,N362))</f>
        <v/>
      </c>
      <c r="P362" s="34" t="str">
        <f t="shared" si="184"/>
        <v>InAkun Piutang</v>
      </c>
      <c r="Q362" s="34" t="str">
        <f t="shared" si="185"/>
        <v>inMayAkun Piutang</v>
      </c>
      <c r="R362" s="34" t="str">
        <f t="shared" si="156"/>
        <v>Kas</v>
      </c>
      <c r="S362" s="34" t="str">
        <f t="shared" si="157"/>
        <v>Akun Piutang</v>
      </c>
      <c r="T362" s="34">
        <f t="shared" si="159"/>
        <v>0</v>
      </c>
      <c r="U362" s="34" t="str">
        <f>IF(AND(L362=1,bp_kode=T362,T362&lt;&gt;""),COUNTIF($T$8:T362,T362),"")</f>
        <v/>
      </c>
      <c r="V362" s="34" t="str">
        <f t="shared" si="160"/>
        <v/>
      </c>
      <c r="W362" s="34" t="str">
        <f t="shared" si="161"/>
        <v/>
      </c>
      <c r="X362" s="34" t="str">
        <f>IF(B362="","",COUNTIF($C$8:C362,C362)&amp;C362)</f>
        <v>0</v>
      </c>
    </row>
    <row r="363" spans="2:24" ht="23.1" customHeight="1">
      <c r="B363" s="31">
        <v>44712</v>
      </c>
      <c r="C363" s="9"/>
      <c r="D363" s="9" t="s">
        <v>730</v>
      </c>
      <c r="E363" s="7"/>
      <c r="F363" s="7"/>
      <c r="G363" s="7"/>
      <c r="H363" s="7" t="s">
        <v>568</v>
      </c>
      <c r="I363" s="7" t="s">
        <v>569</v>
      </c>
      <c r="J363" s="39">
        <v>233538</v>
      </c>
      <c r="L363" s="16">
        <f t="shared" si="182"/>
        <v>1</v>
      </c>
      <c r="M363" s="16" t="str">
        <f t="shared" si="158"/>
        <v>May</v>
      </c>
      <c r="N363" s="16" t="str">
        <f t="shared" si="183"/>
        <v/>
      </c>
      <c r="O363" s="16" t="str">
        <f>IF(N363="","",COUNTIF($N$8:N363,N363))</f>
        <v/>
      </c>
      <c r="P363" s="34" t="str">
        <f t="shared" si="184"/>
        <v>InPendapatan Lainnya</v>
      </c>
      <c r="Q363" s="34" t="str">
        <f t="shared" si="185"/>
        <v>inMayPendapatan Lainnya</v>
      </c>
      <c r="R363" s="34" t="str">
        <f t="shared" si="156"/>
        <v>Bank</v>
      </c>
      <c r="S363" s="34" t="str">
        <f t="shared" si="157"/>
        <v>Pendapatan Lainnya</v>
      </c>
      <c r="T363" s="34" t="str">
        <f t="shared" si="159"/>
        <v/>
      </c>
      <c r="U363" s="34" t="str">
        <f>IF(AND(L363=1,bp_kode=T363,T363&lt;&gt;""),COUNTIF($T$8:T363,T363),"")</f>
        <v/>
      </c>
      <c r="V363" s="34" t="str">
        <f t="shared" si="160"/>
        <v>kr</v>
      </c>
      <c r="W363" s="34" t="str">
        <f t="shared" si="161"/>
        <v>kr</v>
      </c>
      <c r="X363" s="34" t="str">
        <f>IF(B363="","",COUNTIF($C$8:C363,C363)&amp;C363)</f>
        <v>0</v>
      </c>
    </row>
    <row r="364" spans="2:24" ht="23.1" customHeight="1">
      <c r="B364" s="31">
        <v>44712</v>
      </c>
      <c r="C364" s="9"/>
      <c r="D364" s="9" t="s">
        <v>570</v>
      </c>
      <c r="E364" s="7"/>
      <c r="F364" s="7"/>
      <c r="G364" s="7"/>
      <c r="H364" s="7" t="s">
        <v>571</v>
      </c>
      <c r="I364" s="7" t="s">
        <v>568</v>
      </c>
      <c r="J364" s="39">
        <v>46699</v>
      </c>
      <c r="L364" s="16">
        <f t="shared" si="182"/>
        <v>1</v>
      </c>
      <c r="M364" s="16" t="str">
        <f t="shared" si="158"/>
        <v>May</v>
      </c>
      <c r="N364" s="16" t="str">
        <f t="shared" si="183"/>
        <v/>
      </c>
      <c r="O364" s="16" t="str">
        <f>IF(N364="","",COUNTIF($N$8:N364,N364))</f>
        <v/>
      </c>
      <c r="P364" s="34" t="str">
        <f t="shared" si="184"/>
        <v>outBeban Lainnya</v>
      </c>
      <c r="Q364" s="34" t="str">
        <f t="shared" si="185"/>
        <v>outMayBeban Lainnya</v>
      </c>
      <c r="R364" s="34" t="str">
        <f t="shared" si="156"/>
        <v>Beban Lainnya</v>
      </c>
      <c r="S364" s="34" t="str">
        <f t="shared" si="157"/>
        <v>Bank</v>
      </c>
      <c r="T364" s="34" t="str">
        <f t="shared" si="159"/>
        <v/>
      </c>
      <c r="U364" s="34" t="str">
        <f>IF(AND(L364=1,bp_kode=T364,T364&lt;&gt;""),COUNTIF($T$8:T364,T364),"")</f>
        <v/>
      </c>
      <c r="V364" s="34" t="str">
        <f t="shared" si="160"/>
        <v>db</v>
      </c>
      <c r="W364" s="34" t="str">
        <f t="shared" si="161"/>
        <v>db</v>
      </c>
      <c r="X364" s="34" t="str">
        <f>IF(B364="","",COUNTIF($C$8:C364,C364)&amp;C364)</f>
        <v>0</v>
      </c>
    </row>
    <row r="365" spans="2:24" ht="23.1" customHeight="1">
      <c r="B365" s="31">
        <v>44712</v>
      </c>
      <c r="C365" s="9"/>
      <c r="D365" s="9" t="s">
        <v>572</v>
      </c>
      <c r="E365" s="7"/>
      <c r="F365" s="7"/>
      <c r="G365" s="7"/>
      <c r="H365" s="7" t="s">
        <v>640</v>
      </c>
      <c r="I365" s="7" t="s">
        <v>568</v>
      </c>
      <c r="J365" s="39">
        <v>36500</v>
      </c>
      <c r="L365" s="16">
        <f t="shared" si="182"/>
        <v>1</v>
      </c>
      <c r="M365" s="16" t="str">
        <f t="shared" si="158"/>
        <v>May</v>
      </c>
      <c r="N365" s="16" t="str">
        <f t="shared" si="183"/>
        <v/>
      </c>
      <c r="O365" s="16" t="str">
        <f>IF(N365="","",COUNTIF($N$8:N365,N365))</f>
        <v/>
      </c>
      <c r="P365" s="34" t="str">
        <f t="shared" si="184"/>
        <v>outBeban Lainnya</v>
      </c>
      <c r="Q365" s="34" t="str">
        <f t="shared" si="185"/>
        <v>outMayBeban Lainnya</v>
      </c>
      <c r="R365" s="34" t="str">
        <f t="shared" si="156"/>
        <v>Beban Lainnya</v>
      </c>
      <c r="S365" s="34" t="str">
        <f t="shared" si="157"/>
        <v>Bank</v>
      </c>
      <c r="T365" s="34" t="str">
        <f t="shared" si="159"/>
        <v/>
      </c>
      <c r="U365" s="34" t="str">
        <f>IF(AND(L365=1,bp_kode=T365,T365&lt;&gt;""),COUNTIF($T$8:T365,T365),"")</f>
        <v/>
      </c>
      <c r="V365" s="34" t="str">
        <f t="shared" si="160"/>
        <v>db</v>
      </c>
      <c r="W365" s="34" t="str">
        <f t="shared" si="161"/>
        <v>db</v>
      </c>
      <c r="X365" s="34" t="str">
        <f>IF(B365="","",COUNTIF($C$8:C365,C365)&amp;C365)</f>
        <v>0</v>
      </c>
    </row>
    <row r="366" spans="2:24" ht="23.1" customHeight="1">
      <c r="B366" s="31">
        <v>44712</v>
      </c>
      <c r="C366" s="9"/>
      <c r="D366" s="9" t="s">
        <v>573</v>
      </c>
      <c r="E366" s="7"/>
      <c r="F366" s="7"/>
      <c r="G366" s="7"/>
      <c r="H366" s="7" t="s">
        <v>568</v>
      </c>
      <c r="I366" s="7" t="s">
        <v>559</v>
      </c>
      <c r="J366" s="39">
        <v>51097100</v>
      </c>
      <c r="L366" s="16">
        <f t="shared" si="182"/>
        <v>1</v>
      </c>
      <c r="M366" s="16" t="str">
        <f t="shared" si="158"/>
        <v>May</v>
      </c>
      <c r="N366" s="16" t="str">
        <f t="shared" si="183"/>
        <v/>
      </c>
      <c r="O366" s="16" t="str">
        <f>IF(N366="","",COUNTIF($N$8:N366,N366))</f>
        <v/>
      </c>
      <c r="P366" s="34" t="str">
        <f t="shared" si="184"/>
        <v>InAkun Piutang</v>
      </c>
      <c r="Q366" s="34" t="str">
        <f t="shared" si="185"/>
        <v>inMayAkun Piutang</v>
      </c>
      <c r="R366" s="34" t="str">
        <f t="shared" si="156"/>
        <v>Bank</v>
      </c>
      <c r="S366" s="34" t="str">
        <f t="shared" si="157"/>
        <v>Akun Piutang</v>
      </c>
      <c r="T366" s="34">
        <f t="shared" si="159"/>
        <v>0</v>
      </c>
      <c r="U366" s="34" t="str">
        <f>IF(AND(L366=1,bp_kode=T366,T366&lt;&gt;""),COUNTIF($T$8:T366,T366),"")</f>
        <v/>
      </c>
      <c r="V366" s="34" t="str">
        <f t="shared" si="160"/>
        <v/>
      </c>
      <c r="W366" s="34" t="str">
        <f t="shared" si="161"/>
        <v/>
      </c>
      <c r="X366" s="34" t="str">
        <f>IF(B366="","",COUNTIF($C$8:C366,C366)&amp;C366)</f>
        <v>0</v>
      </c>
    </row>
    <row r="367" spans="2:24" ht="23.1" customHeight="1">
      <c r="B367" s="31">
        <v>44712</v>
      </c>
      <c r="C367" s="9"/>
      <c r="D367" s="9" t="s">
        <v>730</v>
      </c>
      <c r="E367" s="7"/>
      <c r="F367" s="7"/>
      <c r="G367" s="7"/>
      <c r="H367" s="7" t="s">
        <v>575</v>
      </c>
      <c r="I367" s="7" t="s">
        <v>569</v>
      </c>
      <c r="J367" s="39">
        <v>1190</v>
      </c>
      <c r="L367" s="16">
        <f t="shared" si="182"/>
        <v>1</v>
      </c>
      <c r="M367" s="16" t="str">
        <f t="shared" si="158"/>
        <v>May</v>
      </c>
      <c r="N367" s="16" t="str">
        <f t="shared" si="183"/>
        <v/>
      </c>
      <c r="O367" s="16" t="str">
        <f>IF(N367="","",COUNTIF($N$8:N367,N367))</f>
        <v/>
      </c>
      <c r="P367" s="34" t="str">
        <f t="shared" si="184"/>
        <v>InPendapatan Lainnya</v>
      </c>
      <c r="Q367" s="34" t="str">
        <f t="shared" si="185"/>
        <v>inMayPendapatan Lainnya</v>
      </c>
      <c r="R367" s="34" t="str">
        <f t="shared" si="156"/>
        <v>Bank</v>
      </c>
      <c r="S367" s="34" t="str">
        <f t="shared" si="157"/>
        <v>Pendapatan Lainnya</v>
      </c>
      <c r="T367" s="34" t="str">
        <f t="shared" si="159"/>
        <v/>
      </c>
      <c r="U367" s="34" t="str">
        <f>IF(AND(L367=1,bp_kode=T367,T367&lt;&gt;""),COUNTIF($T$8:T367,T367),"")</f>
        <v/>
      </c>
      <c r="V367" s="34" t="str">
        <f t="shared" si="160"/>
        <v>kr</v>
      </c>
      <c r="W367" s="34" t="str">
        <f t="shared" si="161"/>
        <v>kr</v>
      </c>
      <c r="X367" s="34" t="str">
        <f>IF(B367="","",COUNTIF($C$8:C367,C367)&amp;C367)</f>
        <v>0</v>
      </c>
    </row>
    <row r="368" spans="2:24" ht="23.1" customHeight="1">
      <c r="B368" s="31">
        <v>44712</v>
      </c>
      <c r="C368" s="9"/>
      <c r="D368" s="9" t="s">
        <v>574</v>
      </c>
      <c r="E368" s="7"/>
      <c r="F368" s="7"/>
      <c r="G368" s="7"/>
      <c r="H368" s="7" t="s">
        <v>640</v>
      </c>
      <c r="I368" s="7" t="s">
        <v>575</v>
      </c>
      <c r="J368" s="39">
        <v>36500</v>
      </c>
      <c r="L368" s="16">
        <f t="shared" si="182"/>
        <v>1</v>
      </c>
      <c r="M368" s="16" t="str">
        <f t="shared" si="158"/>
        <v>May</v>
      </c>
      <c r="N368" s="16" t="str">
        <f t="shared" si="183"/>
        <v/>
      </c>
      <c r="O368" s="16" t="str">
        <f>IF(N368="","",COUNTIF($N$8:N368,N368))</f>
        <v/>
      </c>
      <c r="P368" s="34" t="str">
        <f t="shared" si="184"/>
        <v>outBeban Lainnya</v>
      </c>
      <c r="Q368" s="34" t="str">
        <f t="shared" si="185"/>
        <v>outMayBeban Lainnya</v>
      </c>
      <c r="R368" s="34" t="str">
        <f t="shared" si="156"/>
        <v>Beban Lainnya</v>
      </c>
      <c r="S368" s="34" t="str">
        <f t="shared" si="157"/>
        <v>Bank</v>
      </c>
      <c r="T368" s="34" t="str">
        <f t="shared" si="159"/>
        <v/>
      </c>
      <c r="U368" s="34" t="str">
        <f>IF(AND(L368=1,bp_kode=T368,T368&lt;&gt;""),COUNTIF($T$8:T368,T368),"")</f>
        <v/>
      </c>
      <c r="V368" s="34" t="str">
        <f t="shared" si="160"/>
        <v>db</v>
      </c>
      <c r="W368" s="34" t="str">
        <f t="shared" si="161"/>
        <v>db</v>
      </c>
      <c r="X368" s="34" t="str">
        <f>IF(B368="","",COUNTIF($C$8:C368,C368)&amp;C368)</f>
        <v>0</v>
      </c>
    </row>
    <row r="369" spans="2:24" ht="23.1" customHeight="1">
      <c r="B369" s="31">
        <v>44712</v>
      </c>
      <c r="C369" s="9"/>
      <c r="D369" s="9" t="s">
        <v>730</v>
      </c>
      <c r="E369" s="7"/>
      <c r="F369" s="7"/>
      <c r="G369" s="7"/>
      <c r="H369" s="7" t="s">
        <v>577</v>
      </c>
      <c r="I369" s="7" t="s">
        <v>569</v>
      </c>
      <c r="J369" s="39">
        <v>1176877.19</v>
      </c>
      <c r="L369" s="16">
        <f t="shared" si="182"/>
        <v>1</v>
      </c>
      <c r="M369" s="16" t="str">
        <f t="shared" si="158"/>
        <v>May</v>
      </c>
      <c r="N369" s="16" t="str">
        <f t="shared" si="183"/>
        <v/>
      </c>
      <c r="O369" s="16" t="str">
        <f>IF(N369="","",COUNTIF($N$8:N369,N369))</f>
        <v/>
      </c>
      <c r="P369" s="34" t="str">
        <f t="shared" si="184"/>
        <v>InPendapatan Lainnya</v>
      </c>
      <c r="Q369" s="34" t="str">
        <f t="shared" si="185"/>
        <v>inMayPendapatan Lainnya</v>
      </c>
      <c r="R369" s="34" t="str">
        <f t="shared" si="156"/>
        <v>Bank</v>
      </c>
      <c r="S369" s="34" t="str">
        <f t="shared" si="157"/>
        <v>Pendapatan Lainnya</v>
      </c>
      <c r="T369" s="34" t="str">
        <f t="shared" si="159"/>
        <v/>
      </c>
      <c r="U369" s="34" t="str">
        <f>IF(AND(L369=1,bp_kode=T369,T369&lt;&gt;""),COUNTIF($T$8:T369,T369),"")</f>
        <v/>
      </c>
      <c r="V369" s="34" t="str">
        <f t="shared" si="160"/>
        <v>kr</v>
      </c>
      <c r="W369" s="34" t="str">
        <f t="shared" si="161"/>
        <v>kr</v>
      </c>
      <c r="X369" s="34" t="str">
        <f>IF(B369="","",COUNTIF($C$8:C369,C369)&amp;C369)</f>
        <v>0</v>
      </c>
    </row>
    <row r="370" spans="2:24" ht="23.1" customHeight="1">
      <c r="B370" s="31">
        <v>44712</v>
      </c>
      <c r="C370" s="9"/>
      <c r="D370" s="9" t="s">
        <v>570</v>
      </c>
      <c r="E370" s="7"/>
      <c r="F370" s="7"/>
      <c r="G370" s="7"/>
      <c r="H370" s="7" t="s">
        <v>571</v>
      </c>
      <c r="I370" s="7" t="s">
        <v>577</v>
      </c>
      <c r="J370" s="39">
        <v>235375.45</v>
      </c>
      <c r="L370" s="16">
        <f t="shared" si="182"/>
        <v>1</v>
      </c>
      <c r="M370" s="16" t="str">
        <f t="shared" si="158"/>
        <v>May</v>
      </c>
      <c r="N370" s="16" t="str">
        <f t="shared" si="183"/>
        <v/>
      </c>
      <c r="O370" s="16" t="str">
        <f>IF(N370="","",COUNTIF($N$8:N370,N370))</f>
        <v/>
      </c>
      <c r="P370" s="34" t="str">
        <f t="shared" si="184"/>
        <v>outBeban Lainnya</v>
      </c>
      <c r="Q370" s="34" t="str">
        <f t="shared" si="185"/>
        <v>outMayBeban Lainnya</v>
      </c>
      <c r="R370" s="34" t="str">
        <f t="shared" si="156"/>
        <v>Beban Lainnya</v>
      </c>
      <c r="S370" s="34" t="str">
        <f t="shared" si="157"/>
        <v>Bank</v>
      </c>
      <c r="T370" s="34" t="str">
        <f t="shared" si="159"/>
        <v/>
      </c>
      <c r="U370" s="34" t="str">
        <f>IF(AND(L370=1,bp_kode=T370,T370&lt;&gt;""),COUNTIF($T$8:T370,T370),"")</f>
        <v/>
      </c>
      <c r="V370" s="34" t="str">
        <f t="shared" si="160"/>
        <v>db</v>
      </c>
      <c r="W370" s="34" t="str">
        <f t="shared" si="161"/>
        <v>db</v>
      </c>
      <c r="X370" s="34" t="str">
        <f>IF(B370="","",COUNTIF($C$8:C370,C370)&amp;C370)</f>
        <v>0</v>
      </c>
    </row>
    <row r="371" spans="2:24" ht="23.1" customHeight="1">
      <c r="B371" s="31">
        <v>44712</v>
      </c>
      <c r="C371" s="9"/>
      <c r="D371" s="9" t="s">
        <v>572</v>
      </c>
      <c r="E371" s="7"/>
      <c r="F371" s="7"/>
      <c r="G371" s="7"/>
      <c r="H371" s="7" t="s">
        <v>640</v>
      </c>
      <c r="I371" s="7" t="s">
        <v>577</v>
      </c>
      <c r="J371" s="39">
        <v>25000</v>
      </c>
      <c r="L371" s="16">
        <f t="shared" si="182"/>
        <v>1</v>
      </c>
      <c r="M371" s="16" t="str">
        <f t="shared" si="158"/>
        <v>May</v>
      </c>
      <c r="N371" s="16" t="str">
        <f t="shared" si="183"/>
        <v/>
      </c>
      <c r="O371" s="16" t="str">
        <f>IF(N371="","",COUNTIF($N$8:N371,N371))</f>
        <v/>
      </c>
      <c r="P371" s="34" t="str">
        <f t="shared" si="184"/>
        <v>outBeban Lainnya</v>
      </c>
      <c r="Q371" s="34" t="str">
        <f t="shared" si="185"/>
        <v>outMayBeban Lainnya</v>
      </c>
      <c r="R371" s="34" t="str">
        <f t="shared" si="156"/>
        <v>Beban Lainnya</v>
      </c>
      <c r="S371" s="34" t="str">
        <f t="shared" si="157"/>
        <v>Bank</v>
      </c>
      <c r="T371" s="34" t="str">
        <f t="shared" si="159"/>
        <v/>
      </c>
      <c r="U371" s="34" t="str">
        <f>IF(AND(L371=1,bp_kode=T371,T371&lt;&gt;""),COUNTIF($T$8:T371,T371),"")</f>
        <v/>
      </c>
      <c r="V371" s="34" t="str">
        <f t="shared" si="160"/>
        <v>db</v>
      </c>
      <c r="W371" s="34" t="str">
        <f t="shared" si="161"/>
        <v>db</v>
      </c>
      <c r="X371" s="34" t="str">
        <f>IF(B371="","",COUNTIF($C$8:C371,C371)&amp;C371)</f>
        <v>0</v>
      </c>
    </row>
    <row r="372" spans="2:24" ht="23.1" customHeight="1">
      <c r="B372" s="31">
        <v>44712</v>
      </c>
      <c r="C372" s="9"/>
      <c r="D372" s="9" t="s">
        <v>578</v>
      </c>
      <c r="E372" s="7"/>
      <c r="F372" s="7"/>
      <c r="G372" s="7"/>
      <c r="H372" s="7" t="s">
        <v>640</v>
      </c>
      <c r="I372" s="7" t="s">
        <v>577</v>
      </c>
      <c r="J372" s="39">
        <v>10000</v>
      </c>
      <c r="L372" s="16">
        <f t="shared" si="182"/>
        <v>1</v>
      </c>
      <c r="M372" s="16" t="str">
        <f t="shared" si="158"/>
        <v>May</v>
      </c>
      <c r="N372" s="16" t="str">
        <f t="shared" si="183"/>
        <v/>
      </c>
      <c r="O372" s="16" t="str">
        <f>IF(N372="","",COUNTIF($N$8:N372,N372))</f>
        <v/>
      </c>
      <c r="P372" s="34" t="str">
        <f t="shared" si="184"/>
        <v>outBeban Lainnya</v>
      </c>
      <c r="Q372" s="34" t="str">
        <f t="shared" si="185"/>
        <v>outMayBeban Lainnya</v>
      </c>
      <c r="R372" s="34" t="str">
        <f t="shared" si="156"/>
        <v>Beban Lainnya</v>
      </c>
      <c r="S372" s="34" t="str">
        <f t="shared" si="157"/>
        <v>Bank</v>
      </c>
      <c r="T372" s="34" t="str">
        <f t="shared" si="159"/>
        <v/>
      </c>
      <c r="U372" s="34" t="str">
        <f>IF(AND(L372=1,bp_kode=T372,T372&lt;&gt;""),COUNTIF($T$8:T372,T372),"")</f>
        <v/>
      </c>
      <c r="V372" s="34" t="str">
        <f t="shared" si="160"/>
        <v>db</v>
      </c>
      <c r="W372" s="34" t="str">
        <f t="shared" si="161"/>
        <v>db</v>
      </c>
      <c r="X372" s="34" t="str">
        <f>IF(B372="","",COUNTIF($C$8:C372,C372)&amp;C372)</f>
        <v>0</v>
      </c>
    </row>
    <row r="373" spans="2:24" ht="23.1" customHeight="1">
      <c r="B373" s="31">
        <v>44712</v>
      </c>
      <c r="C373" s="9"/>
      <c r="D373" s="9" t="s">
        <v>573</v>
      </c>
      <c r="E373" s="7"/>
      <c r="F373" s="7"/>
      <c r="G373" s="7"/>
      <c r="H373" s="7" t="s">
        <v>577</v>
      </c>
      <c r="I373" s="7" t="s">
        <v>559</v>
      </c>
      <c r="J373" s="39">
        <v>44144200</v>
      </c>
      <c r="L373" s="16">
        <f t="shared" si="182"/>
        <v>1</v>
      </c>
      <c r="M373" s="16" t="str">
        <f t="shared" si="158"/>
        <v>May</v>
      </c>
      <c r="N373" s="16" t="str">
        <f t="shared" si="183"/>
        <v/>
      </c>
      <c r="O373" s="16" t="str">
        <f>IF(N373="","",COUNTIF($N$8:N373,N373))</f>
        <v/>
      </c>
      <c r="P373" s="34" t="str">
        <f t="shared" si="184"/>
        <v>InAkun Piutang</v>
      </c>
      <c r="Q373" s="34" t="str">
        <f t="shared" si="185"/>
        <v>inMayAkun Piutang</v>
      </c>
      <c r="R373" s="34" t="str">
        <f t="shared" si="156"/>
        <v>Bank</v>
      </c>
      <c r="S373" s="34" t="str">
        <f t="shared" si="157"/>
        <v>Akun Piutang</v>
      </c>
      <c r="T373" s="34">
        <f t="shared" si="159"/>
        <v>0</v>
      </c>
      <c r="U373" s="34" t="str">
        <f>IF(AND(L373=1,bp_kode=T373,T373&lt;&gt;""),COUNTIF($T$8:T373,T373),"")</f>
        <v/>
      </c>
      <c r="V373" s="34" t="str">
        <f t="shared" si="160"/>
        <v/>
      </c>
      <c r="W373" s="34" t="str">
        <f t="shared" si="161"/>
        <v/>
      </c>
      <c r="X373" s="34" t="str">
        <f>IF(B373="","",COUNTIF($C$8:C373,C373)&amp;C373)</f>
        <v>0</v>
      </c>
    </row>
    <row r="374" spans="2:24" ht="23.1" customHeight="1">
      <c r="B374" s="31">
        <v>44712</v>
      </c>
      <c r="C374" s="9"/>
      <c r="D374" s="9" t="s">
        <v>729</v>
      </c>
      <c r="E374" s="7"/>
      <c r="F374" s="7"/>
      <c r="G374" s="7"/>
      <c r="H374" s="7" t="s">
        <v>579</v>
      </c>
      <c r="I374" s="7" t="s">
        <v>569</v>
      </c>
      <c r="J374" s="39">
        <v>426133.67</v>
      </c>
      <c r="L374" s="16">
        <f t="shared" si="182"/>
        <v>1</v>
      </c>
      <c r="M374" s="16" t="str">
        <f t="shared" si="158"/>
        <v>May</v>
      </c>
      <c r="N374" s="16" t="str">
        <f t="shared" si="183"/>
        <v/>
      </c>
      <c r="O374" s="16" t="str">
        <f>IF(N374="","",COUNTIF($N$8:N374,N374))</f>
        <v/>
      </c>
      <c r="P374" s="34" t="str">
        <f t="shared" si="184"/>
        <v>InPendapatan Lainnya</v>
      </c>
      <c r="Q374" s="34" t="str">
        <f t="shared" si="185"/>
        <v>inMayPendapatan Lainnya</v>
      </c>
      <c r="R374" s="34" t="str">
        <f t="shared" si="156"/>
        <v>Bank</v>
      </c>
      <c r="S374" s="34" t="str">
        <f t="shared" si="157"/>
        <v>Pendapatan Lainnya</v>
      </c>
      <c r="T374" s="34" t="str">
        <f t="shared" si="159"/>
        <v/>
      </c>
      <c r="U374" s="34" t="str">
        <f>IF(AND(L374=1,bp_kode=T374,T374&lt;&gt;""),COUNTIF($T$8:T374,T374),"")</f>
        <v/>
      </c>
      <c r="V374" s="34" t="str">
        <f t="shared" si="160"/>
        <v>kr</v>
      </c>
      <c r="W374" s="34" t="str">
        <f t="shared" si="161"/>
        <v>kr</v>
      </c>
      <c r="X374" s="34" t="str">
        <f>IF(B374="","",COUNTIF($C$8:C374,C374)&amp;C374)</f>
        <v>0</v>
      </c>
    </row>
    <row r="375" spans="2:24" ht="23.1" customHeight="1">
      <c r="B375" s="31">
        <v>44712</v>
      </c>
      <c r="C375" s="9"/>
      <c r="D375" s="9" t="s">
        <v>689</v>
      </c>
      <c r="E375" s="7"/>
      <c r="F375" s="7"/>
      <c r="G375" s="7"/>
      <c r="H375" s="7" t="s">
        <v>640</v>
      </c>
      <c r="I375" s="7" t="s">
        <v>579</v>
      </c>
      <c r="J375" s="39">
        <v>25000</v>
      </c>
      <c r="L375" s="16">
        <f t="shared" si="182"/>
        <v>1</v>
      </c>
      <c r="M375" s="16" t="str">
        <f t="shared" si="158"/>
        <v>May</v>
      </c>
      <c r="N375" s="16" t="str">
        <f t="shared" si="183"/>
        <v/>
      </c>
      <c r="O375" s="16" t="str">
        <f>IF(N375="","",COUNTIF($N$8:N375,N375))</f>
        <v/>
      </c>
      <c r="P375" s="34" t="str">
        <f t="shared" si="184"/>
        <v>outBeban Lainnya</v>
      </c>
      <c r="Q375" s="34" t="str">
        <f t="shared" si="185"/>
        <v>outMayBeban Lainnya</v>
      </c>
      <c r="R375" s="34" t="str">
        <f t="shared" si="156"/>
        <v>Beban Lainnya</v>
      </c>
      <c r="S375" s="34" t="str">
        <f t="shared" si="157"/>
        <v>Bank</v>
      </c>
      <c r="T375" s="34" t="str">
        <f t="shared" si="159"/>
        <v/>
      </c>
      <c r="U375" s="34" t="str">
        <f>IF(AND(L375=1,bp_kode=T375,T375&lt;&gt;""),COUNTIF($T$8:T375,T375),"")</f>
        <v/>
      </c>
      <c r="V375" s="34" t="str">
        <f t="shared" si="160"/>
        <v>db</v>
      </c>
      <c r="W375" s="34" t="str">
        <f t="shared" si="161"/>
        <v>db</v>
      </c>
      <c r="X375" s="34" t="str">
        <f>IF(B375="","",COUNTIF($C$8:C375,C375)&amp;C375)</f>
        <v>0</v>
      </c>
    </row>
    <row r="376" spans="2:24" ht="23.1" customHeight="1">
      <c r="B376" s="31">
        <v>44712</v>
      </c>
      <c r="C376" s="9"/>
      <c r="D376" s="9" t="s">
        <v>689</v>
      </c>
      <c r="E376" s="7"/>
      <c r="F376" s="7"/>
      <c r="G376" s="7"/>
      <c r="H376" s="7" t="s">
        <v>640</v>
      </c>
      <c r="I376" s="7" t="s">
        <v>725</v>
      </c>
      <c r="J376" s="39">
        <v>100000.41999999993</v>
      </c>
      <c r="L376" s="16">
        <f t="shared" ref="L376:L377" si="196">IF(AND(B376&gt;=awal,B376&lt;=akhir,B376&lt;&gt;""),1,IF(AND(B376&lt;&gt;"",B376&lt;awal),2,""))</f>
        <v>1</v>
      </c>
      <c r="M376" s="16" t="str">
        <f t="shared" ref="M376:M377" si="197">IF(B376="","",TEXT(B376,"mmmm"))</f>
        <v>May</v>
      </c>
      <c r="N376" s="16" t="str">
        <f t="shared" ref="N376:N377" si="198">IF(AND(L376=1,H376=bb_akun),"Awe",IF(AND(L376=1,I376=bb_akun),"Awe",""))</f>
        <v/>
      </c>
      <c r="O376" s="16" t="str">
        <f>IF(N376="","",COUNTIF($N$8:N376,N376))</f>
        <v/>
      </c>
      <c r="P376" s="34" t="str">
        <f t="shared" ref="P376:P377" si="199">IFERROR(IF(OR(INDEX(akun_type,MATCH(H376,akun_kb,0))="Kas",INDEX(akun_type,MATCH(H376,akun_kb,0))="Bank"),"In"&amp;INDEX(akun_type,MATCH(I376,akun_kb,0)),IF(OR(INDEX(akun_type,MATCH(I376,akun_kb,0))="Kas",INDEX(akun_type,MATCH(I376,akun_kb,0))="Bank"),"out"&amp;INDEX(akun_type,MATCH(H376,akun_kb,0)),"")),"")</f>
        <v>outBeban Lainnya</v>
      </c>
      <c r="Q376" s="34" t="str">
        <f t="shared" ref="Q376:Q377" si="200">IFERROR(IF(OR(INDEX(akun_type,MATCH(H376,akun_kb,0))="Kas",INDEX(akun_type,MATCH(H376,akun_kb,0))="Bank"),"in"&amp;TEXT(B376,"mmmm")&amp;INDEX(akun_type,MATCH(I376,akun_kb,0)),IF(OR(INDEX(akun_type,MATCH(I376,akun_kb,0))="Kas",INDEX(akun_type,MATCH(I376,akun_kb,0))="Bank"),"out"&amp;TEXT(B376,"mmmm")&amp;INDEX(akun_type,MATCH(H376,akun_kb,0)),"")),"")</f>
        <v>outMayBeban Lainnya</v>
      </c>
      <c r="R376" s="34" t="str">
        <f t="shared" ref="R376:R377" si="201">IFERROR(INDEX(akun_type,MATCH(H376,akun_kb,0)),"")</f>
        <v>Beban Lainnya</v>
      </c>
      <c r="S376" s="34" t="str">
        <f t="shared" ref="S376:S377" si="202">IFERROR(INDEX(akun_type,MATCH(I376,akun_kb,0)),"")</f>
        <v>Bank</v>
      </c>
      <c r="T376" s="34" t="str">
        <f t="shared" ref="T376:T377" si="203">IF(AND(L376=1,OR(R376="Akun Piutang",R376="akun hutang",S376="akun piutang",S376="akun hutang")),E376,"")</f>
        <v/>
      </c>
      <c r="U376" s="34" t="str">
        <f>IF(AND(L376=1,bp_kode=T376,T376&lt;&gt;""),COUNTIF($T$8:T376,T376),"")</f>
        <v/>
      </c>
      <c r="V376" s="34" t="str">
        <f t="shared" ref="V376:V377" si="204">IF(OR(R376="Pendapatan",R376="Pendapatan Lainnya",R376="Beban",R376="Harga Pokok Penjualan",R376="Beban Lainnya"),"db"&amp;F376,IF(OR(S376="Pendapatan",S376="Pendapatan Lainnya",S376="Beban",S376="Harga Pokok Penjualan",S376="Beban Lainnya"),"kr"&amp;F376,""))</f>
        <v>db</v>
      </c>
      <c r="W376" s="34" t="str">
        <f t="shared" ref="W376:W377" si="205">IF(OR(R376="Pendapatan",R376="Pendapatan Lainnya",R376="Beban",R376="Harga Pokok Penjualan",R376="Beban Lainnya"),"db"&amp;G376,IF(OR(S376="Pendapatan",S376="Pendapatan Lainnya",S376="Beban",S376="Harga Pokok Penjualan",S376="Beban Lainnya"),"kr"&amp;G376,""))</f>
        <v>db</v>
      </c>
      <c r="X376" s="34" t="str">
        <f>IF(B376="","",COUNTIF($C$8:C376,C376)&amp;C376)</f>
        <v>0</v>
      </c>
    </row>
    <row r="377" spans="2:24" ht="23.1" customHeight="1">
      <c r="B377" s="31">
        <v>44712</v>
      </c>
      <c r="C377" s="9"/>
      <c r="D377" s="9" t="s">
        <v>726</v>
      </c>
      <c r="E377" s="7"/>
      <c r="F377" s="7"/>
      <c r="G377" s="7"/>
      <c r="H377" s="7" t="s">
        <v>579</v>
      </c>
      <c r="I377" s="7" t="s">
        <v>725</v>
      </c>
      <c r="J377" s="39">
        <v>1089264.58</v>
      </c>
      <c r="L377" s="16">
        <f t="shared" si="196"/>
        <v>1</v>
      </c>
      <c r="M377" s="16" t="str">
        <f t="shared" si="197"/>
        <v>May</v>
      </c>
      <c r="N377" s="16" t="str">
        <f t="shared" si="198"/>
        <v/>
      </c>
      <c r="O377" s="16" t="str">
        <f>IF(N377="","",COUNTIF($N$8:N377,N377))</f>
        <v/>
      </c>
      <c r="P377" s="34" t="str">
        <f t="shared" si="199"/>
        <v>InBank</v>
      </c>
      <c r="Q377" s="34" t="str">
        <f t="shared" si="200"/>
        <v>inMayBank</v>
      </c>
      <c r="R377" s="34" t="str">
        <f t="shared" si="201"/>
        <v>Bank</v>
      </c>
      <c r="S377" s="34" t="str">
        <f t="shared" si="202"/>
        <v>Bank</v>
      </c>
      <c r="T377" s="34" t="str">
        <f t="shared" si="203"/>
        <v/>
      </c>
      <c r="U377" s="34" t="str">
        <f>IF(AND(L377=1,bp_kode=T377,T377&lt;&gt;""),COUNTIF($T$8:T377,T377),"")</f>
        <v/>
      </c>
      <c r="V377" s="34" t="str">
        <f t="shared" si="204"/>
        <v/>
      </c>
      <c r="W377" s="34" t="str">
        <f t="shared" si="205"/>
        <v/>
      </c>
      <c r="X377" s="34" t="str">
        <f>IF(B377="","",COUNTIF($C$8:C377,C377)&amp;C377)</f>
        <v>0</v>
      </c>
    </row>
    <row r="378" spans="2:24" ht="23.1" customHeight="1">
      <c r="B378" s="31">
        <v>44712</v>
      </c>
      <c r="C378" s="9"/>
      <c r="D378" s="9" t="s">
        <v>573</v>
      </c>
      <c r="E378" s="7"/>
      <c r="F378" s="7"/>
      <c r="G378" s="7"/>
      <c r="H378" s="7" t="s">
        <v>579</v>
      </c>
      <c r="I378" s="7" t="s">
        <v>559</v>
      </c>
      <c r="J378" s="39">
        <v>252489300</v>
      </c>
      <c r="L378" s="16">
        <f t="shared" si="182"/>
        <v>1</v>
      </c>
      <c r="M378" s="16" t="str">
        <f t="shared" si="158"/>
        <v>May</v>
      </c>
      <c r="N378" s="16" t="str">
        <f t="shared" si="183"/>
        <v/>
      </c>
      <c r="O378" s="16" t="str">
        <f>IF(N378="","",COUNTIF($N$8:N378,N378))</f>
        <v/>
      </c>
      <c r="P378" s="34" t="str">
        <f t="shared" si="184"/>
        <v>InAkun Piutang</v>
      </c>
      <c r="Q378" s="34" t="str">
        <f t="shared" si="185"/>
        <v>inMayAkun Piutang</v>
      </c>
      <c r="R378" s="34" t="str">
        <f t="shared" si="156"/>
        <v>Bank</v>
      </c>
      <c r="S378" s="34" t="str">
        <f t="shared" si="157"/>
        <v>Akun Piutang</v>
      </c>
      <c r="T378" s="34">
        <f t="shared" si="159"/>
        <v>0</v>
      </c>
      <c r="U378" s="34" t="str">
        <f>IF(AND(L378=1,bp_kode=T378,T378&lt;&gt;""),COUNTIF($T$8:T378,T378),"")</f>
        <v/>
      </c>
      <c r="V378" s="34" t="str">
        <f t="shared" si="160"/>
        <v/>
      </c>
      <c r="W378" s="34" t="str">
        <f t="shared" si="161"/>
        <v/>
      </c>
      <c r="X378" s="34" t="str">
        <f>IF(B378="","",COUNTIF($C$8:C378,C378)&amp;C378)</f>
        <v>0</v>
      </c>
    </row>
    <row r="379" spans="2:24" ht="23.1" customHeight="1">
      <c r="B379" s="31">
        <v>44712</v>
      </c>
      <c r="C379" s="9"/>
      <c r="D379" s="9" t="s">
        <v>581</v>
      </c>
      <c r="E379" s="7"/>
      <c r="F379" s="7"/>
      <c r="G379" s="7"/>
      <c r="H379" s="7" t="s">
        <v>582</v>
      </c>
      <c r="I379" s="7" t="s">
        <v>579</v>
      </c>
      <c r="J379" s="39">
        <v>162406513</v>
      </c>
      <c r="L379" s="16">
        <f t="shared" si="182"/>
        <v>1</v>
      </c>
      <c r="M379" s="16" t="str">
        <f t="shared" si="158"/>
        <v>May</v>
      </c>
      <c r="N379" s="16" t="str">
        <f t="shared" si="183"/>
        <v/>
      </c>
      <c r="O379" s="16" t="str">
        <f>IF(N379="","",COUNTIF($N$8:N379,N379))</f>
        <v/>
      </c>
      <c r="P379" s="34" t="str">
        <f t="shared" si="184"/>
        <v>InBank</v>
      </c>
      <c r="Q379" s="34" t="str">
        <f t="shared" si="185"/>
        <v>inMayBank</v>
      </c>
      <c r="R379" s="34" t="str">
        <f t="shared" si="156"/>
        <v>Kas</v>
      </c>
      <c r="S379" s="34" t="str">
        <f t="shared" si="157"/>
        <v>Bank</v>
      </c>
      <c r="T379" s="34" t="str">
        <f t="shared" si="159"/>
        <v/>
      </c>
      <c r="U379" s="34" t="str">
        <f>IF(AND(L379=1,bp_kode=T379,T379&lt;&gt;""),COUNTIF($T$8:T379,T379),"")</f>
        <v/>
      </c>
      <c r="V379" s="34" t="str">
        <f t="shared" si="160"/>
        <v/>
      </c>
      <c r="W379" s="34" t="str">
        <f t="shared" si="161"/>
        <v/>
      </c>
      <c r="X379" s="34" t="str">
        <f>IF(B379="","",COUNTIF($C$8:C379,C379)&amp;C379)</f>
        <v>0</v>
      </c>
    </row>
    <row r="380" spans="2:24" ht="23.1" customHeight="1">
      <c r="B380" s="31">
        <v>44712</v>
      </c>
      <c r="C380" s="9"/>
      <c r="D380" s="9" t="s">
        <v>584</v>
      </c>
      <c r="E380" s="7"/>
      <c r="F380" s="7"/>
      <c r="G380" s="7"/>
      <c r="H380" s="7" t="s">
        <v>583</v>
      </c>
      <c r="I380" s="7" t="s">
        <v>561</v>
      </c>
      <c r="J380" s="39">
        <v>115000000</v>
      </c>
      <c r="L380" s="16">
        <f t="shared" si="182"/>
        <v>1</v>
      </c>
      <c r="M380" s="16" t="str">
        <f t="shared" si="158"/>
        <v>May</v>
      </c>
      <c r="N380" s="16" t="str">
        <f t="shared" si="183"/>
        <v/>
      </c>
      <c r="O380" s="16" t="str">
        <f>IF(N380="","",COUNTIF($N$8:N380,N380))</f>
        <v/>
      </c>
      <c r="P380" s="34" t="str">
        <f t="shared" si="184"/>
        <v>InAkun Piutang</v>
      </c>
      <c r="Q380" s="34" t="str">
        <f t="shared" si="185"/>
        <v>inMayAkun Piutang</v>
      </c>
      <c r="R380" s="34" t="str">
        <f t="shared" si="156"/>
        <v>Bank</v>
      </c>
      <c r="S380" s="34" t="str">
        <f t="shared" si="157"/>
        <v>Akun Piutang</v>
      </c>
      <c r="T380" s="34">
        <f t="shared" si="159"/>
        <v>0</v>
      </c>
      <c r="U380" s="34" t="str">
        <f>IF(AND(L380=1,bp_kode=T380,T380&lt;&gt;""),COUNTIF($T$8:T380,T380),"")</f>
        <v/>
      </c>
      <c r="V380" s="34" t="str">
        <f t="shared" si="160"/>
        <v/>
      </c>
      <c r="W380" s="34" t="str">
        <f t="shared" si="161"/>
        <v/>
      </c>
      <c r="X380" s="34" t="str">
        <f>IF(B380="","",COUNTIF($C$8:C380,C380)&amp;C380)</f>
        <v>0</v>
      </c>
    </row>
    <row r="381" spans="2:24" ht="23.1" customHeight="1">
      <c r="B381" s="31">
        <v>44712</v>
      </c>
      <c r="C381" s="9"/>
      <c r="D381" s="9" t="s">
        <v>589</v>
      </c>
      <c r="E381" s="7"/>
      <c r="F381" s="7"/>
      <c r="G381" s="7"/>
      <c r="H381" s="7" t="s">
        <v>583</v>
      </c>
      <c r="I381" s="7" t="s">
        <v>551</v>
      </c>
      <c r="J381" s="39">
        <v>875000</v>
      </c>
      <c r="L381" s="16">
        <f t="shared" si="182"/>
        <v>1</v>
      </c>
      <c r="M381" s="16" t="str">
        <f t="shared" si="158"/>
        <v>May</v>
      </c>
      <c r="N381" s="16" t="str">
        <f t="shared" si="183"/>
        <v/>
      </c>
      <c r="O381" s="16" t="str">
        <f>IF(N381="","",COUNTIF($N$8:N381,N381))</f>
        <v/>
      </c>
      <c r="P381" s="34" t="str">
        <f t="shared" si="184"/>
        <v>InAkun Piutang</v>
      </c>
      <c r="Q381" s="34" t="str">
        <f t="shared" si="185"/>
        <v>inMayAkun Piutang</v>
      </c>
      <c r="R381" s="34" t="str">
        <f t="shared" si="156"/>
        <v>Bank</v>
      </c>
      <c r="S381" s="34" t="str">
        <f t="shared" si="157"/>
        <v>Akun Piutang</v>
      </c>
      <c r="T381" s="34">
        <f t="shared" si="159"/>
        <v>0</v>
      </c>
      <c r="U381" s="34" t="str">
        <f>IF(AND(L381=1,bp_kode=T381,T381&lt;&gt;""),COUNTIF($T$8:T381,T381),"")</f>
        <v/>
      </c>
      <c r="V381" s="34" t="str">
        <f t="shared" si="160"/>
        <v/>
      </c>
      <c r="W381" s="34" t="str">
        <f t="shared" si="161"/>
        <v/>
      </c>
      <c r="X381" s="34" t="str">
        <f>IF(B381="","",COUNTIF($C$8:C381,C381)&amp;C381)</f>
        <v>0</v>
      </c>
    </row>
    <row r="382" spans="2:24" ht="23.1" customHeight="1">
      <c r="B382" s="31">
        <v>44712</v>
      </c>
      <c r="C382" s="9"/>
      <c r="D382" s="9" t="s">
        <v>730</v>
      </c>
      <c r="E382" s="7"/>
      <c r="F382" s="7"/>
      <c r="G382" s="7"/>
      <c r="H382" s="7" t="s">
        <v>583</v>
      </c>
      <c r="I382" s="7" t="s">
        <v>569</v>
      </c>
      <c r="J382" s="39">
        <v>1885667.01</v>
      </c>
      <c r="L382" s="16">
        <f t="shared" si="182"/>
        <v>1</v>
      </c>
      <c r="M382" s="16" t="str">
        <f t="shared" si="158"/>
        <v>May</v>
      </c>
      <c r="N382" s="16" t="str">
        <f t="shared" si="183"/>
        <v/>
      </c>
      <c r="O382" s="16" t="str">
        <f>IF(N382="","",COUNTIF($N$8:N382,N382))</f>
        <v/>
      </c>
      <c r="P382" s="34" t="str">
        <f t="shared" si="184"/>
        <v>InPendapatan Lainnya</v>
      </c>
      <c r="Q382" s="34" t="str">
        <f t="shared" si="185"/>
        <v>inMayPendapatan Lainnya</v>
      </c>
      <c r="R382" s="34" t="str">
        <f t="shared" si="156"/>
        <v>Bank</v>
      </c>
      <c r="S382" s="34" t="str">
        <f t="shared" si="157"/>
        <v>Pendapatan Lainnya</v>
      </c>
      <c r="T382" s="34" t="str">
        <f t="shared" si="159"/>
        <v/>
      </c>
      <c r="U382" s="34" t="str">
        <f>IF(AND(L382=1,bp_kode=T382,T382&lt;&gt;""),COUNTIF($T$8:T382,T382),"")</f>
        <v/>
      </c>
      <c r="V382" s="34" t="str">
        <f t="shared" si="160"/>
        <v>kr</v>
      </c>
      <c r="W382" s="34" t="str">
        <f t="shared" si="161"/>
        <v>kr</v>
      </c>
      <c r="X382" s="34" t="str">
        <f>IF(B382="","",COUNTIF($C$8:C382,C382)&amp;C382)</f>
        <v>0</v>
      </c>
    </row>
    <row r="383" spans="2:24" ht="23.1" customHeight="1">
      <c r="B383" s="31">
        <v>44712</v>
      </c>
      <c r="C383" s="9"/>
      <c r="D383" s="9" t="s">
        <v>570</v>
      </c>
      <c r="E383" s="7"/>
      <c r="F383" s="7"/>
      <c r="G383" s="7"/>
      <c r="H383" s="7" t="s">
        <v>571</v>
      </c>
      <c r="I383" s="7" t="s">
        <v>583</v>
      </c>
      <c r="J383" s="39">
        <v>377133.4</v>
      </c>
      <c r="L383" s="16">
        <f t="shared" si="182"/>
        <v>1</v>
      </c>
      <c r="M383" s="16" t="str">
        <f t="shared" si="158"/>
        <v>May</v>
      </c>
      <c r="N383" s="16" t="str">
        <f t="shared" si="183"/>
        <v/>
      </c>
      <c r="O383" s="16" t="str">
        <f>IF(N383="","",COUNTIF($N$8:N383,N383))</f>
        <v/>
      </c>
      <c r="P383" s="34" t="str">
        <f t="shared" si="184"/>
        <v>outBeban Lainnya</v>
      </c>
      <c r="Q383" s="34" t="str">
        <f t="shared" si="185"/>
        <v>outMayBeban Lainnya</v>
      </c>
      <c r="R383" s="34" t="str">
        <f t="shared" si="156"/>
        <v>Beban Lainnya</v>
      </c>
      <c r="S383" s="34" t="str">
        <f t="shared" si="157"/>
        <v>Bank</v>
      </c>
      <c r="T383" s="34" t="str">
        <f t="shared" si="159"/>
        <v/>
      </c>
      <c r="U383" s="34" t="str">
        <f>IF(AND(L383=1,bp_kode=T383,T383&lt;&gt;""),COUNTIF($T$8:T383,T383),"")</f>
        <v/>
      </c>
      <c r="V383" s="34" t="str">
        <f t="shared" si="160"/>
        <v>db</v>
      </c>
      <c r="W383" s="34" t="str">
        <f t="shared" si="161"/>
        <v>db</v>
      </c>
      <c r="X383" s="34" t="str">
        <f>IF(B383="","",COUNTIF($C$8:C383,C383)&amp;C383)</f>
        <v>0</v>
      </c>
    </row>
    <row r="384" spans="2:24" ht="23.1" customHeight="1">
      <c r="B384" s="31">
        <v>44712</v>
      </c>
      <c r="C384" s="9"/>
      <c r="D384" s="9" t="s">
        <v>685</v>
      </c>
      <c r="E384" s="7"/>
      <c r="F384" s="7"/>
      <c r="G384" s="7"/>
      <c r="H384" s="7" t="s">
        <v>640</v>
      </c>
      <c r="I384" s="7" t="s">
        <v>583</v>
      </c>
      <c r="J384" s="39">
        <v>25000</v>
      </c>
      <c r="L384" s="16">
        <f t="shared" si="182"/>
        <v>1</v>
      </c>
      <c r="M384" s="16" t="str">
        <f t="shared" si="158"/>
        <v>May</v>
      </c>
      <c r="N384" s="16" t="str">
        <f t="shared" si="183"/>
        <v/>
      </c>
      <c r="O384" s="16" t="str">
        <f>IF(N384="","",COUNTIF($N$8:N384,N384))</f>
        <v/>
      </c>
      <c r="P384" s="34" t="str">
        <f t="shared" si="184"/>
        <v>outBeban Lainnya</v>
      </c>
      <c r="Q384" s="34" t="str">
        <f t="shared" si="185"/>
        <v>outMayBeban Lainnya</v>
      </c>
      <c r="R384" s="34" t="str">
        <f t="shared" si="156"/>
        <v>Beban Lainnya</v>
      </c>
      <c r="S384" s="34" t="str">
        <f t="shared" si="157"/>
        <v>Bank</v>
      </c>
      <c r="T384" s="34" t="str">
        <f t="shared" si="159"/>
        <v/>
      </c>
      <c r="U384" s="34" t="str">
        <f>IF(AND(L384=1,bp_kode=T384,T384&lt;&gt;""),COUNTIF($T$8:T384,T384),"")</f>
        <v/>
      </c>
      <c r="V384" s="34" t="str">
        <f t="shared" si="160"/>
        <v>db</v>
      </c>
      <c r="W384" s="34" t="str">
        <f t="shared" si="161"/>
        <v>db</v>
      </c>
      <c r="X384" s="34" t="str">
        <f>IF(B384="","",COUNTIF($C$8:C384,C384)&amp;C384)</f>
        <v>0</v>
      </c>
    </row>
    <row r="385" spans="2:24" ht="23.1" customHeight="1">
      <c r="B385" s="31">
        <v>44712</v>
      </c>
      <c r="C385" s="9"/>
      <c r="D385" s="9" t="s">
        <v>730</v>
      </c>
      <c r="E385" s="7"/>
      <c r="F385" s="7"/>
      <c r="G385" s="7"/>
      <c r="H385" s="7" t="s">
        <v>585</v>
      </c>
      <c r="I385" s="7" t="s">
        <v>569</v>
      </c>
      <c r="J385" s="39">
        <v>46526.99</v>
      </c>
      <c r="L385" s="16">
        <f t="shared" si="182"/>
        <v>1</v>
      </c>
      <c r="M385" s="16" t="str">
        <f t="shared" si="158"/>
        <v>May</v>
      </c>
      <c r="N385" s="16" t="str">
        <f t="shared" si="183"/>
        <v/>
      </c>
      <c r="O385" s="16" t="str">
        <f>IF(N385="","",COUNTIF($N$8:N385,N385))</f>
        <v/>
      </c>
      <c r="P385" s="34" t="str">
        <f t="shared" si="184"/>
        <v>InPendapatan Lainnya</v>
      </c>
      <c r="Q385" s="34" t="str">
        <f t="shared" si="185"/>
        <v>inMayPendapatan Lainnya</v>
      </c>
      <c r="R385" s="34" t="str">
        <f t="shared" si="156"/>
        <v>Bank</v>
      </c>
      <c r="S385" s="34" t="str">
        <f t="shared" si="157"/>
        <v>Pendapatan Lainnya</v>
      </c>
      <c r="T385" s="34" t="str">
        <f t="shared" si="159"/>
        <v/>
      </c>
      <c r="U385" s="34" t="str">
        <f>IF(AND(L385=1,bp_kode=T385,T385&lt;&gt;""),COUNTIF($T$8:T385,T385),"")</f>
        <v/>
      </c>
      <c r="V385" s="34" t="str">
        <f t="shared" si="160"/>
        <v>kr</v>
      </c>
      <c r="W385" s="34" t="str">
        <f t="shared" si="161"/>
        <v>kr</v>
      </c>
      <c r="X385" s="34" t="str">
        <f>IF(B385="","",COUNTIF($C$8:C385,C385)&amp;C385)</f>
        <v>0</v>
      </c>
    </row>
    <row r="386" spans="2:24" ht="23.1" customHeight="1">
      <c r="B386" s="31">
        <v>44712</v>
      </c>
      <c r="C386" s="9"/>
      <c r="D386" s="9" t="s">
        <v>570</v>
      </c>
      <c r="E386" s="7"/>
      <c r="F386" s="7"/>
      <c r="G386" s="7"/>
      <c r="H386" s="7" t="s">
        <v>586</v>
      </c>
      <c r="I386" s="7" t="s">
        <v>585</v>
      </c>
      <c r="J386" s="39">
        <v>73321328.870000005</v>
      </c>
      <c r="L386" s="16">
        <f t="shared" si="182"/>
        <v>1</v>
      </c>
      <c r="M386" s="16" t="str">
        <f t="shared" si="158"/>
        <v>May</v>
      </c>
      <c r="N386" s="16" t="str">
        <f t="shared" si="183"/>
        <v/>
      </c>
      <c r="O386" s="16" t="str">
        <f>IF(N386="","",COUNTIF($N$8:N386,N386))</f>
        <v/>
      </c>
      <c r="P386" s="34" t="str">
        <f t="shared" si="184"/>
        <v>InBank</v>
      </c>
      <c r="Q386" s="34" t="str">
        <f t="shared" si="185"/>
        <v>inMayBank</v>
      </c>
      <c r="R386" s="34" t="str">
        <f t="shared" si="156"/>
        <v>Bank</v>
      </c>
      <c r="S386" s="34" t="str">
        <f t="shared" si="157"/>
        <v>Bank</v>
      </c>
      <c r="T386" s="34" t="str">
        <f t="shared" si="159"/>
        <v/>
      </c>
      <c r="U386" s="34" t="str">
        <f>IF(AND(L386=1,bp_kode=T386,T386&lt;&gt;""),COUNTIF($T$8:T386,T386),"")</f>
        <v/>
      </c>
      <c r="V386" s="34" t="str">
        <f t="shared" si="160"/>
        <v/>
      </c>
      <c r="W386" s="34" t="str">
        <f t="shared" si="161"/>
        <v/>
      </c>
      <c r="X386" s="34" t="str">
        <f>IF(B386="","",COUNTIF($C$8:C386,C386)&amp;C386)</f>
        <v>0</v>
      </c>
    </row>
    <row r="387" spans="2:24" ht="23.1" customHeight="1">
      <c r="B387" s="31">
        <v>44712</v>
      </c>
      <c r="C387" s="9"/>
      <c r="D387" s="9" t="s">
        <v>730</v>
      </c>
      <c r="E387" s="7"/>
      <c r="F387" s="7"/>
      <c r="G387" s="7"/>
      <c r="H387" s="7" t="s">
        <v>586</v>
      </c>
      <c r="I387" s="7" t="s">
        <v>569</v>
      </c>
      <c r="J387" s="39">
        <v>882481</v>
      </c>
      <c r="L387" s="16">
        <f t="shared" si="182"/>
        <v>1</v>
      </c>
      <c r="M387" s="16" t="str">
        <f t="shared" si="158"/>
        <v>May</v>
      </c>
      <c r="N387" s="16" t="str">
        <f t="shared" si="183"/>
        <v/>
      </c>
      <c r="O387" s="16" t="str">
        <f>IF(N387="","",COUNTIF($N$8:N387,N387))</f>
        <v/>
      </c>
      <c r="P387" s="34" t="str">
        <f t="shared" si="184"/>
        <v>InPendapatan Lainnya</v>
      </c>
      <c r="Q387" s="34" t="str">
        <f t="shared" si="185"/>
        <v>inMayPendapatan Lainnya</v>
      </c>
      <c r="R387" s="34" t="str">
        <f t="shared" si="156"/>
        <v>Bank</v>
      </c>
      <c r="S387" s="34" t="str">
        <f t="shared" si="157"/>
        <v>Pendapatan Lainnya</v>
      </c>
      <c r="T387" s="34" t="str">
        <f t="shared" si="159"/>
        <v/>
      </c>
      <c r="U387" s="34" t="str">
        <f>IF(AND(L387=1,bp_kode=T387,T387&lt;&gt;""),COUNTIF($T$8:T387,T387),"")</f>
        <v/>
      </c>
      <c r="V387" s="34" t="str">
        <f t="shared" si="160"/>
        <v>kr</v>
      </c>
      <c r="W387" s="34" t="str">
        <f t="shared" si="161"/>
        <v>kr</v>
      </c>
      <c r="X387" s="34" t="str">
        <f>IF(B387="","",COUNTIF($C$8:C387,C387)&amp;C387)</f>
        <v>0</v>
      </c>
    </row>
    <row r="388" spans="2:24" ht="23.1" customHeight="1">
      <c r="B388" s="31">
        <v>44712</v>
      </c>
      <c r="C388" s="9"/>
      <c r="D388" s="9" t="s">
        <v>570</v>
      </c>
      <c r="E388" s="7"/>
      <c r="F388" s="7"/>
      <c r="G388" s="7"/>
      <c r="H388" s="7" t="s">
        <v>571</v>
      </c>
      <c r="I388" s="7" t="s">
        <v>586</v>
      </c>
      <c r="J388" s="39">
        <v>176493</v>
      </c>
      <c r="L388" s="16">
        <f t="shared" si="182"/>
        <v>1</v>
      </c>
      <c r="M388" s="16" t="str">
        <f t="shared" si="158"/>
        <v>May</v>
      </c>
      <c r="N388" s="16" t="str">
        <f t="shared" si="183"/>
        <v/>
      </c>
      <c r="O388" s="16" t="str">
        <f>IF(N388="","",COUNTIF($N$8:N388,N388))</f>
        <v/>
      </c>
      <c r="P388" s="34" t="str">
        <f t="shared" si="184"/>
        <v>outBeban Lainnya</v>
      </c>
      <c r="Q388" s="34" t="str">
        <f t="shared" si="185"/>
        <v>outMayBeban Lainnya</v>
      </c>
      <c r="R388" s="34" t="str">
        <f t="shared" ref="R388:R438" si="206">IFERROR(INDEX(akun_type,MATCH(H388,akun_kb,0)),"")</f>
        <v>Beban Lainnya</v>
      </c>
      <c r="S388" s="34" t="str">
        <f t="shared" ref="S388:S438" si="207">IFERROR(INDEX(akun_type,MATCH(I388,akun_kb,0)),"")</f>
        <v>Bank</v>
      </c>
      <c r="T388" s="34" t="str">
        <f t="shared" si="159"/>
        <v/>
      </c>
      <c r="U388" s="34" t="str">
        <f>IF(AND(L388=1,bp_kode=T388,T388&lt;&gt;""),COUNTIF($T$8:T388,T388),"")</f>
        <v/>
      </c>
      <c r="V388" s="34" t="str">
        <f t="shared" si="160"/>
        <v>db</v>
      </c>
      <c r="W388" s="34" t="str">
        <f t="shared" si="161"/>
        <v>db</v>
      </c>
      <c r="X388" s="34" t="str">
        <f>IF(B388="","",COUNTIF($C$8:C388,C388)&amp;C388)</f>
        <v>0</v>
      </c>
    </row>
    <row r="389" spans="2:24" ht="23.1" customHeight="1">
      <c r="B389" s="31">
        <v>44712</v>
      </c>
      <c r="C389" s="9"/>
      <c r="D389" s="9" t="s">
        <v>572</v>
      </c>
      <c r="E389" s="7"/>
      <c r="F389" s="7"/>
      <c r="G389" s="7"/>
      <c r="H389" s="7" t="s">
        <v>640</v>
      </c>
      <c r="I389" s="7" t="s">
        <v>586</v>
      </c>
      <c r="J389" s="39">
        <v>36500</v>
      </c>
      <c r="L389" s="16">
        <f t="shared" si="182"/>
        <v>1</v>
      </c>
      <c r="M389" s="16" t="str">
        <f t="shared" ref="M389:M438" si="208">IF(B389="","",TEXT(B389,"mmmm"))</f>
        <v>May</v>
      </c>
      <c r="N389" s="16" t="str">
        <f t="shared" si="183"/>
        <v/>
      </c>
      <c r="O389" s="16" t="str">
        <f>IF(N389="","",COUNTIF($N$8:N389,N389))</f>
        <v/>
      </c>
      <c r="P389" s="34" t="str">
        <f t="shared" si="184"/>
        <v>outBeban Lainnya</v>
      </c>
      <c r="Q389" s="34" t="str">
        <f t="shared" si="185"/>
        <v>outMayBeban Lainnya</v>
      </c>
      <c r="R389" s="34" t="str">
        <f t="shared" si="206"/>
        <v>Beban Lainnya</v>
      </c>
      <c r="S389" s="34" t="str">
        <f t="shared" si="207"/>
        <v>Bank</v>
      </c>
      <c r="T389" s="34" t="str">
        <f t="shared" ref="T389:T438" si="209">IF(AND(L389=1,OR(R389="Akun Piutang",R389="akun hutang",S389="akun piutang",S389="akun hutang")),E389,"")</f>
        <v/>
      </c>
      <c r="U389" s="34" t="str">
        <f>IF(AND(L389=1,bp_kode=T389,T389&lt;&gt;""),COUNTIF($T$8:T389,T389),"")</f>
        <v/>
      </c>
      <c r="V389" s="34" t="str">
        <f t="shared" ref="V389:V438" si="210">IF(OR(R389="Pendapatan",R389="Pendapatan Lainnya",R389="Beban",R389="Harga Pokok Penjualan",R389="Beban Lainnya"),"db"&amp;F389,IF(OR(S389="Pendapatan",S389="Pendapatan Lainnya",S389="Beban",S389="Harga Pokok Penjualan",S389="Beban Lainnya"),"kr"&amp;F389,""))</f>
        <v>db</v>
      </c>
      <c r="W389" s="34" t="str">
        <f t="shared" ref="W389:W438" si="211">IF(OR(R389="Pendapatan",R389="Pendapatan Lainnya",R389="Beban",R389="Harga Pokok Penjualan",R389="Beban Lainnya"),"db"&amp;G389,IF(OR(S389="Pendapatan",S389="Pendapatan Lainnya",S389="Beban",S389="Harga Pokok Penjualan",S389="Beban Lainnya"),"kr"&amp;G389,""))</f>
        <v>db</v>
      </c>
      <c r="X389" s="34" t="str">
        <f>IF(B389="","",COUNTIF($C$8:C389,C389)&amp;C389)</f>
        <v>0</v>
      </c>
    </row>
    <row r="390" spans="2:24" ht="23.1" customHeight="1">
      <c r="B390" s="31">
        <v>44712</v>
      </c>
      <c r="C390" s="9"/>
      <c r="D390" s="9" t="s">
        <v>573</v>
      </c>
      <c r="E390" s="7"/>
      <c r="F390" s="7"/>
      <c r="G390" s="7"/>
      <c r="H390" s="7" t="s">
        <v>586</v>
      </c>
      <c r="I390" s="7" t="s">
        <v>559</v>
      </c>
      <c r="J390" s="39">
        <v>17493500</v>
      </c>
      <c r="L390" s="16">
        <f t="shared" si="182"/>
        <v>1</v>
      </c>
      <c r="M390" s="16" t="str">
        <f t="shared" si="208"/>
        <v>May</v>
      </c>
      <c r="N390" s="16" t="str">
        <f t="shared" si="183"/>
        <v/>
      </c>
      <c r="O390" s="16" t="str">
        <f>IF(N390="","",COUNTIF($N$8:N390,N390))</f>
        <v/>
      </c>
      <c r="P390" s="34" t="str">
        <f t="shared" si="184"/>
        <v>InAkun Piutang</v>
      </c>
      <c r="Q390" s="34" t="str">
        <f t="shared" si="185"/>
        <v>inMayAkun Piutang</v>
      </c>
      <c r="R390" s="34" t="str">
        <f t="shared" si="206"/>
        <v>Bank</v>
      </c>
      <c r="S390" s="34" t="str">
        <f t="shared" si="207"/>
        <v>Akun Piutang</v>
      </c>
      <c r="T390" s="34">
        <f t="shared" si="209"/>
        <v>0</v>
      </c>
      <c r="U390" s="34" t="str">
        <f>IF(AND(L390=1,bp_kode=T390,T390&lt;&gt;""),COUNTIF($T$8:T390,T390),"")</f>
        <v/>
      </c>
      <c r="V390" s="34" t="str">
        <f t="shared" si="210"/>
        <v/>
      </c>
      <c r="W390" s="34" t="str">
        <f t="shared" si="211"/>
        <v/>
      </c>
      <c r="X390" s="34" t="str">
        <f>IF(B390="","",COUNTIF($C$8:C390,C390)&amp;C390)</f>
        <v>0</v>
      </c>
    </row>
    <row r="391" spans="2:24" ht="23.1" customHeight="1">
      <c r="B391" s="31">
        <v>44712</v>
      </c>
      <c r="C391" s="9"/>
      <c r="D391" s="9" t="s">
        <v>552</v>
      </c>
      <c r="E391" s="7"/>
      <c r="F391" s="7"/>
      <c r="G391" s="7"/>
      <c r="H391" s="7" t="s">
        <v>554</v>
      </c>
      <c r="I391" s="7" t="s">
        <v>587</v>
      </c>
      <c r="J391" s="39">
        <v>4152000</v>
      </c>
      <c r="L391" s="16">
        <f t="shared" si="182"/>
        <v>1</v>
      </c>
      <c r="M391" s="16" t="str">
        <f t="shared" si="208"/>
        <v>May</v>
      </c>
      <c r="N391" s="16" t="str">
        <f t="shared" si="183"/>
        <v/>
      </c>
      <c r="O391" s="16" t="str">
        <f>IF(N391="","",COUNTIF($N$8:N391,N391))</f>
        <v/>
      </c>
      <c r="P391" s="34" t="str">
        <f t="shared" si="184"/>
        <v>InAkun Piutang</v>
      </c>
      <c r="Q391" s="34" t="str">
        <f t="shared" si="185"/>
        <v>inMayAkun Piutang</v>
      </c>
      <c r="R391" s="34" t="str">
        <f t="shared" si="206"/>
        <v>Kas</v>
      </c>
      <c r="S391" s="34" t="str">
        <f t="shared" si="207"/>
        <v>Akun Piutang</v>
      </c>
      <c r="T391" s="34">
        <f t="shared" si="209"/>
        <v>0</v>
      </c>
      <c r="U391" s="34" t="str">
        <f>IF(AND(L391=1,bp_kode=T391,T391&lt;&gt;""),COUNTIF($T$8:T391,T391),"")</f>
        <v/>
      </c>
      <c r="V391" s="34" t="str">
        <f t="shared" si="210"/>
        <v/>
      </c>
      <c r="W391" s="34" t="str">
        <f t="shared" si="211"/>
        <v/>
      </c>
      <c r="X391" s="34" t="str">
        <f>IF(B391="","",COUNTIF($C$8:C391,C391)&amp;C391)</f>
        <v>0</v>
      </c>
    </row>
    <row r="392" spans="2:24" ht="23.1" customHeight="1">
      <c r="B392" s="31">
        <v>44712</v>
      </c>
      <c r="C392" s="9"/>
      <c r="D392" s="9" t="s">
        <v>589</v>
      </c>
      <c r="E392" s="7"/>
      <c r="F392" s="7"/>
      <c r="G392" s="7"/>
      <c r="H392" s="7" t="s">
        <v>554</v>
      </c>
      <c r="I392" s="7" t="s">
        <v>551</v>
      </c>
      <c r="J392" s="39">
        <v>330059500</v>
      </c>
      <c r="L392" s="16">
        <f t="shared" si="182"/>
        <v>1</v>
      </c>
      <c r="M392" s="16" t="str">
        <f t="shared" si="208"/>
        <v>May</v>
      </c>
      <c r="N392" s="16" t="str">
        <f t="shared" si="183"/>
        <v/>
      </c>
      <c r="O392" s="16" t="str">
        <f>IF(N392="","",COUNTIF($N$8:N392,N392))</f>
        <v/>
      </c>
      <c r="P392" s="34" t="str">
        <f t="shared" si="184"/>
        <v>InAkun Piutang</v>
      </c>
      <c r="Q392" s="34" t="str">
        <f t="shared" si="185"/>
        <v>inMayAkun Piutang</v>
      </c>
      <c r="R392" s="34" t="str">
        <f t="shared" si="206"/>
        <v>Kas</v>
      </c>
      <c r="S392" s="34" t="str">
        <f t="shared" si="207"/>
        <v>Akun Piutang</v>
      </c>
      <c r="T392" s="34">
        <f t="shared" si="209"/>
        <v>0</v>
      </c>
      <c r="U392" s="34" t="str">
        <f>IF(AND(L392=1,bp_kode=T392,T392&lt;&gt;""),COUNTIF($T$8:T392,T392),"")</f>
        <v/>
      </c>
      <c r="V392" s="34" t="str">
        <f t="shared" si="210"/>
        <v/>
      </c>
      <c r="W392" s="34" t="str">
        <f t="shared" si="211"/>
        <v/>
      </c>
      <c r="X392" s="34" t="str">
        <f>IF(B392="","",COUNTIF($C$8:C392,C392)&amp;C392)</f>
        <v>0</v>
      </c>
    </row>
    <row r="393" spans="2:24" ht="23.1" customHeight="1">
      <c r="B393" s="31">
        <v>44712</v>
      </c>
      <c r="C393" s="9"/>
      <c r="D393" s="9" t="s">
        <v>728</v>
      </c>
      <c r="E393" s="7"/>
      <c r="F393" s="7"/>
      <c r="G393" s="7"/>
      <c r="H393" s="7" t="s">
        <v>554</v>
      </c>
      <c r="I393" s="7" t="s">
        <v>561</v>
      </c>
      <c r="J393" s="39">
        <v>8927000</v>
      </c>
      <c r="L393" s="16">
        <f t="shared" ref="L393" si="212">IF(AND(B393&gt;=awal,B393&lt;=akhir,B393&lt;&gt;""),1,IF(AND(B393&lt;&gt;"",B393&lt;awal),2,""))</f>
        <v>1</v>
      </c>
      <c r="M393" s="16" t="str">
        <f t="shared" ref="M393" si="213">IF(B393="","",TEXT(B393,"mmmm"))</f>
        <v>May</v>
      </c>
      <c r="N393" s="16" t="str">
        <f t="shared" ref="N393" si="214">IF(AND(L393=1,H393=bb_akun),"Awe",IF(AND(L393=1,I393=bb_akun),"Awe",""))</f>
        <v/>
      </c>
      <c r="O393" s="16" t="str">
        <f>IF(N393="","",COUNTIF($N$8:N393,N393))</f>
        <v/>
      </c>
      <c r="P393" s="34" t="str">
        <f t="shared" ref="P393" si="215">IFERROR(IF(OR(INDEX(akun_type,MATCH(H393,akun_kb,0))="Kas",INDEX(akun_type,MATCH(H393,akun_kb,0))="Bank"),"In"&amp;INDEX(akun_type,MATCH(I393,akun_kb,0)),IF(OR(INDEX(akun_type,MATCH(I393,akun_kb,0))="Kas",INDEX(akun_type,MATCH(I393,akun_kb,0))="Bank"),"out"&amp;INDEX(akun_type,MATCH(H393,akun_kb,0)),"")),"")</f>
        <v>InAkun Piutang</v>
      </c>
      <c r="Q393" s="34" t="str">
        <f t="shared" ref="Q393" si="216">IFERROR(IF(OR(INDEX(akun_type,MATCH(H393,akun_kb,0))="Kas",INDEX(akun_type,MATCH(H393,akun_kb,0))="Bank"),"in"&amp;TEXT(B393,"mmmm")&amp;INDEX(akun_type,MATCH(I393,akun_kb,0)),IF(OR(INDEX(akun_type,MATCH(I393,akun_kb,0))="Kas",INDEX(akun_type,MATCH(I393,akun_kb,0))="Bank"),"out"&amp;TEXT(B393,"mmmm")&amp;INDEX(akun_type,MATCH(H393,akun_kb,0)),"")),"")</f>
        <v>inMayAkun Piutang</v>
      </c>
      <c r="R393" s="34" t="str">
        <f t="shared" ref="R393" si="217">IFERROR(INDEX(akun_type,MATCH(H393,akun_kb,0)),"")</f>
        <v>Kas</v>
      </c>
      <c r="S393" s="34" t="str">
        <f t="shared" ref="S393" si="218">IFERROR(INDEX(akun_type,MATCH(I393,akun_kb,0)),"")</f>
        <v>Akun Piutang</v>
      </c>
      <c r="T393" s="34">
        <f t="shared" ref="T393" si="219">IF(AND(L393=1,OR(R393="Akun Piutang",R393="akun hutang",S393="akun piutang",S393="akun hutang")),E393,"")</f>
        <v>0</v>
      </c>
      <c r="U393" s="34" t="str">
        <f>IF(AND(L393=1,bp_kode=T393,T393&lt;&gt;""),COUNTIF($T$8:T393,T393),"")</f>
        <v/>
      </c>
      <c r="V393" s="34" t="str">
        <f t="shared" ref="V393" si="220">IF(OR(R393="Pendapatan",R393="Pendapatan Lainnya",R393="Beban",R393="Harga Pokok Penjualan",R393="Beban Lainnya"),"db"&amp;F393,IF(OR(S393="Pendapatan",S393="Pendapatan Lainnya",S393="Beban",S393="Harga Pokok Penjualan",S393="Beban Lainnya"),"kr"&amp;F393,""))</f>
        <v/>
      </c>
      <c r="W393" s="34" t="str">
        <f t="shared" ref="W393" si="221">IF(OR(R393="Pendapatan",R393="Pendapatan Lainnya",R393="Beban",R393="Harga Pokok Penjualan",R393="Beban Lainnya"),"db"&amp;G393,IF(OR(S393="Pendapatan",S393="Pendapatan Lainnya",S393="Beban",S393="Harga Pokok Penjualan",S393="Beban Lainnya"),"kr"&amp;G393,""))</f>
        <v/>
      </c>
      <c r="X393" s="34" t="str">
        <f>IF(B393="","",COUNTIF($C$8:C393,C393)&amp;C393)</f>
        <v>0</v>
      </c>
    </row>
    <row r="394" spans="2:24" ht="23.1" customHeight="1">
      <c r="B394" s="31">
        <v>44712</v>
      </c>
      <c r="C394" s="9"/>
      <c r="D394" s="9" t="s">
        <v>590</v>
      </c>
      <c r="E394" s="7"/>
      <c r="F394" s="7"/>
      <c r="G394" s="7"/>
      <c r="H394" s="7" t="s">
        <v>586</v>
      </c>
      <c r="I394" s="7" t="s">
        <v>554</v>
      </c>
      <c r="J394" s="39">
        <v>543011200</v>
      </c>
      <c r="L394" s="16">
        <f t="shared" si="182"/>
        <v>1</v>
      </c>
      <c r="M394" s="16" t="str">
        <f t="shared" si="208"/>
        <v>May</v>
      </c>
      <c r="N394" s="16" t="str">
        <f t="shared" si="183"/>
        <v/>
      </c>
      <c r="O394" s="16" t="str">
        <f>IF(N394="","",COUNTIF($N$8:N394,N394))</f>
        <v/>
      </c>
      <c r="P394" s="34" t="str">
        <f t="shared" si="184"/>
        <v>InKas</v>
      </c>
      <c r="Q394" s="34" t="str">
        <f t="shared" si="185"/>
        <v>inMayKas</v>
      </c>
      <c r="R394" s="34" t="str">
        <f t="shared" si="206"/>
        <v>Bank</v>
      </c>
      <c r="S394" s="34" t="str">
        <f t="shared" si="207"/>
        <v>Kas</v>
      </c>
      <c r="T394" s="34" t="str">
        <f t="shared" si="209"/>
        <v/>
      </c>
      <c r="U394" s="34" t="str">
        <f>IF(AND(L394=1,bp_kode=T394,T394&lt;&gt;""),COUNTIF($T$8:T394,T394),"")</f>
        <v/>
      </c>
      <c r="V394" s="34" t="str">
        <f t="shared" si="210"/>
        <v/>
      </c>
      <c r="W394" s="34" t="str">
        <f t="shared" si="211"/>
        <v/>
      </c>
      <c r="X394" s="34" t="str">
        <f>IF(B394="","",COUNTIF($C$8:C394,C394)&amp;C394)</f>
        <v>0</v>
      </c>
    </row>
    <row r="395" spans="2:24" ht="23.1" customHeight="1">
      <c r="B395" s="31">
        <v>44712</v>
      </c>
      <c r="C395" s="9"/>
      <c r="D395" s="9" t="s">
        <v>591</v>
      </c>
      <c r="E395" s="7"/>
      <c r="F395" s="7"/>
      <c r="G395" s="7"/>
      <c r="H395" s="7" t="s">
        <v>582</v>
      </c>
      <c r="I395" s="7" t="s">
        <v>586</v>
      </c>
      <c r="J395" s="39">
        <v>521601531</v>
      </c>
      <c r="L395" s="16">
        <f t="shared" si="182"/>
        <v>1</v>
      </c>
      <c r="M395" s="16" t="str">
        <f t="shared" si="208"/>
        <v>May</v>
      </c>
      <c r="N395" s="16" t="str">
        <f t="shared" si="183"/>
        <v/>
      </c>
      <c r="O395" s="16" t="str">
        <f>IF(N395="","",COUNTIF($N$8:N395,N395))</f>
        <v/>
      </c>
      <c r="P395" s="34" t="str">
        <f t="shared" si="184"/>
        <v>InBank</v>
      </c>
      <c r="Q395" s="34" t="str">
        <f t="shared" si="185"/>
        <v>inMayBank</v>
      </c>
      <c r="R395" s="34" t="str">
        <f t="shared" si="206"/>
        <v>Kas</v>
      </c>
      <c r="S395" s="34" t="str">
        <f t="shared" si="207"/>
        <v>Bank</v>
      </c>
      <c r="T395" s="34" t="str">
        <f t="shared" si="209"/>
        <v/>
      </c>
      <c r="U395" s="34" t="str">
        <f>IF(AND(L395=1,bp_kode=T395,T395&lt;&gt;""),COUNTIF($T$8:T395,T395),"")</f>
        <v/>
      </c>
      <c r="V395" s="34" t="str">
        <f t="shared" si="210"/>
        <v/>
      </c>
      <c r="W395" s="34" t="str">
        <f t="shared" si="211"/>
        <v/>
      </c>
      <c r="X395" s="34" t="str">
        <f>IF(B395="","",COUNTIF($C$8:C395,C395)&amp;C395)</f>
        <v>0</v>
      </c>
    </row>
    <row r="396" spans="2:24" ht="23.1" customHeight="1">
      <c r="B396" s="31">
        <v>44712</v>
      </c>
      <c r="C396" s="9"/>
      <c r="D396" s="9" t="s">
        <v>729</v>
      </c>
      <c r="E396" s="7"/>
      <c r="F396" s="7"/>
      <c r="G396" s="7"/>
      <c r="H396" s="7" t="s">
        <v>592</v>
      </c>
      <c r="I396" s="7" t="s">
        <v>569</v>
      </c>
      <c r="J396" s="39">
        <v>5319</v>
      </c>
      <c r="L396" s="16">
        <f t="shared" si="182"/>
        <v>1</v>
      </c>
      <c r="M396" s="16" t="str">
        <f t="shared" si="208"/>
        <v>May</v>
      </c>
      <c r="N396" s="16" t="str">
        <f t="shared" si="183"/>
        <v/>
      </c>
      <c r="O396" s="16" t="str">
        <f>IF(N396="","",COUNTIF($N$8:N396,N396))</f>
        <v/>
      </c>
      <c r="P396" s="34" t="str">
        <f t="shared" si="184"/>
        <v>InPendapatan Lainnya</v>
      </c>
      <c r="Q396" s="34" t="str">
        <f t="shared" si="185"/>
        <v>inMayPendapatan Lainnya</v>
      </c>
      <c r="R396" s="34" t="str">
        <f t="shared" si="206"/>
        <v>Bank</v>
      </c>
      <c r="S396" s="34" t="str">
        <f t="shared" si="207"/>
        <v>Pendapatan Lainnya</v>
      </c>
      <c r="T396" s="34" t="str">
        <f t="shared" si="209"/>
        <v/>
      </c>
      <c r="U396" s="34" t="str">
        <f>IF(AND(L396=1,bp_kode=T396,T396&lt;&gt;""),COUNTIF($T$8:T396,T396),"")</f>
        <v/>
      </c>
      <c r="V396" s="34" t="str">
        <f t="shared" si="210"/>
        <v>kr</v>
      </c>
      <c r="W396" s="34" t="str">
        <f t="shared" si="211"/>
        <v>kr</v>
      </c>
      <c r="X396" s="34" t="str">
        <f>IF(B396="","",COUNTIF($C$8:C396,C396)&amp;C396)</f>
        <v>0</v>
      </c>
    </row>
    <row r="397" spans="2:24" ht="23.1" customHeight="1">
      <c r="B397" s="31">
        <v>44712</v>
      </c>
      <c r="C397" s="9"/>
      <c r="D397" s="9" t="s">
        <v>570</v>
      </c>
      <c r="E397" s="7"/>
      <c r="F397" s="7"/>
      <c r="G397" s="7"/>
      <c r="H397" s="7" t="s">
        <v>571</v>
      </c>
      <c r="I397" s="7" t="s">
        <v>592</v>
      </c>
      <c r="J397" s="39">
        <v>1064</v>
      </c>
      <c r="L397" s="16">
        <f t="shared" si="182"/>
        <v>1</v>
      </c>
      <c r="M397" s="16" t="str">
        <f t="shared" si="208"/>
        <v>May</v>
      </c>
      <c r="N397" s="16" t="str">
        <f t="shared" si="183"/>
        <v/>
      </c>
      <c r="O397" s="16" t="str">
        <f>IF(N397="","",COUNTIF($N$8:N397,N397))</f>
        <v/>
      </c>
      <c r="P397" s="34" t="str">
        <f t="shared" si="184"/>
        <v>outBeban Lainnya</v>
      </c>
      <c r="Q397" s="34" t="str">
        <f t="shared" si="185"/>
        <v>outMayBeban Lainnya</v>
      </c>
      <c r="R397" s="34" t="str">
        <f t="shared" si="206"/>
        <v>Beban Lainnya</v>
      </c>
      <c r="S397" s="34" t="str">
        <f t="shared" si="207"/>
        <v>Bank</v>
      </c>
      <c r="T397" s="34" t="str">
        <f t="shared" si="209"/>
        <v/>
      </c>
      <c r="U397" s="34" t="str">
        <f>IF(AND(L397=1,bp_kode=T397,T397&lt;&gt;""),COUNTIF($T$8:T397,T397),"")</f>
        <v/>
      </c>
      <c r="V397" s="34" t="str">
        <f t="shared" si="210"/>
        <v>db</v>
      </c>
      <c r="W397" s="34" t="str">
        <f t="shared" si="211"/>
        <v>db</v>
      </c>
      <c r="X397" s="34" t="str">
        <f>IF(B397="","",COUNTIF($C$8:C397,C397)&amp;C397)</f>
        <v>0</v>
      </c>
    </row>
    <row r="398" spans="2:24" ht="23.1" customHeight="1">
      <c r="B398" s="31">
        <v>44712</v>
      </c>
      <c r="C398" s="9"/>
      <c r="D398" s="9" t="s">
        <v>572</v>
      </c>
      <c r="E398" s="7"/>
      <c r="F398" s="7"/>
      <c r="G398" s="7"/>
      <c r="H398" s="7" t="s">
        <v>640</v>
      </c>
      <c r="I398" s="7" t="s">
        <v>592</v>
      </c>
      <c r="J398" s="39">
        <v>25000</v>
      </c>
      <c r="L398" s="16">
        <f t="shared" si="182"/>
        <v>1</v>
      </c>
      <c r="M398" s="16" t="str">
        <f t="shared" si="208"/>
        <v>May</v>
      </c>
      <c r="N398" s="16" t="str">
        <f t="shared" si="183"/>
        <v/>
      </c>
      <c r="O398" s="16" t="str">
        <f>IF(N398="","",COUNTIF($N$8:N398,N398))</f>
        <v/>
      </c>
      <c r="P398" s="34" t="str">
        <f t="shared" si="184"/>
        <v>outBeban Lainnya</v>
      </c>
      <c r="Q398" s="34" t="str">
        <f t="shared" si="185"/>
        <v>outMayBeban Lainnya</v>
      </c>
      <c r="R398" s="34" t="str">
        <f t="shared" si="206"/>
        <v>Beban Lainnya</v>
      </c>
      <c r="S398" s="34" t="str">
        <f t="shared" si="207"/>
        <v>Bank</v>
      </c>
      <c r="T398" s="34" t="str">
        <f t="shared" si="209"/>
        <v/>
      </c>
      <c r="U398" s="34" t="str">
        <f>IF(AND(L398=1,bp_kode=T398,T398&lt;&gt;""),COUNTIF($T$8:T398,T398),"")</f>
        <v/>
      </c>
      <c r="V398" s="34" t="str">
        <f t="shared" si="210"/>
        <v>db</v>
      </c>
      <c r="W398" s="34" t="str">
        <f t="shared" si="211"/>
        <v>db</v>
      </c>
      <c r="X398" s="34" t="str">
        <f>IF(B398="","",COUNTIF($C$8:C398,C398)&amp;C398)</f>
        <v>0</v>
      </c>
    </row>
    <row r="399" spans="2:24" ht="23.1" customHeight="1">
      <c r="B399" s="31">
        <v>44712</v>
      </c>
      <c r="C399" s="9"/>
      <c r="D399" s="9" t="s">
        <v>573</v>
      </c>
      <c r="E399" s="7"/>
      <c r="F399" s="7"/>
      <c r="G399" s="7"/>
      <c r="H399" s="7" t="s">
        <v>592</v>
      </c>
      <c r="I399" s="7" t="s">
        <v>559</v>
      </c>
      <c r="J399" s="39">
        <v>3850000</v>
      </c>
      <c r="L399" s="16">
        <f t="shared" ref="L399" si="222">IF(AND(B399&gt;=awal,B399&lt;=akhir,B399&lt;&gt;""),1,IF(AND(B399&lt;&gt;"",B399&lt;awal),2,""))</f>
        <v>1</v>
      </c>
      <c r="M399" s="16" t="str">
        <f t="shared" ref="M399" si="223">IF(B399="","",TEXT(B399,"mmmm"))</f>
        <v>May</v>
      </c>
      <c r="N399" s="16" t="str">
        <f t="shared" ref="N399" si="224">IF(AND(L399=1,H399=bb_akun),"Awe",IF(AND(L399=1,I399=bb_akun),"Awe",""))</f>
        <v/>
      </c>
      <c r="O399" s="16" t="str">
        <f>IF(N399="","",COUNTIF($N$8:N399,N399))</f>
        <v/>
      </c>
      <c r="P399" s="34" t="str">
        <f t="shared" ref="P399" si="225">IFERROR(IF(OR(INDEX(akun_type,MATCH(H399,akun_kb,0))="Kas",INDEX(akun_type,MATCH(H399,akun_kb,0))="Bank"),"In"&amp;INDEX(akun_type,MATCH(I399,akun_kb,0)),IF(OR(INDEX(akun_type,MATCH(I399,akun_kb,0))="Kas",INDEX(akun_type,MATCH(I399,akun_kb,0))="Bank"),"out"&amp;INDEX(akun_type,MATCH(H399,akun_kb,0)),"")),"")</f>
        <v>InAkun Piutang</v>
      </c>
      <c r="Q399" s="34" t="str">
        <f t="shared" ref="Q399" si="226">IFERROR(IF(OR(INDEX(akun_type,MATCH(H399,akun_kb,0))="Kas",INDEX(akun_type,MATCH(H399,akun_kb,0))="Bank"),"in"&amp;TEXT(B399,"mmmm")&amp;INDEX(akun_type,MATCH(I399,akun_kb,0)),IF(OR(INDEX(akun_type,MATCH(I399,akun_kb,0))="Kas",INDEX(akun_type,MATCH(I399,akun_kb,0))="Bank"),"out"&amp;TEXT(B399,"mmmm")&amp;INDEX(akun_type,MATCH(H399,akun_kb,0)),"")),"")</f>
        <v>inMayAkun Piutang</v>
      </c>
      <c r="R399" s="34" t="str">
        <f t="shared" ref="R399" si="227">IFERROR(INDEX(akun_type,MATCH(H399,akun_kb,0)),"")</f>
        <v>Bank</v>
      </c>
      <c r="S399" s="34" t="str">
        <f t="shared" ref="S399" si="228">IFERROR(INDEX(akun_type,MATCH(I399,akun_kb,0)),"")</f>
        <v>Akun Piutang</v>
      </c>
      <c r="T399" s="34">
        <f t="shared" ref="T399" si="229">IF(AND(L399=1,OR(R399="Akun Piutang",R399="akun hutang",S399="akun piutang",S399="akun hutang")),E399,"")</f>
        <v>0</v>
      </c>
      <c r="U399" s="34" t="str">
        <f>IF(AND(L399=1,bp_kode=T399,T399&lt;&gt;""),COUNTIF($T$8:T399,T399),"")</f>
        <v/>
      </c>
      <c r="V399" s="34" t="str">
        <f t="shared" ref="V399" si="230">IF(OR(R399="Pendapatan",R399="Pendapatan Lainnya",R399="Beban",R399="Harga Pokok Penjualan",R399="Beban Lainnya"),"db"&amp;F399,IF(OR(S399="Pendapatan",S399="Pendapatan Lainnya",S399="Beban",S399="Harga Pokok Penjualan",S399="Beban Lainnya"),"kr"&amp;F399,""))</f>
        <v/>
      </c>
      <c r="W399" s="34" t="str">
        <f t="shared" ref="W399" si="231">IF(OR(R399="Pendapatan",R399="Pendapatan Lainnya",R399="Beban",R399="Harga Pokok Penjualan",R399="Beban Lainnya"),"db"&amp;G399,IF(OR(S399="Pendapatan",S399="Pendapatan Lainnya",S399="Beban",S399="Harga Pokok Penjualan",S399="Beban Lainnya"),"kr"&amp;G399,""))</f>
        <v/>
      </c>
      <c r="X399" s="34" t="str">
        <f>IF(B399="","",COUNTIF($C$8:C399,C399)&amp;C399)</f>
        <v>0</v>
      </c>
    </row>
    <row r="400" spans="2:24" ht="23.1" customHeight="1">
      <c r="B400" s="31">
        <v>44712</v>
      </c>
      <c r="C400" s="9"/>
      <c r="D400" s="9" t="s">
        <v>730</v>
      </c>
      <c r="E400" s="7"/>
      <c r="F400" s="7"/>
      <c r="G400" s="7"/>
      <c r="H400" s="7" t="s">
        <v>593</v>
      </c>
      <c r="I400" s="7" t="s">
        <v>569</v>
      </c>
      <c r="J400" s="39">
        <v>4189</v>
      </c>
      <c r="L400" s="16">
        <f t="shared" si="182"/>
        <v>1</v>
      </c>
      <c r="M400" s="16" t="str">
        <f t="shared" si="208"/>
        <v>May</v>
      </c>
      <c r="N400" s="16" t="str">
        <f t="shared" si="183"/>
        <v/>
      </c>
      <c r="O400" s="16" t="str">
        <f>IF(N400="","",COUNTIF($N$8:N400,N400))</f>
        <v/>
      </c>
      <c r="P400" s="34" t="str">
        <f t="shared" si="184"/>
        <v>InPendapatan Lainnya</v>
      </c>
      <c r="Q400" s="34" t="str">
        <f t="shared" si="185"/>
        <v>inMayPendapatan Lainnya</v>
      </c>
      <c r="R400" s="34" t="str">
        <f t="shared" si="206"/>
        <v>Bank</v>
      </c>
      <c r="S400" s="34" t="str">
        <f t="shared" si="207"/>
        <v>Pendapatan Lainnya</v>
      </c>
      <c r="T400" s="34" t="str">
        <f t="shared" si="209"/>
        <v/>
      </c>
      <c r="U400" s="34" t="str">
        <f>IF(AND(L400=1,bp_kode=T400,T400&lt;&gt;""),COUNTIF($T$8:T400,T400),"")</f>
        <v/>
      </c>
      <c r="V400" s="34" t="str">
        <f t="shared" si="210"/>
        <v>kr</v>
      </c>
      <c r="W400" s="34" t="str">
        <f t="shared" si="211"/>
        <v>kr</v>
      </c>
      <c r="X400" s="34" t="str">
        <f>IF(B400="","",COUNTIF($C$8:C400,C400)&amp;C400)</f>
        <v>0</v>
      </c>
    </row>
    <row r="401" spans="2:24" ht="23.1" customHeight="1">
      <c r="B401" s="31">
        <v>44712</v>
      </c>
      <c r="C401" s="9"/>
      <c r="D401" s="9" t="s">
        <v>570</v>
      </c>
      <c r="E401" s="7"/>
      <c r="F401" s="7"/>
      <c r="G401" s="7"/>
      <c r="H401" s="7" t="s">
        <v>571</v>
      </c>
      <c r="I401" s="7" t="s">
        <v>593</v>
      </c>
      <c r="J401" s="39">
        <v>836</v>
      </c>
      <c r="L401" s="16">
        <f t="shared" si="182"/>
        <v>1</v>
      </c>
      <c r="M401" s="16" t="str">
        <f t="shared" si="208"/>
        <v>May</v>
      </c>
      <c r="N401" s="16" t="str">
        <f t="shared" si="183"/>
        <v/>
      </c>
      <c r="O401" s="16" t="str">
        <f>IF(N401="","",COUNTIF($N$8:N401,N401))</f>
        <v/>
      </c>
      <c r="P401" s="34" t="str">
        <f t="shared" si="184"/>
        <v>outBeban Lainnya</v>
      </c>
      <c r="Q401" s="34" t="str">
        <f t="shared" si="185"/>
        <v>outMayBeban Lainnya</v>
      </c>
      <c r="R401" s="34" t="str">
        <f t="shared" si="206"/>
        <v>Beban Lainnya</v>
      </c>
      <c r="S401" s="34" t="str">
        <f t="shared" si="207"/>
        <v>Bank</v>
      </c>
      <c r="T401" s="34" t="str">
        <f t="shared" si="209"/>
        <v/>
      </c>
      <c r="U401" s="34" t="str">
        <f>IF(AND(L401=1,bp_kode=T401,T401&lt;&gt;""),COUNTIF($T$8:T401,T401),"")</f>
        <v/>
      </c>
      <c r="V401" s="34" t="str">
        <f t="shared" si="210"/>
        <v>db</v>
      </c>
      <c r="W401" s="34" t="str">
        <f t="shared" si="211"/>
        <v>db</v>
      </c>
      <c r="X401" s="34" t="str">
        <f>IF(B401="","",COUNTIF($C$8:C401,C401)&amp;C401)</f>
        <v>0</v>
      </c>
    </row>
    <row r="402" spans="2:24" ht="23.1" customHeight="1">
      <c r="B402" s="31">
        <v>44712</v>
      </c>
      <c r="C402" s="9"/>
      <c r="D402" s="9" t="s">
        <v>572</v>
      </c>
      <c r="E402" s="7"/>
      <c r="F402" s="7"/>
      <c r="G402" s="7"/>
      <c r="H402" s="7" t="s">
        <v>640</v>
      </c>
      <c r="I402" s="7" t="s">
        <v>593</v>
      </c>
      <c r="J402" s="39">
        <v>36500</v>
      </c>
      <c r="L402" s="16">
        <f t="shared" si="182"/>
        <v>1</v>
      </c>
      <c r="M402" s="16" t="str">
        <f t="shared" si="208"/>
        <v>May</v>
      </c>
      <c r="N402" s="16" t="str">
        <f t="shared" si="183"/>
        <v/>
      </c>
      <c r="O402" s="16" t="str">
        <f>IF(N402="","",COUNTIF($N$8:N402,N402))</f>
        <v/>
      </c>
      <c r="P402" s="34" t="str">
        <f t="shared" si="184"/>
        <v>outBeban Lainnya</v>
      </c>
      <c r="Q402" s="34" t="str">
        <f t="shared" si="185"/>
        <v>outMayBeban Lainnya</v>
      </c>
      <c r="R402" s="34" t="str">
        <f t="shared" si="206"/>
        <v>Beban Lainnya</v>
      </c>
      <c r="S402" s="34" t="str">
        <f t="shared" si="207"/>
        <v>Bank</v>
      </c>
      <c r="T402" s="34" t="str">
        <f t="shared" si="209"/>
        <v/>
      </c>
      <c r="U402" s="34" t="str">
        <f>IF(AND(L402=1,bp_kode=T402,T402&lt;&gt;""),COUNTIF($T$8:T402,T402),"")</f>
        <v/>
      </c>
      <c r="V402" s="34" t="str">
        <f t="shared" si="210"/>
        <v>db</v>
      </c>
      <c r="W402" s="34" t="str">
        <f t="shared" si="211"/>
        <v>db</v>
      </c>
      <c r="X402" s="34" t="str">
        <f>IF(B402="","",COUNTIF($C$8:C402,C402)&amp;C402)</f>
        <v>0</v>
      </c>
    </row>
    <row r="403" spans="2:24" ht="23.1" customHeight="1">
      <c r="B403" s="31">
        <v>44712</v>
      </c>
      <c r="C403" s="9"/>
      <c r="D403" s="9" t="s">
        <v>595</v>
      </c>
      <c r="E403" s="7"/>
      <c r="F403" s="7"/>
      <c r="G403" s="7"/>
      <c r="H403" s="7" t="s">
        <v>594</v>
      </c>
      <c r="I403" s="7" t="s">
        <v>582</v>
      </c>
      <c r="J403" s="39">
        <v>12800563</v>
      </c>
      <c r="L403" s="16">
        <f t="shared" si="182"/>
        <v>1</v>
      </c>
      <c r="M403" s="16" t="str">
        <f t="shared" si="208"/>
        <v>May</v>
      </c>
      <c r="N403" s="16" t="str">
        <f t="shared" si="183"/>
        <v/>
      </c>
      <c r="O403" s="16" t="str">
        <f>IF(N403="","",COUNTIF($N$8:N403,N403))</f>
        <v/>
      </c>
      <c r="P403" s="34" t="str">
        <f t="shared" si="184"/>
        <v>outAktiva Lancar Lainnya</v>
      </c>
      <c r="Q403" s="34" t="str">
        <f t="shared" si="185"/>
        <v>outMayAktiva Lancar Lainnya</v>
      </c>
      <c r="R403" s="34" t="str">
        <f t="shared" si="206"/>
        <v>Aktiva Lancar Lainnya</v>
      </c>
      <c r="S403" s="34" t="str">
        <f t="shared" si="207"/>
        <v>Kas</v>
      </c>
      <c r="T403" s="34" t="str">
        <f t="shared" si="209"/>
        <v/>
      </c>
      <c r="U403" s="34" t="str">
        <f>IF(AND(L403=1,bp_kode=T403,T403&lt;&gt;""),COUNTIF($T$8:T403,T403),"")</f>
        <v/>
      </c>
      <c r="V403" s="34" t="str">
        <f t="shared" si="210"/>
        <v/>
      </c>
      <c r="W403" s="34" t="str">
        <f t="shared" si="211"/>
        <v/>
      </c>
      <c r="X403" s="34" t="str">
        <f>IF(B403="","",COUNTIF($C$8:C403,C403)&amp;C403)</f>
        <v>0</v>
      </c>
    </row>
    <row r="404" spans="2:24" ht="23.1" customHeight="1">
      <c r="B404" s="31">
        <v>44712</v>
      </c>
      <c r="C404" s="9"/>
      <c r="D404" s="9" t="s">
        <v>598</v>
      </c>
      <c r="E404" s="7"/>
      <c r="F404" s="7"/>
      <c r="G404" s="7"/>
      <c r="H404" s="7" t="s">
        <v>599</v>
      </c>
      <c r="I404" s="7" t="s">
        <v>582</v>
      </c>
      <c r="J404" s="39">
        <v>5050000</v>
      </c>
      <c r="L404" s="16">
        <f t="shared" si="182"/>
        <v>1</v>
      </c>
      <c r="M404" s="16" t="str">
        <f t="shared" si="208"/>
        <v>May</v>
      </c>
      <c r="N404" s="16" t="str">
        <f t="shared" si="183"/>
        <v/>
      </c>
      <c r="O404" s="16" t="str">
        <f>IF(N404="","",COUNTIF($N$8:N404,N404))</f>
        <v/>
      </c>
      <c r="P404" s="34" t="str">
        <f t="shared" si="184"/>
        <v>outAkun Hutang</v>
      </c>
      <c r="Q404" s="34" t="str">
        <f t="shared" si="185"/>
        <v>outMayAkun Hutang</v>
      </c>
      <c r="R404" s="34" t="str">
        <f t="shared" si="206"/>
        <v>Akun Hutang</v>
      </c>
      <c r="S404" s="34" t="str">
        <f t="shared" si="207"/>
        <v>Kas</v>
      </c>
      <c r="T404" s="34">
        <f t="shared" si="209"/>
        <v>0</v>
      </c>
      <c r="U404" s="34" t="str">
        <f>IF(AND(L404=1,bp_kode=T404,T404&lt;&gt;""),COUNTIF($T$8:T404,T404),"")</f>
        <v/>
      </c>
      <c r="V404" s="34" t="str">
        <f t="shared" si="210"/>
        <v/>
      </c>
      <c r="W404" s="34" t="str">
        <f t="shared" si="211"/>
        <v/>
      </c>
      <c r="X404" s="34" t="str">
        <f>IF(B404="","",COUNTIF($C$8:C404,C404)&amp;C404)</f>
        <v>0</v>
      </c>
    </row>
    <row r="405" spans="2:24" ht="23.1" customHeight="1">
      <c r="B405" s="31">
        <v>44712</v>
      </c>
      <c r="C405" s="9"/>
      <c r="D405" s="9" t="s">
        <v>600</v>
      </c>
      <c r="E405" s="7"/>
      <c r="F405" s="7"/>
      <c r="G405" s="7"/>
      <c r="H405" s="7" t="s">
        <v>601</v>
      </c>
      <c r="I405" s="7" t="s">
        <v>582</v>
      </c>
      <c r="J405" s="39">
        <v>25890300</v>
      </c>
      <c r="L405" s="16">
        <f t="shared" si="182"/>
        <v>1</v>
      </c>
      <c r="M405" s="16" t="str">
        <f t="shared" si="208"/>
        <v>May</v>
      </c>
      <c r="N405" s="16" t="str">
        <f t="shared" si="183"/>
        <v/>
      </c>
      <c r="O405" s="16" t="str">
        <f>IF(N405="","",COUNTIF($N$8:N405,N405))</f>
        <v/>
      </c>
      <c r="P405" s="34" t="str">
        <f t="shared" si="184"/>
        <v>outKewajiban Lancar Lainnya</v>
      </c>
      <c r="Q405" s="34" t="str">
        <f t="shared" si="185"/>
        <v>outMayKewajiban Lancar Lainnya</v>
      </c>
      <c r="R405" s="34" t="str">
        <f t="shared" si="206"/>
        <v>Kewajiban Lancar Lainnya</v>
      </c>
      <c r="S405" s="34" t="str">
        <f t="shared" si="207"/>
        <v>Kas</v>
      </c>
      <c r="T405" s="34" t="str">
        <f t="shared" si="209"/>
        <v/>
      </c>
      <c r="U405" s="34" t="str">
        <f>IF(AND(L405=1,bp_kode=T405,T405&lt;&gt;""),COUNTIF($T$8:T405,T405),"")</f>
        <v/>
      </c>
      <c r="V405" s="34" t="str">
        <f t="shared" si="210"/>
        <v/>
      </c>
      <c r="W405" s="34" t="str">
        <f t="shared" si="211"/>
        <v/>
      </c>
      <c r="X405" s="34" t="str">
        <f>IF(B405="","",COUNTIF($C$8:C405,C405)&amp;C405)</f>
        <v>0</v>
      </c>
    </row>
    <row r="406" spans="2:24" ht="23.1" customHeight="1">
      <c r="B406" s="31">
        <v>44712</v>
      </c>
      <c r="C406" s="9"/>
      <c r="D406" s="9" t="s">
        <v>604</v>
      </c>
      <c r="E406" s="7"/>
      <c r="F406" s="7"/>
      <c r="G406" s="7"/>
      <c r="H406" s="7" t="s">
        <v>602</v>
      </c>
      <c r="I406" s="7" t="s">
        <v>582</v>
      </c>
      <c r="J406" s="39">
        <v>2110850</v>
      </c>
      <c r="L406" s="16">
        <f t="shared" si="182"/>
        <v>1</v>
      </c>
      <c r="M406" s="16" t="str">
        <f t="shared" si="208"/>
        <v>May</v>
      </c>
      <c r="N406" s="16" t="str">
        <f t="shared" si="183"/>
        <v/>
      </c>
      <c r="O406" s="16" t="str">
        <f>IF(N406="","",COUNTIF($N$8:N406,N406))</f>
        <v/>
      </c>
      <c r="P406" s="34" t="str">
        <f t="shared" si="184"/>
        <v>outHarga Pokok Penjualan</v>
      </c>
      <c r="Q406" s="34" t="str">
        <f t="shared" si="185"/>
        <v>outMayHarga Pokok Penjualan</v>
      </c>
      <c r="R406" s="34" t="str">
        <f t="shared" si="206"/>
        <v>Harga Pokok Penjualan</v>
      </c>
      <c r="S406" s="34" t="str">
        <f t="shared" si="207"/>
        <v>Kas</v>
      </c>
      <c r="T406" s="34" t="str">
        <f t="shared" si="209"/>
        <v/>
      </c>
      <c r="U406" s="34" t="str">
        <f>IF(AND(L406=1,bp_kode=T406,T406&lt;&gt;""),COUNTIF($T$8:T406,T406),"")</f>
        <v/>
      </c>
      <c r="V406" s="34" t="str">
        <f t="shared" si="210"/>
        <v>db</v>
      </c>
      <c r="W406" s="34" t="str">
        <f t="shared" si="211"/>
        <v>db</v>
      </c>
      <c r="X406" s="34" t="str">
        <f>IF(B406="","",COUNTIF($C$8:C406,C406)&amp;C406)</f>
        <v>0</v>
      </c>
    </row>
    <row r="407" spans="2:24" ht="23.1" customHeight="1">
      <c r="B407" s="31">
        <v>44712</v>
      </c>
      <c r="C407" s="9"/>
      <c r="D407" s="9" t="s">
        <v>605</v>
      </c>
      <c r="E407" s="7"/>
      <c r="F407" s="7"/>
      <c r="G407" s="7"/>
      <c r="H407" s="7" t="s">
        <v>603</v>
      </c>
      <c r="I407" s="7" t="s">
        <v>582</v>
      </c>
      <c r="J407" s="39">
        <v>7301250</v>
      </c>
      <c r="L407" s="16">
        <f t="shared" si="182"/>
        <v>1</v>
      </c>
      <c r="M407" s="16" t="str">
        <f t="shared" si="208"/>
        <v>May</v>
      </c>
      <c r="N407" s="16" t="str">
        <f t="shared" si="183"/>
        <v/>
      </c>
      <c r="O407" s="16" t="str">
        <f>IF(N407="","",COUNTIF($N$8:N407,N407))</f>
        <v/>
      </c>
      <c r="P407" s="34" t="str">
        <f t="shared" si="184"/>
        <v>outHarga Pokok Penjualan</v>
      </c>
      <c r="Q407" s="34" t="str">
        <f t="shared" si="185"/>
        <v>outMayHarga Pokok Penjualan</v>
      </c>
      <c r="R407" s="34" t="str">
        <f t="shared" si="206"/>
        <v>Harga Pokok Penjualan</v>
      </c>
      <c r="S407" s="34" t="str">
        <f t="shared" si="207"/>
        <v>Kas</v>
      </c>
      <c r="T407" s="34" t="str">
        <f t="shared" si="209"/>
        <v/>
      </c>
      <c r="U407" s="34" t="str">
        <f>IF(AND(L407=1,bp_kode=T407,T407&lt;&gt;""),COUNTIF($T$8:T407,T407),"")</f>
        <v/>
      </c>
      <c r="V407" s="34" t="str">
        <f t="shared" si="210"/>
        <v>db</v>
      </c>
      <c r="W407" s="34" t="str">
        <f t="shared" si="211"/>
        <v>db</v>
      </c>
      <c r="X407" s="34" t="str">
        <f>IF(B407="","",COUNTIF($C$8:C407,C407)&amp;C407)</f>
        <v>0</v>
      </c>
    </row>
    <row r="408" spans="2:24" ht="23.1" customHeight="1">
      <c r="B408" s="31">
        <v>44712</v>
      </c>
      <c r="C408" s="9"/>
      <c r="D408" s="9" t="s">
        <v>609</v>
      </c>
      <c r="E408" s="7"/>
      <c r="F408" s="7"/>
      <c r="G408" s="7"/>
      <c r="H408" s="7" t="s">
        <v>606</v>
      </c>
      <c r="I408" s="7" t="s">
        <v>582</v>
      </c>
      <c r="J408" s="39">
        <v>3500000</v>
      </c>
      <c r="L408" s="16">
        <f t="shared" si="182"/>
        <v>1</v>
      </c>
      <c r="M408" s="16" t="str">
        <f t="shared" si="208"/>
        <v>May</v>
      </c>
      <c r="N408" s="16" t="str">
        <f t="shared" si="183"/>
        <v/>
      </c>
      <c r="O408" s="16" t="str">
        <f>IF(N408="","",COUNTIF($N$8:N408,N408))</f>
        <v/>
      </c>
      <c r="P408" s="34" t="str">
        <f t="shared" si="184"/>
        <v>outHarga Pokok Penjualan</v>
      </c>
      <c r="Q408" s="34" t="str">
        <f t="shared" si="185"/>
        <v>outMayHarga Pokok Penjualan</v>
      </c>
      <c r="R408" s="34" t="str">
        <f t="shared" si="206"/>
        <v>Harga Pokok Penjualan</v>
      </c>
      <c r="S408" s="34" t="str">
        <f t="shared" si="207"/>
        <v>Kas</v>
      </c>
      <c r="T408" s="34" t="str">
        <f t="shared" si="209"/>
        <v/>
      </c>
      <c r="U408" s="34" t="str">
        <f>IF(AND(L408=1,bp_kode=T408,T408&lt;&gt;""),COUNTIF($T$8:T408,T408),"")</f>
        <v/>
      </c>
      <c r="V408" s="34" t="str">
        <f t="shared" si="210"/>
        <v>db</v>
      </c>
      <c r="W408" s="34" t="str">
        <f t="shared" si="211"/>
        <v>db</v>
      </c>
      <c r="X408" s="34" t="str">
        <f>IF(B408="","",COUNTIF($C$8:C408,C408)&amp;C408)</f>
        <v>0</v>
      </c>
    </row>
    <row r="409" spans="2:24" ht="23.1" customHeight="1">
      <c r="B409" s="31">
        <v>44712</v>
      </c>
      <c r="C409" s="9"/>
      <c r="D409" s="9" t="s">
        <v>610</v>
      </c>
      <c r="E409" s="7"/>
      <c r="F409" s="7"/>
      <c r="G409" s="7"/>
      <c r="H409" s="7" t="s">
        <v>607</v>
      </c>
      <c r="I409" s="7" t="s">
        <v>582</v>
      </c>
      <c r="J409" s="39">
        <v>2120000</v>
      </c>
      <c r="L409" s="16">
        <f t="shared" si="182"/>
        <v>1</v>
      </c>
      <c r="M409" s="16" t="str">
        <f t="shared" si="208"/>
        <v>May</v>
      </c>
      <c r="N409" s="16" t="str">
        <f t="shared" si="183"/>
        <v/>
      </c>
      <c r="O409" s="16" t="str">
        <f>IF(N409="","",COUNTIF($N$8:N409,N409))</f>
        <v/>
      </c>
      <c r="P409" s="34" t="str">
        <f t="shared" si="184"/>
        <v>outHarga Pokok Penjualan</v>
      </c>
      <c r="Q409" s="34" t="str">
        <f t="shared" si="185"/>
        <v>outMayHarga Pokok Penjualan</v>
      </c>
      <c r="R409" s="34" t="str">
        <f t="shared" si="206"/>
        <v>Harga Pokok Penjualan</v>
      </c>
      <c r="S409" s="34" t="str">
        <f t="shared" si="207"/>
        <v>Kas</v>
      </c>
      <c r="T409" s="34" t="str">
        <f t="shared" si="209"/>
        <v/>
      </c>
      <c r="U409" s="34" t="str">
        <f>IF(AND(L409=1,bp_kode=T409,T409&lt;&gt;""),COUNTIF($T$8:T409,T409),"")</f>
        <v/>
      </c>
      <c r="V409" s="34" t="str">
        <f t="shared" si="210"/>
        <v>db</v>
      </c>
      <c r="W409" s="34" t="str">
        <f t="shared" si="211"/>
        <v>db</v>
      </c>
      <c r="X409" s="34" t="str">
        <f>IF(B409="","",COUNTIF($C$8:C409,C409)&amp;C409)</f>
        <v>0</v>
      </c>
    </row>
    <row r="410" spans="2:24" ht="23.1" customHeight="1">
      <c r="B410" s="31">
        <v>44712</v>
      </c>
      <c r="C410" s="9"/>
      <c r="D410" s="9" t="s">
        <v>612</v>
      </c>
      <c r="E410" s="7"/>
      <c r="F410" s="7"/>
      <c r="G410" s="7"/>
      <c r="H410" s="7" t="s">
        <v>613</v>
      </c>
      <c r="I410" s="7" t="s">
        <v>582</v>
      </c>
      <c r="J410" s="39">
        <v>23398000</v>
      </c>
      <c r="L410" s="16">
        <f t="shared" si="182"/>
        <v>1</v>
      </c>
      <c r="M410" s="16" t="str">
        <f t="shared" si="208"/>
        <v>May</v>
      </c>
      <c r="N410" s="16" t="str">
        <f t="shared" si="183"/>
        <v/>
      </c>
      <c r="O410" s="16" t="str">
        <f>IF(N410="","",COUNTIF($N$8:N410,N410))</f>
        <v/>
      </c>
      <c r="P410" s="34" t="str">
        <f t="shared" si="184"/>
        <v>outHarga Pokok Penjualan</v>
      </c>
      <c r="Q410" s="34" t="str">
        <f t="shared" si="185"/>
        <v>outMayHarga Pokok Penjualan</v>
      </c>
      <c r="R410" s="34" t="str">
        <f t="shared" si="206"/>
        <v>Harga Pokok Penjualan</v>
      </c>
      <c r="S410" s="34" t="str">
        <f t="shared" si="207"/>
        <v>Kas</v>
      </c>
      <c r="T410" s="34" t="str">
        <f t="shared" si="209"/>
        <v/>
      </c>
      <c r="U410" s="34" t="str">
        <f>IF(AND(L410=1,bp_kode=T410,T410&lt;&gt;""),COUNTIF($T$8:T410,T410),"")</f>
        <v/>
      </c>
      <c r="V410" s="34" t="str">
        <f t="shared" si="210"/>
        <v>db</v>
      </c>
      <c r="W410" s="34" t="str">
        <f t="shared" si="211"/>
        <v>db</v>
      </c>
      <c r="X410" s="34" t="str">
        <f>IF(B410="","",COUNTIF($C$8:C410,C410)&amp;C410)</f>
        <v>0</v>
      </c>
    </row>
    <row r="411" spans="2:24" ht="23.1" customHeight="1">
      <c r="B411" s="31">
        <v>44712</v>
      </c>
      <c r="C411" s="9"/>
      <c r="D411" s="9" t="s">
        <v>621</v>
      </c>
      <c r="E411" s="7"/>
      <c r="F411" s="7"/>
      <c r="G411" s="7"/>
      <c r="H411" s="7" t="s">
        <v>614</v>
      </c>
      <c r="I411" s="7" t="s">
        <v>582</v>
      </c>
      <c r="J411" s="39">
        <v>12852942</v>
      </c>
      <c r="L411" s="16">
        <f t="shared" si="182"/>
        <v>1</v>
      </c>
      <c r="M411" s="16" t="str">
        <f t="shared" si="208"/>
        <v>May</v>
      </c>
      <c r="N411" s="16" t="str">
        <f t="shared" si="183"/>
        <v/>
      </c>
      <c r="O411" s="16" t="str">
        <f>IF(N411="","",COUNTIF($N$8:N411,N411))</f>
        <v/>
      </c>
      <c r="P411" s="34" t="str">
        <f t="shared" si="184"/>
        <v>outBeban</v>
      </c>
      <c r="Q411" s="34" t="str">
        <f t="shared" si="185"/>
        <v>outMayBeban</v>
      </c>
      <c r="R411" s="34" t="str">
        <f t="shared" si="206"/>
        <v>Beban</v>
      </c>
      <c r="S411" s="34" t="str">
        <f t="shared" si="207"/>
        <v>Kas</v>
      </c>
      <c r="T411" s="34" t="str">
        <f t="shared" si="209"/>
        <v/>
      </c>
      <c r="U411" s="34" t="str">
        <f>IF(AND(L411=1,bp_kode=T411,T411&lt;&gt;""),COUNTIF($T$8:T411,T411),"")</f>
        <v/>
      </c>
      <c r="V411" s="34" t="str">
        <f t="shared" si="210"/>
        <v>db</v>
      </c>
      <c r="W411" s="34" t="str">
        <f t="shared" si="211"/>
        <v>db</v>
      </c>
      <c r="X411" s="34" t="str">
        <f>IF(B411="","",COUNTIF($C$8:C411,C411)&amp;C411)</f>
        <v>0</v>
      </c>
    </row>
    <row r="412" spans="2:24" ht="23.1" customHeight="1">
      <c r="B412" s="31">
        <v>44712</v>
      </c>
      <c r="C412" s="9"/>
      <c r="D412" s="9" t="s">
        <v>622</v>
      </c>
      <c r="E412" s="7"/>
      <c r="F412" s="7"/>
      <c r="G412" s="7"/>
      <c r="H412" s="7" t="s">
        <v>615</v>
      </c>
      <c r="I412" s="7" t="s">
        <v>582</v>
      </c>
      <c r="J412" s="39">
        <v>2428800</v>
      </c>
      <c r="L412" s="16">
        <f t="shared" si="182"/>
        <v>1</v>
      </c>
      <c r="M412" s="16" t="str">
        <f t="shared" si="208"/>
        <v>May</v>
      </c>
      <c r="N412" s="16" t="str">
        <f t="shared" si="183"/>
        <v/>
      </c>
      <c r="O412" s="16" t="str">
        <f>IF(N412="","",COUNTIF($N$8:N412,N412))</f>
        <v/>
      </c>
      <c r="P412" s="34" t="str">
        <f t="shared" si="184"/>
        <v>outBeban</v>
      </c>
      <c r="Q412" s="34" t="str">
        <f t="shared" si="185"/>
        <v>outMayBeban</v>
      </c>
      <c r="R412" s="34" t="str">
        <f t="shared" si="206"/>
        <v>Beban</v>
      </c>
      <c r="S412" s="34" t="str">
        <f t="shared" si="207"/>
        <v>Kas</v>
      </c>
      <c r="T412" s="34" t="str">
        <f t="shared" si="209"/>
        <v/>
      </c>
      <c r="U412" s="34" t="str">
        <f>IF(AND(L412=1,bp_kode=T412,T412&lt;&gt;""),COUNTIF($T$8:T412,T412),"")</f>
        <v/>
      </c>
      <c r="V412" s="34" t="str">
        <f t="shared" si="210"/>
        <v>db</v>
      </c>
      <c r="W412" s="34" t="str">
        <f t="shared" si="211"/>
        <v>db</v>
      </c>
      <c r="X412" s="34" t="str">
        <f>IF(B412="","",COUNTIF($C$8:C412,C412)&amp;C412)</f>
        <v>0</v>
      </c>
    </row>
    <row r="413" spans="2:24" ht="23.1" customHeight="1">
      <c r="B413" s="31">
        <v>44712</v>
      </c>
      <c r="C413" s="9"/>
      <c r="D413" s="9" t="s">
        <v>623</v>
      </c>
      <c r="E413" s="7"/>
      <c r="F413" s="7"/>
      <c r="G413" s="7"/>
      <c r="H413" s="7" t="s">
        <v>616</v>
      </c>
      <c r="I413" s="7" t="s">
        <v>582</v>
      </c>
      <c r="J413" s="39">
        <v>1200000</v>
      </c>
      <c r="L413" s="16">
        <f t="shared" si="182"/>
        <v>1</v>
      </c>
      <c r="M413" s="16" t="str">
        <f t="shared" si="208"/>
        <v>May</v>
      </c>
      <c r="N413" s="16" t="str">
        <f t="shared" si="183"/>
        <v/>
      </c>
      <c r="O413" s="16" t="str">
        <f>IF(N413="","",COUNTIF($N$8:N413,N413))</f>
        <v/>
      </c>
      <c r="P413" s="34" t="str">
        <f t="shared" si="184"/>
        <v>outBeban</v>
      </c>
      <c r="Q413" s="34" t="str">
        <f t="shared" si="185"/>
        <v>outMayBeban</v>
      </c>
      <c r="R413" s="34" t="str">
        <f t="shared" si="206"/>
        <v>Beban</v>
      </c>
      <c r="S413" s="34" t="str">
        <f t="shared" si="207"/>
        <v>Kas</v>
      </c>
      <c r="T413" s="34" t="str">
        <f t="shared" si="209"/>
        <v/>
      </c>
      <c r="U413" s="34" t="str">
        <f>IF(AND(L413=1,bp_kode=T413,T413&lt;&gt;""),COUNTIF($T$8:T413,T413),"")</f>
        <v/>
      </c>
      <c r="V413" s="34" t="str">
        <f t="shared" si="210"/>
        <v>db</v>
      </c>
      <c r="W413" s="34" t="str">
        <f t="shared" si="211"/>
        <v>db</v>
      </c>
      <c r="X413" s="34" t="str">
        <f>IF(B413="","",COUNTIF($C$8:C413,C413)&amp;C413)</f>
        <v>0</v>
      </c>
    </row>
    <row r="414" spans="2:24" ht="23.1" customHeight="1">
      <c r="B414" s="31">
        <v>44712</v>
      </c>
      <c r="C414" s="9"/>
      <c r="D414" s="9" t="s">
        <v>624</v>
      </c>
      <c r="E414" s="7"/>
      <c r="F414" s="7"/>
      <c r="G414" s="7"/>
      <c r="H414" s="7" t="s">
        <v>617</v>
      </c>
      <c r="I414" s="7" t="s">
        <v>582</v>
      </c>
      <c r="J414" s="39">
        <v>32132356</v>
      </c>
      <c r="L414" s="16">
        <f t="shared" si="182"/>
        <v>1</v>
      </c>
      <c r="M414" s="16" t="str">
        <f t="shared" si="208"/>
        <v>May</v>
      </c>
      <c r="N414" s="16" t="str">
        <f t="shared" si="183"/>
        <v/>
      </c>
      <c r="O414" s="16" t="str">
        <f>IF(N414="","",COUNTIF($N$8:N414,N414))</f>
        <v/>
      </c>
      <c r="P414" s="34" t="str">
        <f t="shared" si="184"/>
        <v>outBeban</v>
      </c>
      <c r="Q414" s="34" t="str">
        <f t="shared" si="185"/>
        <v>outMayBeban</v>
      </c>
      <c r="R414" s="34" t="str">
        <f t="shared" si="206"/>
        <v>Beban</v>
      </c>
      <c r="S414" s="34" t="str">
        <f t="shared" si="207"/>
        <v>Kas</v>
      </c>
      <c r="T414" s="34" t="str">
        <f t="shared" si="209"/>
        <v/>
      </c>
      <c r="U414" s="34" t="str">
        <f>IF(AND(L414=1,bp_kode=T414,T414&lt;&gt;""),COUNTIF($T$8:T414,T414),"")</f>
        <v/>
      </c>
      <c r="V414" s="34" t="str">
        <f t="shared" si="210"/>
        <v>db</v>
      </c>
      <c r="W414" s="34" t="str">
        <f t="shared" si="211"/>
        <v>db</v>
      </c>
      <c r="X414" s="34" t="str">
        <f>IF(B414="","",COUNTIF($C$8:C414,C414)&amp;C414)</f>
        <v>0</v>
      </c>
    </row>
    <row r="415" spans="2:24" ht="23.1" customHeight="1">
      <c r="B415" s="31">
        <v>44712</v>
      </c>
      <c r="C415" s="9"/>
      <c r="D415" s="9" t="s">
        <v>625</v>
      </c>
      <c r="E415" s="7"/>
      <c r="F415" s="7"/>
      <c r="G415" s="7"/>
      <c r="H415" s="7" t="s">
        <v>618</v>
      </c>
      <c r="I415" s="7" t="s">
        <v>582</v>
      </c>
      <c r="J415" s="39">
        <v>200319203</v>
      </c>
      <c r="L415" s="16">
        <f t="shared" si="182"/>
        <v>1</v>
      </c>
      <c r="M415" s="16" t="str">
        <f t="shared" si="208"/>
        <v>May</v>
      </c>
      <c r="N415" s="16" t="str">
        <f t="shared" si="183"/>
        <v/>
      </c>
      <c r="O415" s="16" t="str">
        <f>IF(N415="","",COUNTIF($N$8:N415,N415))</f>
        <v/>
      </c>
      <c r="P415" s="34" t="str">
        <f t="shared" si="184"/>
        <v>outBeban</v>
      </c>
      <c r="Q415" s="34" t="str">
        <f t="shared" si="185"/>
        <v>outMayBeban</v>
      </c>
      <c r="R415" s="34" t="str">
        <f t="shared" si="206"/>
        <v>Beban</v>
      </c>
      <c r="S415" s="34" t="str">
        <f t="shared" si="207"/>
        <v>Kas</v>
      </c>
      <c r="T415" s="34" t="str">
        <f t="shared" si="209"/>
        <v/>
      </c>
      <c r="U415" s="34" t="str">
        <f>IF(AND(L415=1,bp_kode=T415,T415&lt;&gt;""),COUNTIF($T$8:T415,T415),"")</f>
        <v/>
      </c>
      <c r="V415" s="34" t="str">
        <f t="shared" si="210"/>
        <v>db</v>
      </c>
      <c r="W415" s="34" t="str">
        <f t="shared" si="211"/>
        <v>db</v>
      </c>
      <c r="X415" s="34" t="str">
        <f>IF(B415="","",COUNTIF($C$8:C415,C415)&amp;C415)</f>
        <v>0</v>
      </c>
    </row>
    <row r="416" spans="2:24" ht="23.1" customHeight="1">
      <c r="B416" s="31">
        <v>44712</v>
      </c>
      <c r="C416" s="9"/>
      <c r="D416" s="9" t="s">
        <v>626</v>
      </c>
      <c r="E416" s="7"/>
      <c r="F416" s="7"/>
      <c r="G416" s="7"/>
      <c r="H416" s="7" t="s">
        <v>619</v>
      </c>
      <c r="I416" s="7" t="s">
        <v>582</v>
      </c>
      <c r="J416" s="39">
        <v>209132566</v>
      </c>
      <c r="L416" s="16">
        <f t="shared" si="182"/>
        <v>1</v>
      </c>
      <c r="M416" s="16" t="str">
        <f t="shared" si="208"/>
        <v>May</v>
      </c>
      <c r="N416" s="16" t="str">
        <f t="shared" si="183"/>
        <v/>
      </c>
      <c r="O416" s="16" t="str">
        <f>IF(N416="","",COUNTIF($N$8:N416,N416))</f>
        <v/>
      </c>
      <c r="P416" s="34" t="str">
        <f t="shared" si="184"/>
        <v>outBeban</v>
      </c>
      <c r="Q416" s="34" t="str">
        <f t="shared" si="185"/>
        <v>outMayBeban</v>
      </c>
      <c r="R416" s="34" t="str">
        <f t="shared" si="206"/>
        <v>Beban</v>
      </c>
      <c r="S416" s="34" t="str">
        <f t="shared" si="207"/>
        <v>Kas</v>
      </c>
      <c r="T416" s="34" t="str">
        <f t="shared" si="209"/>
        <v/>
      </c>
      <c r="U416" s="34" t="str">
        <f>IF(AND(L416=1,bp_kode=T416,T416&lt;&gt;""),COUNTIF($T$8:T416,T416),"")</f>
        <v/>
      </c>
      <c r="V416" s="34" t="str">
        <f t="shared" si="210"/>
        <v>db</v>
      </c>
      <c r="W416" s="34" t="str">
        <f t="shared" si="211"/>
        <v>db</v>
      </c>
      <c r="X416" s="34" t="str">
        <f>IF(B416="","",COUNTIF($C$8:C416,C416)&amp;C416)</f>
        <v>0</v>
      </c>
    </row>
    <row r="417" spans="2:24" ht="23.1" customHeight="1">
      <c r="B417" s="31">
        <v>44712</v>
      </c>
      <c r="C417" s="9"/>
      <c r="D417" s="9" t="s">
        <v>627</v>
      </c>
      <c r="E417" s="7"/>
      <c r="F417" s="7"/>
      <c r="G417" s="7"/>
      <c r="H417" s="7" t="s">
        <v>620</v>
      </c>
      <c r="I417" s="7" t="s">
        <v>582</v>
      </c>
      <c r="J417" s="39">
        <v>11684414</v>
      </c>
      <c r="L417" s="16">
        <f t="shared" ref="L417:L438" si="232">IF(AND(B417&gt;=awal,B417&lt;=akhir,B417&lt;&gt;""),1,IF(AND(B417&lt;&gt;"",B417&lt;awal),2,""))</f>
        <v>1</v>
      </c>
      <c r="M417" s="16" t="str">
        <f t="shared" si="208"/>
        <v>May</v>
      </c>
      <c r="N417" s="16" t="str">
        <f t="shared" ref="N417:N438" si="233">IF(AND(L417=1,H417=bb_akun),"Awe",IF(AND(L417=1,I417=bb_akun),"Awe",""))</f>
        <v/>
      </c>
      <c r="O417" s="16" t="str">
        <f>IF(N417="","",COUNTIF($N$8:N417,N417))</f>
        <v/>
      </c>
      <c r="P417" s="34" t="str">
        <f t="shared" ref="P417:P438" si="234">IFERROR(IF(OR(INDEX(akun_type,MATCH(H417,akun_kb,0))="Kas",INDEX(akun_type,MATCH(H417,akun_kb,0))="Bank"),"In"&amp;INDEX(akun_type,MATCH(I417,akun_kb,0)),IF(OR(INDEX(akun_type,MATCH(I417,akun_kb,0))="Kas",INDEX(akun_type,MATCH(I417,akun_kb,0))="Bank"),"out"&amp;INDEX(akun_type,MATCH(H417,akun_kb,0)),"")),"")</f>
        <v>outBeban</v>
      </c>
      <c r="Q417" s="34" t="str">
        <f t="shared" ref="Q417:Q438" si="235">IFERROR(IF(OR(INDEX(akun_type,MATCH(H417,akun_kb,0))="Kas",INDEX(akun_type,MATCH(H417,akun_kb,0))="Bank"),"in"&amp;TEXT(B417,"mmmm")&amp;INDEX(akun_type,MATCH(I417,akun_kb,0)),IF(OR(INDEX(akun_type,MATCH(I417,akun_kb,0))="Kas",INDEX(akun_type,MATCH(I417,akun_kb,0))="Bank"),"out"&amp;TEXT(B417,"mmmm")&amp;INDEX(akun_type,MATCH(H417,akun_kb,0)),"")),"")</f>
        <v>outMayBeban</v>
      </c>
      <c r="R417" s="34" t="str">
        <f t="shared" si="206"/>
        <v>Beban</v>
      </c>
      <c r="S417" s="34" t="str">
        <f t="shared" si="207"/>
        <v>Kas</v>
      </c>
      <c r="T417" s="34" t="str">
        <f t="shared" si="209"/>
        <v/>
      </c>
      <c r="U417" s="34" t="str">
        <f>IF(AND(L417=1,bp_kode=T417,T417&lt;&gt;""),COUNTIF($T$8:T417,T417),"")</f>
        <v/>
      </c>
      <c r="V417" s="34" t="str">
        <f t="shared" si="210"/>
        <v>db</v>
      </c>
      <c r="W417" s="34" t="str">
        <f t="shared" si="211"/>
        <v>db</v>
      </c>
      <c r="X417" s="34" t="str">
        <f>IF(B417="","",COUNTIF($C$8:C417,C417)&amp;C417)</f>
        <v>0</v>
      </c>
    </row>
    <row r="418" spans="2:24" ht="23.1" customHeight="1">
      <c r="B418" s="31">
        <v>44712</v>
      </c>
      <c r="C418" s="9"/>
      <c r="D418" s="9" t="s">
        <v>644</v>
      </c>
      <c r="E418" s="7"/>
      <c r="F418" s="7"/>
      <c r="G418" s="7"/>
      <c r="H418" s="7" t="s">
        <v>628</v>
      </c>
      <c r="I418" s="7" t="s">
        <v>582</v>
      </c>
      <c r="J418" s="39">
        <v>21900000</v>
      </c>
      <c r="L418" s="16">
        <f t="shared" si="232"/>
        <v>1</v>
      </c>
      <c r="M418" s="16" t="str">
        <f t="shared" si="208"/>
        <v>May</v>
      </c>
      <c r="N418" s="16" t="str">
        <f t="shared" si="233"/>
        <v/>
      </c>
      <c r="O418" s="16" t="str">
        <f>IF(N418="","",COUNTIF($N$8:N418,N418))</f>
        <v/>
      </c>
      <c r="P418" s="34" t="str">
        <f t="shared" si="234"/>
        <v>outBeban</v>
      </c>
      <c r="Q418" s="34" t="str">
        <f t="shared" si="235"/>
        <v>outMayBeban</v>
      </c>
      <c r="R418" s="34" t="str">
        <f t="shared" si="206"/>
        <v>Beban</v>
      </c>
      <c r="S418" s="34" t="str">
        <f t="shared" si="207"/>
        <v>Kas</v>
      </c>
      <c r="T418" s="34" t="str">
        <f t="shared" si="209"/>
        <v/>
      </c>
      <c r="U418" s="34" t="str">
        <f>IF(AND(L418=1,bp_kode=T418,T418&lt;&gt;""),COUNTIF($T$8:T418,T418),"")</f>
        <v/>
      </c>
      <c r="V418" s="34" t="str">
        <f t="shared" si="210"/>
        <v>db</v>
      </c>
      <c r="W418" s="34" t="str">
        <f t="shared" si="211"/>
        <v>db</v>
      </c>
      <c r="X418" s="34" t="str">
        <f>IF(B418="","",COUNTIF($C$8:C418,C418)&amp;C418)</f>
        <v>0</v>
      </c>
    </row>
    <row r="419" spans="2:24" ht="23.1" customHeight="1">
      <c r="B419" s="31">
        <v>44712</v>
      </c>
      <c r="C419" s="9"/>
      <c r="D419" s="9" t="s">
        <v>693</v>
      </c>
      <c r="E419" s="7"/>
      <c r="F419" s="7"/>
      <c r="G419" s="7"/>
      <c r="H419" s="7" t="s">
        <v>694</v>
      </c>
      <c r="I419" s="7" t="s">
        <v>582</v>
      </c>
      <c r="J419" s="39">
        <v>1000000</v>
      </c>
      <c r="L419" s="16">
        <f t="shared" si="232"/>
        <v>1</v>
      </c>
      <c r="M419" s="16" t="str">
        <f t="shared" si="208"/>
        <v>May</v>
      </c>
      <c r="N419" s="16" t="str">
        <f t="shared" si="233"/>
        <v/>
      </c>
      <c r="O419" s="16" t="str">
        <f>IF(N419="","",COUNTIF($N$8:N419,N419))</f>
        <v/>
      </c>
      <c r="P419" s="34" t="str">
        <f t="shared" si="234"/>
        <v>outBeban</v>
      </c>
      <c r="Q419" s="34" t="str">
        <f t="shared" si="235"/>
        <v>outMayBeban</v>
      </c>
      <c r="R419" s="34" t="str">
        <f t="shared" si="206"/>
        <v>Beban</v>
      </c>
      <c r="S419" s="34" t="str">
        <f t="shared" si="207"/>
        <v>Kas</v>
      </c>
      <c r="T419" s="34" t="str">
        <f t="shared" si="209"/>
        <v/>
      </c>
      <c r="U419" s="34" t="str">
        <f>IF(AND(L419=1,bp_kode=T419,T419&lt;&gt;""),COUNTIF($T$8:T419,T419),"")</f>
        <v/>
      </c>
      <c r="V419" s="34" t="str">
        <f t="shared" si="210"/>
        <v>db</v>
      </c>
      <c r="W419" s="34" t="str">
        <f t="shared" si="211"/>
        <v>db</v>
      </c>
      <c r="X419" s="34" t="str">
        <f>IF(B419="","",COUNTIF($C$8:C419,C419)&amp;C419)</f>
        <v>0</v>
      </c>
    </row>
    <row r="420" spans="2:24" ht="23.1" customHeight="1">
      <c r="B420" s="31">
        <v>44712</v>
      </c>
      <c r="C420" s="9"/>
      <c r="D420" s="9" t="s">
        <v>645</v>
      </c>
      <c r="E420" s="7"/>
      <c r="F420" s="7"/>
      <c r="G420" s="7"/>
      <c r="H420" s="7" t="s">
        <v>629</v>
      </c>
      <c r="I420" s="7" t="s">
        <v>582</v>
      </c>
      <c r="J420" s="39">
        <v>25285000</v>
      </c>
      <c r="L420" s="16">
        <f t="shared" si="232"/>
        <v>1</v>
      </c>
      <c r="M420" s="16" t="str">
        <f t="shared" si="208"/>
        <v>May</v>
      </c>
      <c r="N420" s="16" t="str">
        <f t="shared" si="233"/>
        <v/>
      </c>
      <c r="O420" s="16" t="str">
        <f>IF(N420="","",COUNTIF($N$8:N420,N420))</f>
        <v/>
      </c>
      <c r="P420" s="34" t="str">
        <f t="shared" si="234"/>
        <v>outBeban</v>
      </c>
      <c r="Q420" s="34" t="str">
        <f t="shared" si="235"/>
        <v>outMayBeban</v>
      </c>
      <c r="R420" s="34" t="str">
        <f t="shared" si="206"/>
        <v>Beban</v>
      </c>
      <c r="S420" s="34" t="str">
        <f t="shared" si="207"/>
        <v>Kas</v>
      </c>
      <c r="T420" s="34" t="str">
        <f t="shared" si="209"/>
        <v/>
      </c>
      <c r="U420" s="34" t="str">
        <f>IF(AND(L420=1,bp_kode=T420,T420&lt;&gt;""),COUNTIF($T$8:T420,T420),"")</f>
        <v/>
      </c>
      <c r="V420" s="34" t="str">
        <f t="shared" si="210"/>
        <v>db</v>
      </c>
      <c r="W420" s="34" t="str">
        <f t="shared" si="211"/>
        <v>db</v>
      </c>
      <c r="X420" s="34" t="str">
        <f>IF(B420="","",COUNTIF($C$8:C420,C420)&amp;C420)</f>
        <v>0</v>
      </c>
    </row>
    <row r="421" spans="2:24" ht="23.1" customHeight="1">
      <c r="B421" s="31">
        <v>44712</v>
      </c>
      <c r="C421" s="9"/>
      <c r="D421" s="9" t="s">
        <v>646</v>
      </c>
      <c r="E421" s="7"/>
      <c r="F421" s="7"/>
      <c r="G421" s="7"/>
      <c r="H421" s="7" t="s">
        <v>630</v>
      </c>
      <c r="I421" s="7" t="s">
        <v>582</v>
      </c>
      <c r="J421" s="39">
        <v>3097500</v>
      </c>
      <c r="L421" s="16">
        <f t="shared" si="232"/>
        <v>1</v>
      </c>
      <c r="M421" s="16" t="str">
        <f t="shared" si="208"/>
        <v>May</v>
      </c>
      <c r="N421" s="16" t="str">
        <f t="shared" si="233"/>
        <v/>
      </c>
      <c r="O421" s="16" t="str">
        <f>IF(N421="","",COUNTIF($N$8:N421,N421))</f>
        <v/>
      </c>
      <c r="P421" s="34" t="str">
        <f t="shared" si="234"/>
        <v>outBeban</v>
      </c>
      <c r="Q421" s="34" t="str">
        <f t="shared" si="235"/>
        <v>outMayBeban</v>
      </c>
      <c r="R421" s="34" t="str">
        <f t="shared" si="206"/>
        <v>Beban</v>
      </c>
      <c r="S421" s="34" t="str">
        <f t="shared" si="207"/>
        <v>Kas</v>
      </c>
      <c r="T421" s="34" t="str">
        <f t="shared" si="209"/>
        <v/>
      </c>
      <c r="U421" s="34" t="str">
        <f>IF(AND(L421=1,bp_kode=T421,T421&lt;&gt;""),COUNTIF($T$8:T421,T421),"")</f>
        <v/>
      </c>
      <c r="V421" s="34" t="str">
        <f t="shared" si="210"/>
        <v>db</v>
      </c>
      <c r="W421" s="34" t="str">
        <f t="shared" si="211"/>
        <v>db</v>
      </c>
      <c r="X421" s="34" t="str">
        <f>IF(B421="","",COUNTIF($C$8:C421,C421)&amp;C421)</f>
        <v>0</v>
      </c>
    </row>
    <row r="422" spans="2:24" ht="23.1" customHeight="1">
      <c r="B422" s="31">
        <v>44712</v>
      </c>
      <c r="C422" s="9"/>
      <c r="D422" s="9" t="s">
        <v>647</v>
      </c>
      <c r="E422" s="7"/>
      <c r="F422" s="7"/>
      <c r="G422" s="7"/>
      <c r="H422" s="7" t="s">
        <v>631</v>
      </c>
      <c r="I422" s="7" t="s">
        <v>582</v>
      </c>
      <c r="J422" s="39">
        <v>550000</v>
      </c>
      <c r="L422" s="16">
        <f t="shared" si="232"/>
        <v>1</v>
      </c>
      <c r="M422" s="16" t="str">
        <f t="shared" si="208"/>
        <v>May</v>
      </c>
      <c r="N422" s="16" t="str">
        <f t="shared" si="233"/>
        <v/>
      </c>
      <c r="O422" s="16" t="str">
        <f>IF(N422="","",COUNTIF($N$8:N422,N422))</f>
        <v/>
      </c>
      <c r="P422" s="34" t="str">
        <f t="shared" si="234"/>
        <v>outBeban</v>
      </c>
      <c r="Q422" s="34" t="str">
        <f t="shared" si="235"/>
        <v>outMayBeban</v>
      </c>
      <c r="R422" s="34" t="str">
        <f t="shared" si="206"/>
        <v>Beban</v>
      </c>
      <c r="S422" s="34" t="str">
        <f t="shared" si="207"/>
        <v>Kas</v>
      </c>
      <c r="T422" s="34" t="str">
        <f t="shared" si="209"/>
        <v/>
      </c>
      <c r="U422" s="34" t="str">
        <f>IF(AND(L422=1,bp_kode=T422,T422&lt;&gt;""),COUNTIF($T$8:T422,T422),"")</f>
        <v/>
      </c>
      <c r="V422" s="34" t="str">
        <f t="shared" si="210"/>
        <v>db</v>
      </c>
      <c r="W422" s="34" t="str">
        <f t="shared" si="211"/>
        <v>db</v>
      </c>
      <c r="X422" s="34" t="str">
        <f>IF(B422="","",COUNTIF($C$8:C422,C422)&amp;C422)</f>
        <v>0</v>
      </c>
    </row>
    <row r="423" spans="2:24" ht="23.1" customHeight="1">
      <c r="B423" s="31">
        <v>44712</v>
      </c>
      <c r="C423" s="9"/>
      <c r="D423" s="9" t="s">
        <v>648</v>
      </c>
      <c r="E423" s="7"/>
      <c r="F423" s="7"/>
      <c r="G423" s="7"/>
      <c r="H423" s="7" t="s">
        <v>632</v>
      </c>
      <c r="I423" s="7" t="s">
        <v>582</v>
      </c>
      <c r="J423" s="39">
        <v>1090000</v>
      </c>
      <c r="L423" s="16">
        <f t="shared" si="232"/>
        <v>1</v>
      </c>
      <c r="M423" s="16" t="str">
        <f t="shared" si="208"/>
        <v>May</v>
      </c>
      <c r="N423" s="16" t="str">
        <f t="shared" si="233"/>
        <v/>
      </c>
      <c r="O423" s="16" t="str">
        <f>IF(N423="","",COUNTIF($N$8:N423,N423))</f>
        <v/>
      </c>
      <c r="P423" s="34" t="str">
        <f t="shared" si="234"/>
        <v>outBeban</v>
      </c>
      <c r="Q423" s="34" t="str">
        <f t="shared" si="235"/>
        <v>outMayBeban</v>
      </c>
      <c r="R423" s="34" t="str">
        <f t="shared" si="206"/>
        <v>Beban</v>
      </c>
      <c r="S423" s="34" t="str">
        <f t="shared" si="207"/>
        <v>Kas</v>
      </c>
      <c r="T423" s="34" t="str">
        <f t="shared" si="209"/>
        <v/>
      </c>
      <c r="U423" s="34" t="str">
        <f>IF(AND(L423=1,bp_kode=T423,T423&lt;&gt;""),COUNTIF($T$8:T423,T423),"")</f>
        <v/>
      </c>
      <c r="V423" s="34" t="str">
        <f t="shared" si="210"/>
        <v>db</v>
      </c>
      <c r="W423" s="34" t="str">
        <f t="shared" si="211"/>
        <v>db</v>
      </c>
      <c r="X423" s="34" t="str">
        <f>IF(B423="","",COUNTIF($C$8:C423,C423)&amp;C423)</f>
        <v>0</v>
      </c>
    </row>
    <row r="424" spans="2:24" ht="23.1" customHeight="1">
      <c r="B424" s="31">
        <v>44712</v>
      </c>
      <c r="C424" s="9"/>
      <c r="D424" s="9" t="s">
        <v>649</v>
      </c>
      <c r="E424" s="7"/>
      <c r="F424" s="7"/>
      <c r="G424" s="7"/>
      <c r="H424" s="7" t="s">
        <v>633</v>
      </c>
      <c r="I424" s="7" t="s">
        <v>582</v>
      </c>
      <c r="J424" s="39">
        <v>2069314</v>
      </c>
      <c r="L424" s="16">
        <f t="shared" si="232"/>
        <v>1</v>
      </c>
      <c r="M424" s="16" t="str">
        <f t="shared" si="208"/>
        <v>May</v>
      </c>
      <c r="N424" s="16" t="str">
        <f t="shared" si="233"/>
        <v/>
      </c>
      <c r="O424" s="16" t="str">
        <f>IF(N424="","",COUNTIF($N$8:N424,N424))</f>
        <v/>
      </c>
      <c r="P424" s="34" t="str">
        <f t="shared" si="234"/>
        <v>outBeban</v>
      </c>
      <c r="Q424" s="34" t="str">
        <f t="shared" si="235"/>
        <v>outMayBeban</v>
      </c>
      <c r="R424" s="34" t="str">
        <f t="shared" si="206"/>
        <v>Beban</v>
      </c>
      <c r="S424" s="34" t="str">
        <f t="shared" si="207"/>
        <v>Kas</v>
      </c>
      <c r="T424" s="34" t="str">
        <f t="shared" si="209"/>
        <v/>
      </c>
      <c r="U424" s="34" t="str">
        <f>IF(AND(L424=1,bp_kode=T424,T424&lt;&gt;""),COUNTIF($T$8:T424,T424),"")</f>
        <v/>
      </c>
      <c r="V424" s="34" t="str">
        <f t="shared" si="210"/>
        <v>db</v>
      </c>
      <c r="W424" s="34" t="str">
        <f t="shared" si="211"/>
        <v>db</v>
      </c>
      <c r="X424" s="34" t="str">
        <f>IF(B424="","",COUNTIF($C$8:C424,C424)&amp;C424)</f>
        <v>0</v>
      </c>
    </row>
    <row r="425" spans="2:24" ht="23.1" customHeight="1">
      <c r="B425" s="31">
        <v>44712</v>
      </c>
      <c r="C425" s="9"/>
      <c r="D425" s="9" t="s">
        <v>650</v>
      </c>
      <c r="E425" s="7"/>
      <c r="F425" s="7"/>
      <c r="G425" s="7"/>
      <c r="H425" s="7" t="s">
        <v>634</v>
      </c>
      <c r="I425" s="7" t="s">
        <v>582</v>
      </c>
      <c r="J425" s="39">
        <v>5120238</v>
      </c>
      <c r="L425" s="16">
        <f t="shared" si="232"/>
        <v>1</v>
      </c>
      <c r="M425" s="16" t="str">
        <f t="shared" si="208"/>
        <v>May</v>
      </c>
      <c r="N425" s="16" t="str">
        <f t="shared" si="233"/>
        <v/>
      </c>
      <c r="O425" s="16" t="str">
        <f>IF(N425="","",COUNTIF($N$8:N425,N425))</f>
        <v/>
      </c>
      <c r="P425" s="34" t="str">
        <f t="shared" si="234"/>
        <v>outBeban</v>
      </c>
      <c r="Q425" s="34" t="str">
        <f t="shared" si="235"/>
        <v>outMayBeban</v>
      </c>
      <c r="R425" s="34" t="str">
        <f t="shared" si="206"/>
        <v>Beban</v>
      </c>
      <c r="S425" s="34" t="str">
        <f t="shared" si="207"/>
        <v>Kas</v>
      </c>
      <c r="T425" s="34" t="str">
        <f t="shared" si="209"/>
        <v/>
      </c>
      <c r="U425" s="34" t="str">
        <f>IF(AND(L425=1,bp_kode=T425,T425&lt;&gt;""),COUNTIF($T$8:T425,T425),"")</f>
        <v/>
      </c>
      <c r="V425" s="34" t="str">
        <f t="shared" si="210"/>
        <v>db</v>
      </c>
      <c r="W425" s="34" t="str">
        <f t="shared" si="211"/>
        <v>db</v>
      </c>
      <c r="X425" s="34" t="str">
        <f>IF(B425="","",COUNTIF($C$8:C425,C425)&amp;C425)</f>
        <v>0</v>
      </c>
    </row>
    <row r="426" spans="2:24" ht="23.1" customHeight="1">
      <c r="B426" s="31">
        <v>44712</v>
      </c>
      <c r="C426" s="9"/>
      <c r="D426" s="9" t="s">
        <v>651</v>
      </c>
      <c r="E426" s="7"/>
      <c r="F426" s="7"/>
      <c r="G426" s="7"/>
      <c r="H426" s="7" t="s">
        <v>635</v>
      </c>
      <c r="I426" s="7" t="s">
        <v>582</v>
      </c>
      <c r="J426" s="39">
        <v>588000</v>
      </c>
      <c r="L426" s="16">
        <f t="shared" si="232"/>
        <v>1</v>
      </c>
      <c r="M426" s="16" t="str">
        <f t="shared" si="208"/>
        <v>May</v>
      </c>
      <c r="N426" s="16" t="str">
        <f t="shared" si="233"/>
        <v/>
      </c>
      <c r="O426" s="16" t="str">
        <f>IF(N426="","",COUNTIF($N$8:N426,N426))</f>
        <v/>
      </c>
      <c r="P426" s="34" t="str">
        <f t="shared" si="234"/>
        <v>outBeban</v>
      </c>
      <c r="Q426" s="34" t="str">
        <f t="shared" si="235"/>
        <v>outMayBeban</v>
      </c>
      <c r="R426" s="34" t="str">
        <f t="shared" si="206"/>
        <v>Beban</v>
      </c>
      <c r="S426" s="34" t="str">
        <f t="shared" si="207"/>
        <v>Kas</v>
      </c>
      <c r="T426" s="34" t="str">
        <f t="shared" si="209"/>
        <v/>
      </c>
      <c r="U426" s="34" t="str">
        <f>IF(AND(L426=1,bp_kode=T426,T426&lt;&gt;""),COUNTIF($T$8:T426,T426),"")</f>
        <v/>
      </c>
      <c r="V426" s="34" t="str">
        <f t="shared" si="210"/>
        <v>db</v>
      </c>
      <c r="W426" s="34" t="str">
        <f t="shared" si="211"/>
        <v>db</v>
      </c>
      <c r="X426" s="34" t="str">
        <f>IF(B426="","",COUNTIF($C$8:C426,C426)&amp;C426)</f>
        <v>0</v>
      </c>
    </row>
    <row r="427" spans="2:24" ht="23.1" customHeight="1">
      <c r="B427" s="31">
        <v>44712</v>
      </c>
      <c r="C427" s="9"/>
      <c r="D427" s="9" t="s">
        <v>652</v>
      </c>
      <c r="E427" s="7"/>
      <c r="F427" s="7"/>
      <c r="G427" s="7"/>
      <c r="H427" s="7" t="s">
        <v>636</v>
      </c>
      <c r="I427" s="7" t="s">
        <v>582</v>
      </c>
      <c r="J427" s="39">
        <v>3742400</v>
      </c>
      <c r="L427" s="16">
        <f t="shared" si="232"/>
        <v>1</v>
      </c>
      <c r="M427" s="16" t="str">
        <f t="shared" si="208"/>
        <v>May</v>
      </c>
      <c r="N427" s="16" t="str">
        <f t="shared" si="233"/>
        <v/>
      </c>
      <c r="O427" s="16" t="str">
        <f>IF(N427="","",COUNTIF($N$8:N427,N427))</f>
        <v/>
      </c>
      <c r="P427" s="34" t="str">
        <f t="shared" si="234"/>
        <v>outBeban</v>
      </c>
      <c r="Q427" s="34" t="str">
        <f t="shared" si="235"/>
        <v>outMayBeban</v>
      </c>
      <c r="R427" s="34" t="str">
        <f t="shared" si="206"/>
        <v>Beban</v>
      </c>
      <c r="S427" s="34" t="str">
        <f t="shared" si="207"/>
        <v>Kas</v>
      </c>
      <c r="T427" s="34" t="str">
        <f t="shared" si="209"/>
        <v/>
      </c>
      <c r="U427" s="34" t="str">
        <f>IF(AND(L427=1,bp_kode=T427,T427&lt;&gt;""),COUNTIF($T$8:T427,T427),"")</f>
        <v/>
      </c>
      <c r="V427" s="34" t="str">
        <f t="shared" si="210"/>
        <v>db</v>
      </c>
      <c r="W427" s="34" t="str">
        <f t="shared" si="211"/>
        <v>db</v>
      </c>
      <c r="X427" s="34" t="str">
        <f>IF(B427="","",COUNTIF($C$8:C427,C427)&amp;C427)</f>
        <v>0</v>
      </c>
    </row>
    <row r="428" spans="2:24" ht="23.1" customHeight="1">
      <c r="B428" s="31">
        <v>44712</v>
      </c>
      <c r="C428" s="9"/>
      <c r="D428" s="9" t="s">
        <v>653</v>
      </c>
      <c r="E428" s="7"/>
      <c r="F428" s="7"/>
      <c r="G428" s="7"/>
      <c r="H428" s="7" t="s">
        <v>637</v>
      </c>
      <c r="I428" s="7" t="s">
        <v>582</v>
      </c>
      <c r="J428" s="39">
        <v>4344960</v>
      </c>
      <c r="L428" s="16">
        <f t="shared" si="232"/>
        <v>1</v>
      </c>
      <c r="M428" s="16" t="str">
        <f t="shared" si="208"/>
        <v>May</v>
      </c>
      <c r="N428" s="16" t="str">
        <f t="shared" si="233"/>
        <v/>
      </c>
      <c r="O428" s="16" t="str">
        <f>IF(N428="","",COUNTIF($N$8:N428,N428))</f>
        <v/>
      </c>
      <c r="P428" s="34" t="str">
        <f t="shared" si="234"/>
        <v>outBeban</v>
      </c>
      <c r="Q428" s="34" t="str">
        <f t="shared" si="235"/>
        <v>outMayBeban</v>
      </c>
      <c r="R428" s="34" t="str">
        <f t="shared" si="206"/>
        <v>Beban</v>
      </c>
      <c r="S428" s="34" t="str">
        <f t="shared" si="207"/>
        <v>Kas</v>
      </c>
      <c r="T428" s="34" t="str">
        <f t="shared" si="209"/>
        <v/>
      </c>
      <c r="U428" s="34" t="str">
        <f>IF(AND(L428=1,bp_kode=T428,T428&lt;&gt;""),COUNTIF($T$8:T428,T428),"")</f>
        <v/>
      </c>
      <c r="V428" s="34" t="str">
        <f t="shared" si="210"/>
        <v>db</v>
      </c>
      <c r="W428" s="34" t="str">
        <f t="shared" si="211"/>
        <v>db</v>
      </c>
      <c r="X428" s="34" t="str">
        <f>IF(B428="","",COUNTIF($C$8:C428,C428)&amp;C428)</f>
        <v>0</v>
      </c>
    </row>
    <row r="429" spans="2:24" ht="23.1" customHeight="1">
      <c r="B429" s="31">
        <v>44712</v>
      </c>
      <c r="C429" s="9"/>
      <c r="D429" s="9" t="s">
        <v>655</v>
      </c>
      <c r="E429" s="7"/>
      <c r="F429" s="7"/>
      <c r="G429" s="7"/>
      <c r="H429" s="7" t="s">
        <v>639</v>
      </c>
      <c r="I429" s="7" t="s">
        <v>582</v>
      </c>
      <c r="J429" s="39">
        <v>21604800</v>
      </c>
      <c r="L429" s="16">
        <f t="shared" si="232"/>
        <v>1</v>
      </c>
      <c r="M429" s="16" t="str">
        <f t="shared" si="208"/>
        <v>May</v>
      </c>
      <c r="N429" s="16" t="str">
        <f t="shared" si="233"/>
        <v/>
      </c>
      <c r="O429" s="16" t="str">
        <f>IF(N429="","",COUNTIF($N$8:N429,N429))</f>
        <v/>
      </c>
      <c r="P429" s="34" t="str">
        <f t="shared" si="234"/>
        <v>outBeban</v>
      </c>
      <c r="Q429" s="34" t="str">
        <f t="shared" si="235"/>
        <v>outMayBeban</v>
      </c>
      <c r="R429" s="34" t="str">
        <f t="shared" si="206"/>
        <v>Beban</v>
      </c>
      <c r="S429" s="34" t="str">
        <f t="shared" si="207"/>
        <v>Kas</v>
      </c>
      <c r="T429" s="34" t="str">
        <f t="shared" si="209"/>
        <v/>
      </c>
      <c r="U429" s="34" t="str">
        <f>IF(AND(L429=1,bp_kode=T429,T429&lt;&gt;""),COUNTIF($T$8:T429,T429),"")</f>
        <v/>
      </c>
      <c r="V429" s="34" t="str">
        <f t="shared" si="210"/>
        <v>db</v>
      </c>
      <c r="W429" s="34" t="str">
        <f t="shared" si="211"/>
        <v>db</v>
      </c>
      <c r="X429" s="34" t="str">
        <f>IF(B429="","",COUNTIF($C$8:C429,C429)&amp;C429)</f>
        <v>0</v>
      </c>
    </row>
    <row r="430" spans="2:24" ht="23.1" customHeight="1">
      <c r="B430" s="31">
        <v>44712</v>
      </c>
      <c r="C430" s="9"/>
      <c r="D430" s="9" t="s">
        <v>663</v>
      </c>
      <c r="E430" s="7"/>
      <c r="F430" s="7"/>
      <c r="G430" s="7"/>
      <c r="H430" s="7" t="s">
        <v>658</v>
      </c>
      <c r="I430" s="7" t="s">
        <v>671</v>
      </c>
      <c r="J430" s="39">
        <v>2806459</v>
      </c>
      <c r="L430" s="16">
        <f t="shared" si="232"/>
        <v>1</v>
      </c>
      <c r="M430" s="16" t="str">
        <f t="shared" si="208"/>
        <v>May</v>
      </c>
      <c r="N430" s="16" t="str">
        <f t="shared" si="233"/>
        <v/>
      </c>
      <c r="O430" s="16" t="str">
        <f>IF(N430="","",COUNTIF($N$8:N430,N430))</f>
        <v/>
      </c>
      <c r="P430" s="34" t="str">
        <f t="shared" si="234"/>
        <v/>
      </c>
      <c r="Q430" s="34" t="str">
        <f t="shared" si="235"/>
        <v/>
      </c>
      <c r="R430" s="34" t="str">
        <f t="shared" si="206"/>
        <v>Beban</v>
      </c>
      <c r="S430" s="34" t="str">
        <f t="shared" si="207"/>
        <v>Depresiasi &amp; Amortisasi</v>
      </c>
      <c r="T430" s="34" t="str">
        <f t="shared" si="209"/>
        <v/>
      </c>
      <c r="U430" s="34" t="str">
        <f>IF(AND(L430=1,bp_kode=T430,T430&lt;&gt;""),COUNTIF($T$8:T430,T430),"")</f>
        <v/>
      </c>
      <c r="V430" s="34" t="str">
        <f t="shared" si="210"/>
        <v>db</v>
      </c>
      <c r="W430" s="34" t="str">
        <f t="shared" si="211"/>
        <v>db</v>
      </c>
      <c r="X430" s="34" t="str">
        <f>IF(B430="","",COUNTIF($C$8:C430,C430)&amp;C430)</f>
        <v>0</v>
      </c>
    </row>
    <row r="431" spans="2:24" ht="23.1" customHeight="1">
      <c r="B431" s="31">
        <v>44712</v>
      </c>
      <c r="C431" s="9"/>
      <c r="D431" s="9" t="s">
        <v>664</v>
      </c>
      <c r="E431" s="7"/>
      <c r="F431" s="7"/>
      <c r="G431" s="7"/>
      <c r="H431" s="7" t="s">
        <v>660</v>
      </c>
      <c r="I431" s="7" t="s">
        <v>659</v>
      </c>
      <c r="J431" s="39">
        <v>29031950</v>
      </c>
      <c r="L431" s="16">
        <f t="shared" si="232"/>
        <v>1</v>
      </c>
      <c r="M431" s="16" t="str">
        <f t="shared" si="208"/>
        <v>May</v>
      </c>
      <c r="N431" s="16" t="str">
        <f t="shared" si="233"/>
        <v/>
      </c>
      <c r="O431" s="16" t="str">
        <f>IF(N431="","",COUNTIF($N$8:N431,N431))</f>
        <v/>
      </c>
      <c r="P431" s="34" t="str">
        <f t="shared" si="234"/>
        <v/>
      </c>
      <c r="Q431" s="34" t="str">
        <f t="shared" si="235"/>
        <v/>
      </c>
      <c r="R431" s="34" t="str">
        <f t="shared" si="206"/>
        <v>Beban</v>
      </c>
      <c r="S431" s="34" t="str">
        <f t="shared" si="207"/>
        <v>Depresiasi &amp; Amortisasi</v>
      </c>
      <c r="T431" s="34" t="str">
        <f t="shared" si="209"/>
        <v/>
      </c>
      <c r="U431" s="34" t="str">
        <f>IF(AND(L431=1,bp_kode=T431,T431&lt;&gt;""),COUNTIF($T$8:T431,T431),"")</f>
        <v/>
      </c>
      <c r="V431" s="34" t="str">
        <f t="shared" si="210"/>
        <v>db</v>
      </c>
      <c r="W431" s="34" t="str">
        <f t="shared" si="211"/>
        <v>db</v>
      </c>
      <c r="X431" s="34" t="str">
        <f>IF(B431="","",COUNTIF($C$8:C431,C431)&amp;C431)</f>
        <v>0</v>
      </c>
    </row>
    <row r="432" spans="2:24" ht="23.1" customHeight="1">
      <c r="B432" s="31">
        <v>44712</v>
      </c>
      <c r="C432" s="9"/>
      <c r="D432" s="9" t="s">
        <v>665</v>
      </c>
      <c r="E432" s="7"/>
      <c r="F432" s="7"/>
      <c r="G432" s="7"/>
      <c r="H432" s="7" t="s">
        <v>661</v>
      </c>
      <c r="I432" s="7" t="s">
        <v>672</v>
      </c>
      <c r="J432" s="39">
        <v>41666</v>
      </c>
      <c r="L432" s="16">
        <f t="shared" si="232"/>
        <v>1</v>
      </c>
      <c r="M432" s="16" t="str">
        <f t="shared" si="208"/>
        <v>May</v>
      </c>
      <c r="N432" s="16" t="str">
        <f t="shared" si="233"/>
        <v/>
      </c>
      <c r="O432" s="16" t="str">
        <f>IF(N432="","",COUNTIF($N$8:N432,N432))</f>
        <v/>
      </c>
      <c r="P432" s="34" t="str">
        <f t="shared" si="234"/>
        <v/>
      </c>
      <c r="Q432" s="34" t="str">
        <f t="shared" si="235"/>
        <v/>
      </c>
      <c r="R432" s="34" t="str">
        <f t="shared" si="206"/>
        <v>Beban</v>
      </c>
      <c r="S432" s="34" t="str">
        <f t="shared" si="207"/>
        <v>Depresiasi &amp; Amortisasi</v>
      </c>
      <c r="T432" s="34" t="str">
        <f t="shared" si="209"/>
        <v/>
      </c>
      <c r="U432" s="34" t="str">
        <f>IF(AND(L432=1,bp_kode=T432,T432&lt;&gt;""),COUNTIF($T$8:T432,T432),"")</f>
        <v/>
      </c>
      <c r="V432" s="34" t="str">
        <f t="shared" si="210"/>
        <v>db</v>
      </c>
      <c r="W432" s="34" t="str">
        <f t="shared" si="211"/>
        <v>db</v>
      </c>
      <c r="X432" s="34" t="str">
        <f>IF(B432="","",COUNTIF($C$8:C432,C432)&amp;C432)</f>
        <v>0</v>
      </c>
    </row>
    <row r="433" spans="2:24" ht="23.1" customHeight="1">
      <c r="B433" s="31">
        <v>44712</v>
      </c>
      <c r="C433" s="9"/>
      <c r="D433" s="9" t="s">
        <v>666</v>
      </c>
      <c r="E433" s="7"/>
      <c r="F433" s="7"/>
      <c r="G433" s="7"/>
      <c r="H433" s="7" t="s">
        <v>662</v>
      </c>
      <c r="I433" s="7" t="s">
        <v>673</v>
      </c>
      <c r="J433" s="39">
        <v>5654493</v>
      </c>
      <c r="L433" s="16">
        <f t="shared" si="232"/>
        <v>1</v>
      </c>
      <c r="M433" s="16" t="str">
        <f t="shared" si="208"/>
        <v>May</v>
      </c>
      <c r="N433" s="16" t="str">
        <f t="shared" si="233"/>
        <v/>
      </c>
      <c r="O433" s="16" t="str">
        <f>IF(N433="","",COUNTIF($N$8:N433,N433))</f>
        <v/>
      </c>
      <c r="P433" s="34" t="str">
        <f t="shared" si="234"/>
        <v/>
      </c>
      <c r="Q433" s="34" t="str">
        <f t="shared" si="235"/>
        <v/>
      </c>
      <c r="R433" s="34" t="str">
        <f t="shared" si="206"/>
        <v>Beban</v>
      </c>
      <c r="S433" s="34" t="str">
        <f t="shared" si="207"/>
        <v>Depresiasi &amp; Amortisasi</v>
      </c>
      <c r="T433" s="34" t="str">
        <f t="shared" si="209"/>
        <v/>
      </c>
      <c r="U433" s="34" t="str">
        <f>IF(AND(L433=1,bp_kode=T433,T433&lt;&gt;""),COUNTIF($T$8:T433,T433),"")</f>
        <v/>
      </c>
      <c r="V433" s="34" t="str">
        <f t="shared" si="210"/>
        <v>db</v>
      </c>
      <c r="W433" s="34" t="str">
        <f t="shared" si="211"/>
        <v>db</v>
      </c>
      <c r="X433" s="34" t="str">
        <f>IF(B433="","",COUNTIF($C$8:C433,C433)&amp;C433)</f>
        <v>0</v>
      </c>
    </row>
    <row r="434" spans="2:24" ht="23.1" customHeight="1">
      <c r="B434" s="31">
        <v>44712</v>
      </c>
      <c r="C434" s="9"/>
      <c r="D434" s="9" t="s">
        <v>669</v>
      </c>
      <c r="E434" s="7"/>
      <c r="F434" s="7"/>
      <c r="G434" s="7"/>
      <c r="H434" s="7" t="s">
        <v>667</v>
      </c>
      <c r="I434" s="7" t="s">
        <v>674</v>
      </c>
      <c r="J434" s="39">
        <v>17325229</v>
      </c>
      <c r="L434" s="16">
        <f t="shared" si="232"/>
        <v>1</v>
      </c>
      <c r="M434" s="16" t="str">
        <f t="shared" si="208"/>
        <v>May</v>
      </c>
      <c r="N434" s="16" t="str">
        <f t="shared" si="233"/>
        <v/>
      </c>
      <c r="O434" s="16" t="str">
        <f>IF(N434="","",COUNTIF($N$8:N434,N434))</f>
        <v/>
      </c>
      <c r="P434" s="34" t="str">
        <f t="shared" si="234"/>
        <v/>
      </c>
      <c r="Q434" s="34" t="str">
        <f t="shared" si="235"/>
        <v/>
      </c>
      <c r="R434" s="34" t="str">
        <f t="shared" si="206"/>
        <v>Beban</v>
      </c>
      <c r="S434" s="34" t="str">
        <f t="shared" si="207"/>
        <v>Depresiasi &amp; Amortisasi</v>
      </c>
      <c r="T434" s="34" t="str">
        <f t="shared" si="209"/>
        <v/>
      </c>
      <c r="U434" s="34" t="str">
        <f>IF(AND(L434=1,bp_kode=T434,T434&lt;&gt;""),COUNTIF($T$8:T434,T434),"")</f>
        <v/>
      </c>
      <c r="V434" s="34" t="str">
        <f t="shared" si="210"/>
        <v>db</v>
      </c>
      <c r="W434" s="34" t="str">
        <f t="shared" si="211"/>
        <v>db</v>
      </c>
      <c r="X434" s="34" t="str">
        <f>IF(B434="","",COUNTIF($C$8:C434,C434)&amp;C434)</f>
        <v>0</v>
      </c>
    </row>
    <row r="435" spans="2:24" ht="23.1" customHeight="1">
      <c r="B435" s="31">
        <v>44712</v>
      </c>
      <c r="C435" s="9"/>
      <c r="D435" s="9" t="s">
        <v>670</v>
      </c>
      <c r="E435" s="7"/>
      <c r="F435" s="7"/>
      <c r="G435" s="7"/>
      <c r="H435" s="7" t="s">
        <v>668</v>
      </c>
      <c r="I435" s="7" t="s">
        <v>675</v>
      </c>
      <c r="J435" s="39">
        <v>5265000</v>
      </c>
      <c r="L435" s="16">
        <f t="shared" si="232"/>
        <v>1</v>
      </c>
      <c r="M435" s="16" t="str">
        <f t="shared" si="208"/>
        <v>May</v>
      </c>
      <c r="N435" s="16" t="str">
        <f t="shared" si="233"/>
        <v/>
      </c>
      <c r="O435" s="16" t="str">
        <f>IF(N435="","",COUNTIF($N$8:N435,N435))</f>
        <v/>
      </c>
      <c r="P435" s="34" t="str">
        <f t="shared" si="234"/>
        <v/>
      </c>
      <c r="Q435" s="34" t="str">
        <f t="shared" si="235"/>
        <v/>
      </c>
      <c r="R435" s="34" t="str">
        <f t="shared" si="206"/>
        <v>Beban</v>
      </c>
      <c r="S435" s="34" t="str">
        <f t="shared" si="207"/>
        <v>Depresiasi &amp; Amortisasi</v>
      </c>
      <c r="T435" s="34" t="str">
        <f t="shared" si="209"/>
        <v/>
      </c>
      <c r="U435" s="34" t="str">
        <f>IF(AND(L435=1,bp_kode=T435,T435&lt;&gt;""),COUNTIF($T$8:T435,T435),"")</f>
        <v/>
      </c>
      <c r="V435" s="34" t="str">
        <f t="shared" si="210"/>
        <v>db</v>
      </c>
      <c r="W435" s="34" t="str">
        <f t="shared" si="211"/>
        <v>db</v>
      </c>
      <c r="X435" s="34" t="str">
        <f>IF(B435="","",COUNTIF($C$8:C435,C435)&amp;C435)</f>
        <v>0</v>
      </c>
    </row>
    <row r="436" spans="2:24" ht="23.1" customHeight="1">
      <c r="B436" s="31">
        <v>44712</v>
      </c>
      <c r="C436" s="9"/>
      <c r="D436" s="9" t="s">
        <v>732</v>
      </c>
      <c r="E436" s="7"/>
      <c r="F436" s="7"/>
      <c r="G436" s="7"/>
      <c r="H436" s="7" t="s">
        <v>733</v>
      </c>
      <c r="I436" s="7" t="s">
        <v>582</v>
      </c>
      <c r="J436" s="143">
        <v>11200000</v>
      </c>
      <c r="L436" s="16">
        <f t="shared" si="232"/>
        <v>1</v>
      </c>
      <c r="M436" s="16" t="str">
        <f t="shared" si="208"/>
        <v>May</v>
      </c>
      <c r="N436" s="16" t="str">
        <f t="shared" si="233"/>
        <v/>
      </c>
      <c r="O436" s="16" t="str">
        <f>IF(N436="","",COUNTIF($N$8:N436,N436))</f>
        <v/>
      </c>
      <c r="P436" s="34" t="str">
        <f t="shared" si="234"/>
        <v>outAktiva Tetap</v>
      </c>
      <c r="Q436" s="34" t="str">
        <f t="shared" si="235"/>
        <v>outMayAktiva Tetap</v>
      </c>
      <c r="R436" s="34" t="str">
        <f t="shared" si="206"/>
        <v>Aktiva Tetap</v>
      </c>
      <c r="S436" s="34" t="str">
        <f t="shared" si="207"/>
        <v>Kas</v>
      </c>
      <c r="T436" s="34" t="str">
        <f t="shared" si="209"/>
        <v/>
      </c>
      <c r="U436" s="34" t="str">
        <f>IF(AND(L436=1,bp_kode=T436,T436&lt;&gt;""),COUNTIF($T$8:T436,T436),"")</f>
        <v/>
      </c>
      <c r="V436" s="34" t="str">
        <f t="shared" si="210"/>
        <v/>
      </c>
      <c r="W436" s="34" t="str">
        <f t="shared" si="211"/>
        <v/>
      </c>
      <c r="X436" s="34" t="str">
        <f>IF(B436="","",COUNTIF($C$8:C436,C436)&amp;C436)</f>
        <v>0</v>
      </c>
    </row>
    <row r="437" spans="2:24" ht="23.1" customHeight="1">
      <c r="B437" s="31">
        <v>44712</v>
      </c>
      <c r="C437" s="9"/>
      <c r="D437" s="9" t="s">
        <v>670</v>
      </c>
      <c r="E437" s="7"/>
      <c r="F437" s="7"/>
      <c r="G437" s="7"/>
      <c r="H437" s="7" t="s">
        <v>668</v>
      </c>
      <c r="I437" s="7" t="s">
        <v>675</v>
      </c>
      <c r="J437" s="143">
        <v>186666.66666666666</v>
      </c>
      <c r="L437" s="16">
        <f t="shared" si="232"/>
        <v>1</v>
      </c>
      <c r="M437" s="16" t="str">
        <f t="shared" si="208"/>
        <v>May</v>
      </c>
      <c r="N437" s="16" t="str">
        <f t="shared" si="233"/>
        <v/>
      </c>
      <c r="O437" s="16" t="str">
        <f>IF(N437="","",COUNTIF($N$8:N437,N437))</f>
        <v/>
      </c>
      <c r="P437" s="34" t="str">
        <f t="shared" si="234"/>
        <v/>
      </c>
      <c r="Q437" s="34" t="str">
        <f t="shared" si="235"/>
        <v/>
      </c>
      <c r="R437" s="34" t="str">
        <f t="shared" si="206"/>
        <v>Beban</v>
      </c>
      <c r="S437" s="34" t="str">
        <f t="shared" si="207"/>
        <v>Depresiasi &amp; Amortisasi</v>
      </c>
      <c r="T437" s="34" t="str">
        <f t="shared" si="209"/>
        <v/>
      </c>
      <c r="U437" s="34" t="str">
        <f>IF(AND(L437=1,bp_kode=T437,T437&lt;&gt;""),COUNTIF($T$8:T437,T437),"")</f>
        <v/>
      </c>
      <c r="V437" s="34" t="str">
        <f t="shared" si="210"/>
        <v>db</v>
      </c>
      <c r="W437" s="34" t="str">
        <f t="shared" si="211"/>
        <v>db</v>
      </c>
      <c r="X437" s="34" t="str">
        <f>IF(B437="","",COUNTIF($C$8:C437,C437)&amp;C437)</f>
        <v>0</v>
      </c>
    </row>
    <row r="438" spans="2:24" ht="23.1" customHeight="1">
      <c r="B438" s="31">
        <v>44712</v>
      </c>
      <c r="C438" s="9"/>
      <c r="D438" s="9" t="s">
        <v>666</v>
      </c>
      <c r="E438" s="7"/>
      <c r="F438" s="7"/>
      <c r="G438" s="7"/>
      <c r="H438" s="7" t="s">
        <v>662</v>
      </c>
      <c r="I438" s="7" t="s">
        <v>673</v>
      </c>
      <c r="J438" s="143">
        <v>40833.33</v>
      </c>
      <c r="L438" s="16">
        <f t="shared" si="232"/>
        <v>1</v>
      </c>
      <c r="M438" s="16" t="str">
        <f t="shared" si="208"/>
        <v>May</v>
      </c>
      <c r="N438" s="16" t="str">
        <f t="shared" si="233"/>
        <v/>
      </c>
      <c r="O438" s="16" t="str">
        <f>IF(N438="","",COUNTIF($N$8:N438,N438))</f>
        <v/>
      </c>
      <c r="P438" s="34" t="str">
        <f t="shared" si="234"/>
        <v/>
      </c>
      <c r="Q438" s="34" t="str">
        <f t="shared" si="235"/>
        <v/>
      </c>
      <c r="R438" s="34" t="str">
        <f t="shared" si="206"/>
        <v>Beban</v>
      </c>
      <c r="S438" s="34" t="str">
        <f t="shared" si="207"/>
        <v>Depresiasi &amp; Amortisasi</v>
      </c>
      <c r="T438" s="34" t="str">
        <f t="shared" si="209"/>
        <v/>
      </c>
      <c r="U438" s="34" t="str">
        <f>IF(AND(L438=1,bp_kode=T438,T438&lt;&gt;""),COUNTIF($T$8:T438,T438),"")</f>
        <v/>
      </c>
      <c r="V438" s="34" t="str">
        <f t="shared" si="210"/>
        <v>db</v>
      </c>
      <c r="W438" s="34" t="str">
        <f t="shared" si="211"/>
        <v>db</v>
      </c>
      <c r="X438" s="34" t="str">
        <f>IF(B438="","",COUNTIF($C$8:C438,C438)&amp;C438)</f>
        <v>0</v>
      </c>
    </row>
    <row r="439" spans="2:24" s="335" customFormat="1" ht="23.1" customHeight="1">
      <c r="B439" s="336">
        <v>44712</v>
      </c>
      <c r="C439" s="337"/>
      <c r="D439" s="337" t="s">
        <v>742</v>
      </c>
      <c r="E439" s="338"/>
      <c r="F439" s="338"/>
      <c r="G439" s="338"/>
      <c r="H439" s="338" t="s">
        <v>640</v>
      </c>
      <c r="I439" s="338" t="s">
        <v>582</v>
      </c>
      <c r="J439" s="339">
        <v>105000</v>
      </c>
      <c r="L439" s="340">
        <f t="shared" ref="L439:L533" si="236">IF(AND(B439&gt;=awal,B439&lt;=akhir,B439&lt;&gt;""),1,IF(AND(B439&lt;&gt;"",B439&lt;awal),2,""))</f>
        <v>1</v>
      </c>
      <c r="M439" s="340" t="str">
        <f t="shared" ref="M439:M533" si="237">IF(B439="","",TEXT(B439,"mmmm"))</f>
        <v>May</v>
      </c>
      <c r="N439" s="340" t="str">
        <f t="shared" ref="N439:N533" si="238">IF(AND(L439=1,H439=bb_akun),"Awe",IF(AND(L439=1,I439=bb_akun),"Awe",""))</f>
        <v/>
      </c>
      <c r="O439" s="340" t="str">
        <f>IF(N439="","",COUNTIF($N$8:N439,N439))</f>
        <v/>
      </c>
      <c r="P439" s="341" t="str">
        <f t="shared" ref="P439:P533" si="239">IFERROR(IF(OR(INDEX(akun_type,MATCH(H439,akun_kb,0))="Kas",INDEX(akun_type,MATCH(H439,akun_kb,0))="Bank"),"In"&amp;INDEX(akun_type,MATCH(I439,akun_kb,0)),IF(OR(INDEX(akun_type,MATCH(I439,akun_kb,0))="Kas",INDEX(akun_type,MATCH(I439,akun_kb,0))="Bank"),"out"&amp;INDEX(akun_type,MATCH(H439,akun_kb,0)),"")),"")</f>
        <v>outBeban Lainnya</v>
      </c>
      <c r="Q439" s="341" t="str">
        <f t="shared" ref="Q439:Q533" si="240">IFERROR(IF(OR(INDEX(akun_type,MATCH(H439,akun_kb,0))="Kas",INDEX(akun_type,MATCH(H439,akun_kb,0))="Bank"),"in"&amp;TEXT(B439,"mmmm")&amp;INDEX(akun_type,MATCH(I439,akun_kb,0)),IF(OR(INDEX(akun_type,MATCH(I439,akun_kb,0))="Kas",INDEX(akun_type,MATCH(I439,akun_kb,0))="Bank"),"out"&amp;TEXT(B439,"mmmm")&amp;INDEX(akun_type,MATCH(H439,akun_kb,0)),"")),"")</f>
        <v>outMayBeban Lainnya</v>
      </c>
      <c r="R439" s="341" t="str">
        <f t="shared" ref="R439:R533" si="241">IFERROR(INDEX(akun_type,MATCH(H439,akun_kb,0)),"")</f>
        <v>Beban Lainnya</v>
      </c>
      <c r="S439" s="341" t="str">
        <f t="shared" ref="S439:S533" si="242">IFERROR(INDEX(akun_type,MATCH(I439,akun_kb,0)),"")</f>
        <v>Kas</v>
      </c>
      <c r="T439" s="341" t="str">
        <f t="shared" ref="T439:T533" si="243">IF(AND(L439=1,OR(R439="Akun Piutang",R439="akun hutang",S439="akun piutang",S439="akun hutang")),E439,"")</f>
        <v/>
      </c>
      <c r="U439" s="341" t="str">
        <f>IF(AND(L439=1,bp_kode=T439,T439&lt;&gt;""),COUNTIF($T$8:T439,T439),"")</f>
        <v/>
      </c>
      <c r="V439" s="341" t="str">
        <f t="shared" ref="V439:V533" si="244">IF(OR(R439="Pendapatan",R439="Pendapatan Lainnya",R439="Beban",R439="Harga Pokok Penjualan",R439="Beban Lainnya"),"db"&amp;F439,IF(OR(S439="Pendapatan",S439="Pendapatan Lainnya",S439="Beban",S439="Harga Pokok Penjualan",S439="Beban Lainnya"),"kr"&amp;F439,""))</f>
        <v>db</v>
      </c>
      <c r="W439" s="341" t="str">
        <f t="shared" ref="W439:W533" si="245">IF(OR(R439="Pendapatan",R439="Pendapatan Lainnya",R439="Beban",R439="Harga Pokok Penjualan",R439="Beban Lainnya"),"db"&amp;G439,IF(OR(S439="Pendapatan",S439="Pendapatan Lainnya",S439="Beban",S439="Harga Pokok Penjualan",S439="Beban Lainnya"),"kr"&amp;G439,""))</f>
        <v>db</v>
      </c>
      <c r="X439" s="341" t="str">
        <f>IF(B439="","",COUNTIF($C$8:C439,C439)&amp;C439)</f>
        <v>0</v>
      </c>
    </row>
    <row r="440" spans="2:24" s="349" customFormat="1" ht="23.1" customHeight="1">
      <c r="B440" s="336">
        <v>44712</v>
      </c>
      <c r="C440" s="351"/>
      <c r="D440" s="351" t="s">
        <v>666</v>
      </c>
      <c r="E440" s="352"/>
      <c r="F440" s="352"/>
      <c r="G440" s="352"/>
      <c r="H440" s="352" t="s">
        <v>662</v>
      </c>
      <c r="I440" s="352" t="s">
        <v>673</v>
      </c>
      <c r="J440" s="353">
        <v>15833.333333333334</v>
      </c>
      <c r="L440" s="354">
        <f t="shared" si="236"/>
        <v>1</v>
      </c>
      <c r="M440" s="354" t="str">
        <f t="shared" si="237"/>
        <v>May</v>
      </c>
      <c r="N440" s="354" t="str">
        <f t="shared" si="238"/>
        <v/>
      </c>
      <c r="O440" s="354" t="str">
        <f>IF(N440="","",COUNTIF($N$8:N440,N440))</f>
        <v/>
      </c>
      <c r="P440" s="355" t="str">
        <f t="shared" si="239"/>
        <v/>
      </c>
      <c r="Q440" s="355" t="str">
        <f t="shared" si="240"/>
        <v/>
      </c>
      <c r="R440" s="355" t="str">
        <f t="shared" si="241"/>
        <v>Beban</v>
      </c>
      <c r="S440" s="355" t="str">
        <f t="shared" si="242"/>
        <v>Depresiasi &amp; Amortisasi</v>
      </c>
      <c r="T440" s="355" t="str">
        <f t="shared" si="243"/>
        <v/>
      </c>
      <c r="U440" s="355" t="str">
        <f>IF(AND(L440=1,bp_kode=T440,T440&lt;&gt;""),COUNTIF($T$8:T440,T440),"")</f>
        <v/>
      </c>
      <c r="V440" s="355" t="str">
        <f t="shared" si="244"/>
        <v>db</v>
      </c>
      <c r="W440" s="355" t="str">
        <f t="shared" si="245"/>
        <v>db</v>
      </c>
      <c r="X440" s="355" t="str">
        <f>IF(B440="","",COUNTIF($C$8:C440,C440)&amp;C440)</f>
        <v>0</v>
      </c>
    </row>
    <row r="441" spans="2:24" ht="23.1" customHeight="1">
      <c r="B441" s="31">
        <v>44742</v>
      </c>
      <c r="C441" s="9"/>
      <c r="D441" s="9" t="s">
        <v>550</v>
      </c>
      <c r="E441" s="7"/>
      <c r="F441" s="7"/>
      <c r="G441" s="7"/>
      <c r="H441" s="7" t="s">
        <v>551</v>
      </c>
      <c r="I441" s="7" t="s">
        <v>503</v>
      </c>
      <c r="J441" s="39">
        <v>688508100</v>
      </c>
      <c r="L441" s="16">
        <f t="shared" ref="L441:L522" si="246">IF(AND(B441&gt;=awal,B441&lt;=akhir,B441&lt;&gt;""),1,IF(AND(B441&lt;&gt;"",B441&lt;awal),2,""))</f>
        <v>1</v>
      </c>
      <c r="M441" s="16" t="str">
        <f t="shared" ref="M441:M522" si="247">IF(B441="","",TEXT(B441,"mmmm"))</f>
        <v>June</v>
      </c>
      <c r="N441" s="16" t="str">
        <f t="shared" ref="N441:N522" si="248">IF(AND(L441=1,H441=bb_akun),"Awe",IF(AND(L441=1,I441=bb_akun),"Awe",""))</f>
        <v/>
      </c>
      <c r="O441" s="16" t="str">
        <f>IF(N441="","",COUNTIF($N$8:N441,N441))</f>
        <v/>
      </c>
      <c r="P441" s="34" t="str">
        <f t="shared" ref="P441:P522" si="249">IFERROR(IF(OR(INDEX(akun_type,MATCH(H441,akun_kb,0))="Kas",INDEX(akun_type,MATCH(H441,akun_kb,0))="Bank"),"In"&amp;INDEX(akun_type,MATCH(I441,akun_kb,0)),IF(OR(INDEX(akun_type,MATCH(I441,akun_kb,0))="Kas",INDEX(akun_type,MATCH(I441,akun_kb,0))="Bank"),"out"&amp;INDEX(akun_type,MATCH(H441,akun_kb,0)),"")),"")</f>
        <v/>
      </c>
      <c r="Q441" s="34" t="str">
        <f t="shared" ref="Q441:Q522" si="250">IFERROR(IF(OR(INDEX(akun_type,MATCH(H441,akun_kb,0))="Kas",INDEX(akun_type,MATCH(H441,akun_kb,0))="Bank"),"in"&amp;TEXT(B441,"mmmm")&amp;INDEX(akun_type,MATCH(I441,akun_kb,0)),IF(OR(INDEX(akun_type,MATCH(I441,akun_kb,0))="Kas",INDEX(akun_type,MATCH(I441,akun_kb,0))="Bank"),"out"&amp;TEXT(B441,"mmmm")&amp;INDEX(akun_type,MATCH(H441,akun_kb,0)),"")),"")</f>
        <v/>
      </c>
      <c r="R441" s="34" t="str">
        <f t="shared" ref="R441:R522" si="251">IFERROR(INDEX(akun_type,MATCH(H441,akun_kb,0)),"")</f>
        <v>Akun Piutang</v>
      </c>
      <c r="S441" s="34" t="str">
        <f t="shared" ref="S441:S522" si="252">IFERROR(INDEX(akun_type,MATCH(I441,akun_kb,0)),"")</f>
        <v>Pendapatan</v>
      </c>
      <c r="T441" s="34">
        <f t="shared" ref="T441:T522" si="253">IF(AND(L441=1,OR(R441="Akun Piutang",R441="akun hutang",S441="akun piutang",S441="akun hutang")),E441,"")</f>
        <v>0</v>
      </c>
      <c r="U441" s="34" t="str">
        <f>IF(AND(L441=1,bp_kode=T441,T441&lt;&gt;""),COUNTIF($T$8:T441,T441),"")</f>
        <v/>
      </c>
      <c r="V441" s="34" t="str">
        <f t="shared" ref="V441:V522" si="254">IF(OR(R441="Pendapatan",R441="Pendapatan Lainnya",R441="Beban",R441="Harga Pokok Penjualan",R441="Beban Lainnya"),"db"&amp;F441,IF(OR(S441="Pendapatan",S441="Pendapatan Lainnya",S441="Beban",S441="Harga Pokok Penjualan",S441="Beban Lainnya"),"kr"&amp;F441,""))</f>
        <v>kr</v>
      </c>
      <c r="W441" s="34" t="str">
        <f t="shared" ref="W441:W522" si="255">IF(OR(R441="Pendapatan",R441="Pendapatan Lainnya",R441="Beban",R441="Harga Pokok Penjualan",R441="Beban Lainnya"),"db"&amp;G441,IF(OR(S441="Pendapatan",S441="Pendapatan Lainnya",S441="Beban",S441="Harga Pokok Penjualan",S441="Beban Lainnya"),"kr"&amp;G441,""))</f>
        <v>kr</v>
      </c>
      <c r="X441" s="34" t="str">
        <f>IF(B441="","",COUNTIF($C$8:C441,C441)&amp;C441)</f>
        <v>0</v>
      </c>
    </row>
    <row r="442" spans="2:24" ht="23.1" customHeight="1">
      <c r="B442" s="31">
        <v>44742</v>
      </c>
      <c r="C442" s="9"/>
      <c r="D442" s="9" t="s">
        <v>552</v>
      </c>
      <c r="E442" s="7"/>
      <c r="F442" s="7"/>
      <c r="G442" s="7"/>
      <c r="H442" s="7" t="s">
        <v>587</v>
      </c>
      <c r="I442" s="7" t="s">
        <v>553</v>
      </c>
      <c r="J442" s="39">
        <v>3741000</v>
      </c>
      <c r="L442" s="16">
        <f t="shared" si="246"/>
        <v>1</v>
      </c>
      <c r="M442" s="16" t="str">
        <f t="shared" si="247"/>
        <v>June</v>
      </c>
      <c r="N442" s="16" t="str">
        <f t="shared" si="248"/>
        <v/>
      </c>
      <c r="O442" s="16" t="str">
        <f>IF(N442="","",COUNTIF($N$8:N442,N442))</f>
        <v/>
      </c>
      <c r="P442" s="34" t="str">
        <f t="shared" si="249"/>
        <v/>
      </c>
      <c r="Q442" s="34" t="str">
        <f t="shared" si="250"/>
        <v/>
      </c>
      <c r="R442" s="34" t="str">
        <f t="shared" si="251"/>
        <v>Akun Piutang</v>
      </c>
      <c r="S442" s="34" t="str">
        <f t="shared" si="252"/>
        <v>Pendapatan</v>
      </c>
      <c r="T442" s="34">
        <f t="shared" si="253"/>
        <v>0</v>
      </c>
      <c r="U442" s="34" t="str">
        <f>IF(AND(L442=1,bp_kode=T442,T442&lt;&gt;""),COUNTIF($T$8:T442,T442),"")</f>
        <v/>
      </c>
      <c r="V442" s="34" t="str">
        <f t="shared" si="254"/>
        <v>kr</v>
      </c>
      <c r="W442" s="34" t="str">
        <f t="shared" si="255"/>
        <v>kr</v>
      </c>
      <c r="X442" s="34" t="str">
        <f>IF(B442="","",COUNTIF($C$8:C442,C442)&amp;C442)</f>
        <v>0</v>
      </c>
    </row>
    <row r="443" spans="2:24" ht="23.1" customHeight="1">
      <c r="B443" s="31">
        <v>44742</v>
      </c>
      <c r="C443" s="9"/>
      <c r="D443" s="9" t="s">
        <v>555</v>
      </c>
      <c r="E443" s="7"/>
      <c r="F443" s="7"/>
      <c r="G443" s="7"/>
      <c r="H443" s="7" t="s">
        <v>557</v>
      </c>
      <c r="I443" s="7" t="s">
        <v>556</v>
      </c>
      <c r="J443" s="39">
        <v>221550000</v>
      </c>
      <c r="L443" s="16">
        <f t="shared" si="246"/>
        <v>1</v>
      </c>
      <c r="M443" s="16" t="str">
        <f t="shared" si="247"/>
        <v>June</v>
      </c>
      <c r="N443" s="16" t="str">
        <f t="shared" si="248"/>
        <v/>
      </c>
      <c r="O443" s="16" t="str">
        <f>IF(N443="","",COUNTIF($N$8:N443,N443))</f>
        <v/>
      </c>
      <c r="P443" s="34" t="str">
        <f t="shared" si="249"/>
        <v/>
      </c>
      <c r="Q443" s="34" t="str">
        <f t="shared" si="250"/>
        <v/>
      </c>
      <c r="R443" s="34" t="str">
        <f t="shared" si="251"/>
        <v>Akun Piutang</v>
      </c>
      <c r="S443" s="34" t="str">
        <f t="shared" si="252"/>
        <v>Pendapatan</v>
      </c>
      <c r="T443" s="34">
        <f t="shared" si="253"/>
        <v>0</v>
      </c>
      <c r="U443" s="34" t="str">
        <f>IF(AND(L443=1,bp_kode=T443,T443&lt;&gt;""),COUNTIF($T$8:T443,T443),"")</f>
        <v/>
      </c>
      <c r="V443" s="34" t="str">
        <f t="shared" si="254"/>
        <v>kr</v>
      </c>
      <c r="W443" s="34" t="str">
        <f t="shared" si="255"/>
        <v>kr</v>
      </c>
      <c r="X443" s="34" t="str">
        <f>IF(B443="","",COUNTIF($C$8:C443,C443)&amp;C443)</f>
        <v>0</v>
      </c>
    </row>
    <row r="444" spans="2:24" ht="23.1" customHeight="1">
      <c r="B444" s="31">
        <v>44742</v>
      </c>
      <c r="C444" s="9"/>
      <c r="D444" s="9" t="s">
        <v>558</v>
      </c>
      <c r="E444" s="7"/>
      <c r="F444" s="7"/>
      <c r="G444" s="7"/>
      <c r="H444" s="7" t="s">
        <v>559</v>
      </c>
      <c r="I444" s="7" t="s">
        <v>560</v>
      </c>
      <c r="J444" s="39">
        <v>409247000</v>
      </c>
      <c r="L444" s="16">
        <f t="shared" si="246"/>
        <v>1</v>
      </c>
      <c r="M444" s="16" t="str">
        <f t="shared" si="247"/>
        <v>June</v>
      </c>
      <c r="N444" s="16" t="str">
        <f t="shared" si="248"/>
        <v/>
      </c>
      <c r="O444" s="16" t="str">
        <f>IF(N444="","",COUNTIF($N$8:N444,N444))</f>
        <v/>
      </c>
      <c r="P444" s="34" t="str">
        <f t="shared" si="249"/>
        <v/>
      </c>
      <c r="Q444" s="34" t="str">
        <f t="shared" si="250"/>
        <v/>
      </c>
      <c r="R444" s="34" t="str">
        <f t="shared" si="251"/>
        <v>Akun Piutang</v>
      </c>
      <c r="S444" s="34" t="str">
        <f t="shared" si="252"/>
        <v>Pendapatan</v>
      </c>
      <c r="T444" s="34">
        <f t="shared" si="253"/>
        <v>0</v>
      </c>
      <c r="U444" s="34" t="str">
        <f>IF(AND(L444=1,bp_kode=T444,T444&lt;&gt;""),COUNTIF($T$8:T444,T444),"")</f>
        <v/>
      </c>
      <c r="V444" s="34" t="str">
        <f t="shared" si="254"/>
        <v>kr</v>
      </c>
      <c r="W444" s="34" t="str">
        <f t="shared" si="255"/>
        <v>kr</v>
      </c>
      <c r="X444" s="34" t="str">
        <f>IF(B444="","",COUNTIF($C$8:C444,C444)&amp;C444)</f>
        <v>0</v>
      </c>
    </row>
    <row r="445" spans="2:24" ht="23.1" customHeight="1">
      <c r="B445" s="31">
        <v>44742</v>
      </c>
      <c r="C445" s="9"/>
      <c r="D445" s="9" t="s">
        <v>562</v>
      </c>
      <c r="E445" s="7"/>
      <c r="F445" s="7"/>
      <c r="G445" s="7"/>
      <c r="H445" s="7" t="s">
        <v>561</v>
      </c>
      <c r="I445" s="7" t="s">
        <v>504</v>
      </c>
      <c r="J445" s="39">
        <v>84470000</v>
      </c>
      <c r="L445" s="16">
        <f t="shared" si="246"/>
        <v>1</v>
      </c>
      <c r="M445" s="16" t="str">
        <f t="shared" si="247"/>
        <v>June</v>
      </c>
      <c r="N445" s="16" t="str">
        <f t="shared" si="248"/>
        <v/>
      </c>
      <c r="O445" s="16" t="str">
        <f>IF(N445="","",COUNTIF($N$8:N445,N445))</f>
        <v/>
      </c>
      <c r="P445" s="34" t="str">
        <f t="shared" si="249"/>
        <v/>
      </c>
      <c r="Q445" s="34" t="str">
        <f t="shared" si="250"/>
        <v/>
      </c>
      <c r="R445" s="34" t="str">
        <f t="shared" si="251"/>
        <v>Akun Piutang</v>
      </c>
      <c r="S445" s="34" t="str">
        <f t="shared" si="252"/>
        <v>Pendapatan</v>
      </c>
      <c r="T445" s="34">
        <f t="shared" si="253"/>
        <v>0</v>
      </c>
      <c r="U445" s="34" t="str">
        <f>IF(AND(L445=1,bp_kode=T445,T445&lt;&gt;""),COUNTIF($T$8:T445,T445),"")</f>
        <v/>
      </c>
      <c r="V445" s="34" t="str">
        <f t="shared" si="254"/>
        <v>kr</v>
      </c>
      <c r="W445" s="34" t="str">
        <f t="shared" si="255"/>
        <v>kr</v>
      </c>
      <c r="X445" s="34" t="str">
        <f>IF(B445="","",COUNTIF($C$8:C445,C445)&amp;C445)</f>
        <v>0</v>
      </c>
    </row>
    <row r="446" spans="2:24" ht="23.1" customHeight="1">
      <c r="B446" s="31">
        <v>44742</v>
      </c>
      <c r="C446" s="9"/>
      <c r="D446" s="9" t="s">
        <v>563</v>
      </c>
      <c r="E446" s="7"/>
      <c r="F446" s="7"/>
      <c r="G446" s="7"/>
      <c r="H446" s="7" t="s">
        <v>565</v>
      </c>
      <c r="I446" s="7" t="s">
        <v>551</v>
      </c>
      <c r="J446" s="39">
        <v>185594500</v>
      </c>
      <c r="L446" s="16">
        <f t="shared" si="246"/>
        <v>1</v>
      </c>
      <c r="M446" s="16" t="str">
        <f t="shared" si="247"/>
        <v>June</v>
      </c>
      <c r="N446" s="16" t="str">
        <f t="shared" si="248"/>
        <v/>
      </c>
      <c r="O446" s="16" t="str">
        <f>IF(N446="","",COUNTIF($N$8:N446,N446))</f>
        <v/>
      </c>
      <c r="P446" s="34" t="str">
        <f t="shared" si="249"/>
        <v/>
      </c>
      <c r="Q446" s="34" t="str">
        <f t="shared" si="250"/>
        <v/>
      </c>
      <c r="R446" s="34" t="str">
        <f t="shared" si="251"/>
        <v>Pendapatan</v>
      </c>
      <c r="S446" s="34" t="str">
        <f t="shared" si="252"/>
        <v>Akun Piutang</v>
      </c>
      <c r="T446" s="34">
        <f t="shared" si="253"/>
        <v>0</v>
      </c>
      <c r="U446" s="34" t="str">
        <f>IF(AND(L446=1,bp_kode=T446,T446&lt;&gt;""),COUNTIF($T$8:T446,T446),"")</f>
        <v/>
      </c>
      <c r="V446" s="34" t="str">
        <f t="shared" si="254"/>
        <v>db</v>
      </c>
      <c r="W446" s="34" t="str">
        <f t="shared" si="255"/>
        <v>db</v>
      </c>
      <c r="X446" s="34" t="str">
        <f>IF(B446="","",COUNTIF($C$8:C446,C446)&amp;C446)</f>
        <v>0</v>
      </c>
    </row>
    <row r="447" spans="2:24" ht="23.1" customHeight="1">
      <c r="B447" s="31">
        <v>44742</v>
      </c>
      <c r="C447" s="9"/>
      <c r="D447" s="9" t="s">
        <v>564</v>
      </c>
      <c r="E447" s="7"/>
      <c r="F447" s="7"/>
      <c r="G447" s="7"/>
      <c r="H447" s="7" t="s">
        <v>566</v>
      </c>
      <c r="I447" s="7" t="s">
        <v>559</v>
      </c>
      <c r="J447" s="39">
        <v>4671000</v>
      </c>
      <c r="L447" s="16">
        <f t="shared" si="246"/>
        <v>1</v>
      </c>
      <c r="M447" s="16" t="str">
        <f t="shared" si="247"/>
        <v>June</v>
      </c>
      <c r="N447" s="16" t="str">
        <f t="shared" si="248"/>
        <v/>
      </c>
      <c r="O447" s="16" t="str">
        <f>IF(N447="","",COUNTIF($N$8:N447,N447))</f>
        <v/>
      </c>
      <c r="P447" s="34" t="str">
        <f t="shared" si="249"/>
        <v/>
      </c>
      <c r="Q447" s="34" t="str">
        <f t="shared" si="250"/>
        <v/>
      </c>
      <c r="R447" s="34" t="str">
        <f t="shared" si="251"/>
        <v>Pendapatan</v>
      </c>
      <c r="S447" s="34" t="str">
        <f t="shared" si="252"/>
        <v>Akun Piutang</v>
      </c>
      <c r="T447" s="34">
        <f t="shared" si="253"/>
        <v>0</v>
      </c>
      <c r="U447" s="34" t="str">
        <f>IF(AND(L447=1,bp_kode=T447,T447&lt;&gt;""),COUNTIF($T$8:T447,T447),"")</f>
        <v/>
      </c>
      <c r="V447" s="34" t="str">
        <f t="shared" si="254"/>
        <v>db</v>
      </c>
      <c r="W447" s="34" t="str">
        <f t="shared" si="255"/>
        <v>db</v>
      </c>
      <c r="X447" s="34" t="str">
        <f>IF(B447="","",COUNTIF($C$8:C447,C447)&amp;C447)</f>
        <v>0</v>
      </c>
    </row>
    <row r="448" spans="2:24" ht="23.1" customHeight="1">
      <c r="B448" s="31">
        <v>44742</v>
      </c>
      <c r="C448" s="9"/>
      <c r="D448" s="9" t="s">
        <v>555</v>
      </c>
      <c r="E448" s="7"/>
      <c r="F448" s="7"/>
      <c r="G448" s="7"/>
      <c r="H448" s="7" t="s">
        <v>554</v>
      </c>
      <c r="I448" s="7" t="s">
        <v>557</v>
      </c>
      <c r="J448" s="39">
        <v>222600000</v>
      </c>
      <c r="L448" s="16">
        <f t="shared" si="246"/>
        <v>1</v>
      </c>
      <c r="M448" s="16" t="str">
        <f t="shared" si="247"/>
        <v>June</v>
      </c>
      <c r="N448" s="16" t="str">
        <f t="shared" si="248"/>
        <v/>
      </c>
      <c r="O448" s="16" t="str">
        <f>IF(N448="","",COUNTIF($N$8:N448,N448))</f>
        <v/>
      </c>
      <c r="P448" s="34" t="str">
        <f t="shared" si="249"/>
        <v>InAkun Piutang</v>
      </c>
      <c r="Q448" s="34" t="str">
        <f t="shared" si="250"/>
        <v>inJuneAkun Piutang</v>
      </c>
      <c r="R448" s="34" t="str">
        <f t="shared" si="251"/>
        <v>Kas</v>
      </c>
      <c r="S448" s="34" t="str">
        <f t="shared" si="252"/>
        <v>Akun Piutang</v>
      </c>
      <c r="T448" s="34">
        <f t="shared" si="253"/>
        <v>0</v>
      </c>
      <c r="U448" s="34" t="str">
        <f>IF(AND(L448=1,bp_kode=T448,T448&lt;&gt;""),COUNTIF($T$8:T448,T448),"")</f>
        <v/>
      </c>
      <c r="V448" s="34" t="str">
        <f t="shared" si="254"/>
        <v/>
      </c>
      <c r="W448" s="34" t="str">
        <f t="shared" si="255"/>
        <v/>
      </c>
      <c r="X448" s="34" t="str">
        <f>IF(B448="","",COUNTIF($C$8:C448,C448)&amp;C448)</f>
        <v>0</v>
      </c>
    </row>
    <row r="449" spans="2:24" ht="23.1" customHeight="1">
      <c r="B449" s="31">
        <v>44742</v>
      </c>
      <c r="C449" s="9"/>
      <c r="D449" s="9" t="s">
        <v>730</v>
      </c>
      <c r="E449" s="7"/>
      <c r="F449" s="7"/>
      <c r="G449" s="7"/>
      <c r="H449" s="7" t="s">
        <v>568</v>
      </c>
      <c r="I449" s="7" t="s">
        <v>569</v>
      </c>
      <c r="J449" s="39">
        <v>299144</v>
      </c>
      <c r="L449" s="16">
        <f t="shared" si="246"/>
        <v>1</v>
      </c>
      <c r="M449" s="16" t="str">
        <f t="shared" si="247"/>
        <v>June</v>
      </c>
      <c r="N449" s="16" t="str">
        <f t="shared" si="248"/>
        <v/>
      </c>
      <c r="O449" s="16" t="str">
        <f>IF(N449="","",COUNTIF($N$8:N449,N449))</f>
        <v/>
      </c>
      <c r="P449" s="34" t="str">
        <f t="shared" si="249"/>
        <v>InPendapatan Lainnya</v>
      </c>
      <c r="Q449" s="34" t="str">
        <f t="shared" si="250"/>
        <v>inJunePendapatan Lainnya</v>
      </c>
      <c r="R449" s="34" t="str">
        <f t="shared" si="251"/>
        <v>Bank</v>
      </c>
      <c r="S449" s="34" t="str">
        <f t="shared" si="252"/>
        <v>Pendapatan Lainnya</v>
      </c>
      <c r="T449" s="34" t="str">
        <f t="shared" si="253"/>
        <v/>
      </c>
      <c r="U449" s="34" t="str">
        <f>IF(AND(L449=1,bp_kode=T449,T449&lt;&gt;""),COUNTIF($T$8:T449,T449),"")</f>
        <v/>
      </c>
      <c r="V449" s="34" t="str">
        <f t="shared" si="254"/>
        <v>kr</v>
      </c>
      <c r="W449" s="34" t="str">
        <f t="shared" si="255"/>
        <v>kr</v>
      </c>
      <c r="X449" s="34" t="str">
        <f>IF(B449="","",COUNTIF($C$8:C449,C449)&amp;C449)</f>
        <v>0</v>
      </c>
    </row>
    <row r="450" spans="2:24" ht="23.1" customHeight="1">
      <c r="B450" s="31">
        <v>44742</v>
      </c>
      <c r="C450" s="9"/>
      <c r="D450" s="9" t="s">
        <v>570</v>
      </c>
      <c r="E450" s="7"/>
      <c r="F450" s="7"/>
      <c r="G450" s="7"/>
      <c r="H450" s="7" t="s">
        <v>571</v>
      </c>
      <c r="I450" s="7" t="s">
        <v>568</v>
      </c>
      <c r="J450" s="39">
        <v>59823</v>
      </c>
      <c r="L450" s="16">
        <f t="shared" si="246"/>
        <v>1</v>
      </c>
      <c r="M450" s="16" t="str">
        <f t="shared" si="247"/>
        <v>June</v>
      </c>
      <c r="N450" s="16" t="str">
        <f t="shared" si="248"/>
        <v/>
      </c>
      <c r="O450" s="16" t="str">
        <f>IF(N450="","",COUNTIF($N$8:N450,N450))</f>
        <v/>
      </c>
      <c r="P450" s="34" t="str">
        <f t="shared" si="249"/>
        <v>outBeban Lainnya</v>
      </c>
      <c r="Q450" s="34" t="str">
        <f t="shared" si="250"/>
        <v>outJuneBeban Lainnya</v>
      </c>
      <c r="R450" s="34" t="str">
        <f t="shared" si="251"/>
        <v>Beban Lainnya</v>
      </c>
      <c r="S450" s="34" t="str">
        <f t="shared" si="252"/>
        <v>Bank</v>
      </c>
      <c r="T450" s="34" t="str">
        <f t="shared" si="253"/>
        <v/>
      </c>
      <c r="U450" s="34" t="str">
        <f>IF(AND(L450=1,bp_kode=T450,T450&lt;&gt;""),COUNTIF($T$8:T450,T450),"")</f>
        <v/>
      </c>
      <c r="V450" s="34" t="str">
        <f t="shared" si="254"/>
        <v>db</v>
      </c>
      <c r="W450" s="34" t="str">
        <f t="shared" si="255"/>
        <v>db</v>
      </c>
      <c r="X450" s="34" t="str">
        <f>IF(B450="","",COUNTIF($C$8:C450,C450)&amp;C450)</f>
        <v>0</v>
      </c>
    </row>
    <row r="451" spans="2:24" ht="23.1" customHeight="1">
      <c r="B451" s="31">
        <v>44742</v>
      </c>
      <c r="C451" s="9"/>
      <c r="D451" s="9" t="s">
        <v>572</v>
      </c>
      <c r="E451" s="7"/>
      <c r="F451" s="7"/>
      <c r="G451" s="7"/>
      <c r="H451" s="7" t="s">
        <v>640</v>
      </c>
      <c r="I451" s="7" t="s">
        <v>568</v>
      </c>
      <c r="J451" s="39">
        <v>36500</v>
      </c>
      <c r="L451" s="16">
        <f t="shared" si="246"/>
        <v>1</v>
      </c>
      <c r="M451" s="16" t="str">
        <f t="shared" si="247"/>
        <v>June</v>
      </c>
      <c r="N451" s="16" t="str">
        <f t="shared" si="248"/>
        <v/>
      </c>
      <c r="O451" s="16" t="str">
        <f>IF(N451="","",COUNTIF($N$8:N451,N451))</f>
        <v/>
      </c>
      <c r="P451" s="34" t="str">
        <f t="shared" si="249"/>
        <v>outBeban Lainnya</v>
      </c>
      <c r="Q451" s="34" t="str">
        <f t="shared" si="250"/>
        <v>outJuneBeban Lainnya</v>
      </c>
      <c r="R451" s="34" t="str">
        <f t="shared" si="251"/>
        <v>Beban Lainnya</v>
      </c>
      <c r="S451" s="34" t="str">
        <f t="shared" si="252"/>
        <v>Bank</v>
      </c>
      <c r="T451" s="34" t="str">
        <f t="shared" si="253"/>
        <v/>
      </c>
      <c r="U451" s="34" t="str">
        <f>IF(AND(L451=1,bp_kode=T451,T451&lt;&gt;""),COUNTIF($T$8:T451,T451),"")</f>
        <v/>
      </c>
      <c r="V451" s="34" t="str">
        <f t="shared" si="254"/>
        <v>db</v>
      </c>
      <c r="W451" s="34" t="str">
        <f t="shared" si="255"/>
        <v>db</v>
      </c>
      <c r="X451" s="34" t="str">
        <f>IF(B451="","",COUNTIF($C$8:C451,C451)&amp;C451)</f>
        <v>0</v>
      </c>
    </row>
    <row r="452" spans="2:24" ht="23.1" customHeight="1">
      <c r="B452" s="31">
        <v>44742</v>
      </c>
      <c r="C452" s="9"/>
      <c r="D452" s="9" t="s">
        <v>573</v>
      </c>
      <c r="E452" s="7"/>
      <c r="F452" s="7"/>
      <c r="G452" s="7"/>
      <c r="H452" s="7" t="s">
        <v>568</v>
      </c>
      <c r="I452" s="7" t="s">
        <v>559</v>
      </c>
      <c r="J452" s="39">
        <v>57847100</v>
      </c>
      <c r="L452" s="16">
        <f t="shared" si="246"/>
        <v>1</v>
      </c>
      <c r="M452" s="16" t="str">
        <f t="shared" si="247"/>
        <v>June</v>
      </c>
      <c r="N452" s="16" t="str">
        <f t="shared" si="248"/>
        <v/>
      </c>
      <c r="O452" s="16" t="str">
        <f>IF(N452="","",COUNTIF($N$8:N452,N452))</f>
        <v/>
      </c>
      <c r="P452" s="34" t="str">
        <f t="shared" si="249"/>
        <v>InAkun Piutang</v>
      </c>
      <c r="Q452" s="34" t="str">
        <f t="shared" si="250"/>
        <v>inJuneAkun Piutang</v>
      </c>
      <c r="R452" s="34" t="str">
        <f t="shared" si="251"/>
        <v>Bank</v>
      </c>
      <c r="S452" s="34" t="str">
        <f t="shared" si="252"/>
        <v>Akun Piutang</v>
      </c>
      <c r="T452" s="34">
        <f t="shared" si="253"/>
        <v>0</v>
      </c>
      <c r="U452" s="34" t="str">
        <f>IF(AND(L452=1,bp_kode=T452,T452&lt;&gt;""),COUNTIF($T$8:T452,T452),"")</f>
        <v/>
      </c>
      <c r="V452" s="34" t="str">
        <f t="shared" si="254"/>
        <v/>
      </c>
      <c r="W452" s="34" t="str">
        <f t="shared" si="255"/>
        <v/>
      </c>
      <c r="X452" s="34" t="str">
        <f>IF(B452="","",COUNTIF($C$8:C452,C452)&amp;C452)</f>
        <v>0</v>
      </c>
    </row>
    <row r="453" spans="2:24" ht="23.1" customHeight="1">
      <c r="B453" s="31">
        <v>44742</v>
      </c>
      <c r="C453" s="9"/>
      <c r="D453" s="9" t="s">
        <v>730</v>
      </c>
      <c r="E453" s="7"/>
      <c r="F453" s="7"/>
      <c r="G453" s="7"/>
      <c r="H453" s="7" t="s">
        <v>575</v>
      </c>
      <c r="I453" s="7" t="s">
        <v>569</v>
      </c>
      <c r="J453" s="39">
        <v>1222</v>
      </c>
      <c r="L453" s="16">
        <f t="shared" si="246"/>
        <v>1</v>
      </c>
      <c r="M453" s="16" t="str">
        <f t="shared" si="247"/>
        <v>June</v>
      </c>
      <c r="N453" s="16" t="str">
        <f t="shared" si="248"/>
        <v/>
      </c>
      <c r="O453" s="16" t="str">
        <f>IF(N453="","",COUNTIF($N$8:N453,N453))</f>
        <v/>
      </c>
      <c r="P453" s="34" t="str">
        <f t="shared" si="249"/>
        <v>InPendapatan Lainnya</v>
      </c>
      <c r="Q453" s="34" t="str">
        <f t="shared" si="250"/>
        <v>inJunePendapatan Lainnya</v>
      </c>
      <c r="R453" s="34" t="str">
        <f t="shared" si="251"/>
        <v>Bank</v>
      </c>
      <c r="S453" s="34" t="str">
        <f t="shared" si="252"/>
        <v>Pendapatan Lainnya</v>
      </c>
      <c r="T453" s="34" t="str">
        <f t="shared" si="253"/>
        <v/>
      </c>
      <c r="U453" s="34" t="str">
        <f>IF(AND(L453=1,bp_kode=T453,T453&lt;&gt;""),COUNTIF($T$8:T453,T453),"")</f>
        <v/>
      </c>
      <c r="V453" s="34" t="str">
        <f t="shared" si="254"/>
        <v>kr</v>
      </c>
      <c r="W453" s="34" t="str">
        <f t="shared" si="255"/>
        <v>kr</v>
      </c>
      <c r="X453" s="34" t="str">
        <f>IF(B453="","",COUNTIF($C$8:C453,C453)&amp;C453)</f>
        <v>0</v>
      </c>
    </row>
    <row r="454" spans="2:24" ht="23.1" customHeight="1">
      <c r="B454" s="31">
        <v>44742</v>
      </c>
      <c r="C454" s="9"/>
      <c r="D454" s="9" t="s">
        <v>574</v>
      </c>
      <c r="E454" s="7"/>
      <c r="F454" s="7"/>
      <c r="G454" s="7"/>
      <c r="H454" s="7" t="s">
        <v>640</v>
      </c>
      <c r="I454" s="7" t="s">
        <v>575</v>
      </c>
      <c r="J454" s="39">
        <v>36500</v>
      </c>
      <c r="L454" s="16">
        <f t="shared" si="246"/>
        <v>1</v>
      </c>
      <c r="M454" s="16" t="str">
        <f t="shared" si="247"/>
        <v>June</v>
      </c>
      <c r="N454" s="16" t="str">
        <f t="shared" si="248"/>
        <v/>
      </c>
      <c r="O454" s="16" t="str">
        <f>IF(N454="","",COUNTIF($N$8:N454,N454))</f>
        <v/>
      </c>
      <c r="P454" s="34" t="str">
        <f t="shared" si="249"/>
        <v>outBeban Lainnya</v>
      </c>
      <c r="Q454" s="34" t="str">
        <f t="shared" si="250"/>
        <v>outJuneBeban Lainnya</v>
      </c>
      <c r="R454" s="34" t="str">
        <f t="shared" si="251"/>
        <v>Beban Lainnya</v>
      </c>
      <c r="S454" s="34" t="str">
        <f t="shared" si="252"/>
        <v>Bank</v>
      </c>
      <c r="T454" s="34" t="str">
        <f t="shared" si="253"/>
        <v/>
      </c>
      <c r="U454" s="34" t="str">
        <f>IF(AND(L454=1,bp_kode=T454,T454&lt;&gt;""),COUNTIF($T$8:T454,T454),"")</f>
        <v/>
      </c>
      <c r="V454" s="34" t="str">
        <f t="shared" si="254"/>
        <v>db</v>
      </c>
      <c r="W454" s="34" t="str">
        <f t="shared" si="255"/>
        <v>db</v>
      </c>
      <c r="X454" s="34" t="str">
        <f>IF(B454="","",COUNTIF($C$8:C454,C454)&amp;C454)</f>
        <v>0</v>
      </c>
    </row>
    <row r="455" spans="2:24" ht="23.1" customHeight="1">
      <c r="B455" s="31">
        <v>44742</v>
      </c>
      <c r="C455" s="9"/>
      <c r="D455" s="9" t="s">
        <v>730</v>
      </c>
      <c r="E455" s="7"/>
      <c r="F455" s="7"/>
      <c r="G455" s="7"/>
      <c r="H455" s="7" t="s">
        <v>577</v>
      </c>
      <c r="I455" s="7" t="s">
        <v>569</v>
      </c>
      <c r="J455" s="39">
        <v>1184212.93</v>
      </c>
      <c r="L455" s="16">
        <f t="shared" si="246"/>
        <v>1</v>
      </c>
      <c r="M455" s="16" t="str">
        <f t="shared" si="247"/>
        <v>June</v>
      </c>
      <c r="N455" s="16" t="str">
        <f t="shared" si="248"/>
        <v/>
      </c>
      <c r="O455" s="16" t="str">
        <f>IF(N455="","",COUNTIF($N$8:N455,N455))</f>
        <v/>
      </c>
      <c r="P455" s="34" t="str">
        <f t="shared" si="249"/>
        <v>InPendapatan Lainnya</v>
      </c>
      <c r="Q455" s="34" t="str">
        <f t="shared" si="250"/>
        <v>inJunePendapatan Lainnya</v>
      </c>
      <c r="R455" s="34" t="str">
        <f t="shared" si="251"/>
        <v>Bank</v>
      </c>
      <c r="S455" s="34" t="str">
        <f t="shared" si="252"/>
        <v>Pendapatan Lainnya</v>
      </c>
      <c r="T455" s="34" t="str">
        <f t="shared" si="253"/>
        <v/>
      </c>
      <c r="U455" s="34" t="str">
        <f>IF(AND(L455=1,bp_kode=T455,T455&lt;&gt;""),COUNTIF($T$8:T455,T455),"")</f>
        <v/>
      </c>
      <c r="V455" s="34" t="str">
        <f t="shared" si="254"/>
        <v>kr</v>
      </c>
      <c r="W455" s="34" t="str">
        <f t="shared" si="255"/>
        <v>kr</v>
      </c>
      <c r="X455" s="34" t="str">
        <f>IF(B455="","",COUNTIF($C$8:C455,C455)&amp;C455)</f>
        <v>0</v>
      </c>
    </row>
    <row r="456" spans="2:24" ht="23.1" customHeight="1">
      <c r="B456" s="31">
        <v>44742</v>
      </c>
      <c r="C456" s="9"/>
      <c r="D456" s="9" t="s">
        <v>570</v>
      </c>
      <c r="E456" s="7"/>
      <c r="F456" s="7"/>
      <c r="G456" s="7"/>
      <c r="H456" s="7" t="s">
        <v>571</v>
      </c>
      <c r="I456" s="7" t="s">
        <v>577</v>
      </c>
      <c r="J456" s="39">
        <v>236842.61</v>
      </c>
      <c r="L456" s="16">
        <f t="shared" si="246"/>
        <v>1</v>
      </c>
      <c r="M456" s="16" t="str">
        <f t="shared" si="247"/>
        <v>June</v>
      </c>
      <c r="N456" s="16" t="str">
        <f t="shared" si="248"/>
        <v/>
      </c>
      <c r="O456" s="16" t="str">
        <f>IF(N456="","",COUNTIF($N$8:N456,N456))</f>
        <v/>
      </c>
      <c r="P456" s="34" t="str">
        <f t="shared" si="249"/>
        <v>outBeban Lainnya</v>
      </c>
      <c r="Q456" s="34" t="str">
        <f t="shared" si="250"/>
        <v>outJuneBeban Lainnya</v>
      </c>
      <c r="R456" s="34" t="str">
        <f t="shared" si="251"/>
        <v>Beban Lainnya</v>
      </c>
      <c r="S456" s="34" t="str">
        <f t="shared" si="252"/>
        <v>Bank</v>
      </c>
      <c r="T456" s="34" t="str">
        <f t="shared" si="253"/>
        <v/>
      </c>
      <c r="U456" s="34" t="str">
        <f>IF(AND(L456=1,bp_kode=T456,T456&lt;&gt;""),COUNTIF($T$8:T456,T456),"")</f>
        <v/>
      </c>
      <c r="V456" s="34" t="str">
        <f t="shared" si="254"/>
        <v>db</v>
      </c>
      <c r="W456" s="34" t="str">
        <f t="shared" si="255"/>
        <v>db</v>
      </c>
      <c r="X456" s="34" t="str">
        <f>IF(B456="","",COUNTIF($C$8:C456,C456)&amp;C456)</f>
        <v>0</v>
      </c>
    </row>
    <row r="457" spans="2:24" ht="23.1" customHeight="1">
      <c r="B457" s="31">
        <v>44742</v>
      </c>
      <c r="C457" s="9"/>
      <c r="D457" s="9" t="s">
        <v>572</v>
      </c>
      <c r="E457" s="7"/>
      <c r="F457" s="7"/>
      <c r="G457" s="7"/>
      <c r="H457" s="7" t="s">
        <v>640</v>
      </c>
      <c r="I457" s="7" t="s">
        <v>577</v>
      </c>
      <c r="J457" s="39">
        <v>25000</v>
      </c>
      <c r="L457" s="16">
        <f t="shared" si="246"/>
        <v>1</v>
      </c>
      <c r="M457" s="16" t="str">
        <f t="shared" si="247"/>
        <v>June</v>
      </c>
      <c r="N457" s="16" t="str">
        <f t="shared" si="248"/>
        <v/>
      </c>
      <c r="O457" s="16" t="str">
        <f>IF(N457="","",COUNTIF($N$8:N457,N457))</f>
        <v/>
      </c>
      <c r="P457" s="34" t="str">
        <f t="shared" si="249"/>
        <v>outBeban Lainnya</v>
      </c>
      <c r="Q457" s="34" t="str">
        <f t="shared" si="250"/>
        <v>outJuneBeban Lainnya</v>
      </c>
      <c r="R457" s="34" t="str">
        <f t="shared" si="251"/>
        <v>Beban Lainnya</v>
      </c>
      <c r="S457" s="34" t="str">
        <f t="shared" si="252"/>
        <v>Bank</v>
      </c>
      <c r="T457" s="34" t="str">
        <f t="shared" si="253"/>
        <v/>
      </c>
      <c r="U457" s="34" t="str">
        <f>IF(AND(L457=1,bp_kode=T457,T457&lt;&gt;""),COUNTIF($T$8:T457,T457),"")</f>
        <v/>
      </c>
      <c r="V457" s="34" t="str">
        <f t="shared" si="254"/>
        <v>db</v>
      </c>
      <c r="W457" s="34" t="str">
        <f t="shared" si="255"/>
        <v>db</v>
      </c>
      <c r="X457" s="34" t="str">
        <f>IF(B457="","",COUNTIF($C$8:C457,C457)&amp;C457)</f>
        <v>0</v>
      </c>
    </row>
    <row r="458" spans="2:24" ht="23.1" customHeight="1">
      <c r="B458" s="31">
        <v>44742</v>
      </c>
      <c r="C458" s="9"/>
      <c r="D458" s="9" t="s">
        <v>578</v>
      </c>
      <c r="E458" s="7"/>
      <c r="F458" s="7"/>
      <c r="G458" s="7"/>
      <c r="H458" s="7" t="s">
        <v>640</v>
      </c>
      <c r="I458" s="7" t="s">
        <v>577</v>
      </c>
      <c r="J458" s="39">
        <v>10000</v>
      </c>
      <c r="L458" s="16">
        <f t="shared" si="246"/>
        <v>1</v>
      </c>
      <c r="M458" s="16" t="str">
        <f t="shared" si="247"/>
        <v>June</v>
      </c>
      <c r="N458" s="16" t="str">
        <f t="shared" si="248"/>
        <v/>
      </c>
      <c r="O458" s="16" t="str">
        <f>IF(N458="","",COUNTIF($N$8:N458,N458))</f>
        <v/>
      </c>
      <c r="P458" s="34" t="str">
        <f t="shared" si="249"/>
        <v>outBeban Lainnya</v>
      </c>
      <c r="Q458" s="34" t="str">
        <f t="shared" si="250"/>
        <v>outJuneBeban Lainnya</v>
      </c>
      <c r="R458" s="34" t="str">
        <f t="shared" si="251"/>
        <v>Beban Lainnya</v>
      </c>
      <c r="S458" s="34" t="str">
        <f t="shared" si="252"/>
        <v>Bank</v>
      </c>
      <c r="T458" s="34" t="str">
        <f t="shared" si="253"/>
        <v/>
      </c>
      <c r="U458" s="34" t="str">
        <f>IF(AND(L458=1,bp_kode=T458,T458&lt;&gt;""),COUNTIF($T$8:T458,T458),"")</f>
        <v/>
      </c>
      <c r="V458" s="34" t="str">
        <f t="shared" si="254"/>
        <v>db</v>
      </c>
      <c r="W458" s="34" t="str">
        <f t="shared" si="255"/>
        <v>db</v>
      </c>
      <c r="X458" s="34" t="str">
        <f>IF(B458="","",COUNTIF($C$8:C458,C458)&amp;C458)</f>
        <v>0</v>
      </c>
    </row>
    <row r="459" spans="2:24" ht="23.1" customHeight="1">
      <c r="B459" s="31">
        <v>44742</v>
      </c>
      <c r="C459" s="9"/>
      <c r="D459" s="9" t="s">
        <v>573</v>
      </c>
      <c r="E459" s="7"/>
      <c r="F459" s="7"/>
      <c r="G459" s="7"/>
      <c r="H459" s="7" t="s">
        <v>577</v>
      </c>
      <c r="I459" s="7" t="s">
        <v>559</v>
      </c>
      <c r="J459" s="39">
        <v>37194200</v>
      </c>
      <c r="L459" s="16">
        <f t="shared" si="246"/>
        <v>1</v>
      </c>
      <c r="M459" s="16" t="str">
        <f t="shared" si="247"/>
        <v>June</v>
      </c>
      <c r="N459" s="16" t="str">
        <f t="shared" si="248"/>
        <v/>
      </c>
      <c r="O459" s="16" t="str">
        <f>IF(N459="","",COUNTIF($N$8:N459,N459))</f>
        <v/>
      </c>
      <c r="P459" s="34" t="str">
        <f t="shared" si="249"/>
        <v>InAkun Piutang</v>
      </c>
      <c r="Q459" s="34" t="str">
        <f t="shared" si="250"/>
        <v>inJuneAkun Piutang</v>
      </c>
      <c r="R459" s="34" t="str">
        <f t="shared" si="251"/>
        <v>Bank</v>
      </c>
      <c r="S459" s="34" t="str">
        <f t="shared" si="252"/>
        <v>Akun Piutang</v>
      </c>
      <c r="T459" s="34">
        <f t="shared" si="253"/>
        <v>0</v>
      </c>
      <c r="U459" s="34" t="str">
        <f>IF(AND(L459=1,bp_kode=T459,T459&lt;&gt;""),COUNTIF($T$8:T459,T459),"")</f>
        <v/>
      </c>
      <c r="V459" s="34" t="str">
        <f t="shared" si="254"/>
        <v/>
      </c>
      <c r="W459" s="34" t="str">
        <f t="shared" si="255"/>
        <v/>
      </c>
      <c r="X459" s="34" t="str">
        <f>IF(B459="","",COUNTIF($C$8:C459,C459)&amp;C459)</f>
        <v>0</v>
      </c>
    </row>
    <row r="460" spans="2:24" ht="23.1" customHeight="1">
      <c r="B460" s="31">
        <v>44742</v>
      </c>
      <c r="C460" s="9"/>
      <c r="D460" s="9" t="s">
        <v>729</v>
      </c>
      <c r="E460" s="7"/>
      <c r="F460" s="7"/>
      <c r="G460" s="7"/>
      <c r="H460" s="7" t="s">
        <v>579</v>
      </c>
      <c r="I460" s="7" t="s">
        <v>569</v>
      </c>
      <c r="J460" s="39">
        <v>481540.62</v>
      </c>
      <c r="L460" s="16">
        <f t="shared" si="246"/>
        <v>1</v>
      </c>
      <c r="M460" s="16" t="str">
        <f t="shared" si="247"/>
        <v>June</v>
      </c>
      <c r="N460" s="16" t="str">
        <f t="shared" si="248"/>
        <v/>
      </c>
      <c r="O460" s="16" t="str">
        <f>IF(N460="","",COUNTIF($N$8:N460,N460))</f>
        <v/>
      </c>
      <c r="P460" s="34" t="str">
        <f t="shared" si="249"/>
        <v>InPendapatan Lainnya</v>
      </c>
      <c r="Q460" s="34" t="str">
        <f t="shared" si="250"/>
        <v>inJunePendapatan Lainnya</v>
      </c>
      <c r="R460" s="34" t="str">
        <f t="shared" si="251"/>
        <v>Bank</v>
      </c>
      <c r="S460" s="34" t="str">
        <f t="shared" si="252"/>
        <v>Pendapatan Lainnya</v>
      </c>
      <c r="T460" s="34" t="str">
        <f t="shared" si="253"/>
        <v/>
      </c>
      <c r="U460" s="34" t="str">
        <f>IF(AND(L460=1,bp_kode=T460,T460&lt;&gt;""),COUNTIF($T$8:T460,T460),"")</f>
        <v/>
      </c>
      <c r="V460" s="34" t="str">
        <f t="shared" si="254"/>
        <v>kr</v>
      </c>
      <c r="W460" s="34" t="str">
        <f t="shared" si="255"/>
        <v>kr</v>
      </c>
      <c r="X460" s="34" t="str">
        <f>IF(B460="","",COUNTIF($C$8:C460,C460)&amp;C460)</f>
        <v>0</v>
      </c>
    </row>
    <row r="461" spans="2:24" ht="23.1" customHeight="1">
      <c r="B461" s="31">
        <v>44742</v>
      </c>
      <c r="C461" s="9"/>
      <c r="D461" s="9" t="s">
        <v>689</v>
      </c>
      <c r="E461" s="7"/>
      <c r="F461" s="7"/>
      <c r="G461" s="7"/>
      <c r="H461" s="7" t="s">
        <v>640</v>
      </c>
      <c r="I461" s="7" t="s">
        <v>579</v>
      </c>
      <c r="J461" s="39">
        <v>25000</v>
      </c>
      <c r="L461" s="16">
        <f t="shared" si="246"/>
        <v>1</v>
      </c>
      <c r="M461" s="16" t="str">
        <f t="shared" si="247"/>
        <v>June</v>
      </c>
      <c r="N461" s="16" t="str">
        <f t="shared" si="248"/>
        <v/>
      </c>
      <c r="O461" s="16" t="str">
        <f>IF(N461="","",COUNTIF($N$8:N461,N461))</f>
        <v/>
      </c>
      <c r="P461" s="34" t="str">
        <f t="shared" si="249"/>
        <v>outBeban Lainnya</v>
      </c>
      <c r="Q461" s="34" t="str">
        <f t="shared" si="250"/>
        <v>outJuneBeban Lainnya</v>
      </c>
      <c r="R461" s="34" t="str">
        <f t="shared" si="251"/>
        <v>Beban Lainnya</v>
      </c>
      <c r="S461" s="34" t="str">
        <f t="shared" si="252"/>
        <v>Bank</v>
      </c>
      <c r="T461" s="34" t="str">
        <f t="shared" si="253"/>
        <v/>
      </c>
      <c r="U461" s="34" t="str">
        <f>IF(AND(L461=1,bp_kode=T461,T461&lt;&gt;""),COUNTIF($T$8:T461,T461),"")</f>
        <v/>
      </c>
      <c r="V461" s="34" t="str">
        <f t="shared" si="254"/>
        <v>db</v>
      </c>
      <c r="W461" s="34" t="str">
        <f t="shared" si="255"/>
        <v>db</v>
      </c>
      <c r="X461" s="34" t="str">
        <f>IF(B461="","",COUNTIF($C$8:C461,C461)&amp;C461)</f>
        <v>0</v>
      </c>
    </row>
    <row r="462" spans="2:24" ht="23.1" customHeight="1">
      <c r="B462" s="31">
        <v>44742</v>
      </c>
      <c r="C462" s="9"/>
      <c r="D462" s="9" t="s">
        <v>689</v>
      </c>
      <c r="E462" s="7"/>
      <c r="F462" s="7"/>
      <c r="G462" s="7"/>
      <c r="H462" s="7" t="s">
        <v>640</v>
      </c>
      <c r="I462" s="7" t="s">
        <v>743</v>
      </c>
      <c r="J462" s="39">
        <v>159558</v>
      </c>
      <c r="L462" s="16">
        <f t="shared" si="246"/>
        <v>1</v>
      </c>
      <c r="M462" s="16" t="str">
        <f t="shared" si="247"/>
        <v>June</v>
      </c>
      <c r="N462" s="16" t="str">
        <f t="shared" si="248"/>
        <v/>
      </c>
      <c r="O462" s="16" t="str">
        <f>IF(N462="","",COUNTIF($N$8:N462,N462))</f>
        <v/>
      </c>
      <c r="P462" s="34" t="str">
        <f t="shared" si="249"/>
        <v>outBeban Lainnya</v>
      </c>
      <c r="Q462" s="34" t="str">
        <f t="shared" si="250"/>
        <v>outJuneBeban Lainnya</v>
      </c>
      <c r="R462" s="34" t="str">
        <f t="shared" si="251"/>
        <v>Beban Lainnya</v>
      </c>
      <c r="S462" s="34" t="str">
        <f t="shared" si="252"/>
        <v>Bank</v>
      </c>
      <c r="T462" s="34" t="str">
        <f t="shared" si="253"/>
        <v/>
      </c>
      <c r="U462" s="34" t="str">
        <f>IF(AND(L462=1,bp_kode=T462,T462&lt;&gt;""),COUNTIF($T$8:T462,T462),"")</f>
        <v/>
      </c>
      <c r="V462" s="34" t="str">
        <f t="shared" si="254"/>
        <v>db</v>
      </c>
      <c r="W462" s="34" t="str">
        <f t="shared" si="255"/>
        <v>db</v>
      </c>
      <c r="X462" s="34" t="str">
        <f>IF(B462="","",COUNTIF($C$8:C462,C462)&amp;C462)</f>
        <v>0</v>
      </c>
    </row>
    <row r="463" spans="2:24" ht="23.1" customHeight="1">
      <c r="B463" s="31">
        <v>44742</v>
      </c>
      <c r="C463" s="9"/>
      <c r="D463" s="9" t="s">
        <v>744</v>
      </c>
      <c r="E463" s="7"/>
      <c r="F463" s="7"/>
      <c r="G463" s="7"/>
      <c r="H463" s="7" t="s">
        <v>579</v>
      </c>
      <c r="I463" s="7" t="s">
        <v>743</v>
      </c>
      <c r="J463" s="39">
        <v>9832007</v>
      </c>
      <c r="L463" s="16">
        <f t="shared" si="246"/>
        <v>1</v>
      </c>
      <c r="M463" s="16" t="str">
        <f t="shared" si="247"/>
        <v>June</v>
      </c>
      <c r="N463" s="16" t="str">
        <f t="shared" si="248"/>
        <v/>
      </c>
      <c r="O463" s="16" t="str">
        <f>IF(N463="","",COUNTIF($N$8:N463,N463))</f>
        <v/>
      </c>
      <c r="P463" s="34" t="str">
        <f t="shared" si="249"/>
        <v>InBank</v>
      </c>
      <c r="Q463" s="34" t="str">
        <f t="shared" si="250"/>
        <v>inJuneBank</v>
      </c>
      <c r="R463" s="34" t="str">
        <f t="shared" si="251"/>
        <v>Bank</v>
      </c>
      <c r="S463" s="34" t="str">
        <f t="shared" si="252"/>
        <v>Bank</v>
      </c>
      <c r="T463" s="34" t="str">
        <f t="shared" si="253"/>
        <v/>
      </c>
      <c r="U463" s="34" t="str">
        <f>IF(AND(L463=1,bp_kode=T463,T463&lt;&gt;""),COUNTIF($T$8:T463,T463),"")</f>
        <v/>
      </c>
      <c r="V463" s="34" t="str">
        <f t="shared" si="254"/>
        <v/>
      </c>
      <c r="W463" s="34" t="str">
        <f t="shared" si="255"/>
        <v/>
      </c>
      <c r="X463" s="34" t="str">
        <f>IF(B463="","",COUNTIF($C$8:C463,C463)&amp;C463)</f>
        <v>0</v>
      </c>
    </row>
    <row r="464" spans="2:24" ht="23.1" customHeight="1">
      <c r="B464" s="31">
        <v>44742</v>
      </c>
      <c r="C464" s="9"/>
      <c r="D464" s="9" t="s">
        <v>573</v>
      </c>
      <c r="E464" s="7"/>
      <c r="F464" s="7"/>
      <c r="G464" s="7"/>
      <c r="H464" s="7" t="s">
        <v>579</v>
      </c>
      <c r="I464" s="7" t="s">
        <v>559</v>
      </c>
      <c r="J464" s="39">
        <v>270085200</v>
      </c>
      <c r="L464" s="16">
        <f t="shared" si="246"/>
        <v>1</v>
      </c>
      <c r="M464" s="16" t="str">
        <f t="shared" si="247"/>
        <v>June</v>
      </c>
      <c r="N464" s="16" t="str">
        <f t="shared" si="248"/>
        <v/>
      </c>
      <c r="O464" s="16" t="str">
        <f>IF(N464="","",COUNTIF($N$8:N464,N464))</f>
        <v/>
      </c>
      <c r="P464" s="34" t="str">
        <f t="shared" si="249"/>
        <v>InAkun Piutang</v>
      </c>
      <c r="Q464" s="34" t="str">
        <f t="shared" si="250"/>
        <v>inJuneAkun Piutang</v>
      </c>
      <c r="R464" s="34" t="str">
        <f t="shared" si="251"/>
        <v>Bank</v>
      </c>
      <c r="S464" s="34" t="str">
        <f t="shared" si="252"/>
        <v>Akun Piutang</v>
      </c>
      <c r="T464" s="34">
        <f t="shared" si="253"/>
        <v>0</v>
      </c>
      <c r="U464" s="34" t="str">
        <f>IF(AND(L464=1,bp_kode=T464,T464&lt;&gt;""),COUNTIF($T$8:T464,T464),"")</f>
        <v/>
      </c>
      <c r="V464" s="34" t="str">
        <f t="shared" si="254"/>
        <v/>
      </c>
      <c r="W464" s="34" t="str">
        <f t="shared" si="255"/>
        <v/>
      </c>
      <c r="X464" s="34" t="str">
        <f>IF(B464="","",COUNTIF($C$8:C464,C464)&amp;C464)</f>
        <v>0</v>
      </c>
    </row>
    <row r="465" spans="2:24" ht="23.1" customHeight="1">
      <c r="B465" s="31">
        <v>44742</v>
      </c>
      <c r="C465" s="9"/>
      <c r="D465" s="9" t="s">
        <v>581</v>
      </c>
      <c r="E465" s="7"/>
      <c r="F465" s="7"/>
      <c r="G465" s="7"/>
      <c r="H465" s="7" t="s">
        <v>582</v>
      </c>
      <c r="I465" s="7" t="s">
        <v>579</v>
      </c>
      <c r="J465" s="39">
        <v>148209563</v>
      </c>
      <c r="L465" s="16">
        <f t="shared" si="246"/>
        <v>1</v>
      </c>
      <c r="M465" s="16" t="str">
        <f t="shared" si="247"/>
        <v>June</v>
      </c>
      <c r="N465" s="16" t="str">
        <f t="shared" si="248"/>
        <v/>
      </c>
      <c r="O465" s="16" t="str">
        <f>IF(N465="","",COUNTIF($N$8:N465,N465))</f>
        <v/>
      </c>
      <c r="P465" s="34" t="str">
        <f t="shared" si="249"/>
        <v>InBank</v>
      </c>
      <c r="Q465" s="34" t="str">
        <f t="shared" si="250"/>
        <v>inJuneBank</v>
      </c>
      <c r="R465" s="34" t="str">
        <f t="shared" si="251"/>
        <v>Kas</v>
      </c>
      <c r="S465" s="34" t="str">
        <f t="shared" si="252"/>
        <v>Bank</v>
      </c>
      <c r="T465" s="34" t="str">
        <f t="shared" si="253"/>
        <v/>
      </c>
      <c r="U465" s="34" t="str">
        <f>IF(AND(L465=1,bp_kode=T465,T465&lt;&gt;""),COUNTIF($T$8:T465,T465),"")</f>
        <v/>
      </c>
      <c r="V465" s="34" t="str">
        <f t="shared" si="254"/>
        <v/>
      </c>
      <c r="W465" s="34" t="str">
        <f t="shared" si="255"/>
        <v/>
      </c>
      <c r="X465" s="34" t="str">
        <f>IF(B465="","",COUNTIF($C$8:C465,C465)&amp;C465)</f>
        <v>0</v>
      </c>
    </row>
    <row r="466" spans="2:24" ht="23.1" customHeight="1">
      <c r="B466" s="31">
        <v>44742</v>
      </c>
      <c r="C466" s="9"/>
      <c r="D466" s="9" t="s">
        <v>584</v>
      </c>
      <c r="E466" s="7"/>
      <c r="F466" s="7"/>
      <c r="G466" s="7"/>
      <c r="H466" s="7" t="s">
        <v>583</v>
      </c>
      <c r="I466" s="7" t="s">
        <v>561</v>
      </c>
      <c r="J466" s="39">
        <v>70000000</v>
      </c>
      <c r="L466" s="16">
        <f t="shared" si="246"/>
        <v>1</v>
      </c>
      <c r="M466" s="16" t="str">
        <f t="shared" si="247"/>
        <v>June</v>
      </c>
      <c r="N466" s="16" t="str">
        <f t="shared" si="248"/>
        <v/>
      </c>
      <c r="O466" s="16" t="str">
        <f>IF(N466="","",COUNTIF($N$8:N466,N466))</f>
        <v/>
      </c>
      <c r="P466" s="34" t="str">
        <f t="shared" si="249"/>
        <v>InAkun Piutang</v>
      </c>
      <c r="Q466" s="34" t="str">
        <f t="shared" si="250"/>
        <v>inJuneAkun Piutang</v>
      </c>
      <c r="R466" s="34" t="str">
        <f t="shared" si="251"/>
        <v>Bank</v>
      </c>
      <c r="S466" s="34" t="str">
        <f t="shared" si="252"/>
        <v>Akun Piutang</v>
      </c>
      <c r="T466" s="34">
        <f t="shared" si="253"/>
        <v>0</v>
      </c>
      <c r="U466" s="34" t="str">
        <f>IF(AND(L466=1,bp_kode=T466,T466&lt;&gt;""),COUNTIF($T$8:T466,T466),"")</f>
        <v/>
      </c>
      <c r="V466" s="34" t="str">
        <f t="shared" si="254"/>
        <v/>
      </c>
      <c r="W466" s="34" t="str">
        <f t="shared" si="255"/>
        <v/>
      </c>
      <c r="X466" s="34" t="str">
        <f>IF(B466="","",COUNTIF($C$8:C466,C466)&amp;C466)</f>
        <v>0</v>
      </c>
    </row>
    <row r="467" spans="2:24" ht="23.1" customHeight="1">
      <c r="B467" s="31">
        <v>44742</v>
      </c>
      <c r="C467" s="9"/>
      <c r="D467" s="9" t="s">
        <v>589</v>
      </c>
      <c r="E467" s="7"/>
      <c r="F467" s="7"/>
      <c r="G467" s="7"/>
      <c r="H467" s="7" t="s">
        <v>583</v>
      </c>
      <c r="I467" s="7" t="s">
        <v>551</v>
      </c>
      <c r="J467" s="39">
        <v>350000</v>
      </c>
      <c r="L467" s="16">
        <f t="shared" si="246"/>
        <v>1</v>
      </c>
      <c r="M467" s="16" t="str">
        <f t="shared" si="247"/>
        <v>June</v>
      </c>
      <c r="N467" s="16" t="str">
        <f t="shared" si="248"/>
        <v/>
      </c>
      <c r="O467" s="16" t="str">
        <f>IF(N467="","",COUNTIF($N$8:N467,N467))</f>
        <v/>
      </c>
      <c r="P467" s="34" t="str">
        <f t="shared" si="249"/>
        <v>InAkun Piutang</v>
      </c>
      <c r="Q467" s="34" t="str">
        <f t="shared" si="250"/>
        <v>inJuneAkun Piutang</v>
      </c>
      <c r="R467" s="34" t="str">
        <f t="shared" si="251"/>
        <v>Bank</v>
      </c>
      <c r="S467" s="34" t="str">
        <f t="shared" si="252"/>
        <v>Akun Piutang</v>
      </c>
      <c r="T467" s="34">
        <f t="shared" si="253"/>
        <v>0</v>
      </c>
      <c r="U467" s="34" t="str">
        <f>IF(AND(L467=1,bp_kode=T467,T467&lt;&gt;""),COUNTIF($T$8:T467,T467),"")</f>
        <v/>
      </c>
      <c r="V467" s="34" t="str">
        <f t="shared" si="254"/>
        <v/>
      </c>
      <c r="W467" s="34" t="str">
        <f t="shared" si="255"/>
        <v/>
      </c>
      <c r="X467" s="34" t="str">
        <f>IF(B467="","",COUNTIF($C$8:C467,C467)&amp;C467)</f>
        <v>0</v>
      </c>
    </row>
    <row r="468" spans="2:24" ht="23.1" customHeight="1">
      <c r="B468" s="31">
        <v>44742</v>
      </c>
      <c r="C468" s="9"/>
      <c r="D468" s="9" t="s">
        <v>730</v>
      </c>
      <c r="E468" s="7"/>
      <c r="F468" s="7"/>
      <c r="G468" s="7"/>
      <c r="H468" s="7" t="s">
        <v>583</v>
      </c>
      <c r="I468" s="7" t="s">
        <v>569</v>
      </c>
      <c r="J468" s="39">
        <v>2004889.46</v>
      </c>
      <c r="L468" s="16">
        <f t="shared" si="246"/>
        <v>1</v>
      </c>
      <c r="M468" s="16" t="str">
        <f t="shared" si="247"/>
        <v>June</v>
      </c>
      <c r="N468" s="16" t="str">
        <f t="shared" si="248"/>
        <v/>
      </c>
      <c r="O468" s="16" t="str">
        <f>IF(N468="","",COUNTIF($N$8:N468,N468))</f>
        <v/>
      </c>
      <c r="P468" s="34" t="str">
        <f t="shared" si="249"/>
        <v>InPendapatan Lainnya</v>
      </c>
      <c r="Q468" s="34" t="str">
        <f t="shared" si="250"/>
        <v>inJunePendapatan Lainnya</v>
      </c>
      <c r="R468" s="34" t="str">
        <f t="shared" si="251"/>
        <v>Bank</v>
      </c>
      <c r="S468" s="34" t="str">
        <f t="shared" si="252"/>
        <v>Pendapatan Lainnya</v>
      </c>
      <c r="T468" s="34" t="str">
        <f t="shared" si="253"/>
        <v/>
      </c>
      <c r="U468" s="34" t="str">
        <f>IF(AND(L468=1,bp_kode=T468,T468&lt;&gt;""),COUNTIF($T$8:T468,T468),"")</f>
        <v/>
      </c>
      <c r="V468" s="34" t="str">
        <f t="shared" si="254"/>
        <v>kr</v>
      </c>
      <c r="W468" s="34" t="str">
        <f t="shared" si="255"/>
        <v>kr</v>
      </c>
      <c r="X468" s="34" t="str">
        <f>IF(B468="","",COUNTIF($C$8:C468,C468)&amp;C468)</f>
        <v>0</v>
      </c>
    </row>
    <row r="469" spans="2:24" ht="23.1" customHeight="1">
      <c r="B469" s="31">
        <v>44742</v>
      </c>
      <c r="C469" s="9"/>
      <c r="D469" s="9" t="s">
        <v>570</v>
      </c>
      <c r="E469" s="7"/>
      <c r="F469" s="7"/>
      <c r="G469" s="7"/>
      <c r="H469" s="7" t="s">
        <v>571</v>
      </c>
      <c r="I469" s="7" t="s">
        <v>583</v>
      </c>
      <c r="J469" s="39">
        <v>400977.89</v>
      </c>
      <c r="L469" s="16">
        <f t="shared" si="246"/>
        <v>1</v>
      </c>
      <c r="M469" s="16" t="str">
        <f t="shared" si="247"/>
        <v>June</v>
      </c>
      <c r="N469" s="16" t="str">
        <f t="shared" si="248"/>
        <v/>
      </c>
      <c r="O469" s="16" t="str">
        <f>IF(N469="","",COUNTIF($N$8:N469,N469))</f>
        <v/>
      </c>
      <c r="P469" s="34" t="str">
        <f t="shared" si="249"/>
        <v>outBeban Lainnya</v>
      </c>
      <c r="Q469" s="34" t="str">
        <f t="shared" si="250"/>
        <v>outJuneBeban Lainnya</v>
      </c>
      <c r="R469" s="34" t="str">
        <f t="shared" si="251"/>
        <v>Beban Lainnya</v>
      </c>
      <c r="S469" s="34" t="str">
        <f t="shared" si="252"/>
        <v>Bank</v>
      </c>
      <c r="T469" s="34" t="str">
        <f t="shared" si="253"/>
        <v/>
      </c>
      <c r="U469" s="34" t="str">
        <f>IF(AND(L469=1,bp_kode=T469,T469&lt;&gt;""),COUNTIF($T$8:T469,T469),"")</f>
        <v/>
      </c>
      <c r="V469" s="34" t="str">
        <f t="shared" si="254"/>
        <v>db</v>
      </c>
      <c r="W469" s="34" t="str">
        <f t="shared" si="255"/>
        <v>db</v>
      </c>
      <c r="X469" s="34" t="str">
        <f>IF(B469="","",COUNTIF($C$8:C469,C469)&amp;C469)</f>
        <v>0</v>
      </c>
    </row>
    <row r="470" spans="2:24" ht="23.1" customHeight="1">
      <c r="B470" s="31">
        <v>44742</v>
      </c>
      <c r="C470" s="9"/>
      <c r="D470" s="9" t="s">
        <v>685</v>
      </c>
      <c r="E470" s="7"/>
      <c r="F470" s="7"/>
      <c r="G470" s="7"/>
      <c r="H470" s="7" t="s">
        <v>640</v>
      </c>
      <c r="I470" s="7" t="s">
        <v>583</v>
      </c>
      <c r="J470" s="39">
        <v>25000</v>
      </c>
      <c r="L470" s="16">
        <f t="shared" si="246"/>
        <v>1</v>
      </c>
      <c r="M470" s="16" t="str">
        <f t="shared" si="247"/>
        <v>June</v>
      </c>
      <c r="N470" s="16" t="str">
        <f t="shared" si="248"/>
        <v/>
      </c>
      <c r="O470" s="16" t="str">
        <f>IF(N470="","",COUNTIF($N$8:N470,N470))</f>
        <v/>
      </c>
      <c r="P470" s="34" t="str">
        <f t="shared" si="249"/>
        <v>outBeban Lainnya</v>
      </c>
      <c r="Q470" s="34" t="str">
        <f t="shared" si="250"/>
        <v>outJuneBeban Lainnya</v>
      </c>
      <c r="R470" s="34" t="str">
        <f t="shared" si="251"/>
        <v>Beban Lainnya</v>
      </c>
      <c r="S470" s="34" t="str">
        <f t="shared" si="252"/>
        <v>Bank</v>
      </c>
      <c r="T470" s="34" t="str">
        <f t="shared" si="253"/>
        <v/>
      </c>
      <c r="U470" s="34" t="str">
        <f>IF(AND(L470=1,bp_kode=T470,T470&lt;&gt;""),COUNTIF($T$8:T470,T470),"")</f>
        <v/>
      </c>
      <c r="V470" s="34" t="str">
        <f t="shared" si="254"/>
        <v>db</v>
      </c>
      <c r="W470" s="34" t="str">
        <f t="shared" si="255"/>
        <v>db</v>
      </c>
      <c r="X470" s="34" t="str">
        <f>IF(B470="","",COUNTIF($C$8:C470,C470)&amp;C470)</f>
        <v>0</v>
      </c>
    </row>
    <row r="471" spans="2:24" ht="23.1" customHeight="1">
      <c r="B471" s="31">
        <v>44742</v>
      </c>
      <c r="C471" s="9"/>
      <c r="D471" s="9" t="s">
        <v>730</v>
      </c>
      <c r="E471" s="7"/>
      <c r="F471" s="7"/>
      <c r="G471" s="7"/>
      <c r="H471" s="7" t="s">
        <v>586</v>
      </c>
      <c r="I471" s="7" t="s">
        <v>569</v>
      </c>
      <c r="J471" s="39">
        <v>540950</v>
      </c>
      <c r="L471" s="16">
        <f t="shared" si="246"/>
        <v>1</v>
      </c>
      <c r="M471" s="16" t="str">
        <f t="shared" si="247"/>
        <v>June</v>
      </c>
      <c r="N471" s="16" t="str">
        <f t="shared" si="248"/>
        <v/>
      </c>
      <c r="O471" s="16" t="str">
        <f>IF(N471="","",COUNTIF($N$8:N471,N471))</f>
        <v/>
      </c>
      <c r="P471" s="34" t="str">
        <f t="shared" si="249"/>
        <v>InPendapatan Lainnya</v>
      </c>
      <c r="Q471" s="34" t="str">
        <f t="shared" si="250"/>
        <v>inJunePendapatan Lainnya</v>
      </c>
      <c r="R471" s="34" t="str">
        <f t="shared" si="251"/>
        <v>Bank</v>
      </c>
      <c r="S471" s="34" t="str">
        <f t="shared" si="252"/>
        <v>Pendapatan Lainnya</v>
      </c>
      <c r="T471" s="34" t="str">
        <f t="shared" si="253"/>
        <v/>
      </c>
      <c r="U471" s="34" t="str">
        <f>IF(AND(L471=1,bp_kode=T471,T471&lt;&gt;""),COUNTIF($T$8:T471,T471),"")</f>
        <v/>
      </c>
      <c r="V471" s="34" t="str">
        <f t="shared" si="254"/>
        <v>kr</v>
      </c>
      <c r="W471" s="34" t="str">
        <f t="shared" si="255"/>
        <v>kr</v>
      </c>
      <c r="X471" s="34" t="str">
        <f>IF(B471="","",COUNTIF($C$8:C471,C471)&amp;C471)</f>
        <v>0</v>
      </c>
    </row>
    <row r="472" spans="2:24" ht="23.1" customHeight="1">
      <c r="B472" s="31">
        <v>44742</v>
      </c>
      <c r="C472" s="9"/>
      <c r="D472" s="9" t="s">
        <v>570</v>
      </c>
      <c r="E472" s="7"/>
      <c r="F472" s="7"/>
      <c r="G472" s="7"/>
      <c r="H472" s="7" t="s">
        <v>571</v>
      </c>
      <c r="I472" s="7" t="s">
        <v>586</v>
      </c>
      <c r="J472" s="39">
        <v>108182</v>
      </c>
      <c r="L472" s="16">
        <f t="shared" si="246"/>
        <v>1</v>
      </c>
      <c r="M472" s="16" t="str">
        <f t="shared" si="247"/>
        <v>June</v>
      </c>
      <c r="N472" s="16" t="str">
        <f t="shared" si="248"/>
        <v/>
      </c>
      <c r="O472" s="16" t="str">
        <f>IF(N472="","",COUNTIF($N$8:N472,N472))</f>
        <v/>
      </c>
      <c r="P472" s="34" t="str">
        <f t="shared" si="249"/>
        <v>outBeban Lainnya</v>
      </c>
      <c r="Q472" s="34" t="str">
        <f t="shared" si="250"/>
        <v>outJuneBeban Lainnya</v>
      </c>
      <c r="R472" s="34" t="str">
        <f t="shared" si="251"/>
        <v>Beban Lainnya</v>
      </c>
      <c r="S472" s="34" t="str">
        <f t="shared" si="252"/>
        <v>Bank</v>
      </c>
      <c r="T472" s="34" t="str">
        <f t="shared" si="253"/>
        <v/>
      </c>
      <c r="U472" s="34" t="str">
        <f>IF(AND(L472=1,bp_kode=T472,T472&lt;&gt;""),COUNTIF($T$8:T472,T472),"")</f>
        <v/>
      </c>
      <c r="V472" s="34" t="str">
        <f t="shared" si="254"/>
        <v>db</v>
      </c>
      <c r="W472" s="34" t="str">
        <f t="shared" si="255"/>
        <v>db</v>
      </c>
      <c r="X472" s="34" t="str">
        <f>IF(B472="","",COUNTIF($C$8:C472,C472)&amp;C472)</f>
        <v>0</v>
      </c>
    </row>
    <row r="473" spans="2:24" ht="23.1" customHeight="1">
      <c r="B473" s="31">
        <v>44742</v>
      </c>
      <c r="C473" s="9"/>
      <c r="D473" s="9" t="s">
        <v>572</v>
      </c>
      <c r="E473" s="7"/>
      <c r="F473" s="7"/>
      <c r="G473" s="7"/>
      <c r="H473" s="7" t="s">
        <v>640</v>
      </c>
      <c r="I473" s="7" t="s">
        <v>586</v>
      </c>
      <c r="J473" s="39">
        <v>36500</v>
      </c>
      <c r="L473" s="16">
        <f t="shared" si="246"/>
        <v>1</v>
      </c>
      <c r="M473" s="16" t="str">
        <f t="shared" si="247"/>
        <v>June</v>
      </c>
      <c r="N473" s="16" t="str">
        <f t="shared" si="248"/>
        <v/>
      </c>
      <c r="O473" s="16" t="str">
        <f>IF(N473="","",COUNTIF($N$8:N473,N473))</f>
        <v/>
      </c>
      <c r="P473" s="34" t="str">
        <f t="shared" si="249"/>
        <v>outBeban Lainnya</v>
      </c>
      <c r="Q473" s="34" t="str">
        <f t="shared" si="250"/>
        <v>outJuneBeban Lainnya</v>
      </c>
      <c r="R473" s="34" t="str">
        <f t="shared" si="251"/>
        <v>Beban Lainnya</v>
      </c>
      <c r="S473" s="34" t="str">
        <f t="shared" si="252"/>
        <v>Bank</v>
      </c>
      <c r="T473" s="34" t="str">
        <f t="shared" si="253"/>
        <v/>
      </c>
      <c r="U473" s="34" t="str">
        <f>IF(AND(L473=1,bp_kode=T473,T473&lt;&gt;""),COUNTIF($T$8:T473,T473),"")</f>
        <v/>
      </c>
      <c r="V473" s="34" t="str">
        <f t="shared" si="254"/>
        <v>db</v>
      </c>
      <c r="W473" s="34" t="str">
        <f t="shared" si="255"/>
        <v>db</v>
      </c>
      <c r="X473" s="34" t="str">
        <f>IF(B473="","",COUNTIF($C$8:C473,C473)&amp;C473)</f>
        <v>0</v>
      </c>
    </row>
    <row r="474" spans="2:24" ht="23.1" customHeight="1">
      <c r="B474" s="31">
        <v>44742</v>
      </c>
      <c r="C474" s="9"/>
      <c r="D474" s="9" t="s">
        <v>573</v>
      </c>
      <c r="E474" s="7"/>
      <c r="F474" s="7"/>
      <c r="G474" s="7"/>
      <c r="H474" s="7" t="s">
        <v>586</v>
      </c>
      <c r="I474" s="7" t="s">
        <v>559</v>
      </c>
      <c r="J474" s="39">
        <v>26193500</v>
      </c>
      <c r="L474" s="16">
        <f t="shared" si="246"/>
        <v>1</v>
      </c>
      <c r="M474" s="16" t="str">
        <f t="shared" si="247"/>
        <v>June</v>
      </c>
      <c r="N474" s="16" t="str">
        <f t="shared" si="248"/>
        <v/>
      </c>
      <c r="O474" s="16" t="str">
        <f>IF(N474="","",COUNTIF($N$8:N474,N474))</f>
        <v/>
      </c>
      <c r="P474" s="34" t="str">
        <f t="shared" si="249"/>
        <v>InAkun Piutang</v>
      </c>
      <c r="Q474" s="34" t="str">
        <f t="shared" si="250"/>
        <v>inJuneAkun Piutang</v>
      </c>
      <c r="R474" s="34" t="str">
        <f t="shared" si="251"/>
        <v>Bank</v>
      </c>
      <c r="S474" s="34" t="str">
        <f t="shared" si="252"/>
        <v>Akun Piutang</v>
      </c>
      <c r="T474" s="34">
        <f t="shared" si="253"/>
        <v>0</v>
      </c>
      <c r="U474" s="34" t="str">
        <f>IF(AND(L474=1,bp_kode=T474,T474&lt;&gt;""),COUNTIF($T$8:T474,T474),"")</f>
        <v/>
      </c>
      <c r="V474" s="34" t="str">
        <f t="shared" si="254"/>
        <v/>
      </c>
      <c r="W474" s="34" t="str">
        <f t="shared" si="255"/>
        <v/>
      </c>
      <c r="X474" s="34" t="str">
        <f>IF(B474="","",COUNTIF($C$8:C474,C474)&amp;C474)</f>
        <v>0</v>
      </c>
    </row>
    <row r="475" spans="2:24" ht="23.1" customHeight="1">
      <c r="B475" s="31">
        <v>44742</v>
      </c>
      <c r="C475" s="9"/>
      <c r="D475" s="9" t="s">
        <v>552</v>
      </c>
      <c r="E475" s="7"/>
      <c r="F475" s="7"/>
      <c r="G475" s="7"/>
      <c r="H475" s="7" t="s">
        <v>554</v>
      </c>
      <c r="I475" s="7" t="s">
        <v>587</v>
      </c>
      <c r="J475" s="39">
        <v>3952000</v>
      </c>
      <c r="L475" s="16">
        <f t="shared" si="246"/>
        <v>1</v>
      </c>
      <c r="M475" s="16" t="str">
        <f t="shared" si="247"/>
        <v>June</v>
      </c>
      <c r="N475" s="16" t="str">
        <f t="shared" si="248"/>
        <v/>
      </c>
      <c r="O475" s="16" t="str">
        <f>IF(N475="","",COUNTIF($N$8:N475,N475))</f>
        <v/>
      </c>
      <c r="P475" s="34" t="str">
        <f t="shared" si="249"/>
        <v>InAkun Piutang</v>
      </c>
      <c r="Q475" s="34" t="str">
        <f t="shared" si="250"/>
        <v>inJuneAkun Piutang</v>
      </c>
      <c r="R475" s="34" t="str">
        <f t="shared" si="251"/>
        <v>Kas</v>
      </c>
      <c r="S475" s="34" t="str">
        <f t="shared" si="252"/>
        <v>Akun Piutang</v>
      </c>
      <c r="T475" s="34">
        <f t="shared" si="253"/>
        <v>0</v>
      </c>
      <c r="U475" s="34" t="str">
        <f>IF(AND(L475=1,bp_kode=T475,T475&lt;&gt;""),COUNTIF($T$8:T475,T475),"")</f>
        <v/>
      </c>
      <c r="V475" s="34" t="str">
        <f t="shared" si="254"/>
        <v/>
      </c>
      <c r="W475" s="34" t="str">
        <f t="shared" si="255"/>
        <v/>
      </c>
      <c r="X475" s="34" t="str">
        <f>IF(B475="","",COUNTIF($C$8:C475,C475)&amp;C475)</f>
        <v>0</v>
      </c>
    </row>
    <row r="476" spans="2:24" ht="23.1" customHeight="1">
      <c r="B476" s="31">
        <v>44742</v>
      </c>
      <c r="C476" s="9"/>
      <c r="D476" s="9" t="s">
        <v>589</v>
      </c>
      <c r="E476" s="7"/>
      <c r="F476" s="7"/>
      <c r="G476" s="7"/>
      <c r="H476" s="7" t="s">
        <v>554</v>
      </c>
      <c r="I476" s="7" t="s">
        <v>551</v>
      </c>
      <c r="J476" s="39">
        <v>496459600</v>
      </c>
      <c r="L476" s="16">
        <f t="shared" si="246"/>
        <v>1</v>
      </c>
      <c r="M476" s="16" t="str">
        <f t="shared" si="247"/>
        <v>June</v>
      </c>
      <c r="N476" s="16" t="str">
        <f t="shared" si="248"/>
        <v/>
      </c>
      <c r="O476" s="16" t="str">
        <f>IF(N476="","",COUNTIF($N$8:N476,N476))</f>
        <v/>
      </c>
      <c r="P476" s="34" t="str">
        <f t="shared" si="249"/>
        <v>InAkun Piutang</v>
      </c>
      <c r="Q476" s="34" t="str">
        <f t="shared" si="250"/>
        <v>inJuneAkun Piutang</v>
      </c>
      <c r="R476" s="34" t="str">
        <f t="shared" si="251"/>
        <v>Kas</v>
      </c>
      <c r="S476" s="34" t="str">
        <f t="shared" si="252"/>
        <v>Akun Piutang</v>
      </c>
      <c r="T476" s="34">
        <f t="shared" si="253"/>
        <v>0</v>
      </c>
      <c r="U476" s="34" t="str">
        <f>IF(AND(L476=1,bp_kode=T476,T476&lt;&gt;""),COUNTIF($T$8:T476,T476),"")</f>
        <v/>
      </c>
      <c r="V476" s="34" t="str">
        <f t="shared" si="254"/>
        <v/>
      </c>
      <c r="W476" s="34" t="str">
        <f t="shared" si="255"/>
        <v/>
      </c>
      <c r="X476" s="34" t="str">
        <f>IF(B476="","",COUNTIF($C$8:C476,C476)&amp;C476)</f>
        <v>0</v>
      </c>
    </row>
    <row r="477" spans="2:24" ht="23.1" customHeight="1">
      <c r="B477" s="31">
        <v>44742</v>
      </c>
      <c r="C477" s="9"/>
      <c r="D477" s="9" t="s">
        <v>728</v>
      </c>
      <c r="E477" s="7"/>
      <c r="F477" s="7"/>
      <c r="G477" s="7"/>
      <c r="H477" s="7" t="s">
        <v>554</v>
      </c>
      <c r="I477" s="7" t="s">
        <v>561</v>
      </c>
      <c r="J477" s="39">
        <v>14242000</v>
      </c>
      <c r="L477" s="16">
        <f t="shared" si="246"/>
        <v>1</v>
      </c>
      <c r="M477" s="16" t="str">
        <f t="shared" si="247"/>
        <v>June</v>
      </c>
      <c r="N477" s="16" t="str">
        <f t="shared" si="248"/>
        <v/>
      </c>
      <c r="O477" s="16" t="str">
        <f>IF(N477="","",COUNTIF($N$8:N477,N477))</f>
        <v/>
      </c>
      <c r="P477" s="34" t="str">
        <f t="shared" si="249"/>
        <v>InAkun Piutang</v>
      </c>
      <c r="Q477" s="34" t="str">
        <f t="shared" si="250"/>
        <v>inJuneAkun Piutang</v>
      </c>
      <c r="R477" s="34" t="str">
        <f t="shared" si="251"/>
        <v>Kas</v>
      </c>
      <c r="S477" s="34" t="str">
        <f t="shared" si="252"/>
        <v>Akun Piutang</v>
      </c>
      <c r="T477" s="34">
        <f t="shared" si="253"/>
        <v>0</v>
      </c>
      <c r="U477" s="34" t="str">
        <f>IF(AND(L477=1,bp_kode=T477,T477&lt;&gt;""),COUNTIF($T$8:T477,T477),"")</f>
        <v/>
      </c>
      <c r="V477" s="34" t="str">
        <f t="shared" si="254"/>
        <v/>
      </c>
      <c r="W477" s="34" t="str">
        <f t="shared" si="255"/>
        <v/>
      </c>
      <c r="X477" s="34" t="str">
        <f>IF(B477="","",COUNTIF($C$8:C477,C477)&amp;C477)</f>
        <v>0</v>
      </c>
    </row>
    <row r="478" spans="2:24" ht="23.1" customHeight="1">
      <c r="B478" s="31">
        <v>44742</v>
      </c>
      <c r="C478" s="9"/>
      <c r="D478" s="9" t="s">
        <v>590</v>
      </c>
      <c r="E478" s="7"/>
      <c r="F478" s="7"/>
      <c r="G478" s="7"/>
      <c r="H478" s="7" t="s">
        <v>586</v>
      </c>
      <c r="I478" s="7" t="s">
        <v>554</v>
      </c>
      <c r="J478" s="39">
        <v>732763900</v>
      </c>
      <c r="L478" s="16">
        <f t="shared" si="246"/>
        <v>1</v>
      </c>
      <c r="M478" s="16" t="str">
        <f t="shared" si="247"/>
        <v>June</v>
      </c>
      <c r="N478" s="16" t="str">
        <f t="shared" si="248"/>
        <v/>
      </c>
      <c r="O478" s="16" t="str">
        <f>IF(N478="","",COUNTIF($N$8:N478,N478))</f>
        <v/>
      </c>
      <c r="P478" s="34" t="str">
        <f t="shared" si="249"/>
        <v>InKas</v>
      </c>
      <c r="Q478" s="34" t="str">
        <f t="shared" si="250"/>
        <v>inJuneKas</v>
      </c>
      <c r="R478" s="34" t="str">
        <f t="shared" si="251"/>
        <v>Bank</v>
      </c>
      <c r="S478" s="34" t="str">
        <f t="shared" si="252"/>
        <v>Kas</v>
      </c>
      <c r="T478" s="34" t="str">
        <f t="shared" si="253"/>
        <v/>
      </c>
      <c r="U478" s="34" t="str">
        <f>IF(AND(L478=1,bp_kode=T478,T478&lt;&gt;""),COUNTIF($T$8:T478,T478),"")</f>
        <v/>
      </c>
      <c r="V478" s="34" t="str">
        <f t="shared" si="254"/>
        <v/>
      </c>
      <c r="W478" s="34" t="str">
        <f t="shared" si="255"/>
        <v/>
      </c>
      <c r="X478" s="34" t="str">
        <f>IF(B478="","",COUNTIF($C$8:C478,C478)&amp;C478)</f>
        <v>0</v>
      </c>
    </row>
    <row r="479" spans="2:24" ht="23.1" customHeight="1">
      <c r="B479" s="31">
        <v>44742</v>
      </c>
      <c r="C479" s="9"/>
      <c r="D479" s="9" t="s">
        <v>591</v>
      </c>
      <c r="E479" s="7"/>
      <c r="F479" s="7"/>
      <c r="G479" s="7"/>
      <c r="H479" s="7" t="s">
        <v>582</v>
      </c>
      <c r="I479" s="7" t="s">
        <v>586</v>
      </c>
      <c r="J479" s="39">
        <v>541454929</v>
      </c>
      <c r="L479" s="16">
        <f t="shared" si="246"/>
        <v>1</v>
      </c>
      <c r="M479" s="16" t="str">
        <f t="shared" si="247"/>
        <v>June</v>
      </c>
      <c r="N479" s="16" t="str">
        <f t="shared" si="248"/>
        <v/>
      </c>
      <c r="O479" s="16" t="str">
        <f>IF(N479="","",COUNTIF($N$8:N479,N479))</f>
        <v/>
      </c>
      <c r="P479" s="34" t="str">
        <f t="shared" si="249"/>
        <v>InBank</v>
      </c>
      <c r="Q479" s="34" t="str">
        <f t="shared" si="250"/>
        <v>inJuneBank</v>
      </c>
      <c r="R479" s="34" t="str">
        <f t="shared" si="251"/>
        <v>Kas</v>
      </c>
      <c r="S479" s="34" t="str">
        <f t="shared" si="252"/>
        <v>Bank</v>
      </c>
      <c r="T479" s="34" t="str">
        <f t="shared" si="253"/>
        <v/>
      </c>
      <c r="U479" s="34" t="str">
        <f>IF(AND(L479=1,bp_kode=T479,T479&lt;&gt;""),COUNTIF($T$8:T479,T479),"")</f>
        <v/>
      </c>
      <c r="V479" s="34" t="str">
        <f t="shared" si="254"/>
        <v/>
      </c>
      <c r="W479" s="34" t="str">
        <f t="shared" si="255"/>
        <v/>
      </c>
      <c r="X479" s="34" t="str">
        <f>IF(B479="","",COUNTIF($C$8:C479,C479)&amp;C479)</f>
        <v>0</v>
      </c>
    </row>
    <row r="480" spans="2:24" ht="23.1" customHeight="1">
      <c r="B480" s="31">
        <v>44742</v>
      </c>
      <c r="C480" s="9"/>
      <c r="D480" s="9" t="s">
        <v>729</v>
      </c>
      <c r="E480" s="7"/>
      <c r="F480" s="7"/>
      <c r="G480" s="7"/>
      <c r="H480" s="7" t="s">
        <v>592</v>
      </c>
      <c r="I480" s="7" t="s">
        <v>569</v>
      </c>
      <c r="J480" s="39">
        <v>6781</v>
      </c>
      <c r="L480" s="16">
        <f t="shared" si="246"/>
        <v>1</v>
      </c>
      <c r="M480" s="16" t="str">
        <f t="shared" si="247"/>
        <v>June</v>
      </c>
      <c r="N480" s="16" t="str">
        <f t="shared" si="248"/>
        <v/>
      </c>
      <c r="O480" s="16" t="str">
        <f>IF(N480="","",COUNTIF($N$8:N480,N480))</f>
        <v/>
      </c>
      <c r="P480" s="34" t="str">
        <f t="shared" si="249"/>
        <v>InPendapatan Lainnya</v>
      </c>
      <c r="Q480" s="34" t="str">
        <f t="shared" si="250"/>
        <v>inJunePendapatan Lainnya</v>
      </c>
      <c r="R480" s="34" t="str">
        <f t="shared" si="251"/>
        <v>Bank</v>
      </c>
      <c r="S480" s="34" t="str">
        <f t="shared" si="252"/>
        <v>Pendapatan Lainnya</v>
      </c>
      <c r="T480" s="34" t="str">
        <f t="shared" si="253"/>
        <v/>
      </c>
      <c r="U480" s="34" t="str">
        <f>IF(AND(L480=1,bp_kode=T480,T480&lt;&gt;""),COUNTIF($T$8:T480,T480),"")</f>
        <v/>
      </c>
      <c r="V480" s="34" t="str">
        <f t="shared" si="254"/>
        <v>kr</v>
      </c>
      <c r="W480" s="34" t="str">
        <f t="shared" si="255"/>
        <v>kr</v>
      </c>
      <c r="X480" s="34" t="str">
        <f>IF(B480="","",COUNTIF($C$8:C480,C480)&amp;C480)</f>
        <v>0</v>
      </c>
    </row>
    <row r="481" spans="2:24" ht="23.1" customHeight="1">
      <c r="B481" s="31">
        <v>44742</v>
      </c>
      <c r="C481" s="9"/>
      <c r="D481" s="9" t="s">
        <v>570</v>
      </c>
      <c r="E481" s="7"/>
      <c r="F481" s="7"/>
      <c r="G481" s="7"/>
      <c r="H481" s="7" t="s">
        <v>571</v>
      </c>
      <c r="I481" s="7" t="s">
        <v>592</v>
      </c>
      <c r="J481" s="39">
        <v>1357</v>
      </c>
      <c r="L481" s="16">
        <f t="shared" si="246"/>
        <v>1</v>
      </c>
      <c r="M481" s="16" t="str">
        <f t="shared" si="247"/>
        <v>June</v>
      </c>
      <c r="N481" s="16" t="str">
        <f t="shared" si="248"/>
        <v/>
      </c>
      <c r="O481" s="16" t="str">
        <f>IF(N481="","",COUNTIF($N$8:N481,N481))</f>
        <v/>
      </c>
      <c r="P481" s="34" t="str">
        <f t="shared" si="249"/>
        <v>outBeban Lainnya</v>
      </c>
      <c r="Q481" s="34" t="str">
        <f t="shared" si="250"/>
        <v>outJuneBeban Lainnya</v>
      </c>
      <c r="R481" s="34" t="str">
        <f t="shared" si="251"/>
        <v>Beban Lainnya</v>
      </c>
      <c r="S481" s="34" t="str">
        <f t="shared" si="252"/>
        <v>Bank</v>
      </c>
      <c r="T481" s="34" t="str">
        <f t="shared" si="253"/>
        <v/>
      </c>
      <c r="U481" s="34" t="str">
        <f>IF(AND(L481=1,bp_kode=T481,T481&lt;&gt;""),COUNTIF($T$8:T481,T481),"")</f>
        <v/>
      </c>
      <c r="V481" s="34" t="str">
        <f t="shared" si="254"/>
        <v>db</v>
      </c>
      <c r="W481" s="34" t="str">
        <f t="shared" si="255"/>
        <v>db</v>
      </c>
      <c r="X481" s="34" t="str">
        <f>IF(B481="","",COUNTIF($C$8:C481,C481)&amp;C481)</f>
        <v>0</v>
      </c>
    </row>
    <row r="482" spans="2:24" ht="23.1" customHeight="1">
      <c r="B482" s="31">
        <v>44742</v>
      </c>
      <c r="C482" s="9"/>
      <c r="D482" s="9" t="s">
        <v>572</v>
      </c>
      <c r="E482" s="7"/>
      <c r="F482" s="7"/>
      <c r="G482" s="7"/>
      <c r="H482" s="7" t="s">
        <v>640</v>
      </c>
      <c r="I482" s="7" t="s">
        <v>592</v>
      </c>
      <c r="J482" s="39">
        <v>25000</v>
      </c>
      <c r="L482" s="16">
        <f t="shared" si="246"/>
        <v>1</v>
      </c>
      <c r="M482" s="16" t="str">
        <f t="shared" si="247"/>
        <v>June</v>
      </c>
      <c r="N482" s="16" t="str">
        <f t="shared" si="248"/>
        <v/>
      </c>
      <c r="O482" s="16" t="str">
        <f>IF(N482="","",COUNTIF($N$8:N482,N482))</f>
        <v/>
      </c>
      <c r="P482" s="34" t="str">
        <f t="shared" si="249"/>
        <v>outBeban Lainnya</v>
      </c>
      <c r="Q482" s="34" t="str">
        <f t="shared" si="250"/>
        <v>outJuneBeban Lainnya</v>
      </c>
      <c r="R482" s="34" t="str">
        <f t="shared" si="251"/>
        <v>Beban Lainnya</v>
      </c>
      <c r="S482" s="34" t="str">
        <f t="shared" si="252"/>
        <v>Bank</v>
      </c>
      <c r="T482" s="34" t="str">
        <f t="shared" si="253"/>
        <v/>
      </c>
      <c r="U482" s="34" t="str">
        <f>IF(AND(L482=1,bp_kode=T482,T482&lt;&gt;""),COUNTIF($T$8:T482,T482),"")</f>
        <v/>
      </c>
      <c r="V482" s="34" t="str">
        <f t="shared" si="254"/>
        <v>db</v>
      </c>
      <c r="W482" s="34" t="str">
        <f t="shared" si="255"/>
        <v>db</v>
      </c>
      <c r="X482" s="34" t="str">
        <f>IF(B482="","",COUNTIF($C$8:C482,C482)&amp;C482)</f>
        <v>0</v>
      </c>
    </row>
    <row r="483" spans="2:24" ht="23.1" customHeight="1">
      <c r="B483" s="31">
        <v>44742</v>
      </c>
      <c r="C483" s="9"/>
      <c r="D483" s="9" t="s">
        <v>573</v>
      </c>
      <c r="E483" s="7"/>
      <c r="F483" s="7"/>
      <c r="G483" s="7"/>
      <c r="H483" s="7" t="s">
        <v>592</v>
      </c>
      <c r="I483" s="7" t="s">
        <v>559</v>
      </c>
      <c r="J483" s="39">
        <v>12850000</v>
      </c>
      <c r="L483" s="16">
        <f t="shared" si="246"/>
        <v>1</v>
      </c>
      <c r="M483" s="16" t="str">
        <f t="shared" si="247"/>
        <v>June</v>
      </c>
      <c r="N483" s="16" t="str">
        <f t="shared" si="248"/>
        <v/>
      </c>
      <c r="O483" s="16" t="str">
        <f>IF(N483="","",COUNTIF($N$8:N483,N483))</f>
        <v/>
      </c>
      <c r="P483" s="34" t="str">
        <f t="shared" si="249"/>
        <v>InAkun Piutang</v>
      </c>
      <c r="Q483" s="34" t="str">
        <f t="shared" si="250"/>
        <v>inJuneAkun Piutang</v>
      </c>
      <c r="R483" s="34" t="str">
        <f t="shared" si="251"/>
        <v>Bank</v>
      </c>
      <c r="S483" s="34" t="str">
        <f t="shared" si="252"/>
        <v>Akun Piutang</v>
      </c>
      <c r="T483" s="34">
        <f t="shared" si="253"/>
        <v>0</v>
      </c>
      <c r="U483" s="34" t="str">
        <f>IF(AND(L483=1,bp_kode=T483,T483&lt;&gt;""),COUNTIF($T$8:T483,T483),"")</f>
        <v/>
      </c>
      <c r="V483" s="34" t="str">
        <f t="shared" si="254"/>
        <v/>
      </c>
      <c r="W483" s="34" t="str">
        <f t="shared" si="255"/>
        <v/>
      </c>
      <c r="X483" s="34" t="str">
        <f>IF(B483="","",COUNTIF($C$8:C483,C483)&amp;C483)</f>
        <v>0</v>
      </c>
    </row>
    <row r="484" spans="2:24" ht="23.1" customHeight="1">
      <c r="B484" s="31">
        <v>44742</v>
      </c>
      <c r="C484" s="9"/>
      <c r="D484" s="9" t="s">
        <v>730</v>
      </c>
      <c r="E484" s="7"/>
      <c r="F484" s="7"/>
      <c r="G484" s="7"/>
      <c r="H484" s="7" t="s">
        <v>593</v>
      </c>
      <c r="I484" s="7" t="s">
        <v>569</v>
      </c>
      <c r="J484" s="39">
        <v>4281</v>
      </c>
      <c r="L484" s="16">
        <f t="shared" si="246"/>
        <v>1</v>
      </c>
      <c r="M484" s="16" t="str">
        <f t="shared" si="247"/>
        <v>June</v>
      </c>
      <c r="N484" s="16" t="str">
        <f t="shared" si="248"/>
        <v/>
      </c>
      <c r="O484" s="16" t="str">
        <f>IF(N484="","",COUNTIF($N$8:N484,N484))</f>
        <v/>
      </c>
      <c r="P484" s="34" t="str">
        <f t="shared" si="249"/>
        <v>InPendapatan Lainnya</v>
      </c>
      <c r="Q484" s="34" t="str">
        <f t="shared" si="250"/>
        <v>inJunePendapatan Lainnya</v>
      </c>
      <c r="R484" s="34" t="str">
        <f t="shared" si="251"/>
        <v>Bank</v>
      </c>
      <c r="S484" s="34" t="str">
        <f t="shared" si="252"/>
        <v>Pendapatan Lainnya</v>
      </c>
      <c r="T484" s="34" t="str">
        <f t="shared" si="253"/>
        <v/>
      </c>
      <c r="U484" s="34" t="str">
        <f>IF(AND(L484=1,bp_kode=T484,T484&lt;&gt;""),COUNTIF($T$8:T484,T484),"")</f>
        <v/>
      </c>
      <c r="V484" s="34" t="str">
        <f t="shared" si="254"/>
        <v>kr</v>
      </c>
      <c r="W484" s="34" t="str">
        <f t="shared" si="255"/>
        <v>kr</v>
      </c>
      <c r="X484" s="34" t="str">
        <f>IF(B484="","",COUNTIF($C$8:C484,C484)&amp;C484)</f>
        <v>0</v>
      </c>
    </row>
    <row r="485" spans="2:24" ht="23.1" customHeight="1">
      <c r="B485" s="31">
        <v>44742</v>
      </c>
      <c r="C485" s="9"/>
      <c r="D485" s="9" t="s">
        <v>570</v>
      </c>
      <c r="E485" s="7"/>
      <c r="F485" s="7"/>
      <c r="G485" s="7"/>
      <c r="H485" s="7" t="s">
        <v>571</v>
      </c>
      <c r="I485" s="7" t="s">
        <v>593</v>
      </c>
      <c r="J485" s="39">
        <v>627</v>
      </c>
      <c r="L485" s="16">
        <f t="shared" si="246"/>
        <v>1</v>
      </c>
      <c r="M485" s="16" t="str">
        <f t="shared" si="247"/>
        <v>June</v>
      </c>
      <c r="N485" s="16" t="str">
        <f t="shared" si="248"/>
        <v/>
      </c>
      <c r="O485" s="16" t="str">
        <f>IF(N485="","",COUNTIF($N$8:N485,N485))</f>
        <v/>
      </c>
      <c r="P485" s="34" t="str">
        <f t="shared" si="249"/>
        <v>outBeban Lainnya</v>
      </c>
      <c r="Q485" s="34" t="str">
        <f t="shared" si="250"/>
        <v>outJuneBeban Lainnya</v>
      </c>
      <c r="R485" s="34" t="str">
        <f t="shared" si="251"/>
        <v>Beban Lainnya</v>
      </c>
      <c r="S485" s="34" t="str">
        <f t="shared" si="252"/>
        <v>Bank</v>
      </c>
      <c r="T485" s="34" t="str">
        <f t="shared" si="253"/>
        <v/>
      </c>
      <c r="U485" s="34" t="str">
        <f>IF(AND(L485=1,bp_kode=T485,T485&lt;&gt;""),COUNTIF($T$8:T485,T485),"")</f>
        <v/>
      </c>
      <c r="V485" s="34" t="str">
        <f t="shared" si="254"/>
        <v>db</v>
      </c>
      <c r="W485" s="34" t="str">
        <f t="shared" si="255"/>
        <v>db</v>
      </c>
      <c r="X485" s="34" t="str">
        <f>IF(B485="","",COUNTIF($C$8:C485,C485)&amp;C485)</f>
        <v>0</v>
      </c>
    </row>
    <row r="486" spans="2:24" ht="23.1" customHeight="1">
      <c r="B486" s="31">
        <v>44742</v>
      </c>
      <c r="C486" s="9"/>
      <c r="D486" s="9" t="s">
        <v>572</v>
      </c>
      <c r="E486" s="7"/>
      <c r="F486" s="7"/>
      <c r="G486" s="7"/>
      <c r="H486" s="7" t="s">
        <v>640</v>
      </c>
      <c r="I486" s="7" t="s">
        <v>593</v>
      </c>
      <c r="J486" s="39">
        <v>36500</v>
      </c>
      <c r="L486" s="16">
        <f t="shared" si="246"/>
        <v>1</v>
      </c>
      <c r="M486" s="16" t="str">
        <f t="shared" si="247"/>
        <v>June</v>
      </c>
      <c r="N486" s="16" t="str">
        <f t="shared" si="248"/>
        <v/>
      </c>
      <c r="O486" s="16" t="str">
        <f>IF(N486="","",COUNTIF($N$8:N486,N486))</f>
        <v/>
      </c>
      <c r="P486" s="34" t="str">
        <f t="shared" si="249"/>
        <v>outBeban Lainnya</v>
      </c>
      <c r="Q486" s="34" t="str">
        <f t="shared" si="250"/>
        <v>outJuneBeban Lainnya</v>
      </c>
      <c r="R486" s="34" t="str">
        <f t="shared" si="251"/>
        <v>Beban Lainnya</v>
      </c>
      <c r="S486" s="34" t="str">
        <f t="shared" si="252"/>
        <v>Bank</v>
      </c>
      <c r="T486" s="34" t="str">
        <f t="shared" si="253"/>
        <v/>
      </c>
      <c r="U486" s="34" t="str">
        <f>IF(AND(L486=1,bp_kode=T486,T486&lt;&gt;""),COUNTIF($T$8:T486,T486),"")</f>
        <v/>
      </c>
      <c r="V486" s="34" t="str">
        <f t="shared" si="254"/>
        <v>db</v>
      </c>
      <c r="W486" s="34" t="str">
        <f t="shared" si="255"/>
        <v>db</v>
      </c>
      <c r="X486" s="34" t="str">
        <f>IF(B486="","",COUNTIF($C$8:C486,C486)&amp;C486)</f>
        <v>0</v>
      </c>
    </row>
    <row r="487" spans="2:24" ht="23.1" customHeight="1">
      <c r="B487" s="31">
        <v>44742</v>
      </c>
      <c r="C487" s="9"/>
      <c r="D487" s="9" t="s">
        <v>595</v>
      </c>
      <c r="E487" s="7"/>
      <c r="F487" s="7"/>
      <c r="G487" s="7"/>
      <c r="H487" s="7" t="s">
        <v>594</v>
      </c>
      <c r="I487" s="7" t="s">
        <v>582</v>
      </c>
      <c r="J487" s="39">
        <v>12800563</v>
      </c>
      <c r="L487" s="16">
        <f t="shared" si="246"/>
        <v>1</v>
      </c>
      <c r="M487" s="16" t="str">
        <f t="shared" si="247"/>
        <v>June</v>
      </c>
      <c r="N487" s="16" t="str">
        <f t="shared" si="248"/>
        <v/>
      </c>
      <c r="O487" s="16" t="str">
        <f>IF(N487="","",COUNTIF($N$8:N487,N487))</f>
        <v/>
      </c>
      <c r="P487" s="34" t="str">
        <f t="shared" si="249"/>
        <v>outAktiva Lancar Lainnya</v>
      </c>
      <c r="Q487" s="34" t="str">
        <f t="shared" si="250"/>
        <v>outJuneAktiva Lancar Lainnya</v>
      </c>
      <c r="R487" s="34" t="str">
        <f t="shared" si="251"/>
        <v>Aktiva Lancar Lainnya</v>
      </c>
      <c r="S487" s="34" t="str">
        <f t="shared" si="252"/>
        <v>Kas</v>
      </c>
      <c r="T487" s="34" t="str">
        <f t="shared" si="253"/>
        <v/>
      </c>
      <c r="U487" s="34" t="str">
        <f>IF(AND(L487=1,bp_kode=T487,T487&lt;&gt;""),COUNTIF($T$8:T487,T487),"")</f>
        <v/>
      </c>
      <c r="V487" s="34" t="str">
        <f t="shared" si="254"/>
        <v/>
      </c>
      <c r="W487" s="34" t="str">
        <f t="shared" si="255"/>
        <v/>
      </c>
      <c r="X487" s="34" t="str">
        <f>IF(B487="","",COUNTIF($C$8:C487,C487)&amp;C487)</f>
        <v>0</v>
      </c>
    </row>
    <row r="488" spans="2:24" ht="23.1" customHeight="1">
      <c r="B488" s="31">
        <v>44742</v>
      </c>
      <c r="C488" s="9"/>
      <c r="D488" s="9" t="s">
        <v>598</v>
      </c>
      <c r="E488" s="7"/>
      <c r="F488" s="7"/>
      <c r="G488" s="7"/>
      <c r="H488" s="7" t="s">
        <v>599</v>
      </c>
      <c r="I488" s="7" t="s">
        <v>582</v>
      </c>
      <c r="J488" s="39">
        <v>5050000</v>
      </c>
      <c r="L488" s="16">
        <f t="shared" si="246"/>
        <v>1</v>
      </c>
      <c r="M488" s="16" t="str">
        <f t="shared" si="247"/>
        <v>June</v>
      </c>
      <c r="N488" s="16" t="str">
        <f t="shared" si="248"/>
        <v/>
      </c>
      <c r="O488" s="16" t="str">
        <f>IF(N488="","",COUNTIF($N$8:N488,N488))</f>
        <v/>
      </c>
      <c r="P488" s="34" t="str">
        <f t="shared" si="249"/>
        <v>outAkun Hutang</v>
      </c>
      <c r="Q488" s="34" t="str">
        <f t="shared" si="250"/>
        <v>outJuneAkun Hutang</v>
      </c>
      <c r="R488" s="34" t="str">
        <f t="shared" si="251"/>
        <v>Akun Hutang</v>
      </c>
      <c r="S488" s="34" t="str">
        <f t="shared" si="252"/>
        <v>Kas</v>
      </c>
      <c r="T488" s="34">
        <f t="shared" si="253"/>
        <v>0</v>
      </c>
      <c r="U488" s="34" t="str">
        <f>IF(AND(L488=1,bp_kode=T488,T488&lt;&gt;""),COUNTIF($T$8:T488,T488),"")</f>
        <v/>
      </c>
      <c r="V488" s="34" t="str">
        <f t="shared" si="254"/>
        <v/>
      </c>
      <c r="W488" s="34" t="str">
        <f t="shared" si="255"/>
        <v/>
      </c>
      <c r="X488" s="34" t="str">
        <f>IF(B488="","",COUNTIF($C$8:C488,C488)&amp;C488)</f>
        <v>0</v>
      </c>
    </row>
    <row r="489" spans="2:24" ht="23.1" customHeight="1">
      <c r="B489" s="31">
        <v>44742</v>
      </c>
      <c r="C489" s="9"/>
      <c r="D489" s="9" t="s">
        <v>600</v>
      </c>
      <c r="E489" s="7"/>
      <c r="F489" s="7"/>
      <c r="G489" s="7"/>
      <c r="H489" s="7" t="s">
        <v>601</v>
      </c>
      <c r="I489" s="7" t="s">
        <v>582</v>
      </c>
      <c r="J489" s="39">
        <v>10170000</v>
      </c>
      <c r="L489" s="16">
        <f t="shared" si="246"/>
        <v>1</v>
      </c>
      <c r="M489" s="16" t="str">
        <f t="shared" si="247"/>
        <v>June</v>
      </c>
      <c r="N489" s="16" t="str">
        <f t="shared" si="248"/>
        <v/>
      </c>
      <c r="O489" s="16" t="str">
        <f>IF(N489="","",COUNTIF($N$8:N489,N489))</f>
        <v/>
      </c>
      <c r="P489" s="34" t="str">
        <f t="shared" si="249"/>
        <v>outKewajiban Lancar Lainnya</v>
      </c>
      <c r="Q489" s="34" t="str">
        <f t="shared" si="250"/>
        <v>outJuneKewajiban Lancar Lainnya</v>
      </c>
      <c r="R489" s="34" t="str">
        <f t="shared" si="251"/>
        <v>Kewajiban Lancar Lainnya</v>
      </c>
      <c r="S489" s="34" t="str">
        <f t="shared" si="252"/>
        <v>Kas</v>
      </c>
      <c r="T489" s="34" t="str">
        <f t="shared" si="253"/>
        <v/>
      </c>
      <c r="U489" s="34" t="str">
        <f>IF(AND(L489=1,bp_kode=T489,T489&lt;&gt;""),COUNTIF($T$8:T489,T489),"")</f>
        <v/>
      </c>
      <c r="V489" s="34" t="str">
        <f t="shared" si="254"/>
        <v/>
      </c>
      <c r="W489" s="34" t="str">
        <f t="shared" si="255"/>
        <v/>
      </c>
      <c r="X489" s="34" t="str">
        <f>IF(B489="","",COUNTIF($C$8:C489,C489)&amp;C489)</f>
        <v>0</v>
      </c>
    </row>
    <row r="490" spans="2:24" ht="23.1" customHeight="1">
      <c r="B490" s="31">
        <v>44742</v>
      </c>
      <c r="C490" s="9"/>
      <c r="D490" s="9" t="s">
        <v>604</v>
      </c>
      <c r="E490" s="7"/>
      <c r="F490" s="7"/>
      <c r="G490" s="7"/>
      <c r="H490" s="7" t="s">
        <v>602</v>
      </c>
      <c r="I490" s="7" t="s">
        <v>582</v>
      </c>
      <c r="J490" s="39">
        <v>3124450</v>
      </c>
      <c r="L490" s="16">
        <f t="shared" si="246"/>
        <v>1</v>
      </c>
      <c r="M490" s="16" t="str">
        <f t="shared" si="247"/>
        <v>June</v>
      </c>
      <c r="N490" s="16" t="str">
        <f t="shared" si="248"/>
        <v/>
      </c>
      <c r="O490" s="16" t="str">
        <f>IF(N490="","",COUNTIF($N$8:N490,N490))</f>
        <v/>
      </c>
      <c r="P490" s="34" t="str">
        <f t="shared" si="249"/>
        <v>outHarga Pokok Penjualan</v>
      </c>
      <c r="Q490" s="34" t="str">
        <f t="shared" si="250"/>
        <v>outJuneHarga Pokok Penjualan</v>
      </c>
      <c r="R490" s="34" t="str">
        <f t="shared" si="251"/>
        <v>Harga Pokok Penjualan</v>
      </c>
      <c r="S490" s="34" t="str">
        <f t="shared" si="252"/>
        <v>Kas</v>
      </c>
      <c r="T490" s="34" t="str">
        <f t="shared" si="253"/>
        <v/>
      </c>
      <c r="U490" s="34" t="str">
        <f>IF(AND(L490=1,bp_kode=T490,T490&lt;&gt;""),COUNTIF($T$8:T490,T490),"")</f>
        <v/>
      </c>
      <c r="V490" s="34" t="str">
        <f t="shared" si="254"/>
        <v>db</v>
      </c>
      <c r="W490" s="34" t="str">
        <f t="shared" si="255"/>
        <v>db</v>
      </c>
      <c r="X490" s="34" t="str">
        <f>IF(B490="","",COUNTIF($C$8:C490,C490)&amp;C490)</f>
        <v>0</v>
      </c>
    </row>
    <row r="491" spans="2:24" ht="23.1" customHeight="1">
      <c r="B491" s="31">
        <v>44742</v>
      </c>
      <c r="C491" s="9"/>
      <c r="D491" s="9" t="s">
        <v>605</v>
      </c>
      <c r="E491" s="7"/>
      <c r="F491" s="7"/>
      <c r="G491" s="7"/>
      <c r="H491" s="7" t="s">
        <v>603</v>
      </c>
      <c r="I491" s="7" t="s">
        <v>582</v>
      </c>
      <c r="J491" s="39">
        <v>7301250</v>
      </c>
      <c r="L491" s="16">
        <f t="shared" si="246"/>
        <v>1</v>
      </c>
      <c r="M491" s="16" t="str">
        <f t="shared" si="247"/>
        <v>June</v>
      </c>
      <c r="N491" s="16" t="str">
        <f t="shared" si="248"/>
        <v/>
      </c>
      <c r="O491" s="16" t="str">
        <f>IF(N491="","",COUNTIF($N$8:N491,N491))</f>
        <v/>
      </c>
      <c r="P491" s="34" t="str">
        <f t="shared" si="249"/>
        <v>outHarga Pokok Penjualan</v>
      </c>
      <c r="Q491" s="34" t="str">
        <f t="shared" si="250"/>
        <v>outJuneHarga Pokok Penjualan</v>
      </c>
      <c r="R491" s="34" t="str">
        <f t="shared" si="251"/>
        <v>Harga Pokok Penjualan</v>
      </c>
      <c r="S491" s="34" t="str">
        <f t="shared" si="252"/>
        <v>Kas</v>
      </c>
      <c r="T491" s="34" t="str">
        <f t="shared" si="253"/>
        <v/>
      </c>
      <c r="U491" s="34" t="str">
        <f>IF(AND(L491=1,bp_kode=T491,T491&lt;&gt;""),COUNTIF($T$8:T491,T491),"")</f>
        <v/>
      </c>
      <c r="V491" s="34" t="str">
        <f t="shared" si="254"/>
        <v>db</v>
      </c>
      <c r="W491" s="34" t="str">
        <f t="shared" si="255"/>
        <v>db</v>
      </c>
      <c r="X491" s="34" t="str">
        <f>IF(B491="","",COUNTIF($C$8:C491,C491)&amp;C491)</f>
        <v>0</v>
      </c>
    </row>
    <row r="492" spans="2:24" ht="23.1" customHeight="1">
      <c r="B492" s="31">
        <v>44742</v>
      </c>
      <c r="C492" s="9"/>
      <c r="D492" s="9" t="s">
        <v>609</v>
      </c>
      <c r="E492" s="7"/>
      <c r="F492" s="7"/>
      <c r="G492" s="7"/>
      <c r="H492" s="7" t="s">
        <v>606</v>
      </c>
      <c r="I492" s="7" t="s">
        <v>582</v>
      </c>
      <c r="J492" s="39">
        <v>3500000</v>
      </c>
      <c r="L492" s="16">
        <f t="shared" si="246"/>
        <v>1</v>
      </c>
      <c r="M492" s="16" t="str">
        <f t="shared" si="247"/>
        <v>June</v>
      </c>
      <c r="N492" s="16" t="str">
        <f t="shared" si="248"/>
        <v/>
      </c>
      <c r="O492" s="16" t="str">
        <f>IF(N492="","",COUNTIF($N$8:N492,N492))</f>
        <v/>
      </c>
      <c r="P492" s="34" t="str">
        <f t="shared" si="249"/>
        <v>outHarga Pokok Penjualan</v>
      </c>
      <c r="Q492" s="34" t="str">
        <f t="shared" si="250"/>
        <v>outJuneHarga Pokok Penjualan</v>
      </c>
      <c r="R492" s="34" t="str">
        <f t="shared" si="251"/>
        <v>Harga Pokok Penjualan</v>
      </c>
      <c r="S492" s="34" t="str">
        <f t="shared" si="252"/>
        <v>Kas</v>
      </c>
      <c r="T492" s="34" t="str">
        <f t="shared" si="253"/>
        <v/>
      </c>
      <c r="U492" s="34" t="str">
        <f>IF(AND(L492=1,bp_kode=T492,T492&lt;&gt;""),COUNTIF($T$8:T492,T492),"")</f>
        <v/>
      </c>
      <c r="V492" s="34" t="str">
        <f t="shared" si="254"/>
        <v>db</v>
      </c>
      <c r="W492" s="34" t="str">
        <f t="shared" si="255"/>
        <v>db</v>
      </c>
      <c r="X492" s="34" t="str">
        <f>IF(B492="","",COUNTIF($C$8:C492,C492)&amp;C492)</f>
        <v>0</v>
      </c>
    </row>
    <row r="493" spans="2:24" ht="23.1" customHeight="1">
      <c r="B493" s="31">
        <v>44742</v>
      </c>
      <c r="C493" s="9"/>
      <c r="D493" s="9" t="s">
        <v>610</v>
      </c>
      <c r="E493" s="7"/>
      <c r="F493" s="7"/>
      <c r="G493" s="7"/>
      <c r="H493" s="7" t="s">
        <v>607</v>
      </c>
      <c r="I493" s="7" t="s">
        <v>582</v>
      </c>
      <c r="J493" s="39">
        <v>3262959</v>
      </c>
      <c r="L493" s="16">
        <f t="shared" si="246"/>
        <v>1</v>
      </c>
      <c r="M493" s="16" t="str">
        <f t="shared" si="247"/>
        <v>June</v>
      </c>
      <c r="N493" s="16" t="str">
        <f t="shared" si="248"/>
        <v/>
      </c>
      <c r="O493" s="16" t="str">
        <f>IF(N493="","",COUNTIF($N$8:N493,N493))</f>
        <v/>
      </c>
      <c r="P493" s="34" t="str">
        <f t="shared" si="249"/>
        <v>outHarga Pokok Penjualan</v>
      </c>
      <c r="Q493" s="34" t="str">
        <f t="shared" si="250"/>
        <v>outJuneHarga Pokok Penjualan</v>
      </c>
      <c r="R493" s="34" t="str">
        <f t="shared" si="251"/>
        <v>Harga Pokok Penjualan</v>
      </c>
      <c r="S493" s="34" t="str">
        <f t="shared" si="252"/>
        <v>Kas</v>
      </c>
      <c r="T493" s="34" t="str">
        <f t="shared" si="253"/>
        <v/>
      </c>
      <c r="U493" s="34" t="str">
        <f>IF(AND(L493=1,bp_kode=T493,T493&lt;&gt;""),COUNTIF($T$8:T493,T493),"")</f>
        <v/>
      </c>
      <c r="V493" s="34" t="str">
        <f t="shared" si="254"/>
        <v>db</v>
      </c>
      <c r="W493" s="34" t="str">
        <f t="shared" si="255"/>
        <v>db</v>
      </c>
      <c r="X493" s="34" t="str">
        <f>IF(B493="","",COUNTIF($C$8:C493,C493)&amp;C493)</f>
        <v>0</v>
      </c>
    </row>
    <row r="494" spans="2:24" ht="23.1" customHeight="1">
      <c r="B494" s="31">
        <v>44742</v>
      </c>
      <c r="C494" s="9"/>
      <c r="D494" s="9" t="s">
        <v>611</v>
      </c>
      <c r="E494" s="7"/>
      <c r="F494" s="7"/>
      <c r="G494" s="7"/>
      <c r="H494" s="7" t="s">
        <v>608</v>
      </c>
      <c r="I494" s="7" t="s">
        <v>582</v>
      </c>
      <c r="J494" s="39">
        <v>3658400</v>
      </c>
      <c r="L494" s="16">
        <f t="shared" si="246"/>
        <v>1</v>
      </c>
      <c r="M494" s="16" t="str">
        <f t="shared" si="247"/>
        <v>June</v>
      </c>
      <c r="N494" s="16" t="str">
        <f t="shared" si="248"/>
        <v/>
      </c>
      <c r="O494" s="16" t="str">
        <f>IF(N494="","",COUNTIF($N$8:N494,N494))</f>
        <v/>
      </c>
      <c r="P494" s="34" t="str">
        <f t="shared" si="249"/>
        <v>outHarga Pokok Penjualan</v>
      </c>
      <c r="Q494" s="34" t="str">
        <f t="shared" si="250"/>
        <v>outJuneHarga Pokok Penjualan</v>
      </c>
      <c r="R494" s="34" t="str">
        <f t="shared" si="251"/>
        <v>Harga Pokok Penjualan</v>
      </c>
      <c r="S494" s="34" t="str">
        <f t="shared" si="252"/>
        <v>Kas</v>
      </c>
      <c r="T494" s="34" t="str">
        <f t="shared" si="253"/>
        <v/>
      </c>
      <c r="U494" s="34" t="str">
        <f>IF(AND(L494=1,bp_kode=T494,T494&lt;&gt;""),COUNTIF($T$8:T494,T494),"")</f>
        <v/>
      </c>
      <c r="V494" s="34" t="str">
        <f t="shared" si="254"/>
        <v>db</v>
      </c>
      <c r="W494" s="34" t="str">
        <f t="shared" si="255"/>
        <v>db</v>
      </c>
      <c r="X494" s="34" t="str">
        <f>IF(B494="","",COUNTIF($C$8:C494,C494)&amp;C494)</f>
        <v>0</v>
      </c>
    </row>
    <row r="495" spans="2:24" ht="23.1" customHeight="1">
      <c r="B495" s="31">
        <v>44742</v>
      </c>
      <c r="C495" s="9"/>
      <c r="D495" s="9" t="s">
        <v>746</v>
      </c>
      <c r="E495" s="7"/>
      <c r="F495" s="7"/>
      <c r="G495" s="7"/>
      <c r="H495" s="7" t="s">
        <v>745</v>
      </c>
      <c r="I495" s="7" t="s">
        <v>582</v>
      </c>
      <c r="J495" s="39">
        <v>135000</v>
      </c>
      <c r="L495" s="16">
        <f t="shared" ref="L495" si="256">IF(AND(B495&gt;=awal,B495&lt;=akhir,B495&lt;&gt;""),1,IF(AND(B495&lt;&gt;"",B495&lt;awal),2,""))</f>
        <v>1</v>
      </c>
      <c r="M495" s="16" t="str">
        <f t="shared" ref="M495" si="257">IF(B495="","",TEXT(B495,"mmmm"))</f>
        <v>June</v>
      </c>
      <c r="N495" s="16" t="str">
        <f t="shared" ref="N495" si="258">IF(AND(L495=1,H495=bb_akun),"Awe",IF(AND(L495=1,I495=bb_akun),"Awe",""))</f>
        <v/>
      </c>
      <c r="O495" s="16" t="str">
        <f>IF(N495="","",COUNTIF($N$8:N495,N495))</f>
        <v/>
      </c>
      <c r="P495" s="34" t="str">
        <f t="shared" ref="P495" si="259">IFERROR(IF(OR(INDEX(akun_type,MATCH(H495,akun_kb,0))="Kas",INDEX(akun_type,MATCH(H495,akun_kb,0))="Bank"),"In"&amp;INDEX(akun_type,MATCH(I495,akun_kb,0)),IF(OR(INDEX(akun_type,MATCH(I495,akun_kb,0))="Kas",INDEX(akun_type,MATCH(I495,akun_kb,0))="Bank"),"out"&amp;INDEX(akun_type,MATCH(H495,akun_kb,0)),"")),"")</f>
        <v>outHarga Pokok Penjualan</v>
      </c>
      <c r="Q495" s="34" t="str">
        <f t="shared" ref="Q495" si="260">IFERROR(IF(OR(INDEX(akun_type,MATCH(H495,akun_kb,0))="Kas",INDEX(akun_type,MATCH(H495,akun_kb,0))="Bank"),"in"&amp;TEXT(B495,"mmmm")&amp;INDEX(akun_type,MATCH(I495,akun_kb,0)),IF(OR(INDEX(akun_type,MATCH(I495,akun_kb,0))="Kas",INDEX(akun_type,MATCH(I495,akun_kb,0))="Bank"),"out"&amp;TEXT(B495,"mmmm")&amp;INDEX(akun_type,MATCH(H495,akun_kb,0)),"")),"")</f>
        <v>outJuneHarga Pokok Penjualan</v>
      </c>
      <c r="R495" s="34" t="str">
        <f t="shared" ref="R495" si="261">IFERROR(INDEX(akun_type,MATCH(H495,akun_kb,0)),"")</f>
        <v>Harga Pokok Penjualan</v>
      </c>
      <c r="S495" s="34" t="str">
        <f t="shared" ref="S495" si="262">IFERROR(INDEX(akun_type,MATCH(I495,akun_kb,0)),"")</f>
        <v>Kas</v>
      </c>
      <c r="T495" s="34" t="str">
        <f t="shared" ref="T495" si="263">IF(AND(L495=1,OR(R495="Akun Piutang",R495="akun hutang",S495="akun piutang",S495="akun hutang")),E495,"")</f>
        <v/>
      </c>
      <c r="U495" s="34" t="str">
        <f>IF(AND(L495=1,bp_kode=T495,T495&lt;&gt;""),COUNTIF($T$8:T495,T495),"")</f>
        <v/>
      </c>
      <c r="V495" s="34" t="str">
        <f t="shared" ref="V495" si="264">IF(OR(R495="Pendapatan",R495="Pendapatan Lainnya",R495="Beban",R495="Harga Pokok Penjualan",R495="Beban Lainnya"),"db"&amp;F495,IF(OR(S495="Pendapatan",S495="Pendapatan Lainnya",S495="Beban",S495="Harga Pokok Penjualan",S495="Beban Lainnya"),"kr"&amp;F495,""))</f>
        <v>db</v>
      </c>
      <c r="W495" s="34" t="str">
        <f t="shared" ref="W495" si="265">IF(OR(R495="Pendapatan",R495="Pendapatan Lainnya",R495="Beban",R495="Harga Pokok Penjualan",R495="Beban Lainnya"),"db"&amp;G495,IF(OR(S495="Pendapatan",S495="Pendapatan Lainnya",S495="Beban",S495="Harga Pokok Penjualan",S495="Beban Lainnya"),"kr"&amp;G495,""))</f>
        <v>db</v>
      </c>
      <c r="X495" s="34" t="str">
        <f>IF(B495="","",COUNTIF($C$8:C495,C495)&amp;C495)</f>
        <v>0</v>
      </c>
    </row>
    <row r="496" spans="2:24" ht="23.1" customHeight="1">
      <c r="B496" s="31">
        <v>44742</v>
      </c>
      <c r="C496" s="9"/>
      <c r="D496" s="9" t="s">
        <v>696</v>
      </c>
      <c r="E496" s="7"/>
      <c r="F496" s="7"/>
      <c r="G496" s="7"/>
      <c r="H496" s="7" t="s">
        <v>695</v>
      </c>
      <c r="I496" s="7" t="s">
        <v>582</v>
      </c>
      <c r="J496" s="39">
        <v>49950000</v>
      </c>
      <c r="L496" s="16">
        <f t="shared" si="246"/>
        <v>1</v>
      </c>
      <c r="M496" s="16" t="str">
        <f t="shared" si="247"/>
        <v>June</v>
      </c>
      <c r="N496" s="16" t="str">
        <f t="shared" si="248"/>
        <v>Awe</v>
      </c>
      <c r="O496" s="16">
        <f>IF(N496="","",COUNTIF($N$8:N496,N496))</f>
        <v>5</v>
      </c>
      <c r="P496" s="34" t="str">
        <f t="shared" si="249"/>
        <v>outHarga Pokok Penjualan</v>
      </c>
      <c r="Q496" s="34" t="str">
        <f t="shared" si="250"/>
        <v>outJuneHarga Pokok Penjualan</v>
      </c>
      <c r="R496" s="34" t="str">
        <f t="shared" si="251"/>
        <v>Harga Pokok Penjualan</v>
      </c>
      <c r="S496" s="34" t="str">
        <f t="shared" si="252"/>
        <v>Kas</v>
      </c>
      <c r="T496" s="34" t="str">
        <f t="shared" si="253"/>
        <v/>
      </c>
      <c r="U496" s="34" t="str">
        <f>IF(AND(L496=1,bp_kode=T496,T496&lt;&gt;""),COUNTIF($T$8:T496,T496),"")</f>
        <v/>
      </c>
      <c r="V496" s="34" t="str">
        <f t="shared" si="254"/>
        <v>db</v>
      </c>
      <c r="W496" s="34" t="str">
        <f t="shared" si="255"/>
        <v>db</v>
      </c>
      <c r="X496" s="34" t="str">
        <f>IF(B496="","",COUNTIF($C$8:C496,C496)&amp;C496)</f>
        <v>0</v>
      </c>
    </row>
    <row r="497" spans="2:24" ht="23.1" customHeight="1">
      <c r="B497" s="31">
        <v>44742</v>
      </c>
      <c r="C497" s="9"/>
      <c r="D497" s="9" t="s">
        <v>747</v>
      </c>
      <c r="E497" s="7"/>
      <c r="F497" s="7"/>
      <c r="G497" s="7"/>
      <c r="H497" s="7" t="s">
        <v>695</v>
      </c>
      <c r="I497" s="7" t="s">
        <v>738</v>
      </c>
      <c r="J497" s="39">
        <v>615000</v>
      </c>
      <c r="L497" s="16">
        <f t="shared" ref="L497" si="266">IF(AND(B497&gt;=awal,B497&lt;=akhir,B497&lt;&gt;""),1,IF(AND(B497&lt;&gt;"",B497&lt;awal),2,""))</f>
        <v>1</v>
      </c>
      <c r="M497" s="16" t="str">
        <f t="shared" ref="M497" si="267">IF(B497="","",TEXT(B497,"mmmm"))</f>
        <v>June</v>
      </c>
      <c r="N497" s="16" t="str">
        <f t="shared" ref="N497" si="268">IF(AND(L497=1,H497=bb_akun),"Awe",IF(AND(L497=1,I497=bb_akun),"Awe",""))</f>
        <v>Awe</v>
      </c>
      <c r="O497" s="16">
        <f>IF(N497="","",COUNTIF($N$8:N497,N497))</f>
        <v>6</v>
      </c>
      <c r="P497" s="34" t="str">
        <f t="shared" ref="P497" si="269">IFERROR(IF(OR(INDEX(akun_type,MATCH(H497,akun_kb,0))="Kas",INDEX(akun_type,MATCH(H497,akun_kb,0))="Bank"),"In"&amp;INDEX(akun_type,MATCH(I497,akun_kb,0)),IF(OR(INDEX(akun_type,MATCH(I497,akun_kb,0))="Kas",INDEX(akun_type,MATCH(I497,akun_kb,0))="Bank"),"out"&amp;INDEX(akun_type,MATCH(H497,akun_kb,0)),"")),"")</f>
        <v/>
      </c>
      <c r="Q497" s="34" t="str">
        <f t="shared" ref="Q497" si="270">IFERROR(IF(OR(INDEX(akun_type,MATCH(H497,akun_kb,0))="Kas",INDEX(akun_type,MATCH(H497,akun_kb,0))="Bank"),"in"&amp;TEXT(B497,"mmmm")&amp;INDEX(akun_type,MATCH(I497,akun_kb,0)),IF(OR(INDEX(akun_type,MATCH(I497,akun_kb,0))="Kas",INDEX(akun_type,MATCH(I497,akun_kb,0))="Bank"),"out"&amp;TEXT(B497,"mmmm")&amp;INDEX(akun_type,MATCH(H497,akun_kb,0)),"")),"")</f>
        <v/>
      </c>
      <c r="R497" s="34" t="str">
        <f t="shared" ref="R497" si="271">IFERROR(INDEX(akun_type,MATCH(H497,akun_kb,0)),"")</f>
        <v>Harga Pokok Penjualan</v>
      </c>
      <c r="S497" s="34" t="str">
        <f t="shared" ref="S497" si="272">IFERROR(INDEX(akun_type,MATCH(I497,akun_kb,0)),"")</f>
        <v>Persediaan</v>
      </c>
      <c r="T497" s="34" t="str">
        <f t="shared" ref="T497" si="273">IF(AND(L497=1,OR(R497="Akun Piutang",R497="akun hutang",S497="akun piutang",S497="akun hutang")),E497,"")</f>
        <v/>
      </c>
      <c r="U497" s="34" t="str">
        <f>IF(AND(L497=1,bp_kode=T497,T497&lt;&gt;""),COUNTIF($T$8:T497,T497),"")</f>
        <v/>
      </c>
      <c r="V497" s="34" t="str">
        <f t="shared" ref="V497" si="274">IF(OR(R497="Pendapatan",R497="Pendapatan Lainnya",R497="Beban",R497="Harga Pokok Penjualan",R497="Beban Lainnya"),"db"&amp;F497,IF(OR(S497="Pendapatan",S497="Pendapatan Lainnya",S497="Beban",S497="Harga Pokok Penjualan",S497="Beban Lainnya"),"kr"&amp;F497,""))</f>
        <v>db</v>
      </c>
      <c r="W497" s="34" t="str">
        <f t="shared" ref="W497" si="275">IF(OR(R497="Pendapatan",R497="Pendapatan Lainnya",R497="Beban",R497="Harga Pokok Penjualan",R497="Beban Lainnya"),"db"&amp;G497,IF(OR(S497="Pendapatan",S497="Pendapatan Lainnya",S497="Beban",S497="Harga Pokok Penjualan",S497="Beban Lainnya"),"kr"&amp;G497,""))</f>
        <v>db</v>
      </c>
      <c r="X497" s="34" t="str">
        <f>IF(B497="","",COUNTIF($C$8:C497,C497)&amp;C497)</f>
        <v>0</v>
      </c>
    </row>
    <row r="498" spans="2:24" ht="23.1" customHeight="1">
      <c r="B498" s="31">
        <v>44742</v>
      </c>
      <c r="C498" s="9"/>
      <c r="D498" s="9" t="s">
        <v>748</v>
      </c>
      <c r="E498" s="7"/>
      <c r="F498" s="7"/>
      <c r="G498" s="7"/>
      <c r="H498" s="7" t="s">
        <v>739</v>
      </c>
      <c r="I498" s="7" t="s">
        <v>695</v>
      </c>
      <c r="J498" s="39">
        <v>1780000</v>
      </c>
      <c r="L498" s="16">
        <f t="shared" ref="L498" si="276">IF(AND(B498&gt;=awal,B498&lt;=akhir,B498&lt;&gt;""),1,IF(AND(B498&lt;&gt;"",B498&lt;awal),2,""))</f>
        <v>1</v>
      </c>
      <c r="M498" s="16" t="str">
        <f t="shared" ref="M498" si="277">IF(B498="","",TEXT(B498,"mmmm"))</f>
        <v>June</v>
      </c>
      <c r="N498" s="16" t="str">
        <f t="shared" ref="N498" si="278">IF(AND(L498=1,H498=bb_akun),"Awe",IF(AND(L498=1,I498=bb_akun),"Awe",""))</f>
        <v>Awe</v>
      </c>
      <c r="O498" s="16">
        <f>IF(N498="","",COUNTIF($N$8:N498,N498))</f>
        <v>7</v>
      </c>
      <c r="P498" s="34" t="str">
        <f t="shared" ref="P498" si="279">IFERROR(IF(OR(INDEX(akun_type,MATCH(H498,akun_kb,0))="Kas",INDEX(akun_type,MATCH(H498,akun_kb,0))="Bank"),"In"&amp;INDEX(akun_type,MATCH(I498,akun_kb,0)),IF(OR(INDEX(akun_type,MATCH(I498,akun_kb,0))="Kas",INDEX(akun_type,MATCH(I498,akun_kb,0))="Bank"),"out"&amp;INDEX(akun_type,MATCH(H498,akun_kb,0)),"")),"")</f>
        <v/>
      </c>
      <c r="Q498" s="34" t="str">
        <f t="shared" ref="Q498" si="280">IFERROR(IF(OR(INDEX(akun_type,MATCH(H498,akun_kb,0))="Kas",INDEX(akun_type,MATCH(H498,akun_kb,0))="Bank"),"in"&amp;TEXT(B498,"mmmm")&amp;INDEX(akun_type,MATCH(I498,akun_kb,0)),IF(OR(INDEX(akun_type,MATCH(I498,akun_kb,0))="Kas",INDEX(akun_type,MATCH(I498,akun_kb,0))="Bank"),"out"&amp;TEXT(B498,"mmmm")&amp;INDEX(akun_type,MATCH(H498,akun_kb,0)),"")),"")</f>
        <v/>
      </c>
      <c r="R498" s="34" t="str">
        <f t="shared" ref="R498" si="281">IFERROR(INDEX(akun_type,MATCH(H498,akun_kb,0)),"")</f>
        <v>Persediaan</v>
      </c>
      <c r="S498" s="34" t="str">
        <f t="shared" ref="S498" si="282">IFERROR(INDEX(akun_type,MATCH(I498,akun_kb,0)),"")</f>
        <v>Harga Pokok Penjualan</v>
      </c>
      <c r="T498" s="34" t="str">
        <f t="shared" ref="T498" si="283">IF(AND(L498=1,OR(R498="Akun Piutang",R498="akun hutang",S498="akun piutang",S498="akun hutang")),E498,"")</f>
        <v/>
      </c>
      <c r="U498" s="34" t="str">
        <f>IF(AND(L498=1,bp_kode=T498,T498&lt;&gt;""),COUNTIF($T$8:T498,T498),"")</f>
        <v/>
      </c>
      <c r="V498" s="34" t="str">
        <f t="shared" ref="V498" si="284">IF(OR(R498="Pendapatan",R498="Pendapatan Lainnya",R498="Beban",R498="Harga Pokok Penjualan",R498="Beban Lainnya"),"db"&amp;F498,IF(OR(S498="Pendapatan",S498="Pendapatan Lainnya",S498="Beban",S498="Harga Pokok Penjualan",S498="Beban Lainnya"),"kr"&amp;F498,""))</f>
        <v>kr</v>
      </c>
      <c r="W498" s="34" t="str">
        <f t="shared" ref="W498" si="285">IF(OR(R498="Pendapatan",R498="Pendapatan Lainnya",R498="Beban",R498="Harga Pokok Penjualan",R498="Beban Lainnya"),"db"&amp;G498,IF(OR(S498="Pendapatan",S498="Pendapatan Lainnya",S498="Beban",S498="Harga Pokok Penjualan",S498="Beban Lainnya"),"kr"&amp;G498,""))</f>
        <v>kr</v>
      </c>
      <c r="X498" s="34" t="str">
        <f>IF(B498="","",COUNTIF($C$8:C498,C498)&amp;C498)</f>
        <v>0</v>
      </c>
    </row>
    <row r="499" spans="2:24" ht="23.1" customHeight="1">
      <c r="B499" s="31">
        <v>44742</v>
      </c>
      <c r="C499" s="9"/>
      <c r="D499" s="9" t="s">
        <v>612</v>
      </c>
      <c r="E499" s="7"/>
      <c r="F499" s="7"/>
      <c r="G499" s="7"/>
      <c r="H499" s="7" t="s">
        <v>613</v>
      </c>
      <c r="I499" s="7" t="s">
        <v>582</v>
      </c>
      <c r="J499" s="39">
        <v>10650000</v>
      </c>
      <c r="L499" s="16">
        <f t="shared" si="246"/>
        <v>1</v>
      </c>
      <c r="M499" s="16" t="str">
        <f t="shared" si="247"/>
        <v>June</v>
      </c>
      <c r="N499" s="16" t="str">
        <f t="shared" si="248"/>
        <v/>
      </c>
      <c r="O499" s="16" t="str">
        <f>IF(N499="","",COUNTIF($N$8:N499,N499))</f>
        <v/>
      </c>
      <c r="P499" s="34" t="str">
        <f t="shared" si="249"/>
        <v>outHarga Pokok Penjualan</v>
      </c>
      <c r="Q499" s="34" t="str">
        <f t="shared" si="250"/>
        <v>outJuneHarga Pokok Penjualan</v>
      </c>
      <c r="R499" s="34" t="str">
        <f t="shared" si="251"/>
        <v>Harga Pokok Penjualan</v>
      </c>
      <c r="S499" s="34" t="str">
        <f t="shared" si="252"/>
        <v>Kas</v>
      </c>
      <c r="T499" s="34" t="str">
        <f t="shared" si="253"/>
        <v/>
      </c>
      <c r="U499" s="34" t="str">
        <f>IF(AND(L499=1,bp_kode=T499,T499&lt;&gt;""),COUNTIF($T$8:T499,T499),"")</f>
        <v/>
      </c>
      <c r="V499" s="34" t="str">
        <f t="shared" si="254"/>
        <v>db</v>
      </c>
      <c r="W499" s="34" t="str">
        <f t="shared" si="255"/>
        <v>db</v>
      </c>
      <c r="X499" s="34" t="str">
        <f>IF(B499="","",COUNTIF($C$8:C499,C499)&amp;C499)</f>
        <v>0</v>
      </c>
    </row>
    <row r="500" spans="2:24" ht="23.1" customHeight="1">
      <c r="B500" s="31">
        <v>44742</v>
      </c>
      <c r="C500" s="9"/>
      <c r="D500" s="9" t="s">
        <v>621</v>
      </c>
      <c r="E500" s="7"/>
      <c r="F500" s="7"/>
      <c r="G500" s="7"/>
      <c r="H500" s="7" t="s">
        <v>614</v>
      </c>
      <c r="I500" s="7" t="s">
        <v>582</v>
      </c>
      <c r="J500" s="39">
        <v>12852942</v>
      </c>
      <c r="L500" s="16">
        <f t="shared" si="246"/>
        <v>1</v>
      </c>
      <c r="M500" s="16" t="str">
        <f t="shared" si="247"/>
        <v>June</v>
      </c>
      <c r="N500" s="16" t="str">
        <f t="shared" si="248"/>
        <v/>
      </c>
      <c r="O500" s="16" t="str">
        <f>IF(N500="","",COUNTIF($N$8:N500,N500))</f>
        <v/>
      </c>
      <c r="P500" s="34" t="str">
        <f t="shared" si="249"/>
        <v>outBeban</v>
      </c>
      <c r="Q500" s="34" t="str">
        <f t="shared" si="250"/>
        <v>outJuneBeban</v>
      </c>
      <c r="R500" s="34" t="str">
        <f t="shared" si="251"/>
        <v>Beban</v>
      </c>
      <c r="S500" s="34" t="str">
        <f t="shared" si="252"/>
        <v>Kas</v>
      </c>
      <c r="T500" s="34" t="str">
        <f t="shared" si="253"/>
        <v/>
      </c>
      <c r="U500" s="34" t="str">
        <f>IF(AND(L500=1,bp_kode=T500,T500&lt;&gt;""),COUNTIF($T$8:T500,T500),"")</f>
        <v/>
      </c>
      <c r="V500" s="34" t="str">
        <f t="shared" si="254"/>
        <v>db</v>
      </c>
      <c r="W500" s="34" t="str">
        <f t="shared" si="255"/>
        <v>db</v>
      </c>
      <c r="X500" s="34" t="str">
        <f>IF(B500="","",COUNTIF($C$8:C500,C500)&amp;C500)</f>
        <v>0</v>
      </c>
    </row>
    <row r="501" spans="2:24" ht="23.1" customHeight="1">
      <c r="B501" s="31">
        <v>44742</v>
      </c>
      <c r="C501" s="9"/>
      <c r="D501" s="9" t="s">
        <v>622</v>
      </c>
      <c r="E501" s="7"/>
      <c r="F501" s="7"/>
      <c r="G501" s="7"/>
      <c r="H501" s="7" t="s">
        <v>615</v>
      </c>
      <c r="I501" s="7" t="s">
        <v>582</v>
      </c>
      <c r="J501" s="39">
        <v>2428800</v>
      </c>
      <c r="L501" s="16">
        <f t="shared" si="246"/>
        <v>1</v>
      </c>
      <c r="M501" s="16" t="str">
        <f t="shared" si="247"/>
        <v>June</v>
      </c>
      <c r="N501" s="16" t="str">
        <f t="shared" si="248"/>
        <v/>
      </c>
      <c r="O501" s="16" t="str">
        <f>IF(N501="","",COUNTIF($N$8:N501,N501))</f>
        <v/>
      </c>
      <c r="P501" s="34" t="str">
        <f t="shared" si="249"/>
        <v>outBeban</v>
      </c>
      <c r="Q501" s="34" t="str">
        <f t="shared" si="250"/>
        <v>outJuneBeban</v>
      </c>
      <c r="R501" s="34" t="str">
        <f t="shared" si="251"/>
        <v>Beban</v>
      </c>
      <c r="S501" s="34" t="str">
        <f t="shared" si="252"/>
        <v>Kas</v>
      </c>
      <c r="T501" s="34" t="str">
        <f t="shared" si="253"/>
        <v/>
      </c>
      <c r="U501" s="34" t="str">
        <f>IF(AND(L501=1,bp_kode=T501,T501&lt;&gt;""),COUNTIF($T$8:T501,T501),"")</f>
        <v/>
      </c>
      <c r="V501" s="34" t="str">
        <f t="shared" si="254"/>
        <v>db</v>
      </c>
      <c r="W501" s="34" t="str">
        <f t="shared" si="255"/>
        <v>db</v>
      </c>
      <c r="X501" s="34" t="str">
        <f>IF(B501="","",COUNTIF($C$8:C501,C501)&amp;C501)</f>
        <v>0</v>
      </c>
    </row>
    <row r="502" spans="2:24" ht="23.1" customHeight="1">
      <c r="B502" s="31">
        <v>44742</v>
      </c>
      <c r="C502" s="9"/>
      <c r="D502" s="9" t="s">
        <v>623</v>
      </c>
      <c r="E502" s="7"/>
      <c r="F502" s="7"/>
      <c r="G502" s="7"/>
      <c r="H502" s="7" t="s">
        <v>616</v>
      </c>
      <c r="I502" s="7" t="s">
        <v>582</v>
      </c>
      <c r="J502" s="39">
        <v>1200000</v>
      </c>
      <c r="L502" s="16">
        <f t="shared" si="246"/>
        <v>1</v>
      </c>
      <c r="M502" s="16" t="str">
        <f t="shared" si="247"/>
        <v>June</v>
      </c>
      <c r="N502" s="16" t="str">
        <f t="shared" si="248"/>
        <v/>
      </c>
      <c r="O502" s="16" t="str">
        <f>IF(N502="","",COUNTIF($N$8:N502,N502))</f>
        <v/>
      </c>
      <c r="P502" s="34" t="str">
        <f t="shared" si="249"/>
        <v>outBeban</v>
      </c>
      <c r="Q502" s="34" t="str">
        <f t="shared" si="250"/>
        <v>outJuneBeban</v>
      </c>
      <c r="R502" s="34" t="str">
        <f t="shared" si="251"/>
        <v>Beban</v>
      </c>
      <c r="S502" s="34" t="str">
        <f t="shared" si="252"/>
        <v>Kas</v>
      </c>
      <c r="T502" s="34" t="str">
        <f t="shared" si="253"/>
        <v/>
      </c>
      <c r="U502" s="34" t="str">
        <f>IF(AND(L502=1,bp_kode=T502,T502&lt;&gt;""),COUNTIF($T$8:T502,T502),"")</f>
        <v/>
      </c>
      <c r="V502" s="34" t="str">
        <f t="shared" si="254"/>
        <v>db</v>
      </c>
      <c r="W502" s="34" t="str">
        <f t="shared" si="255"/>
        <v>db</v>
      </c>
      <c r="X502" s="34" t="str">
        <f>IF(B502="","",COUNTIF($C$8:C502,C502)&amp;C502)</f>
        <v>0</v>
      </c>
    </row>
    <row r="503" spans="2:24" ht="23.1" customHeight="1">
      <c r="B503" s="31">
        <v>44742</v>
      </c>
      <c r="C503" s="9"/>
      <c r="D503" s="9" t="s">
        <v>624</v>
      </c>
      <c r="E503" s="7"/>
      <c r="F503" s="7"/>
      <c r="G503" s="7"/>
      <c r="H503" s="7" t="s">
        <v>617</v>
      </c>
      <c r="I503" s="7" t="s">
        <v>582</v>
      </c>
      <c r="J503" s="39">
        <v>32132356</v>
      </c>
      <c r="L503" s="16">
        <f t="shared" si="246"/>
        <v>1</v>
      </c>
      <c r="M503" s="16" t="str">
        <f t="shared" si="247"/>
        <v>June</v>
      </c>
      <c r="N503" s="16" t="str">
        <f t="shared" si="248"/>
        <v/>
      </c>
      <c r="O503" s="16" t="str">
        <f>IF(N503="","",COUNTIF($N$8:N503,N503))</f>
        <v/>
      </c>
      <c r="P503" s="34" t="str">
        <f t="shared" si="249"/>
        <v>outBeban</v>
      </c>
      <c r="Q503" s="34" t="str">
        <f t="shared" si="250"/>
        <v>outJuneBeban</v>
      </c>
      <c r="R503" s="34" t="str">
        <f t="shared" si="251"/>
        <v>Beban</v>
      </c>
      <c r="S503" s="34" t="str">
        <f t="shared" si="252"/>
        <v>Kas</v>
      </c>
      <c r="T503" s="34" t="str">
        <f t="shared" si="253"/>
        <v/>
      </c>
      <c r="U503" s="34" t="str">
        <f>IF(AND(L503=1,bp_kode=T503,T503&lt;&gt;""),COUNTIF($T$8:T503,T503),"")</f>
        <v/>
      </c>
      <c r="V503" s="34" t="str">
        <f t="shared" si="254"/>
        <v>db</v>
      </c>
      <c r="W503" s="34" t="str">
        <f t="shared" si="255"/>
        <v>db</v>
      </c>
      <c r="X503" s="34" t="str">
        <f>IF(B503="","",COUNTIF($C$8:C503,C503)&amp;C503)</f>
        <v>0</v>
      </c>
    </row>
    <row r="504" spans="2:24" ht="23.1" customHeight="1">
      <c r="B504" s="31">
        <v>44742</v>
      </c>
      <c r="C504" s="9"/>
      <c r="D504" s="9" t="s">
        <v>625</v>
      </c>
      <c r="E504" s="7"/>
      <c r="F504" s="7"/>
      <c r="G504" s="7"/>
      <c r="H504" s="7" t="s">
        <v>618</v>
      </c>
      <c r="I504" s="7" t="s">
        <v>582</v>
      </c>
      <c r="J504" s="39">
        <v>200095003</v>
      </c>
      <c r="L504" s="16">
        <f t="shared" si="246"/>
        <v>1</v>
      </c>
      <c r="M504" s="16" t="str">
        <f t="shared" si="247"/>
        <v>June</v>
      </c>
      <c r="N504" s="16" t="str">
        <f t="shared" si="248"/>
        <v/>
      </c>
      <c r="O504" s="16" t="str">
        <f>IF(N504="","",COUNTIF($N$8:N504,N504))</f>
        <v/>
      </c>
      <c r="P504" s="34" t="str">
        <f t="shared" si="249"/>
        <v>outBeban</v>
      </c>
      <c r="Q504" s="34" t="str">
        <f t="shared" si="250"/>
        <v>outJuneBeban</v>
      </c>
      <c r="R504" s="34" t="str">
        <f t="shared" si="251"/>
        <v>Beban</v>
      </c>
      <c r="S504" s="34" t="str">
        <f t="shared" si="252"/>
        <v>Kas</v>
      </c>
      <c r="T504" s="34" t="str">
        <f t="shared" si="253"/>
        <v/>
      </c>
      <c r="U504" s="34" t="str">
        <f>IF(AND(L504=1,bp_kode=T504,T504&lt;&gt;""),COUNTIF($T$8:T504,T504),"")</f>
        <v/>
      </c>
      <c r="V504" s="34" t="str">
        <f t="shared" si="254"/>
        <v>db</v>
      </c>
      <c r="W504" s="34" t="str">
        <f t="shared" si="255"/>
        <v>db</v>
      </c>
      <c r="X504" s="34" t="str">
        <f>IF(B504="","",COUNTIF($C$8:C504,C504)&amp;C504)</f>
        <v>0</v>
      </c>
    </row>
    <row r="505" spans="2:24" ht="23.1" customHeight="1">
      <c r="B505" s="31">
        <v>44742</v>
      </c>
      <c r="C505" s="9"/>
      <c r="D505" s="9" t="s">
        <v>626</v>
      </c>
      <c r="E505" s="7"/>
      <c r="F505" s="7"/>
      <c r="G505" s="7"/>
      <c r="H505" s="7" t="s">
        <v>619</v>
      </c>
      <c r="I505" s="7" t="s">
        <v>582</v>
      </c>
      <c r="J505" s="39">
        <v>209209366</v>
      </c>
      <c r="L505" s="16">
        <f t="shared" si="246"/>
        <v>1</v>
      </c>
      <c r="M505" s="16" t="str">
        <f t="shared" si="247"/>
        <v>June</v>
      </c>
      <c r="N505" s="16" t="str">
        <f t="shared" si="248"/>
        <v/>
      </c>
      <c r="O505" s="16" t="str">
        <f>IF(N505="","",COUNTIF($N$8:N505,N505))</f>
        <v/>
      </c>
      <c r="P505" s="34" t="str">
        <f t="shared" si="249"/>
        <v>outBeban</v>
      </c>
      <c r="Q505" s="34" t="str">
        <f t="shared" si="250"/>
        <v>outJuneBeban</v>
      </c>
      <c r="R505" s="34" t="str">
        <f t="shared" si="251"/>
        <v>Beban</v>
      </c>
      <c r="S505" s="34" t="str">
        <f t="shared" si="252"/>
        <v>Kas</v>
      </c>
      <c r="T505" s="34" t="str">
        <f t="shared" si="253"/>
        <v/>
      </c>
      <c r="U505" s="34" t="str">
        <f>IF(AND(L505=1,bp_kode=T505,T505&lt;&gt;""),COUNTIF($T$8:T505,T505),"")</f>
        <v/>
      </c>
      <c r="V505" s="34" t="str">
        <f t="shared" si="254"/>
        <v>db</v>
      </c>
      <c r="W505" s="34" t="str">
        <f t="shared" si="255"/>
        <v>db</v>
      </c>
      <c r="X505" s="34" t="str">
        <f>IF(B505="","",COUNTIF($C$8:C505,C505)&amp;C505)</f>
        <v>0</v>
      </c>
    </row>
    <row r="506" spans="2:24" ht="23.1" customHeight="1">
      <c r="B506" s="31">
        <v>44742</v>
      </c>
      <c r="C506" s="9"/>
      <c r="D506" s="9" t="s">
        <v>627</v>
      </c>
      <c r="E506" s="7"/>
      <c r="F506" s="7"/>
      <c r="G506" s="7"/>
      <c r="H506" s="7" t="s">
        <v>620</v>
      </c>
      <c r="I506" s="7" t="s">
        <v>582</v>
      </c>
      <c r="J506" s="39">
        <v>26115212</v>
      </c>
      <c r="L506" s="16">
        <f t="shared" si="246"/>
        <v>1</v>
      </c>
      <c r="M506" s="16" t="str">
        <f t="shared" si="247"/>
        <v>June</v>
      </c>
      <c r="N506" s="16" t="str">
        <f t="shared" si="248"/>
        <v/>
      </c>
      <c r="O506" s="16" t="str">
        <f>IF(N506="","",COUNTIF($N$8:N506,N506))</f>
        <v/>
      </c>
      <c r="P506" s="34" t="str">
        <f t="shared" si="249"/>
        <v>outBeban</v>
      </c>
      <c r="Q506" s="34" t="str">
        <f t="shared" si="250"/>
        <v>outJuneBeban</v>
      </c>
      <c r="R506" s="34" t="str">
        <f t="shared" si="251"/>
        <v>Beban</v>
      </c>
      <c r="S506" s="34" t="str">
        <f t="shared" si="252"/>
        <v>Kas</v>
      </c>
      <c r="T506" s="34" t="str">
        <f t="shared" si="253"/>
        <v/>
      </c>
      <c r="U506" s="34" t="str">
        <f>IF(AND(L506=1,bp_kode=T506,T506&lt;&gt;""),COUNTIF($T$8:T506,T506),"")</f>
        <v/>
      </c>
      <c r="V506" s="34" t="str">
        <f t="shared" si="254"/>
        <v>db</v>
      </c>
      <c r="W506" s="34" t="str">
        <f t="shared" si="255"/>
        <v>db</v>
      </c>
      <c r="X506" s="34" t="str">
        <f>IF(B506="","",COUNTIF($C$8:C506,C506)&amp;C506)</f>
        <v>0</v>
      </c>
    </row>
    <row r="507" spans="2:24" ht="23.1" customHeight="1">
      <c r="B507" s="31">
        <v>44742</v>
      </c>
      <c r="C507" s="9"/>
      <c r="D507" s="9" t="s">
        <v>644</v>
      </c>
      <c r="E507" s="7"/>
      <c r="F507" s="7"/>
      <c r="G507" s="7"/>
      <c r="H507" s="7" t="s">
        <v>628</v>
      </c>
      <c r="I507" s="7" t="s">
        <v>582</v>
      </c>
      <c r="J507" s="39">
        <v>21900000</v>
      </c>
      <c r="L507" s="16">
        <f t="shared" si="246"/>
        <v>1</v>
      </c>
      <c r="M507" s="16" t="str">
        <f t="shared" si="247"/>
        <v>June</v>
      </c>
      <c r="N507" s="16" t="str">
        <f t="shared" si="248"/>
        <v/>
      </c>
      <c r="O507" s="16" t="str">
        <f>IF(N507="","",COUNTIF($N$8:N507,N507))</f>
        <v/>
      </c>
      <c r="P507" s="34" t="str">
        <f t="shared" si="249"/>
        <v>outBeban</v>
      </c>
      <c r="Q507" s="34" t="str">
        <f t="shared" si="250"/>
        <v>outJuneBeban</v>
      </c>
      <c r="R507" s="34" t="str">
        <f t="shared" si="251"/>
        <v>Beban</v>
      </c>
      <c r="S507" s="34" t="str">
        <f t="shared" si="252"/>
        <v>Kas</v>
      </c>
      <c r="T507" s="34" t="str">
        <f t="shared" si="253"/>
        <v/>
      </c>
      <c r="U507" s="34" t="str">
        <f>IF(AND(L507=1,bp_kode=T507,T507&lt;&gt;""),COUNTIF($T$8:T507,T507),"")</f>
        <v/>
      </c>
      <c r="V507" s="34" t="str">
        <f t="shared" si="254"/>
        <v>db</v>
      </c>
      <c r="W507" s="34" t="str">
        <f t="shared" si="255"/>
        <v>db</v>
      </c>
      <c r="X507" s="34" t="str">
        <f>IF(B507="","",COUNTIF($C$8:C507,C507)&amp;C507)</f>
        <v>0</v>
      </c>
    </row>
    <row r="508" spans="2:24" ht="23.1" customHeight="1">
      <c r="B508" s="31">
        <v>44742</v>
      </c>
      <c r="C508" s="9"/>
      <c r="D508" s="9" t="s">
        <v>693</v>
      </c>
      <c r="E508" s="7"/>
      <c r="F508" s="7"/>
      <c r="G508" s="7"/>
      <c r="H508" s="7" t="s">
        <v>694</v>
      </c>
      <c r="I508" s="7" t="s">
        <v>582</v>
      </c>
      <c r="J508" s="39">
        <v>1600000</v>
      </c>
      <c r="L508" s="16">
        <f t="shared" si="246"/>
        <v>1</v>
      </c>
      <c r="M508" s="16" t="str">
        <f t="shared" si="247"/>
        <v>June</v>
      </c>
      <c r="N508" s="16" t="str">
        <f t="shared" si="248"/>
        <v/>
      </c>
      <c r="O508" s="16" t="str">
        <f>IF(N508="","",COUNTIF($N$8:N508,N508))</f>
        <v/>
      </c>
      <c r="P508" s="34" t="str">
        <f t="shared" si="249"/>
        <v>outBeban</v>
      </c>
      <c r="Q508" s="34" t="str">
        <f t="shared" si="250"/>
        <v>outJuneBeban</v>
      </c>
      <c r="R508" s="34" t="str">
        <f t="shared" si="251"/>
        <v>Beban</v>
      </c>
      <c r="S508" s="34" t="str">
        <f t="shared" si="252"/>
        <v>Kas</v>
      </c>
      <c r="T508" s="34" t="str">
        <f t="shared" si="253"/>
        <v/>
      </c>
      <c r="U508" s="34" t="str">
        <f>IF(AND(L508=1,bp_kode=T508,T508&lt;&gt;""),COUNTIF($T$8:T508,T508),"")</f>
        <v/>
      </c>
      <c r="V508" s="34" t="str">
        <f t="shared" si="254"/>
        <v>db</v>
      </c>
      <c r="W508" s="34" t="str">
        <f t="shared" si="255"/>
        <v>db</v>
      </c>
      <c r="X508" s="34" t="str">
        <f>IF(B508="","",COUNTIF($C$8:C508,C508)&amp;C508)</f>
        <v>0</v>
      </c>
    </row>
    <row r="509" spans="2:24" ht="23.1" customHeight="1">
      <c r="B509" s="31">
        <v>44742</v>
      </c>
      <c r="C509" s="9"/>
      <c r="D509" s="9" t="s">
        <v>645</v>
      </c>
      <c r="E509" s="7"/>
      <c r="F509" s="7"/>
      <c r="G509" s="7"/>
      <c r="H509" s="7" t="s">
        <v>629</v>
      </c>
      <c r="I509" s="7" t="s">
        <v>582</v>
      </c>
      <c r="J509" s="39">
        <v>25445000</v>
      </c>
      <c r="L509" s="16">
        <f t="shared" si="246"/>
        <v>1</v>
      </c>
      <c r="M509" s="16" t="str">
        <f t="shared" si="247"/>
        <v>June</v>
      </c>
      <c r="N509" s="16" t="str">
        <f t="shared" si="248"/>
        <v/>
      </c>
      <c r="O509" s="16" t="str">
        <f>IF(N509="","",COUNTIF($N$8:N509,N509))</f>
        <v/>
      </c>
      <c r="P509" s="34" t="str">
        <f t="shared" si="249"/>
        <v>outBeban</v>
      </c>
      <c r="Q509" s="34" t="str">
        <f t="shared" si="250"/>
        <v>outJuneBeban</v>
      </c>
      <c r="R509" s="34" t="str">
        <f t="shared" si="251"/>
        <v>Beban</v>
      </c>
      <c r="S509" s="34" t="str">
        <f t="shared" si="252"/>
        <v>Kas</v>
      </c>
      <c r="T509" s="34" t="str">
        <f t="shared" si="253"/>
        <v/>
      </c>
      <c r="U509" s="34" t="str">
        <f>IF(AND(L509=1,bp_kode=T509,T509&lt;&gt;""),COUNTIF($T$8:T509,T509),"")</f>
        <v/>
      </c>
      <c r="V509" s="34" t="str">
        <f t="shared" si="254"/>
        <v>db</v>
      </c>
      <c r="W509" s="34" t="str">
        <f t="shared" si="255"/>
        <v>db</v>
      </c>
      <c r="X509" s="34" t="str">
        <f>IF(B509="","",COUNTIF($C$8:C509,C509)&amp;C509)</f>
        <v>0</v>
      </c>
    </row>
    <row r="510" spans="2:24" ht="23.1" customHeight="1">
      <c r="B510" s="31">
        <v>44742</v>
      </c>
      <c r="C510" s="9"/>
      <c r="D510" s="9" t="s">
        <v>646</v>
      </c>
      <c r="E510" s="7"/>
      <c r="F510" s="7"/>
      <c r="G510" s="7"/>
      <c r="H510" s="7" t="s">
        <v>630</v>
      </c>
      <c r="I510" s="7" t="s">
        <v>582</v>
      </c>
      <c r="J510" s="39">
        <v>2735500</v>
      </c>
      <c r="L510" s="16">
        <f t="shared" si="246"/>
        <v>1</v>
      </c>
      <c r="M510" s="16" t="str">
        <f t="shared" si="247"/>
        <v>June</v>
      </c>
      <c r="N510" s="16" t="str">
        <f t="shared" si="248"/>
        <v/>
      </c>
      <c r="O510" s="16" t="str">
        <f>IF(N510="","",COUNTIF($N$8:N510,N510))</f>
        <v/>
      </c>
      <c r="P510" s="34" t="str">
        <f t="shared" si="249"/>
        <v>outBeban</v>
      </c>
      <c r="Q510" s="34" t="str">
        <f t="shared" si="250"/>
        <v>outJuneBeban</v>
      </c>
      <c r="R510" s="34" t="str">
        <f t="shared" si="251"/>
        <v>Beban</v>
      </c>
      <c r="S510" s="34" t="str">
        <f t="shared" si="252"/>
        <v>Kas</v>
      </c>
      <c r="T510" s="34" t="str">
        <f t="shared" si="253"/>
        <v/>
      </c>
      <c r="U510" s="34" t="str">
        <f>IF(AND(L510=1,bp_kode=T510,T510&lt;&gt;""),COUNTIF($T$8:T510,T510),"")</f>
        <v/>
      </c>
      <c r="V510" s="34" t="str">
        <f t="shared" si="254"/>
        <v>db</v>
      </c>
      <c r="W510" s="34" t="str">
        <f t="shared" si="255"/>
        <v>db</v>
      </c>
      <c r="X510" s="34" t="str">
        <f>IF(B510="","",COUNTIF($C$8:C510,C510)&amp;C510)</f>
        <v>0</v>
      </c>
    </row>
    <row r="511" spans="2:24" ht="23.1" customHeight="1">
      <c r="B511" s="31">
        <v>44742</v>
      </c>
      <c r="C511" s="9"/>
      <c r="D511" s="9" t="s">
        <v>647</v>
      </c>
      <c r="E511" s="7"/>
      <c r="F511" s="7"/>
      <c r="G511" s="7"/>
      <c r="H511" s="7" t="s">
        <v>631</v>
      </c>
      <c r="I511" s="7" t="s">
        <v>582</v>
      </c>
      <c r="J511" s="357">
        <v>550000</v>
      </c>
      <c r="L511" s="16">
        <f t="shared" si="246"/>
        <v>1</v>
      </c>
      <c r="M511" s="16" t="str">
        <f t="shared" si="247"/>
        <v>June</v>
      </c>
      <c r="N511" s="16" t="str">
        <f t="shared" si="248"/>
        <v/>
      </c>
      <c r="O511" s="16" t="str">
        <f>IF(N511="","",COUNTIF($N$8:N511,N511))</f>
        <v/>
      </c>
      <c r="P511" s="34" t="str">
        <f t="shared" si="249"/>
        <v>outBeban</v>
      </c>
      <c r="Q511" s="34" t="str">
        <f t="shared" si="250"/>
        <v>outJuneBeban</v>
      </c>
      <c r="R511" s="34" t="str">
        <f t="shared" si="251"/>
        <v>Beban</v>
      </c>
      <c r="S511" s="34" t="str">
        <f t="shared" si="252"/>
        <v>Kas</v>
      </c>
      <c r="T511" s="34" t="str">
        <f t="shared" si="253"/>
        <v/>
      </c>
      <c r="U511" s="34" t="str">
        <f>IF(AND(L511=1,bp_kode=T511,T511&lt;&gt;""),COUNTIF($T$8:T511,T511),"")</f>
        <v/>
      </c>
      <c r="V511" s="34" t="str">
        <f t="shared" si="254"/>
        <v>db</v>
      </c>
      <c r="W511" s="34" t="str">
        <f t="shared" si="255"/>
        <v>db</v>
      </c>
      <c r="X511" s="34" t="str">
        <f>IF(B511="","",COUNTIF($C$8:C511,C511)&amp;C511)</f>
        <v>0</v>
      </c>
    </row>
    <row r="512" spans="2:24" ht="23.1" customHeight="1">
      <c r="B512" s="31">
        <v>44742</v>
      </c>
      <c r="C512" s="9"/>
      <c r="D512" s="9" t="s">
        <v>648</v>
      </c>
      <c r="E512" s="7"/>
      <c r="F512" s="7"/>
      <c r="G512" s="7"/>
      <c r="H512" s="7" t="s">
        <v>632</v>
      </c>
      <c r="I512" s="7" t="s">
        <v>582</v>
      </c>
      <c r="J512" s="357">
        <v>190000</v>
      </c>
      <c r="L512" s="16">
        <f t="shared" si="246"/>
        <v>1</v>
      </c>
      <c r="M512" s="16" t="str">
        <f t="shared" si="247"/>
        <v>June</v>
      </c>
      <c r="N512" s="16" t="str">
        <f t="shared" si="248"/>
        <v/>
      </c>
      <c r="O512" s="16" t="str">
        <f>IF(N512="","",COUNTIF($N$8:N512,N512))</f>
        <v/>
      </c>
      <c r="P512" s="34" t="str">
        <f t="shared" si="249"/>
        <v>outBeban</v>
      </c>
      <c r="Q512" s="34" t="str">
        <f t="shared" si="250"/>
        <v>outJuneBeban</v>
      </c>
      <c r="R512" s="34" t="str">
        <f t="shared" si="251"/>
        <v>Beban</v>
      </c>
      <c r="S512" s="34" t="str">
        <f t="shared" si="252"/>
        <v>Kas</v>
      </c>
      <c r="T512" s="34" t="str">
        <f t="shared" si="253"/>
        <v/>
      </c>
      <c r="U512" s="34" t="str">
        <f>IF(AND(L512=1,bp_kode=T512,T512&lt;&gt;""),COUNTIF($T$8:T512,T512),"")</f>
        <v/>
      </c>
      <c r="V512" s="34" t="str">
        <f t="shared" si="254"/>
        <v>db</v>
      </c>
      <c r="W512" s="34" t="str">
        <f t="shared" si="255"/>
        <v>db</v>
      </c>
      <c r="X512" s="34" t="str">
        <f>IF(B512="","",COUNTIF($C$8:C512,C512)&amp;C512)</f>
        <v>0</v>
      </c>
    </row>
    <row r="513" spans="2:24" ht="23.1" customHeight="1">
      <c r="B513" s="31">
        <v>44742</v>
      </c>
      <c r="C513" s="9"/>
      <c r="D513" s="9" t="s">
        <v>649</v>
      </c>
      <c r="E513" s="7"/>
      <c r="F513" s="7"/>
      <c r="G513" s="7"/>
      <c r="H513" s="7" t="s">
        <v>633</v>
      </c>
      <c r="I513" s="7" t="s">
        <v>582</v>
      </c>
      <c r="J513" s="357">
        <v>2019314</v>
      </c>
      <c r="L513" s="16">
        <f t="shared" si="246"/>
        <v>1</v>
      </c>
      <c r="M513" s="16" t="str">
        <f t="shared" si="247"/>
        <v>June</v>
      </c>
      <c r="N513" s="16" t="str">
        <f t="shared" si="248"/>
        <v/>
      </c>
      <c r="O513" s="16" t="str">
        <f>IF(N513="","",COUNTIF($N$8:N513,N513))</f>
        <v/>
      </c>
      <c r="P513" s="34" t="str">
        <f t="shared" si="249"/>
        <v>outBeban</v>
      </c>
      <c r="Q513" s="34" t="str">
        <f t="shared" si="250"/>
        <v>outJuneBeban</v>
      </c>
      <c r="R513" s="34" t="str">
        <f t="shared" si="251"/>
        <v>Beban</v>
      </c>
      <c r="S513" s="34" t="str">
        <f t="shared" si="252"/>
        <v>Kas</v>
      </c>
      <c r="T513" s="34" t="str">
        <f t="shared" si="253"/>
        <v/>
      </c>
      <c r="U513" s="34" t="str">
        <f>IF(AND(L513=1,bp_kode=T513,T513&lt;&gt;""),COUNTIF($T$8:T513,T513),"")</f>
        <v/>
      </c>
      <c r="V513" s="34" t="str">
        <f t="shared" si="254"/>
        <v>db</v>
      </c>
      <c r="W513" s="34" t="str">
        <f t="shared" si="255"/>
        <v>db</v>
      </c>
      <c r="X513" s="34" t="str">
        <f>IF(B513="","",COUNTIF($C$8:C513,C513)&amp;C513)</f>
        <v>0</v>
      </c>
    </row>
    <row r="514" spans="2:24" ht="23.1" customHeight="1">
      <c r="B514" s="31">
        <v>44742</v>
      </c>
      <c r="C514" s="9"/>
      <c r="D514" s="9" t="s">
        <v>650</v>
      </c>
      <c r="E514" s="7"/>
      <c r="F514" s="7"/>
      <c r="G514" s="7"/>
      <c r="H514" s="7" t="s">
        <v>634</v>
      </c>
      <c r="I514" s="7" t="s">
        <v>582</v>
      </c>
      <c r="J514" s="357">
        <v>4974324</v>
      </c>
      <c r="L514" s="16">
        <f t="shared" si="246"/>
        <v>1</v>
      </c>
      <c r="M514" s="16" t="str">
        <f t="shared" si="247"/>
        <v>June</v>
      </c>
      <c r="N514" s="16" t="str">
        <f t="shared" si="248"/>
        <v/>
      </c>
      <c r="O514" s="16" t="str">
        <f>IF(N514="","",COUNTIF($N$8:N514,N514))</f>
        <v/>
      </c>
      <c r="P514" s="34" t="str">
        <f t="shared" si="249"/>
        <v>outBeban</v>
      </c>
      <c r="Q514" s="34" t="str">
        <f t="shared" si="250"/>
        <v>outJuneBeban</v>
      </c>
      <c r="R514" s="34" t="str">
        <f t="shared" si="251"/>
        <v>Beban</v>
      </c>
      <c r="S514" s="34" t="str">
        <f t="shared" si="252"/>
        <v>Kas</v>
      </c>
      <c r="T514" s="34" t="str">
        <f t="shared" si="253"/>
        <v/>
      </c>
      <c r="U514" s="34" t="str">
        <f>IF(AND(L514=1,bp_kode=T514,T514&lt;&gt;""),COUNTIF($T$8:T514,T514),"")</f>
        <v/>
      </c>
      <c r="V514" s="34" t="str">
        <f t="shared" si="254"/>
        <v>db</v>
      </c>
      <c r="W514" s="34" t="str">
        <f t="shared" si="255"/>
        <v>db</v>
      </c>
      <c r="X514" s="34" t="str">
        <f>IF(B514="","",COUNTIF($C$8:C514,C514)&amp;C514)</f>
        <v>0</v>
      </c>
    </row>
    <row r="515" spans="2:24" ht="23.1" customHeight="1">
      <c r="B515" s="31">
        <v>44742</v>
      </c>
      <c r="C515" s="9"/>
      <c r="D515" s="9" t="s">
        <v>651</v>
      </c>
      <c r="E515" s="7"/>
      <c r="F515" s="7"/>
      <c r="G515" s="7"/>
      <c r="H515" s="7" t="s">
        <v>635</v>
      </c>
      <c r="I515" s="7" t="s">
        <v>582</v>
      </c>
      <c r="J515" s="357">
        <v>557000</v>
      </c>
      <c r="L515" s="16">
        <f t="shared" si="246"/>
        <v>1</v>
      </c>
      <c r="M515" s="16" t="str">
        <f t="shared" si="247"/>
        <v>June</v>
      </c>
      <c r="N515" s="16" t="str">
        <f t="shared" si="248"/>
        <v/>
      </c>
      <c r="O515" s="16" t="str">
        <f>IF(N515="","",COUNTIF($N$8:N515,N515))</f>
        <v/>
      </c>
      <c r="P515" s="34" t="str">
        <f t="shared" si="249"/>
        <v>outBeban</v>
      </c>
      <c r="Q515" s="34" t="str">
        <f t="shared" si="250"/>
        <v>outJuneBeban</v>
      </c>
      <c r="R515" s="34" t="str">
        <f t="shared" si="251"/>
        <v>Beban</v>
      </c>
      <c r="S515" s="34" t="str">
        <f t="shared" si="252"/>
        <v>Kas</v>
      </c>
      <c r="T515" s="34" t="str">
        <f t="shared" si="253"/>
        <v/>
      </c>
      <c r="U515" s="34" t="str">
        <f>IF(AND(L515=1,bp_kode=T515,T515&lt;&gt;""),COUNTIF($T$8:T515,T515),"")</f>
        <v/>
      </c>
      <c r="V515" s="34" t="str">
        <f t="shared" si="254"/>
        <v>db</v>
      </c>
      <c r="W515" s="34" t="str">
        <f t="shared" si="255"/>
        <v>db</v>
      </c>
      <c r="X515" s="34" t="str">
        <f>IF(B515="","",COUNTIF($C$8:C515,C515)&amp;C515)</f>
        <v>0</v>
      </c>
    </row>
    <row r="516" spans="2:24" ht="23.1" customHeight="1">
      <c r="B516" s="31">
        <v>44742</v>
      </c>
      <c r="C516" s="9"/>
      <c r="D516" s="9" t="s">
        <v>652</v>
      </c>
      <c r="E516" s="7"/>
      <c r="F516" s="7"/>
      <c r="G516" s="7"/>
      <c r="H516" s="7" t="s">
        <v>636</v>
      </c>
      <c r="I516" s="7" t="s">
        <v>582</v>
      </c>
      <c r="J516" s="357">
        <v>9138900</v>
      </c>
      <c r="L516" s="16">
        <f t="shared" si="246"/>
        <v>1</v>
      </c>
      <c r="M516" s="16" t="str">
        <f t="shared" si="247"/>
        <v>June</v>
      </c>
      <c r="N516" s="16" t="str">
        <f t="shared" si="248"/>
        <v/>
      </c>
      <c r="O516" s="16" t="str">
        <f>IF(N516="","",COUNTIF($N$8:N516,N516))</f>
        <v/>
      </c>
      <c r="P516" s="34" t="str">
        <f t="shared" si="249"/>
        <v>outBeban</v>
      </c>
      <c r="Q516" s="34" t="str">
        <f t="shared" si="250"/>
        <v>outJuneBeban</v>
      </c>
      <c r="R516" s="34" t="str">
        <f t="shared" si="251"/>
        <v>Beban</v>
      </c>
      <c r="S516" s="34" t="str">
        <f t="shared" si="252"/>
        <v>Kas</v>
      </c>
      <c r="T516" s="34" t="str">
        <f t="shared" si="253"/>
        <v/>
      </c>
      <c r="U516" s="34" t="str">
        <f>IF(AND(L516=1,bp_kode=T516,T516&lt;&gt;""),COUNTIF($T$8:T516,T516),"")</f>
        <v/>
      </c>
      <c r="V516" s="34" t="str">
        <f t="shared" si="254"/>
        <v>db</v>
      </c>
      <c r="W516" s="34" t="str">
        <f t="shared" si="255"/>
        <v>db</v>
      </c>
      <c r="X516" s="34" t="str">
        <f>IF(B516="","",COUNTIF($C$8:C516,C516)&amp;C516)</f>
        <v>0</v>
      </c>
    </row>
    <row r="517" spans="2:24" ht="23.1" customHeight="1">
      <c r="B517" s="31">
        <v>44742</v>
      </c>
      <c r="C517" s="9"/>
      <c r="D517" s="9" t="s">
        <v>653</v>
      </c>
      <c r="E517" s="7"/>
      <c r="F517" s="7"/>
      <c r="G517" s="7"/>
      <c r="H517" s="7" t="s">
        <v>637</v>
      </c>
      <c r="I517" s="7" t="s">
        <v>582</v>
      </c>
      <c r="J517" s="357">
        <v>2845000</v>
      </c>
      <c r="L517" s="16">
        <f t="shared" si="246"/>
        <v>1</v>
      </c>
      <c r="M517" s="16" t="str">
        <f t="shared" si="247"/>
        <v>June</v>
      </c>
      <c r="N517" s="16" t="str">
        <f t="shared" si="248"/>
        <v/>
      </c>
      <c r="O517" s="16" t="str">
        <f>IF(N517="","",COUNTIF($N$8:N517,N517))</f>
        <v/>
      </c>
      <c r="P517" s="34" t="str">
        <f t="shared" si="249"/>
        <v>outBeban</v>
      </c>
      <c r="Q517" s="34" t="str">
        <f t="shared" si="250"/>
        <v>outJuneBeban</v>
      </c>
      <c r="R517" s="34" t="str">
        <f t="shared" si="251"/>
        <v>Beban</v>
      </c>
      <c r="S517" s="34" t="str">
        <f t="shared" si="252"/>
        <v>Kas</v>
      </c>
      <c r="T517" s="34" t="str">
        <f t="shared" si="253"/>
        <v/>
      </c>
      <c r="U517" s="34" t="str">
        <f>IF(AND(L517=1,bp_kode=T517,T517&lt;&gt;""),COUNTIF($T$8:T517,T517),"")</f>
        <v/>
      </c>
      <c r="V517" s="34" t="str">
        <f t="shared" si="254"/>
        <v>db</v>
      </c>
      <c r="W517" s="34" t="str">
        <f t="shared" si="255"/>
        <v>db</v>
      </c>
      <c r="X517" s="34" t="str">
        <f>IF(B517="","",COUNTIF($C$8:C517,C517)&amp;C517)</f>
        <v>0</v>
      </c>
    </row>
    <row r="518" spans="2:24" ht="23.1" customHeight="1">
      <c r="B518" s="31">
        <v>44742</v>
      </c>
      <c r="C518" s="9"/>
      <c r="D518" s="9" t="s">
        <v>750</v>
      </c>
      <c r="E518" s="7"/>
      <c r="F518" s="7"/>
      <c r="G518" s="7"/>
      <c r="H518" s="7" t="s">
        <v>749</v>
      </c>
      <c r="I518" s="7" t="s">
        <v>582</v>
      </c>
      <c r="J518" s="357">
        <v>24071700</v>
      </c>
      <c r="L518" s="16">
        <f t="shared" ref="L518" si="286">IF(AND(B518&gt;=awal,B518&lt;=akhir,B518&lt;&gt;""),1,IF(AND(B518&lt;&gt;"",B518&lt;awal),2,""))</f>
        <v>1</v>
      </c>
      <c r="M518" s="16" t="str">
        <f t="shared" ref="M518" si="287">IF(B518="","",TEXT(B518,"mmmm"))</f>
        <v>June</v>
      </c>
      <c r="N518" s="16" t="str">
        <f t="shared" ref="N518" si="288">IF(AND(L518=1,H518=bb_akun),"Awe",IF(AND(L518=1,I518=bb_akun),"Awe",""))</f>
        <v/>
      </c>
      <c r="O518" s="16" t="str">
        <f>IF(N518="","",COUNTIF($N$8:N518,N518))</f>
        <v/>
      </c>
      <c r="P518" s="34" t="str">
        <f t="shared" ref="P518" si="289">IFERROR(IF(OR(INDEX(akun_type,MATCH(H518,akun_kb,0))="Kas",INDEX(akun_type,MATCH(H518,akun_kb,0))="Bank"),"In"&amp;INDEX(akun_type,MATCH(I518,akun_kb,0)),IF(OR(INDEX(akun_type,MATCH(I518,akun_kb,0))="Kas",INDEX(akun_type,MATCH(I518,akun_kb,0))="Bank"),"out"&amp;INDEX(akun_type,MATCH(H518,akun_kb,0)),"")),"")</f>
        <v>outBeban</v>
      </c>
      <c r="Q518" s="34" t="str">
        <f t="shared" ref="Q518" si="290">IFERROR(IF(OR(INDEX(akun_type,MATCH(H518,akun_kb,0))="Kas",INDEX(akun_type,MATCH(H518,akun_kb,0))="Bank"),"in"&amp;TEXT(B518,"mmmm")&amp;INDEX(akun_type,MATCH(I518,akun_kb,0)),IF(OR(INDEX(akun_type,MATCH(I518,akun_kb,0))="Kas",INDEX(akun_type,MATCH(I518,akun_kb,0))="Bank"),"out"&amp;TEXT(B518,"mmmm")&amp;INDEX(akun_type,MATCH(H518,akun_kb,0)),"")),"")</f>
        <v>outJuneBeban</v>
      </c>
      <c r="R518" s="34" t="str">
        <f t="shared" ref="R518" si="291">IFERROR(INDEX(akun_type,MATCH(H518,akun_kb,0)),"")</f>
        <v>Beban</v>
      </c>
      <c r="S518" s="34" t="str">
        <f t="shared" ref="S518" si="292">IFERROR(INDEX(akun_type,MATCH(I518,akun_kb,0)),"")</f>
        <v>Kas</v>
      </c>
      <c r="T518" s="34" t="str">
        <f t="shared" ref="T518" si="293">IF(AND(L518=1,OR(R518="Akun Piutang",R518="akun hutang",S518="akun piutang",S518="akun hutang")),E518,"")</f>
        <v/>
      </c>
      <c r="U518" s="34" t="str">
        <f>IF(AND(L518=1,bp_kode=T518,T518&lt;&gt;""),COUNTIF($T$8:T518,T518),"")</f>
        <v/>
      </c>
      <c r="V518" s="34" t="str">
        <f t="shared" ref="V518" si="294">IF(OR(R518="Pendapatan",R518="Pendapatan Lainnya",R518="Beban",R518="Harga Pokok Penjualan",R518="Beban Lainnya"),"db"&amp;F518,IF(OR(S518="Pendapatan",S518="Pendapatan Lainnya",S518="Beban",S518="Harga Pokok Penjualan",S518="Beban Lainnya"),"kr"&amp;F518,""))</f>
        <v>db</v>
      </c>
      <c r="W518" s="34" t="str">
        <f t="shared" ref="W518" si="295">IF(OR(R518="Pendapatan",R518="Pendapatan Lainnya",R518="Beban",R518="Harga Pokok Penjualan",R518="Beban Lainnya"),"db"&amp;G518,IF(OR(S518="Pendapatan",S518="Pendapatan Lainnya",S518="Beban",S518="Harga Pokok Penjualan",S518="Beban Lainnya"),"kr"&amp;G518,""))</f>
        <v>db</v>
      </c>
      <c r="X518" s="34" t="str">
        <f>IF(B518="","",COUNTIF($C$8:C518,C518)&amp;C518)</f>
        <v>0</v>
      </c>
    </row>
    <row r="519" spans="2:24" ht="23.1" customHeight="1">
      <c r="B519" s="31">
        <v>44742</v>
      </c>
      <c r="C519" s="9"/>
      <c r="D519" s="9" t="s">
        <v>655</v>
      </c>
      <c r="E519" s="7"/>
      <c r="F519" s="7"/>
      <c r="G519" s="7"/>
      <c r="H519" s="7" t="s">
        <v>639</v>
      </c>
      <c r="I519" s="7" t="s">
        <v>582</v>
      </c>
      <c r="J519" s="39">
        <v>22237200</v>
      </c>
      <c r="L519" s="16">
        <f t="shared" si="246"/>
        <v>1</v>
      </c>
      <c r="M519" s="16" t="str">
        <f t="shared" si="247"/>
        <v>June</v>
      </c>
      <c r="N519" s="16" t="str">
        <f t="shared" si="248"/>
        <v/>
      </c>
      <c r="O519" s="16" t="str">
        <f>IF(N519="","",COUNTIF($N$8:N519,N519))</f>
        <v/>
      </c>
      <c r="P519" s="34" t="str">
        <f t="shared" si="249"/>
        <v>outBeban</v>
      </c>
      <c r="Q519" s="34" t="str">
        <f t="shared" si="250"/>
        <v>outJuneBeban</v>
      </c>
      <c r="R519" s="34" t="str">
        <f t="shared" si="251"/>
        <v>Beban</v>
      </c>
      <c r="S519" s="34" t="str">
        <f t="shared" si="252"/>
        <v>Kas</v>
      </c>
      <c r="T519" s="34" t="str">
        <f t="shared" si="253"/>
        <v/>
      </c>
      <c r="U519" s="34" t="str">
        <f>IF(AND(L519=1,bp_kode=T519,T519&lt;&gt;""),COUNTIF($T$8:T519,T519),"")</f>
        <v/>
      </c>
      <c r="V519" s="34" t="str">
        <f t="shared" si="254"/>
        <v>db</v>
      </c>
      <c r="W519" s="34" t="str">
        <f t="shared" si="255"/>
        <v>db</v>
      </c>
      <c r="X519" s="34" t="str">
        <f>IF(B519="","",COUNTIF($C$8:C519,C519)&amp;C519)</f>
        <v>0</v>
      </c>
    </row>
    <row r="520" spans="2:24" ht="23.1" customHeight="1">
      <c r="B520" s="31">
        <v>44742</v>
      </c>
      <c r="C520" s="9"/>
      <c r="D520" s="9" t="s">
        <v>663</v>
      </c>
      <c r="E520" s="7"/>
      <c r="F520" s="7"/>
      <c r="G520" s="7"/>
      <c r="H520" s="7" t="s">
        <v>658</v>
      </c>
      <c r="I520" s="7" t="s">
        <v>671</v>
      </c>
      <c r="J520" s="39">
        <v>2806459</v>
      </c>
      <c r="L520" s="16">
        <f t="shared" si="246"/>
        <v>1</v>
      </c>
      <c r="M520" s="16" t="str">
        <f t="shared" si="247"/>
        <v>June</v>
      </c>
      <c r="N520" s="16" t="str">
        <f t="shared" si="248"/>
        <v/>
      </c>
      <c r="O520" s="16" t="str">
        <f>IF(N520="","",COUNTIF($N$8:N520,N520))</f>
        <v/>
      </c>
      <c r="P520" s="34" t="str">
        <f t="shared" si="249"/>
        <v/>
      </c>
      <c r="Q520" s="34" t="str">
        <f t="shared" si="250"/>
        <v/>
      </c>
      <c r="R520" s="34" t="str">
        <f t="shared" si="251"/>
        <v>Beban</v>
      </c>
      <c r="S520" s="34" t="str">
        <f t="shared" si="252"/>
        <v>Depresiasi &amp; Amortisasi</v>
      </c>
      <c r="T520" s="34" t="str">
        <f t="shared" si="253"/>
        <v/>
      </c>
      <c r="U520" s="34" t="str">
        <f>IF(AND(L520=1,bp_kode=T520,T520&lt;&gt;""),COUNTIF($T$8:T520,T520),"")</f>
        <v/>
      </c>
      <c r="V520" s="34" t="str">
        <f t="shared" si="254"/>
        <v>db</v>
      </c>
      <c r="W520" s="34" t="str">
        <f t="shared" si="255"/>
        <v>db</v>
      </c>
      <c r="X520" s="34" t="str">
        <f>IF(B520="","",COUNTIF($C$8:C520,C520)&amp;C520)</f>
        <v>0</v>
      </c>
    </row>
    <row r="521" spans="2:24" ht="23.1" customHeight="1">
      <c r="B521" s="31">
        <v>44742</v>
      </c>
      <c r="C521" s="9"/>
      <c r="D521" s="9" t="s">
        <v>664</v>
      </c>
      <c r="E521" s="7"/>
      <c r="F521" s="7"/>
      <c r="G521" s="7"/>
      <c r="H521" s="7" t="s">
        <v>660</v>
      </c>
      <c r="I521" s="7" t="s">
        <v>659</v>
      </c>
      <c r="J521" s="39">
        <v>29031950</v>
      </c>
      <c r="L521" s="16">
        <f t="shared" si="246"/>
        <v>1</v>
      </c>
      <c r="M521" s="16" t="str">
        <f t="shared" si="247"/>
        <v>June</v>
      </c>
      <c r="N521" s="16" t="str">
        <f t="shared" si="248"/>
        <v/>
      </c>
      <c r="O521" s="16" t="str">
        <f>IF(N521="","",COUNTIF($N$8:N521,N521))</f>
        <v/>
      </c>
      <c r="P521" s="34" t="str">
        <f t="shared" si="249"/>
        <v/>
      </c>
      <c r="Q521" s="34" t="str">
        <f t="shared" si="250"/>
        <v/>
      </c>
      <c r="R521" s="34" t="str">
        <f t="shared" si="251"/>
        <v>Beban</v>
      </c>
      <c r="S521" s="34" t="str">
        <f t="shared" si="252"/>
        <v>Depresiasi &amp; Amortisasi</v>
      </c>
      <c r="T521" s="34" t="str">
        <f t="shared" si="253"/>
        <v/>
      </c>
      <c r="U521" s="34" t="str">
        <f>IF(AND(L521=1,bp_kode=T521,T521&lt;&gt;""),COUNTIF($T$8:T521,T521),"")</f>
        <v/>
      </c>
      <c r="V521" s="34" t="str">
        <f t="shared" si="254"/>
        <v>db</v>
      </c>
      <c r="W521" s="34" t="str">
        <f t="shared" si="255"/>
        <v>db</v>
      </c>
      <c r="X521" s="34" t="str">
        <f>IF(B521="","",COUNTIF($C$8:C521,C521)&amp;C521)</f>
        <v>0</v>
      </c>
    </row>
    <row r="522" spans="2:24" ht="23.1" customHeight="1">
      <c r="B522" s="31">
        <v>44742</v>
      </c>
      <c r="C522" s="9"/>
      <c r="D522" s="9" t="s">
        <v>665</v>
      </c>
      <c r="E522" s="7"/>
      <c r="F522" s="7"/>
      <c r="G522" s="7"/>
      <c r="H522" s="7" t="s">
        <v>661</v>
      </c>
      <c r="I522" s="7" t="s">
        <v>672</v>
      </c>
      <c r="J522" s="39">
        <v>41666</v>
      </c>
      <c r="L522" s="16">
        <f t="shared" si="246"/>
        <v>1</v>
      </c>
      <c r="M522" s="16" t="str">
        <f t="shared" si="247"/>
        <v>June</v>
      </c>
      <c r="N522" s="16" t="str">
        <f t="shared" si="248"/>
        <v/>
      </c>
      <c r="O522" s="16" t="str">
        <f>IF(N522="","",COUNTIF($N$8:N522,N522))</f>
        <v/>
      </c>
      <c r="P522" s="34" t="str">
        <f t="shared" si="249"/>
        <v/>
      </c>
      <c r="Q522" s="34" t="str">
        <f t="shared" si="250"/>
        <v/>
      </c>
      <c r="R522" s="34" t="str">
        <f t="shared" si="251"/>
        <v>Beban</v>
      </c>
      <c r="S522" s="34" t="str">
        <f t="shared" si="252"/>
        <v>Depresiasi &amp; Amortisasi</v>
      </c>
      <c r="T522" s="34" t="str">
        <f t="shared" si="253"/>
        <v/>
      </c>
      <c r="U522" s="34" t="str">
        <f>IF(AND(L522=1,bp_kode=T522,T522&lt;&gt;""),COUNTIF($T$8:T522,T522),"")</f>
        <v/>
      </c>
      <c r="V522" s="34" t="str">
        <f t="shared" si="254"/>
        <v>db</v>
      </c>
      <c r="W522" s="34" t="str">
        <f t="shared" si="255"/>
        <v>db</v>
      </c>
      <c r="X522" s="34" t="str">
        <f>IF(B522="","",COUNTIF($C$8:C522,C522)&amp;C522)</f>
        <v>0</v>
      </c>
    </row>
    <row r="523" spans="2:24" ht="23.1" customHeight="1">
      <c r="B523" s="31">
        <v>44742</v>
      </c>
      <c r="C523" s="9"/>
      <c r="D523" s="9" t="s">
        <v>666</v>
      </c>
      <c r="E523" s="7"/>
      <c r="F523" s="7"/>
      <c r="G523" s="7"/>
      <c r="H523" s="7" t="s">
        <v>662</v>
      </c>
      <c r="I523" s="7" t="s">
        <v>673</v>
      </c>
      <c r="J523" s="39">
        <v>5654493</v>
      </c>
      <c r="L523" s="16">
        <f t="shared" si="236"/>
        <v>1</v>
      </c>
      <c r="M523" s="16" t="str">
        <f t="shared" si="237"/>
        <v>June</v>
      </c>
      <c r="N523" s="16" t="str">
        <f t="shared" si="238"/>
        <v/>
      </c>
      <c r="O523" s="16" t="str">
        <f>IF(N523="","",COUNTIF($N$8:N523,N523))</f>
        <v/>
      </c>
      <c r="P523" s="34" t="str">
        <f t="shared" si="239"/>
        <v/>
      </c>
      <c r="Q523" s="34" t="str">
        <f t="shared" si="240"/>
        <v/>
      </c>
      <c r="R523" s="34" t="str">
        <f t="shared" si="241"/>
        <v>Beban</v>
      </c>
      <c r="S523" s="34" t="str">
        <f t="shared" si="242"/>
        <v>Depresiasi &amp; Amortisasi</v>
      </c>
      <c r="T523" s="34" t="str">
        <f t="shared" si="243"/>
        <v/>
      </c>
      <c r="U523" s="34" t="str">
        <f>IF(AND(L523=1,bp_kode=T523,T523&lt;&gt;""),COUNTIF($T$8:T523,T523),"")</f>
        <v/>
      </c>
      <c r="V523" s="34" t="str">
        <f t="shared" si="244"/>
        <v>db</v>
      </c>
      <c r="W523" s="34" t="str">
        <f t="shared" si="245"/>
        <v>db</v>
      </c>
      <c r="X523" s="34" t="str">
        <f>IF(B523="","",COUNTIF($C$8:C523,C523)&amp;C523)</f>
        <v>0</v>
      </c>
    </row>
    <row r="524" spans="2:24" ht="23.1" customHeight="1">
      <c r="B524" s="31">
        <v>44742</v>
      </c>
      <c r="C524" s="9"/>
      <c r="D524" s="9" t="s">
        <v>669</v>
      </c>
      <c r="E524" s="7"/>
      <c r="F524" s="7"/>
      <c r="G524" s="7"/>
      <c r="H524" s="7" t="s">
        <v>667</v>
      </c>
      <c r="I524" s="7" t="s">
        <v>674</v>
      </c>
      <c r="J524" s="39">
        <v>17325229</v>
      </c>
      <c r="L524" s="16">
        <f t="shared" si="236"/>
        <v>1</v>
      </c>
      <c r="M524" s="16" t="str">
        <f t="shared" si="237"/>
        <v>June</v>
      </c>
      <c r="N524" s="16" t="str">
        <f t="shared" si="238"/>
        <v/>
      </c>
      <c r="O524" s="16" t="str">
        <f>IF(N524="","",COUNTIF($N$8:N524,N524))</f>
        <v/>
      </c>
      <c r="P524" s="34" t="str">
        <f t="shared" si="239"/>
        <v/>
      </c>
      <c r="Q524" s="34" t="str">
        <f t="shared" si="240"/>
        <v/>
      </c>
      <c r="R524" s="34" t="str">
        <f t="shared" si="241"/>
        <v>Beban</v>
      </c>
      <c r="S524" s="34" t="str">
        <f t="shared" si="242"/>
        <v>Depresiasi &amp; Amortisasi</v>
      </c>
      <c r="T524" s="34" t="str">
        <f t="shared" si="243"/>
        <v/>
      </c>
      <c r="U524" s="34" t="str">
        <f>IF(AND(L524=1,bp_kode=T524,T524&lt;&gt;""),COUNTIF($T$8:T524,T524),"")</f>
        <v/>
      </c>
      <c r="V524" s="34" t="str">
        <f t="shared" si="244"/>
        <v>db</v>
      </c>
      <c r="W524" s="34" t="str">
        <f t="shared" si="245"/>
        <v>db</v>
      </c>
      <c r="X524" s="34" t="str">
        <f>IF(B524="","",COUNTIF($C$8:C524,C524)&amp;C524)</f>
        <v>0</v>
      </c>
    </row>
    <row r="525" spans="2:24" ht="23.1" customHeight="1">
      <c r="B525" s="31">
        <v>44742</v>
      </c>
      <c r="C525" s="9"/>
      <c r="D525" s="9" t="s">
        <v>670</v>
      </c>
      <c r="E525" s="7"/>
      <c r="F525" s="7"/>
      <c r="G525" s="7"/>
      <c r="H525" s="7" t="s">
        <v>668</v>
      </c>
      <c r="I525" s="7" t="s">
        <v>675</v>
      </c>
      <c r="J525" s="39">
        <v>5265000</v>
      </c>
      <c r="L525" s="16">
        <f t="shared" si="236"/>
        <v>1</v>
      </c>
      <c r="M525" s="16" t="str">
        <f t="shared" si="237"/>
        <v>June</v>
      </c>
      <c r="N525" s="16" t="str">
        <f t="shared" si="238"/>
        <v/>
      </c>
      <c r="O525" s="16" t="str">
        <f>IF(N525="","",COUNTIF($N$8:N525,N525))</f>
        <v/>
      </c>
      <c r="P525" s="34" t="str">
        <f t="shared" si="239"/>
        <v/>
      </c>
      <c r="Q525" s="34" t="str">
        <f t="shared" si="240"/>
        <v/>
      </c>
      <c r="R525" s="34" t="str">
        <f t="shared" si="241"/>
        <v>Beban</v>
      </c>
      <c r="S525" s="34" t="str">
        <f t="shared" si="242"/>
        <v>Depresiasi &amp; Amortisasi</v>
      </c>
      <c r="T525" s="34" t="str">
        <f t="shared" si="243"/>
        <v/>
      </c>
      <c r="U525" s="34" t="str">
        <f>IF(AND(L525=1,bp_kode=T525,T525&lt;&gt;""),COUNTIF($T$8:T525,T525),"")</f>
        <v/>
      </c>
      <c r="V525" s="34" t="str">
        <f t="shared" si="244"/>
        <v>db</v>
      </c>
      <c r="W525" s="34" t="str">
        <f t="shared" si="245"/>
        <v>db</v>
      </c>
      <c r="X525" s="34" t="str">
        <f>IF(B525="","",COUNTIF($C$8:C525,C525)&amp;C525)</f>
        <v>0</v>
      </c>
    </row>
    <row r="526" spans="2:24" ht="23.1" customHeight="1">
      <c r="B526" s="31">
        <v>44742</v>
      </c>
      <c r="C526" s="9"/>
      <c r="D526" s="9" t="s">
        <v>670</v>
      </c>
      <c r="E526" s="7"/>
      <c r="F526" s="7"/>
      <c r="G526" s="7"/>
      <c r="H526" s="7" t="s">
        <v>668</v>
      </c>
      <c r="I526" s="7" t="s">
        <v>675</v>
      </c>
      <c r="J526" s="39">
        <v>186666.66666666666</v>
      </c>
      <c r="L526" s="16">
        <f t="shared" si="236"/>
        <v>1</v>
      </c>
      <c r="M526" s="16" t="str">
        <f t="shared" si="237"/>
        <v>June</v>
      </c>
      <c r="N526" s="16" t="str">
        <f t="shared" si="238"/>
        <v/>
      </c>
      <c r="O526" s="16" t="str">
        <f>IF(N526="","",COUNTIF($N$8:N526,N526))</f>
        <v/>
      </c>
      <c r="P526" s="34" t="str">
        <f t="shared" si="239"/>
        <v/>
      </c>
      <c r="Q526" s="34" t="str">
        <f t="shared" si="240"/>
        <v/>
      </c>
      <c r="R526" s="34" t="str">
        <f t="shared" si="241"/>
        <v>Beban</v>
      </c>
      <c r="S526" s="34" t="str">
        <f t="shared" si="242"/>
        <v>Depresiasi &amp; Amortisasi</v>
      </c>
      <c r="T526" s="34" t="str">
        <f t="shared" si="243"/>
        <v/>
      </c>
      <c r="U526" s="34" t="str">
        <f>IF(AND(L526=1,bp_kode=T526,T526&lt;&gt;""),COUNTIF($T$8:T526,T526),"")</f>
        <v/>
      </c>
      <c r="V526" s="34" t="str">
        <f t="shared" si="244"/>
        <v>db</v>
      </c>
      <c r="W526" s="34" t="str">
        <f t="shared" si="245"/>
        <v>db</v>
      </c>
      <c r="X526" s="34" t="str">
        <f>IF(B526="","",COUNTIF($C$8:C526,C526)&amp;C526)</f>
        <v>0</v>
      </c>
    </row>
    <row r="527" spans="2:24" ht="23.1" customHeight="1">
      <c r="B527" s="31">
        <v>44742</v>
      </c>
      <c r="C527" s="9"/>
      <c r="D527" s="9" t="s">
        <v>666</v>
      </c>
      <c r="E527" s="7"/>
      <c r="F527" s="7"/>
      <c r="G527" s="7"/>
      <c r="H527" s="7" t="s">
        <v>662</v>
      </c>
      <c r="I527" s="7" t="s">
        <v>673</v>
      </c>
      <c r="J527" s="39">
        <v>40833.33</v>
      </c>
      <c r="L527" s="16">
        <f t="shared" si="236"/>
        <v>1</v>
      </c>
      <c r="M527" s="16" t="str">
        <f t="shared" si="237"/>
        <v>June</v>
      </c>
      <c r="N527" s="16" t="str">
        <f t="shared" si="238"/>
        <v/>
      </c>
      <c r="O527" s="16" t="str">
        <f>IF(N527="","",COUNTIF($N$8:N527,N527))</f>
        <v/>
      </c>
      <c r="P527" s="34" t="str">
        <f t="shared" si="239"/>
        <v/>
      </c>
      <c r="Q527" s="34" t="str">
        <f t="shared" si="240"/>
        <v/>
      </c>
      <c r="R527" s="34" t="str">
        <f t="shared" si="241"/>
        <v>Beban</v>
      </c>
      <c r="S527" s="34" t="str">
        <f t="shared" si="242"/>
        <v>Depresiasi &amp; Amortisasi</v>
      </c>
      <c r="T527" s="34" t="str">
        <f t="shared" si="243"/>
        <v/>
      </c>
      <c r="U527" s="34" t="str">
        <f>IF(AND(L527=1,bp_kode=T527,T527&lt;&gt;""),COUNTIF($T$8:T527,T527),"")</f>
        <v/>
      </c>
      <c r="V527" s="34" t="str">
        <f t="shared" si="244"/>
        <v>db</v>
      </c>
      <c r="W527" s="34" t="str">
        <f t="shared" si="245"/>
        <v>db</v>
      </c>
      <c r="X527" s="34" t="str">
        <f>IF(B527="","",COUNTIF($C$8:C527,C527)&amp;C527)</f>
        <v>0</v>
      </c>
    </row>
    <row r="528" spans="2:24" s="342" customFormat="1" ht="23.1" customHeight="1">
      <c r="B528" s="356">
        <v>44742</v>
      </c>
      <c r="C528" s="344"/>
      <c r="D528" s="344" t="s">
        <v>691</v>
      </c>
      <c r="E528" s="345"/>
      <c r="F528" s="345"/>
      <c r="G528" s="345"/>
      <c r="H528" s="345" t="s">
        <v>692</v>
      </c>
      <c r="I528" s="345" t="s">
        <v>582</v>
      </c>
      <c r="J528" s="346">
        <v>2460000</v>
      </c>
      <c r="L528" s="347">
        <f t="shared" si="236"/>
        <v>1</v>
      </c>
      <c r="M528" s="347" t="str">
        <f t="shared" si="237"/>
        <v>June</v>
      </c>
      <c r="N528" s="347" t="str">
        <f t="shared" si="238"/>
        <v/>
      </c>
      <c r="O528" s="347" t="str">
        <f>IF(N528="","",COUNTIF($N$8:N528,N528))</f>
        <v/>
      </c>
      <c r="P528" s="348" t="str">
        <f t="shared" si="239"/>
        <v>outHarga Pokok Penjualan</v>
      </c>
      <c r="Q528" s="348" t="str">
        <f t="shared" si="240"/>
        <v>outJuneHarga Pokok Penjualan</v>
      </c>
      <c r="R528" s="348" t="str">
        <f t="shared" si="241"/>
        <v>Harga Pokok Penjualan</v>
      </c>
      <c r="S528" s="348" t="str">
        <f t="shared" si="242"/>
        <v>Kas</v>
      </c>
      <c r="T528" s="348" t="str">
        <f t="shared" si="243"/>
        <v/>
      </c>
      <c r="U528" s="348" t="str">
        <f>IF(AND(L528=1,bp_kode=T528,T528&lt;&gt;""),COUNTIF($T$8:T528,T528),"")</f>
        <v/>
      </c>
      <c r="V528" s="348" t="str">
        <f t="shared" si="244"/>
        <v>db</v>
      </c>
      <c r="W528" s="348" t="str">
        <f t="shared" si="245"/>
        <v>db</v>
      </c>
      <c r="X528" s="348" t="str">
        <f>IF(B528="","",COUNTIF($C$8:C528,C528)&amp;C528)</f>
        <v>0</v>
      </c>
    </row>
    <row r="529" spans="2:24" s="349" customFormat="1" ht="23.1" customHeight="1">
      <c r="B529" s="356">
        <v>44742</v>
      </c>
      <c r="C529" s="351"/>
      <c r="D529" s="351" t="s">
        <v>666</v>
      </c>
      <c r="E529" s="352"/>
      <c r="F529" s="352"/>
      <c r="G529" s="352"/>
      <c r="H529" s="352" t="s">
        <v>662</v>
      </c>
      <c r="I529" s="352" t="s">
        <v>673</v>
      </c>
      <c r="J529" s="353">
        <v>15833.333333333334</v>
      </c>
      <c r="L529" s="354">
        <f t="shared" si="236"/>
        <v>1</v>
      </c>
      <c r="M529" s="354" t="str">
        <f t="shared" si="237"/>
        <v>June</v>
      </c>
      <c r="N529" s="354" t="str">
        <f t="shared" si="238"/>
        <v/>
      </c>
      <c r="O529" s="354" t="str">
        <f>IF(N529="","",COUNTIF($N$8:N529,N529))</f>
        <v/>
      </c>
      <c r="P529" s="355" t="str">
        <f t="shared" si="239"/>
        <v/>
      </c>
      <c r="Q529" s="355" t="str">
        <f t="shared" si="240"/>
        <v/>
      </c>
      <c r="R529" s="355" t="str">
        <f t="shared" si="241"/>
        <v>Beban</v>
      </c>
      <c r="S529" s="355" t="str">
        <f t="shared" si="242"/>
        <v>Depresiasi &amp; Amortisasi</v>
      </c>
      <c r="T529" s="355" t="str">
        <f t="shared" si="243"/>
        <v/>
      </c>
      <c r="U529" s="355" t="str">
        <f>IF(AND(L529=1,bp_kode=T529,T529&lt;&gt;""),COUNTIF($T$8:T529,T529),"")</f>
        <v/>
      </c>
      <c r="V529" s="355" t="str">
        <f t="shared" si="244"/>
        <v>db</v>
      </c>
      <c r="W529" s="355" t="str">
        <f t="shared" si="245"/>
        <v>db</v>
      </c>
      <c r="X529" s="355" t="str">
        <f>IF(B529="","",COUNTIF($C$8:C529,C529)&amp;C529)</f>
        <v>0</v>
      </c>
    </row>
    <row r="530" spans="2:24" ht="23.1" customHeight="1">
      <c r="B530" s="31">
        <v>44773</v>
      </c>
      <c r="C530" s="9"/>
      <c r="D530" s="9" t="s">
        <v>550</v>
      </c>
      <c r="E530" s="7"/>
      <c r="F530" s="7"/>
      <c r="G530" s="7"/>
      <c r="H530" s="7" t="s">
        <v>551</v>
      </c>
      <c r="I530" s="7" t="s">
        <v>503</v>
      </c>
      <c r="J530" s="39">
        <v>770911500</v>
      </c>
      <c r="L530" s="16">
        <f t="shared" si="236"/>
        <v>1</v>
      </c>
      <c r="M530" s="16" t="str">
        <f t="shared" si="237"/>
        <v>July</v>
      </c>
      <c r="N530" s="16" t="str">
        <f t="shared" si="238"/>
        <v/>
      </c>
      <c r="O530" s="16" t="str">
        <f>IF(N530="","",COUNTIF($N$8:N530,N530))</f>
        <v/>
      </c>
      <c r="P530" s="34" t="str">
        <f t="shared" si="239"/>
        <v/>
      </c>
      <c r="Q530" s="34" t="str">
        <f t="shared" si="240"/>
        <v/>
      </c>
      <c r="R530" s="34" t="str">
        <f t="shared" si="241"/>
        <v>Akun Piutang</v>
      </c>
      <c r="S530" s="34" t="str">
        <f t="shared" si="242"/>
        <v>Pendapatan</v>
      </c>
      <c r="T530" s="34">
        <f t="shared" si="243"/>
        <v>0</v>
      </c>
      <c r="U530" s="34" t="str">
        <f>IF(AND(L530=1,bp_kode=T530,T530&lt;&gt;""),COUNTIF($T$8:T530,T530),"")</f>
        <v/>
      </c>
      <c r="V530" s="34" t="str">
        <f t="shared" si="244"/>
        <v>kr</v>
      </c>
      <c r="W530" s="34" t="str">
        <f t="shared" si="245"/>
        <v>kr</v>
      </c>
      <c r="X530" s="34" t="str">
        <f>IF(B530="","",COUNTIF($C$8:C530,C530)&amp;C530)</f>
        <v>0</v>
      </c>
    </row>
    <row r="531" spans="2:24" ht="23.1" customHeight="1">
      <c r="B531" s="31">
        <v>44773</v>
      </c>
      <c r="C531" s="9"/>
      <c r="D531" s="9" t="s">
        <v>552</v>
      </c>
      <c r="E531" s="7"/>
      <c r="F531" s="7"/>
      <c r="G531" s="7"/>
      <c r="H531" s="7" t="s">
        <v>587</v>
      </c>
      <c r="I531" s="7" t="s">
        <v>553</v>
      </c>
      <c r="J531" s="39">
        <v>4093000</v>
      </c>
      <c r="L531" s="16">
        <f t="shared" si="236"/>
        <v>1</v>
      </c>
      <c r="M531" s="16" t="str">
        <f t="shared" si="237"/>
        <v>July</v>
      </c>
      <c r="N531" s="16" t="str">
        <f t="shared" si="238"/>
        <v/>
      </c>
      <c r="O531" s="16" t="str">
        <f>IF(N531="","",COUNTIF($N$8:N531,N531))</f>
        <v/>
      </c>
      <c r="P531" s="34" t="str">
        <f t="shared" si="239"/>
        <v/>
      </c>
      <c r="Q531" s="34" t="str">
        <f t="shared" si="240"/>
        <v/>
      </c>
      <c r="R531" s="34" t="str">
        <f t="shared" si="241"/>
        <v>Akun Piutang</v>
      </c>
      <c r="S531" s="34" t="str">
        <f t="shared" si="242"/>
        <v>Pendapatan</v>
      </c>
      <c r="T531" s="34">
        <f t="shared" si="243"/>
        <v>0</v>
      </c>
      <c r="U531" s="34" t="str">
        <f>IF(AND(L531=1,bp_kode=T531,T531&lt;&gt;""),COUNTIF($T$8:T531,T531),"")</f>
        <v/>
      </c>
      <c r="V531" s="34" t="str">
        <f t="shared" si="244"/>
        <v>kr</v>
      </c>
      <c r="W531" s="34" t="str">
        <f t="shared" si="245"/>
        <v>kr</v>
      </c>
      <c r="X531" s="34" t="str">
        <f>IF(B531="","",COUNTIF($C$8:C531,C531)&amp;C531)</f>
        <v>0</v>
      </c>
    </row>
    <row r="532" spans="2:24" ht="23.1" customHeight="1">
      <c r="B532" s="31">
        <v>44773</v>
      </c>
      <c r="C532" s="9"/>
      <c r="D532" s="9" t="s">
        <v>555</v>
      </c>
      <c r="E532" s="7"/>
      <c r="F532" s="7"/>
      <c r="G532" s="7"/>
      <c r="H532" s="7" t="s">
        <v>557</v>
      </c>
      <c r="I532" s="7" t="s">
        <v>556</v>
      </c>
      <c r="J532" s="39">
        <v>204900000</v>
      </c>
      <c r="L532" s="16">
        <f t="shared" si="236"/>
        <v>1</v>
      </c>
      <c r="M532" s="16" t="str">
        <f t="shared" si="237"/>
        <v>July</v>
      </c>
      <c r="N532" s="16" t="str">
        <f t="shared" si="238"/>
        <v/>
      </c>
      <c r="O532" s="16" t="str">
        <f>IF(N532="","",COUNTIF($N$8:N532,N532))</f>
        <v/>
      </c>
      <c r="P532" s="34" t="str">
        <f t="shared" si="239"/>
        <v/>
      </c>
      <c r="Q532" s="34" t="str">
        <f t="shared" si="240"/>
        <v/>
      </c>
      <c r="R532" s="34" t="str">
        <f t="shared" si="241"/>
        <v>Akun Piutang</v>
      </c>
      <c r="S532" s="34" t="str">
        <f t="shared" si="242"/>
        <v>Pendapatan</v>
      </c>
      <c r="T532" s="34">
        <f t="shared" si="243"/>
        <v>0</v>
      </c>
      <c r="U532" s="34" t="str">
        <f>IF(AND(L532=1,bp_kode=T532,T532&lt;&gt;""),COUNTIF($T$8:T532,T532),"")</f>
        <v/>
      </c>
      <c r="V532" s="34" t="str">
        <f t="shared" si="244"/>
        <v>kr</v>
      </c>
      <c r="W532" s="34" t="str">
        <f t="shared" si="245"/>
        <v>kr</v>
      </c>
      <c r="X532" s="34" t="str">
        <f>IF(B532="","",COUNTIF($C$8:C532,C532)&amp;C532)</f>
        <v>0</v>
      </c>
    </row>
    <row r="533" spans="2:24" ht="23.1" customHeight="1">
      <c r="B533" s="31">
        <v>44773</v>
      </c>
      <c r="C533" s="9"/>
      <c r="D533" s="9" t="s">
        <v>558</v>
      </c>
      <c r="E533" s="7"/>
      <c r="F533" s="7"/>
      <c r="G533" s="7"/>
      <c r="H533" s="7" t="s">
        <v>559</v>
      </c>
      <c r="I533" s="7" t="s">
        <v>560</v>
      </c>
      <c r="J533" s="39">
        <v>406697000</v>
      </c>
      <c r="L533" s="16">
        <f t="shared" si="236"/>
        <v>1</v>
      </c>
      <c r="M533" s="16" t="str">
        <f t="shared" si="237"/>
        <v>July</v>
      </c>
      <c r="N533" s="16" t="str">
        <f t="shared" si="238"/>
        <v/>
      </c>
      <c r="O533" s="16" t="str">
        <f>IF(N533="","",COUNTIF($N$8:N533,N533))</f>
        <v/>
      </c>
      <c r="P533" s="34" t="str">
        <f t="shared" si="239"/>
        <v/>
      </c>
      <c r="Q533" s="34" t="str">
        <f t="shared" si="240"/>
        <v/>
      </c>
      <c r="R533" s="34" t="str">
        <f t="shared" si="241"/>
        <v>Akun Piutang</v>
      </c>
      <c r="S533" s="34" t="str">
        <f t="shared" si="242"/>
        <v>Pendapatan</v>
      </c>
      <c r="T533" s="34">
        <f t="shared" si="243"/>
        <v>0</v>
      </c>
      <c r="U533" s="34" t="str">
        <f>IF(AND(L533=1,bp_kode=T533,T533&lt;&gt;""),COUNTIF($T$8:T533,T533),"")</f>
        <v/>
      </c>
      <c r="V533" s="34" t="str">
        <f t="shared" si="244"/>
        <v>kr</v>
      </c>
      <c r="W533" s="34" t="str">
        <f t="shared" si="245"/>
        <v>kr</v>
      </c>
      <c r="X533" s="34" t="str">
        <f>IF(B533="","",COUNTIF($C$8:C533,C533)&amp;C533)</f>
        <v>0</v>
      </c>
    </row>
    <row r="534" spans="2:24" ht="23.1" customHeight="1">
      <c r="B534" s="31">
        <v>44773</v>
      </c>
      <c r="C534" s="9"/>
      <c r="D534" s="9" t="s">
        <v>562</v>
      </c>
      <c r="E534" s="7"/>
      <c r="F534" s="7"/>
      <c r="G534" s="7"/>
      <c r="H534" s="7" t="s">
        <v>561</v>
      </c>
      <c r="I534" s="7" t="s">
        <v>504</v>
      </c>
      <c r="J534" s="39">
        <v>40159000</v>
      </c>
      <c r="L534" s="16">
        <f t="shared" ref="L534:L610" si="296">IF(AND(B534&gt;=awal,B534&lt;=akhir,B534&lt;&gt;""),1,IF(AND(B534&lt;&gt;"",B534&lt;awal),2,""))</f>
        <v>1</v>
      </c>
      <c r="M534" s="16" t="str">
        <f t="shared" ref="M534:M610" si="297">IF(B534="","",TEXT(B534,"mmmm"))</f>
        <v>July</v>
      </c>
      <c r="N534" s="16" t="str">
        <f t="shared" ref="N534:N610" si="298">IF(AND(L534=1,H534=bb_akun),"Awe",IF(AND(L534=1,I534=bb_akun),"Awe",""))</f>
        <v/>
      </c>
      <c r="O534" s="16" t="str">
        <f>IF(N534="","",COUNTIF($N$8:N534,N534))</f>
        <v/>
      </c>
      <c r="P534" s="34" t="str">
        <f t="shared" ref="P534:P610" si="299">IFERROR(IF(OR(INDEX(akun_type,MATCH(H534,akun_kb,0))="Kas",INDEX(akun_type,MATCH(H534,akun_kb,0))="Bank"),"In"&amp;INDEX(akun_type,MATCH(I534,akun_kb,0)),IF(OR(INDEX(akun_type,MATCH(I534,akun_kb,0))="Kas",INDEX(akun_type,MATCH(I534,akun_kb,0))="Bank"),"out"&amp;INDEX(akun_type,MATCH(H534,akun_kb,0)),"")),"")</f>
        <v/>
      </c>
      <c r="Q534" s="34" t="str">
        <f t="shared" ref="Q534:Q610" si="300">IFERROR(IF(OR(INDEX(akun_type,MATCH(H534,akun_kb,0))="Kas",INDEX(akun_type,MATCH(H534,akun_kb,0))="Bank"),"in"&amp;TEXT(B534,"mmmm")&amp;INDEX(akun_type,MATCH(I534,akun_kb,0)),IF(OR(INDEX(akun_type,MATCH(I534,akun_kb,0))="Kas",INDEX(akun_type,MATCH(I534,akun_kb,0))="Bank"),"out"&amp;TEXT(B534,"mmmm")&amp;INDEX(akun_type,MATCH(H534,akun_kb,0)),"")),"")</f>
        <v/>
      </c>
      <c r="R534" s="34" t="str">
        <f t="shared" ref="R534:R610" si="301">IFERROR(INDEX(akun_type,MATCH(H534,akun_kb,0)),"")</f>
        <v>Akun Piutang</v>
      </c>
      <c r="S534" s="34" t="str">
        <f t="shared" ref="S534:S610" si="302">IFERROR(INDEX(akun_type,MATCH(I534,akun_kb,0)),"")</f>
        <v>Pendapatan</v>
      </c>
      <c r="T534" s="34">
        <f t="shared" ref="T534:T610" si="303">IF(AND(L534=1,OR(R534="Akun Piutang",R534="akun hutang",S534="akun piutang",S534="akun hutang")),E534,"")</f>
        <v>0</v>
      </c>
      <c r="U534" s="34" t="str">
        <f>IF(AND(L534=1,bp_kode=T534,T534&lt;&gt;""),COUNTIF($T$8:T534,T534),"")</f>
        <v/>
      </c>
      <c r="V534" s="34" t="str">
        <f t="shared" ref="V534:V610" si="304">IF(OR(R534="Pendapatan",R534="Pendapatan Lainnya",R534="Beban",R534="Harga Pokok Penjualan",R534="Beban Lainnya"),"db"&amp;F534,IF(OR(S534="Pendapatan",S534="Pendapatan Lainnya",S534="Beban",S534="Harga Pokok Penjualan",S534="Beban Lainnya"),"kr"&amp;F534,""))</f>
        <v>kr</v>
      </c>
      <c r="W534" s="34" t="str">
        <f t="shared" ref="W534:W610" si="305">IF(OR(R534="Pendapatan",R534="Pendapatan Lainnya",R534="Beban",R534="Harga Pokok Penjualan",R534="Beban Lainnya"),"db"&amp;G534,IF(OR(S534="Pendapatan",S534="Pendapatan Lainnya",S534="Beban",S534="Harga Pokok Penjualan",S534="Beban Lainnya"),"kr"&amp;G534,""))</f>
        <v>kr</v>
      </c>
      <c r="X534" s="34" t="str">
        <f>IF(B534="","",COUNTIF($C$8:C534,C534)&amp;C534)</f>
        <v>0</v>
      </c>
    </row>
    <row r="535" spans="2:24" ht="23.1" customHeight="1">
      <c r="B535" s="31">
        <v>44773</v>
      </c>
      <c r="C535" s="9"/>
      <c r="D535" s="9" t="s">
        <v>563</v>
      </c>
      <c r="E535" s="7"/>
      <c r="F535" s="7"/>
      <c r="G535" s="7"/>
      <c r="H535" s="7" t="s">
        <v>565</v>
      </c>
      <c r="I535" s="7" t="s">
        <v>551</v>
      </c>
      <c r="J535" s="39">
        <v>202508000</v>
      </c>
      <c r="L535" s="16">
        <f t="shared" si="296"/>
        <v>1</v>
      </c>
      <c r="M535" s="16" t="str">
        <f t="shared" si="297"/>
        <v>July</v>
      </c>
      <c r="N535" s="16" t="str">
        <f t="shared" si="298"/>
        <v/>
      </c>
      <c r="O535" s="16" t="str">
        <f>IF(N535="","",COUNTIF($N$8:N535,N535))</f>
        <v/>
      </c>
      <c r="P535" s="34" t="str">
        <f t="shared" si="299"/>
        <v/>
      </c>
      <c r="Q535" s="34" t="str">
        <f t="shared" si="300"/>
        <v/>
      </c>
      <c r="R535" s="34" t="str">
        <f t="shared" si="301"/>
        <v>Pendapatan</v>
      </c>
      <c r="S535" s="34" t="str">
        <f t="shared" si="302"/>
        <v>Akun Piutang</v>
      </c>
      <c r="T535" s="34">
        <f t="shared" si="303"/>
        <v>0</v>
      </c>
      <c r="U535" s="34" t="str">
        <f>IF(AND(L535=1,bp_kode=T535,T535&lt;&gt;""),COUNTIF($T$8:T535,T535),"")</f>
        <v/>
      </c>
      <c r="V535" s="34" t="str">
        <f t="shared" si="304"/>
        <v>db</v>
      </c>
      <c r="W535" s="34" t="str">
        <f t="shared" si="305"/>
        <v>db</v>
      </c>
      <c r="X535" s="34" t="str">
        <f>IF(B535="","",COUNTIF($C$8:C535,C535)&amp;C535)</f>
        <v>0</v>
      </c>
    </row>
    <row r="536" spans="2:24" ht="23.1" customHeight="1">
      <c r="B536" s="31">
        <v>44773</v>
      </c>
      <c r="C536" s="9"/>
      <c r="D536" s="9" t="s">
        <v>564</v>
      </c>
      <c r="E536" s="7"/>
      <c r="F536" s="7"/>
      <c r="G536" s="7"/>
      <c r="H536" s="7" t="s">
        <v>566</v>
      </c>
      <c r="I536" s="7" t="s">
        <v>559</v>
      </c>
      <c r="J536" s="39">
        <v>23833000</v>
      </c>
      <c r="L536" s="16">
        <f t="shared" si="296"/>
        <v>1</v>
      </c>
      <c r="M536" s="16" t="str">
        <f t="shared" si="297"/>
        <v>July</v>
      </c>
      <c r="N536" s="16" t="str">
        <f t="shared" si="298"/>
        <v/>
      </c>
      <c r="O536" s="16" t="str">
        <f>IF(N536="","",COUNTIF($N$8:N536,N536))</f>
        <v/>
      </c>
      <c r="P536" s="34" t="str">
        <f t="shared" si="299"/>
        <v/>
      </c>
      <c r="Q536" s="34" t="str">
        <f t="shared" si="300"/>
        <v/>
      </c>
      <c r="R536" s="34" t="str">
        <f t="shared" si="301"/>
        <v>Pendapatan</v>
      </c>
      <c r="S536" s="34" t="str">
        <f t="shared" si="302"/>
        <v>Akun Piutang</v>
      </c>
      <c r="T536" s="34">
        <f t="shared" si="303"/>
        <v>0</v>
      </c>
      <c r="U536" s="34" t="str">
        <f>IF(AND(L536=1,bp_kode=T536,T536&lt;&gt;""),COUNTIF($T$8:T536,T536),"")</f>
        <v/>
      </c>
      <c r="V536" s="34" t="str">
        <f t="shared" si="304"/>
        <v>db</v>
      </c>
      <c r="W536" s="34" t="str">
        <f t="shared" si="305"/>
        <v>db</v>
      </c>
      <c r="X536" s="34" t="str">
        <f>IF(B536="","",COUNTIF($C$8:C536,C536)&amp;C536)</f>
        <v>0</v>
      </c>
    </row>
    <row r="537" spans="2:24" ht="23.1" customHeight="1">
      <c r="B537" s="31">
        <v>44773</v>
      </c>
      <c r="C537" s="9"/>
      <c r="D537" s="9" t="s">
        <v>555</v>
      </c>
      <c r="E537" s="7"/>
      <c r="F537" s="7"/>
      <c r="G537" s="7"/>
      <c r="H537" s="7" t="s">
        <v>554</v>
      </c>
      <c r="I537" s="7" t="s">
        <v>557</v>
      </c>
      <c r="J537" s="39">
        <v>200625000</v>
      </c>
      <c r="L537" s="16">
        <f t="shared" si="296"/>
        <v>1</v>
      </c>
      <c r="M537" s="16" t="str">
        <f t="shared" si="297"/>
        <v>July</v>
      </c>
      <c r="N537" s="16" t="str">
        <f t="shared" si="298"/>
        <v/>
      </c>
      <c r="O537" s="16" t="str">
        <f>IF(N537="","",COUNTIF($N$8:N537,N537))</f>
        <v/>
      </c>
      <c r="P537" s="34" t="str">
        <f t="shared" si="299"/>
        <v>InAkun Piutang</v>
      </c>
      <c r="Q537" s="34" t="str">
        <f t="shared" si="300"/>
        <v>inJulyAkun Piutang</v>
      </c>
      <c r="R537" s="34" t="str">
        <f t="shared" si="301"/>
        <v>Kas</v>
      </c>
      <c r="S537" s="34" t="str">
        <f t="shared" si="302"/>
        <v>Akun Piutang</v>
      </c>
      <c r="T537" s="34">
        <f t="shared" si="303"/>
        <v>0</v>
      </c>
      <c r="U537" s="34" t="str">
        <f>IF(AND(L537=1,bp_kode=T537,T537&lt;&gt;""),COUNTIF($T$8:T537,T537),"")</f>
        <v/>
      </c>
      <c r="V537" s="34" t="str">
        <f t="shared" si="304"/>
        <v/>
      </c>
      <c r="W537" s="34" t="str">
        <f t="shared" si="305"/>
        <v/>
      </c>
      <c r="X537" s="34" t="str">
        <f>IF(B537="","",COUNTIF($C$8:C537,C537)&amp;C537)</f>
        <v>0</v>
      </c>
    </row>
    <row r="538" spans="2:24" ht="23.1" customHeight="1">
      <c r="B538" s="31">
        <v>44773</v>
      </c>
      <c r="C538" s="9"/>
      <c r="D538" s="9" t="s">
        <v>730</v>
      </c>
      <c r="E538" s="7"/>
      <c r="F538" s="7"/>
      <c r="G538" s="7"/>
      <c r="H538" s="7" t="s">
        <v>568</v>
      </c>
      <c r="I538" s="7" t="s">
        <v>569</v>
      </c>
      <c r="J538" s="39">
        <v>803944</v>
      </c>
      <c r="L538" s="16">
        <f t="shared" si="296"/>
        <v>1</v>
      </c>
      <c r="M538" s="16" t="str">
        <f t="shared" si="297"/>
        <v>July</v>
      </c>
      <c r="N538" s="16" t="str">
        <f t="shared" si="298"/>
        <v/>
      </c>
      <c r="O538" s="16" t="str">
        <f>IF(N538="","",COUNTIF($N$8:N538,N538))</f>
        <v/>
      </c>
      <c r="P538" s="34" t="str">
        <f t="shared" si="299"/>
        <v>InPendapatan Lainnya</v>
      </c>
      <c r="Q538" s="34" t="str">
        <f t="shared" si="300"/>
        <v>inJulyPendapatan Lainnya</v>
      </c>
      <c r="R538" s="34" t="str">
        <f t="shared" si="301"/>
        <v>Bank</v>
      </c>
      <c r="S538" s="34" t="str">
        <f t="shared" si="302"/>
        <v>Pendapatan Lainnya</v>
      </c>
      <c r="T538" s="34" t="str">
        <f t="shared" si="303"/>
        <v/>
      </c>
      <c r="U538" s="34" t="str">
        <f>IF(AND(L538=1,bp_kode=T538,T538&lt;&gt;""),COUNTIF($T$8:T538,T538),"")</f>
        <v/>
      </c>
      <c r="V538" s="34" t="str">
        <f t="shared" si="304"/>
        <v>kr</v>
      </c>
      <c r="W538" s="34" t="str">
        <f t="shared" si="305"/>
        <v>kr</v>
      </c>
      <c r="X538" s="34" t="str">
        <f>IF(B538="","",COUNTIF($C$8:C538,C538)&amp;C538)</f>
        <v>0</v>
      </c>
    </row>
    <row r="539" spans="2:24" ht="23.1" customHeight="1">
      <c r="B539" s="31">
        <v>44773</v>
      </c>
      <c r="C539" s="9"/>
      <c r="D539" s="9" t="s">
        <v>570</v>
      </c>
      <c r="E539" s="7"/>
      <c r="F539" s="7"/>
      <c r="G539" s="7"/>
      <c r="H539" s="7" t="s">
        <v>571</v>
      </c>
      <c r="I539" s="7" t="s">
        <v>568</v>
      </c>
      <c r="J539" s="39">
        <v>160772</v>
      </c>
      <c r="L539" s="16">
        <f t="shared" si="296"/>
        <v>1</v>
      </c>
      <c r="M539" s="16" t="str">
        <f t="shared" si="297"/>
        <v>July</v>
      </c>
      <c r="N539" s="16" t="str">
        <f t="shared" si="298"/>
        <v/>
      </c>
      <c r="O539" s="16" t="str">
        <f>IF(N539="","",COUNTIF($N$8:N539,N539))</f>
        <v/>
      </c>
      <c r="P539" s="34" t="str">
        <f t="shared" si="299"/>
        <v>outBeban Lainnya</v>
      </c>
      <c r="Q539" s="34" t="str">
        <f t="shared" si="300"/>
        <v>outJulyBeban Lainnya</v>
      </c>
      <c r="R539" s="34" t="str">
        <f t="shared" si="301"/>
        <v>Beban Lainnya</v>
      </c>
      <c r="S539" s="34" t="str">
        <f t="shared" si="302"/>
        <v>Bank</v>
      </c>
      <c r="T539" s="34" t="str">
        <f t="shared" si="303"/>
        <v/>
      </c>
      <c r="U539" s="34" t="str">
        <f>IF(AND(L539=1,bp_kode=T539,T539&lt;&gt;""),COUNTIF($T$8:T539,T539),"")</f>
        <v/>
      </c>
      <c r="V539" s="34" t="str">
        <f t="shared" si="304"/>
        <v>db</v>
      </c>
      <c r="W539" s="34" t="str">
        <f t="shared" si="305"/>
        <v>db</v>
      </c>
      <c r="X539" s="34" t="str">
        <f>IF(B539="","",COUNTIF($C$8:C539,C539)&amp;C539)</f>
        <v>0</v>
      </c>
    </row>
    <row r="540" spans="2:24" ht="23.1" customHeight="1">
      <c r="B540" s="31">
        <v>44773</v>
      </c>
      <c r="C540" s="9"/>
      <c r="D540" s="9" t="s">
        <v>572</v>
      </c>
      <c r="E540" s="7"/>
      <c r="F540" s="7"/>
      <c r="G540" s="7"/>
      <c r="H540" s="7" t="s">
        <v>640</v>
      </c>
      <c r="I540" s="7" t="s">
        <v>568</v>
      </c>
      <c r="J540" s="39">
        <v>36500</v>
      </c>
      <c r="L540" s="16">
        <f t="shared" si="296"/>
        <v>1</v>
      </c>
      <c r="M540" s="16" t="str">
        <f t="shared" si="297"/>
        <v>July</v>
      </c>
      <c r="N540" s="16" t="str">
        <f t="shared" si="298"/>
        <v/>
      </c>
      <c r="O540" s="16" t="str">
        <f>IF(N540="","",COUNTIF($N$8:N540,N540))</f>
        <v/>
      </c>
      <c r="P540" s="34" t="str">
        <f t="shared" si="299"/>
        <v>outBeban Lainnya</v>
      </c>
      <c r="Q540" s="34" t="str">
        <f t="shared" si="300"/>
        <v>outJulyBeban Lainnya</v>
      </c>
      <c r="R540" s="34" t="str">
        <f t="shared" si="301"/>
        <v>Beban Lainnya</v>
      </c>
      <c r="S540" s="34" t="str">
        <f t="shared" si="302"/>
        <v>Bank</v>
      </c>
      <c r="T540" s="34" t="str">
        <f t="shared" si="303"/>
        <v/>
      </c>
      <c r="U540" s="34" t="str">
        <f>IF(AND(L540=1,bp_kode=T540,T540&lt;&gt;""),COUNTIF($T$8:T540,T540),"")</f>
        <v/>
      </c>
      <c r="V540" s="34" t="str">
        <f t="shared" si="304"/>
        <v>db</v>
      </c>
      <c r="W540" s="34" t="str">
        <f t="shared" si="305"/>
        <v>db</v>
      </c>
      <c r="X540" s="34" t="str">
        <f>IF(B540="","",COUNTIF($C$8:C540,C540)&amp;C540)</f>
        <v>0</v>
      </c>
    </row>
    <row r="541" spans="2:24" ht="23.1" customHeight="1">
      <c r="B541" s="31">
        <v>44773</v>
      </c>
      <c r="C541" s="9"/>
      <c r="D541" s="9" t="s">
        <v>573</v>
      </c>
      <c r="E541" s="7"/>
      <c r="F541" s="7"/>
      <c r="G541" s="7"/>
      <c r="H541" s="7" t="s">
        <v>568</v>
      </c>
      <c r="I541" s="7" t="s">
        <v>559</v>
      </c>
      <c r="J541" s="39">
        <v>57947100</v>
      </c>
      <c r="L541" s="16">
        <f t="shared" si="296"/>
        <v>1</v>
      </c>
      <c r="M541" s="16" t="str">
        <f t="shared" si="297"/>
        <v>July</v>
      </c>
      <c r="N541" s="16" t="str">
        <f t="shared" si="298"/>
        <v/>
      </c>
      <c r="O541" s="16" t="str">
        <f>IF(N541="","",COUNTIF($N$8:N541,N541))</f>
        <v/>
      </c>
      <c r="P541" s="34" t="str">
        <f t="shared" si="299"/>
        <v>InAkun Piutang</v>
      </c>
      <c r="Q541" s="34" t="str">
        <f t="shared" si="300"/>
        <v>inJulyAkun Piutang</v>
      </c>
      <c r="R541" s="34" t="str">
        <f t="shared" si="301"/>
        <v>Bank</v>
      </c>
      <c r="S541" s="34" t="str">
        <f t="shared" si="302"/>
        <v>Akun Piutang</v>
      </c>
      <c r="T541" s="34">
        <f t="shared" si="303"/>
        <v>0</v>
      </c>
      <c r="U541" s="34" t="str">
        <f>IF(AND(L541=1,bp_kode=T541,T541&lt;&gt;""),COUNTIF($T$8:T541,T541),"")</f>
        <v/>
      </c>
      <c r="V541" s="34" t="str">
        <f t="shared" si="304"/>
        <v/>
      </c>
      <c r="W541" s="34" t="str">
        <f t="shared" si="305"/>
        <v/>
      </c>
      <c r="X541" s="34" t="str">
        <f>IF(B541="","",COUNTIF($C$8:C541,C541)&amp;C541)</f>
        <v>0</v>
      </c>
    </row>
    <row r="542" spans="2:24" ht="23.1" customHeight="1">
      <c r="B542" s="31">
        <v>44773</v>
      </c>
      <c r="C542" s="9"/>
      <c r="D542" s="9" t="s">
        <v>730</v>
      </c>
      <c r="E542" s="7"/>
      <c r="F542" s="7"/>
      <c r="G542" s="7"/>
      <c r="H542" s="7" t="s">
        <v>575</v>
      </c>
      <c r="I542" s="7" t="s">
        <v>569</v>
      </c>
      <c r="J542" s="39">
        <v>1175</v>
      </c>
      <c r="L542" s="16">
        <f t="shared" si="296"/>
        <v>1</v>
      </c>
      <c r="M542" s="16" t="str">
        <f t="shared" si="297"/>
        <v>July</v>
      </c>
      <c r="N542" s="16" t="str">
        <f t="shared" si="298"/>
        <v/>
      </c>
      <c r="O542" s="16" t="str">
        <f>IF(N542="","",COUNTIF($N$8:N542,N542))</f>
        <v/>
      </c>
      <c r="P542" s="34" t="str">
        <f t="shared" si="299"/>
        <v>InPendapatan Lainnya</v>
      </c>
      <c r="Q542" s="34" t="str">
        <f t="shared" si="300"/>
        <v>inJulyPendapatan Lainnya</v>
      </c>
      <c r="R542" s="34" t="str">
        <f t="shared" si="301"/>
        <v>Bank</v>
      </c>
      <c r="S542" s="34" t="str">
        <f t="shared" si="302"/>
        <v>Pendapatan Lainnya</v>
      </c>
      <c r="T542" s="34" t="str">
        <f t="shared" si="303"/>
        <v/>
      </c>
      <c r="U542" s="34" t="str">
        <f>IF(AND(L542=1,bp_kode=T542,T542&lt;&gt;""),COUNTIF($T$8:T542,T542),"")</f>
        <v/>
      </c>
      <c r="V542" s="34" t="str">
        <f t="shared" si="304"/>
        <v>kr</v>
      </c>
      <c r="W542" s="34" t="str">
        <f t="shared" si="305"/>
        <v>kr</v>
      </c>
      <c r="X542" s="34" t="str">
        <f>IF(B542="","",COUNTIF($C$8:C542,C542)&amp;C542)</f>
        <v>0</v>
      </c>
    </row>
    <row r="543" spans="2:24" ht="23.1" customHeight="1">
      <c r="B543" s="31">
        <v>44773</v>
      </c>
      <c r="C543" s="9"/>
      <c r="D543" s="9" t="s">
        <v>574</v>
      </c>
      <c r="E543" s="7"/>
      <c r="F543" s="7"/>
      <c r="G543" s="7"/>
      <c r="H543" s="7" t="s">
        <v>640</v>
      </c>
      <c r="I543" s="7" t="s">
        <v>575</v>
      </c>
      <c r="J543" s="39">
        <v>36500</v>
      </c>
      <c r="L543" s="16">
        <f t="shared" si="296"/>
        <v>1</v>
      </c>
      <c r="M543" s="16" t="str">
        <f t="shared" si="297"/>
        <v>July</v>
      </c>
      <c r="N543" s="16" t="str">
        <f t="shared" si="298"/>
        <v/>
      </c>
      <c r="O543" s="16" t="str">
        <f>IF(N543="","",COUNTIF($N$8:N543,N543))</f>
        <v/>
      </c>
      <c r="P543" s="34" t="str">
        <f t="shared" si="299"/>
        <v>outBeban Lainnya</v>
      </c>
      <c r="Q543" s="34" t="str">
        <f t="shared" si="300"/>
        <v>outJulyBeban Lainnya</v>
      </c>
      <c r="R543" s="34" t="str">
        <f t="shared" si="301"/>
        <v>Beban Lainnya</v>
      </c>
      <c r="S543" s="34" t="str">
        <f t="shared" si="302"/>
        <v>Bank</v>
      </c>
      <c r="T543" s="34" t="str">
        <f t="shared" si="303"/>
        <v/>
      </c>
      <c r="U543" s="34" t="str">
        <f>IF(AND(L543=1,bp_kode=T543,T543&lt;&gt;""),COUNTIF($T$8:T543,T543),"")</f>
        <v/>
      </c>
      <c r="V543" s="34" t="str">
        <f t="shared" si="304"/>
        <v>db</v>
      </c>
      <c r="W543" s="34" t="str">
        <f t="shared" si="305"/>
        <v>db</v>
      </c>
      <c r="X543" s="34" t="str">
        <f>IF(B543="","",COUNTIF($C$8:C543,C543)&amp;C543)</f>
        <v>0</v>
      </c>
    </row>
    <row r="544" spans="2:24" ht="23.1" customHeight="1">
      <c r="B544" s="31">
        <v>44773</v>
      </c>
      <c r="C544" s="9"/>
      <c r="D544" s="9" t="s">
        <v>730</v>
      </c>
      <c r="E544" s="7"/>
      <c r="F544" s="7"/>
      <c r="G544" s="7"/>
      <c r="H544" s="7" t="s">
        <v>577</v>
      </c>
      <c r="I544" s="7" t="s">
        <v>569</v>
      </c>
      <c r="J544" s="39">
        <v>1273854.3799999999</v>
      </c>
      <c r="L544" s="16">
        <f t="shared" si="296"/>
        <v>1</v>
      </c>
      <c r="M544" s="16" t="str">
        <f t="shared" si="297"/>
        <v>July</v>
      </c>
      <c r="N544" s="16" t="str">
        <f t="shared" si="298"/>
        <v/>
      </c>
      <c r="O544" s="16" t="str">
        <f>IF(N544="","",COUNTIF($N$8:N544,N544))</f>
        <v/>
      </c>
      <c r="P544" s="34" t="str">
        <f t="shared" si="299"/>
        <v>InPendapatan Lainnya</v>
      </c>
      <c r="Q544" s="34" t="str">
        <f t="shared" si="300"/>
        <v>inJulyPendapatan Lainnya</v>
      </c>
      <c r="R544" s="34" t="str">
        <f t="shared" si="301"/>
        <v>Bank</v>
      </c>
      <c r="S544" s="34" t="str">
        <f t="shared" si="302"/>
        <v>Pendapatan Lainnya</v>
      </c>
      <c r="T544" s="34" t="str">
        <f t="shared" si="303"/>
        <v/>
      </c>
      <c r="U544" s="34" t="str">
        <f>IF(AND(L544=1,bp_kode=T544,T544&lt;&gt;""),COUNTIF($T$8:T544,T544),"")</f>
        <v/>
      </c>
      <c r="V544" s="34" t="str">
        <f t="shared" si="304"/>
        <v>kr</v>
      </c>
      <c r="W544" s="34" t="str">
        <f t="shared" si="305"/>
        <v>kr</v>
      </c>
      <c r="X544" s="34" t="str">
        <f>IF(B544="","",COUNTIF($C$8:C544,C544)&amp;C544)</f>
        <v>0</v>
      </c>
    </row>
    <row r="545" spans="2:24" ht="23.1" customHeight="1">
      <c r="B545" s="31">
        <v>44773</v>
      </c>
      <c r="C545" s="9"/>
      <c r="D545" s="9" t="s">
        <v>570</v>
      </c>
      <c r="E545" s="7"/>
      <c r="F545" s="7"/>
      <c r="G545" s="7"/>
      <c r="H545" s="7" t="s">
        <v>571</v>
      </c>
      <c r="I545" s="7" t="s">
        <v>577</v>
      </c>
      <c r="J545" s="39">
        <v>254770.91</v>
      </c>
      <c r="L545" s="16">
        <f t="shared" si="296"/>
        <v>1</v>
      </c>
      <c r="M545" s="16" t="str">
        <f t="shared" si="297"/>
        <v>July</v>
      </c>
      <c r="N545" s="16" t="str">
        <f t="shared" si="298"/>
        <v/>
      </c>
      <c r="O545" s="16" t="str">
        <f>IF(N545="","",COUNTIF($N$8:N545,N545))</f>
        <v/>
      </c>
      <c r="P545" s="34" t="str">
        <f t="shared" si="299"/>
        <v>outBeban Lainnya</v>
      </c>
      <c r="Q545" s="34" t="str">
        <f t="shared" si="300"/>
        <v>outJulyBeban Lainnya</v>
      </c>
      <c r="R545" s="34" t="str">
        <f t="shared" si="301"/>
        <v>Beban Lainnya</v>
      </c>
      <c r="S545" s="34" t="str">
        <f t="shared" si="302"/>
        <v>Bank</v>
      </c>
      <c r="T545" s="34" t="str">
        <f t="shared" si="303"/>
        <v/>
      </c>
      <c r="U545" s="34" t="str">
        <f>IF(AND(L545=1,bp_kode=T545,T545&lt;&gt;""),COUNTIF($T$8:T545,T545),"")</f>
        <v/>
      </c>
      <c r="V545" s="34" t="str">
        <f t="shared" si="304"/>
        <v>db</v>
      </c>
      <c r="W545" s="34" t="str">
        <f t="shared" si="305"/>
        <v>db</v>
      </c>
      <c r="X545" s="34" t="str">
        <f>IF(B545="","",COUNTIF($C$8:C545,C545)&amp;C545)</f>
        <v>0</v>
      </c>
    </row>
    <row r="546" spans="2:24" ht="23.1" customHeight="1">
      <c r="B546" s="31">
        <v>44773</v>
      </c>
      <c r="C546" s="9"/>
      <c r="D546" s="9" t="s">
        <v>572</v>
      </c>
      <c r="E546" s="7"/>
      <c r="F546" s="7"/>
      <c r="G546" s="7"/>
      <c r="H546" s="7" t="s">
        <v>640</v>
      </c>
      <c r="I546" s="7" t="s">
        <v>577</v>
      </c>
      <c r="J546" s="39">
        <v>25000</v>
      </c>
      <c r="L546" s="16">
        <f t="shared" si="296"/>
        <v>1</v>
      </c>
      <c r="M546" s="16" t="str">
        <f t="shared" si="297"/>
        <v>July</v>
      </c>
      <c r="N546" s="16" t="str">
        <f t="shared" si="298"/>
        <v/>
      </c>
      <c r="O546" s="16" t="str">
        <f>IF(N546="","",COUNTIF($N$8:N546,N546))</f>
        <v/>
      </c>
      <c r="P546" s="34" t="str">
        <f t="shared" si="299"/>
        <v>outBeban Lainnya</v>
      </c>
      <c r="Q546" s="34" t="str">
        <f t="shared" si="300"/>
        <v>outJulyBeban Lainnya</v>
      </c>
      <c r="R546" s="34" t="str">
        <f t="shared" si="301"/>
        <v>Beban Lainnya</v>
      </c>
      <c r="S546" s="34" t="str">
        <f t="shared" si="302"/>
        <v>Bank</v>
      </c>
      <c r="T546" s="34" t="str">
        <f t="shared" si="303"/>
        <v/>
      </c>
      <c r="U546" s="34" t="str">
        <f>IF(AND(L546=1,bp_kode=T546,T546&lt;&gt;""),COUNTIF($T$8:T546,T546),"")</f>
        <v/>
      </c>
      <c r="V546" s="34" t="str">
        <f t="shared" si="304"/>
        <v>db</v>
      </c>
      <c r="W546" s="34" t="str">
        <f t="shared" si="305"/>
        <v>db</v>
      </c>
      <c r="X546" s="34" t="str">
        <f>IF(B546="","",COUNTIF($C$8:C546,C546)&amp;C546)</f>
        <v>0</v>
      </c>
    </row>
    <row r="547" spans="2:24" ht="23.1" customHeight="1">
      <c r="B547" s="31">
        <v>44773</v>
      </c>
      <c r="C547" s="9"/>
      <c r="D547" s="9" t="s">
        <v>578</v>
      </c>
      <c r="E547" s="7"/>
      <c r="F547" s="7"/>
      <c r="G547" s="7"/>
      <c r="H547" s="7" t="s">
        <v>640</v>
      </c>
      <c r="I547" s="7" t="s">
        <v>577</v>
      </c>
      <c r="J547" s="39">
        <v>10000</v>
      </c>
      <c r="L547" s="16">
        <f t="shared" si="296"/>
        <v>1</v>
      </c>
      <c r="M547" s="16" t="str">
        <f t="shared" si="297"/>
        <v>July</v>
      </c>
      <c r="N547" s="16" t="str">
        <f t="shared" si="298"/>
        <v/>
      </c>
      <c r="O547" s="16" t="str">
        <f>IF(N547="","",COUNTIF($N$8:N547,N547))</f>
        <v/>
      </c>
      <c r="P547" s="34" t="str">
        <f t="shared" si="299"/>
        <v>outBeban Lainnya</v>
      </c>
      <c r="Q547" s="34" t="str">
        <f t="shared" si="300"/>
        <v>outJulyBeban Lainnya</v>
      </c>
      <c r="R547" s="34" t="str">
        <f t="shared" si="301"/>
        <v>Beban Lainnya</v>
      </c>
      <c r="S547" s="34" t="str">
        <f t="shared" si="302"/>
        <v>Bank</v>
      </c>
      <c r="T547" s="34" t="str">
        <f t="shared" si="303"/>
        <v/>
      </c>
      <c r="U547" s="34" t="str">
        <f>IF(AND(L547=1,bp_kode=T547,T547&lt;&gt;""),COUNTIF($T$8:T547,T547),"")</f>
        <v/>
      </c>
      <c r="V547" s="34" t="str">
        <f t="shared" si="304"/>
        <v>db</v>
      </c>
      <c r="W547" s="34" t="str">
        <f t="shared" si="305"/>
        <v>db</v>
      </c>
      <c r="X547" s="34" t="str">
        <f>IF(B547="","",COUNTIF($C$8:C547,C547)&amp;C547)</f>
        <v>0</v>
      </c>
    </row>
    <row r="548" spans="2:24" ht="23.1" customHeight="1">
      <c r="B548" s="31">
        <v>44773</v>
      </c>
      <c r="C548" s="9"/>
      <c r="D548" s="9" t="s">
        <v>751</v>
      </c>
      <c r="E548" s="7"/>
      <c r="F548" s="7"/>
      <c r="G548" s="7"/>
      <c r="H548" s="7" t="s">
        <v>577</v>
      </c>
      <c r="I548" s="7" t="s">
        <v>684</v>
      </c>
      <c r="J548" s="39">
        <v>10000</v>
      </c>
      <c r="L548" s="16">
        <f t="shared" ref="L548" si="306">IF(AND(B548&gt;=awal,B548&lt;=akhir,B548&lt;&gt;""),1,IF(AND(B548&lt;&gt;"",B548&lt;awal),2,""))</f>
        <v>1</v>
      </c>
      <c r="M548" s="16" t="str">
        <f t="shared" ref="M548" si="307">IF(B548="","",TEXT(B548,"mmmm"))</f>
        <v>July</v>
      </c>
      <c r="N548" s="16" t="str">
        <f t="shared" ref="N548" si="308">IF(AND(L548=1,H548=bb_akun),"Awe",IF(AND(L548=1,I548=bb_akun),"Awe",""))</f>
        <v/>
      </c>
      <c r="O548" s="16" t="str">
        <f>IF(N548="","",COUNTIF($N$8:N548,N548))</f>
        <v/>
      </c>
      <c r="P548" s="34" t="str">
        <f t="shared" ref="P548" si="309">IFERROR(IF(OR(INDEX(akun_type,MATCH(H548,akun_kb,0))="Kas",INDEX(akun_type,MATCH(H548,akun_kb,0))="Bank"),"In"&amp;INDEX(akun_type,MATCH(I548,akun_kb,0)),IF(OR(INDEX(akun_type,MATCH(I548,akun_kb,0))="Kas",INDEX(akun_type,MATCH(I548,akun_kb,0))="Bank"),"out"&amp;INDEX(akun_type,MATCH(H548,akun_kb,0)),"")),"")</f>
        <v>InPendapatan Lainnya</v>
      </c>
      <c r="Q548" s="34" t="str">
        <f t="shared" ref="Q548" si="310">IFERROR(IF(OR(INDEX(akun_type,MATCH(H548,akun_kb,0))="Kas",INDEX(akun_type,MATCH(H548,akun_kb,0))="Bank"),"in"&amp;TEXT(B548,"mmmm")&amp;INDEX(akun_type,MATCH(I548,akun_kb,0)),IF(OR(INDEX(akun_type,MATCH(I548,akun_kb,0))="Kas",INDEX(akun_type,MATCH(I548,akun_kb,0))="Bank"),"out"&amp;TEXT(B548,"mmmm")&amp;INDEX(akun_type,MATCH(H548,akun_kb,0)),"")),"")</f>
        <v>inJulyPendapatan Lainnya</v>
      </c>
      <c r="R548" s="34" t="str">
        <f t="shared" ref="R548" si="311">IFERROR(INDEX(akun_type,MATCH(H548,akun_kb,0)),"")</f>
        <v>Bank</v>
      </c>
      <c r="S548" s="34" t="str">
        <f t="shared" ref="S548" si="312">IFERROR(INDEX(akun_type,MATCH(I548,akun_kb,0)),"")</f>
        <v>Pendapatan Lainnya</v>
      </c>
      <c r="T548" s="34" t="str">
        <f t="shared" ref="T548" si="313">IF(AND(L548=1,OR(R548="Akun Piutang",R548="akun hutang",S548="akun piutang",S548="akun hutang")),E548,"")</f>
        <v/>
      </c>
      <c r="U548" s="34" t="str">
        <f>IF(AND(L548=1,bp_kode=T548,T548&lt;&gt;""),COUNTIF($T$8:T548,T548),"")</f>
        <v/>
      </c>
      <c r="V548" s="34" t="str">
        <f t="shared" ref="V548" si="314">IF(OR(R548="Pendapatan",R548="Pendapatan Lainnya",R548="Beban",R548="Harga Pokok Penjualan",R548="Beban Lainnya"),"db"&amp;F548,IF(OR(S548="Pendapatan",S548="Pendapatan Lainnya",S548="Beban",S548="Harga Pokok Penjualan",S548="Beban Lainnya"),"kr"&amp;F548,""))</f>
        <v>kr</v>
      </c>
      <c r="W548" s="34" t="str">
        <f t="shared" ref="W548" si="315">IF(OR(R548="Pendapatan",R548="Pendapatan Lainnya",R548="Beban",R548="Harga Pokok Penjualan",R548="Beban Lainnya"),"db"&amp;G548,IF(OR(S548="Pendapatan",S548="Pendapatan Lainnya",S548="Beban",S548="Harga Pokok Penjualan",S548="Beban Lainnya"),"kr"&amp;G548,""))</f>
        <v>kr</v>
      </c>
      <c r="X548" s="34" t="str">
        <f>IF(B548="","",COUNTIF($C$8:C548,C548)&amp;C548)</f>
        <v>0</v>
      </c>
    </row>
    <row r="549" spans="2:24" ht="23.1" customHeight="1">
      <c r="B549" s="31">
        <v>44773</v>
      </c>
      <c r="C549" s="9"/>
      <c r="D549" s="9" t="s">
        <v>573</v>
      </c>
      <c r="E549" s="7"/>
      <c r="F549" s="7"/>
      <c r="G549" s="7"/>
      <c r="H549" s="7" t="s">
        <v>577</v>
      </c>
      <c r="I549" s="7" t="s">
        <v>559</v>
      </c>
      <c r="J549" s="39">
        <v>57994200</v>
      </c>
      <c r="L549" s="16">
        <f t="shared" si="296"/>
        <v>1</v>
      </c>
      <c r="M549" s="16" t="str">
        <f t="shared" si="297"/>
        <v>July</v>
      </c>
      <c r="N549" s="16" t="str">
        <f t="shared" si="298"/>
        <v/>
      </c>
      <c r="O549" s="16" t="str">
        <f>IF(N549="","",COUNTIF($N$8:N549,N549))</f>
        <v/>
      </c>
      <c r="P549" s="34" t="str">
        <f t="shared" si="299"/>
        <v>InAkun Piutang</v>
      </c>
      <c r="Q549" s="34" t="str">
        <f t="shared" si="300"/>
        <v>inJulyAkun Piutang</v>
      </c>
      <c r="R549" s="34" t="str">
        <f t="shared" si="301"/>
        <v>Bank</v>
      </c>
      <c r="S549" s="34" t="str">
        <f t="shared" si="302"/>
        <v>Akun Piutang</v>
      </c>
      <c r="T549" s="34">
        <f t="shared" si="303"/>
        <v>0</v>
      </c>
      <c r="U549" s="34" t="str">
        <f>IF(AND(L549=1,bp_kode=T549,T549&lt;&gt;""),COUNTIF($T$8:T549,T549),"")</f>
        <v/>
      </c>
      <c r="V549" s="34" t="str">
        <f t="shared" si="304"/>
        <v/>
      </c>
      <c r="W549" s="34" t="str">
        <f t="shared" si="305"/>
        <v/>
      </c>
      <c r="X549" s="34" t="str">
        <f>IF(B549="","",COUNTIF($C$8:C549,C549)&amp;C549)</f>
        <v>0</v>
      </c>
    </row>
    <row r="550" spans="2:24" ht="23.1" customHeight="1">
      <c r="B550" s="31">
        <v>44773</v>
      </c>
      <c r="C550" s="9"/>
      <c r="D550" s="9" t="s">
        <v>729</v>
      </c>
      <c r="E550" s="7"/>
      <c r="F550" s="7"/>
      <c r="G550" s="7"/>
      <c r="H550" s="7" t="s">
        <v>579</v>
      </c>
      <c r="I550" s="7" t="s">
        <v>569</v>
      </c>
      <c r="J550" s="39">
        <v>531790.29</v>
      </c>
      <c r="L550" s="16">
        <f t="shared" si="296"/>
        <v>1</v>
      </c>
      <c r="M550" s="16" t="str">
        <f t="shared" si="297"/>
        <v>July</v>
      </c>
      <c r="N550" s="16" t="str">
        <f t="shared" si="298"/>
        <v/>
      </c>
      <c r="O550" s="16" t="str">
        <f>IF(N550="","",COUNTIF($N$8:N550,N550))</f>
        <v/>
      </c>
      <c r="P550" s="34" t="str">
        <f t="shared" si="299"/>
        <v>InPendapatan Lainnya</v>
      </c>
      <c r="Q550" s="34" t="str">
        <f t="shared" si="300"/>
        <v>inJulyPendapatan Lainnya</v>
      </c>
      <c r="R550" s="34" t="str">
        <f t="shared" si="301"/>
        <v>Bank</v>
      </c>
      <c r="S550" s="34" t="str">
        <f t="shared" si="302"/>
        <v>Pendapatan Lainnya</v>
      </c>
      <c r="T550" s="34" t="str">
        <f t="shared" si="303"/>
        <v/>
      </c>
      <c r="U550" s="34" t="str">
        <f>IF(AND(L550=1,bp_kode=T550,T550&lt;&gt;""),COUNTIF($T$8:T550,T550),"")</f>
        <v/>
      </c>
      <c r="V550" s="34" t="str">
        <f t="shared" si="304"/>
        <v>kr</v>
      </c>
      <c r="W550" s="34" t="str">
        <f t="shared" si="305"/>
        <v>kr</v>
      </c>
      <c r="X550" s="34" t="str">
        <f>IF(B550="","",COUNTIF($C$8:C550,C550)&amp;C550)</f>
        <v>0</v>
      </c>
    </row>
    <row r="551" spans="2:24" ht="23.1" customHeight="1">
      <c r="B551" s="31">
        <v>44773</v>
      </c>
      <c r="C551" s="9"/>
      <c r="D551" s="9" t="s">
        <v>689</v>
      </c>
      <c r="E551" s="7"/>
      <c r="F551" s="7"/>
      <c r="G551" s="7"/>
      <c r="H551" s="7" t="s">
        <v>640</v>
      </c>
      <c r="I551" s="7" t="s">
        <v>579</v>
      </c>
      <c r="J551" s="39">
        <v>25000</v>
      </c>
      <c r="L551" s="16">
        <f t="shared" si="296"/>
        <v>1</v>
      </c>
      <c r="M551" s="16" t="str">
        <f t="shared" si="297"/>
        <v>July</v>
      </c>
      <c r="N551" s="16" t="str">
        <f t="shared" si="298"/>
        <v/>
      </c>
      <c r="O551" s="16" t="str">
        <f>IF(N551="","",COUNTIF($N$8:N551,N551))</f>
        <v/>
      </c>
      <c r="P551" s="34" t="str">
        <f t="shared" si="299"/>
        <v>outBeban Lainnya</v>
      </c>
      <c r="Q551" s="34" t="str">
        <f t="shared" si="300"/>
        <v>outJulyBeban Lainnya</v>
      </c>
      <c r="R551" s="34" t="str">
        <f t="shared" si="301"/>
        <v>Beban Lainnya</v>
      </c>
      <c r="S551" s="34" t="str">
        <f t="shared" si="302"/>
        <v>Bank</v>
      </c>
      <c r="T551" s="34" t="str">
        <f t="shared" si="303"/>
        <v/>
      </c>
      <c r="U551" s="34" t="str">
        <f>IF(AND(L551=1,bp_kode=T551,T551&lt;&gt;""),COUNTIF($T$8:T551,T551),"")</f>
        <v/>
      </c>
      <c r="V551" s="34" t="str">
        <f t="shared" si="304"/>
        <v>db</v>
      </c>
      <c r="W551" s="34" t="str">
        <f t="shared" si="305"/>
        <v>db</v>
      </c>
      <c r="X551" s="34" t="str">
        <f>IF(B551="","",COUNTIF($C$8:C551,C551)&amp;C551)</f>
        <v>0</v>
      </c>
    </row>
    <row r="552" spans="2:24" ht="23.1" customHeight="1">
      <c r="B552" s="31">
        <v>44773</v>
      </c>
      <c r="C552" s="9"/>
      <c r="D552" s="9" t="s">
        <v>573</v>
      </c>
      <c r="E552" s="7"/>
      <c r="F552" s="7"/>
      <c r="G552" s="7"/>
      <c r="H552" s="7" t="s">
        <v>579</v>
      </c>
      <c r="I552" s="7" t="s">
        <v>559</v>
      </c>
      <c r="J552" s="39">
        <v>237185200</v>
      </c>
      <c r="L552" s="16">
        <f t="shared" si="296"/>
        <v>1</v>
      </c>
      <c r="M552" s="16" t="str">
        <f t="shared" si="297"/>
        <v>July</v>
      </c>
      <c r="N552" s="16" t="str">
        <f t="shared" si="298"/>
        <v/>
      </c>
      <c r="O552" s="16" t="str">
        <f>IF(N552="","",COUNTIF($N$8:N552,N552))</f>
        <v/>
      </c>
      <c r="P552" s="34" t="str">
        <f t="shared" si="299"/>
        <v>InAkun Piutang</v>
      </c>
      <c r="Q552" s="34" t="str">
        <f t="shared" si="300"/>
        <v>inJulyAkun Piutang</v>
      </c>
      <c r="R552" s="34" t="str">
        <f t="shared" si="301"/>
        <v>Bank</v>
      </c>
      <c r="S552" s="34" t="str">
        <f t="shared" si="302"/>
        <v>Akun Piutang</v>
      </c>
      <c r="T552" s="34">
        <f t="shared" si="303"/>
        <v>0</v>
      </c>
      <c r="U552" s="34" t="str">
        <f>IF(AND(L552=1,bp_kode=T552,T552&lt;&gt;""),COUNTIF($T$8:T552,T552),"")</f>
        <v/>
      </c>
      <c r="V552" s="34" t="str">
        <f t="shared" si="304"/>
        <v/>
      </c>
      <c r="W552" s="34" t="str">
        <f t="shared" si="305"/>
        <v/>
      </c>
      <c r="X552" s="34" t="str">
        <f>IF(B552="","",COUNTIF($C$8:C552,C552)&amp;C552)</f>
        <v>0</v>
      </c>
    </row>
    <row r="553" spans="2:24" ht="23.1" customHeight="1">
      <c r="B553" s="31">
        <v>44773</v>
      </c>
      <c r="C553" s="9"/>
      <c r="D553" s="9" t="s">
        <v>581</v>
      </c>
      <c r="E553" s="7"/>
      <c r="F553" s="7"/>
      <c r="G553" s="7"/>
      <c r="H553" s="7" t="s">
        <v>582</v>
      </c>
      <c r="I553" s="7" t="s">
        <v>579</v>
      </c>
      <c r="J553" s="39">
        <v>164947053</v>
      </c>
      <c r="L553" s="16">
        <f t="shared" si="296"/>
        <v>1</v>
      </c>
      <c r="M553" s="16" t="str">
        <f t="shared" si="297"/>
        <v>July</v>
      </c>
      <c r="N553" s="16" t="str">
        <f t="shared" si="298"/>
        <v/>
      </c>
      <c r="O553" s="16" t="str">
        <f>IF(N553="","",COUNTIF($N$8:N553,N553))</f>
        <v/>
      </c>
      <c r="P553" s="34" t="str">
        <f t="shared" si="299"/>
        <v>InBank</v>
      </c>
      <c r="Q553" s="34" t="str">
        <f t="shared" si="300"/>
        <v>inJulyBank</v>
      </c>
      <c r="R553" s="34" t="str">
        <f t="shared" si="301"/>
        <v>Kas</v>
      </c>
      <c r="S553" s="34" t="str">
        <f t="shared" si="302"/>
        <v>Bank</v>
      </c>
      <c r="T553" s="34" t="str">
        <f t="shared" si="303"/>
        <v/>
      </c>
      <c r="U553" s="34" t="str">
        <f>IF(AND(L553=1,bp_kode=T553,T553&lt;&gt;""),COUNTIF($T$8:T553,T553),"")</f>
        <v/>
      </c>
      <c r="V553" s="34" t="str">
        <f t="shared" si="304"/>
        <v/>
      </c>
      <c r="W553" s="34" t="str">
        <f t="shared" si="305"/>
        <v/>
      </c>
      <c r="X553" s="34" t="str">
        <f>IF(B553="","",COUNTIF($C$8:C553,C553)&amp;C553)</f>
        <v>0</v>
      </c>
    </row>
    <row r="554" spans="2:24" ht="23.1" customHeight="1">
      <c r="B554" s="31">
        <v>44773</v>
      </c>
      <c r="C554" s="9"/>
      <c r="D554" s="9" t="s">
        <v>584</v>
      </c>
      <c r="E554" s="7"/>
      <c r="F554" s="7"/>
      <c r="G554" s="7"/>
      <c r="H554" s="7" t="s">
        <v>583</v>
      </c>
      <c r="I554" s="7" t="s">
        <v>561</v>
      </c>
      <c r="J554" s="39">
        <v>28000000</v>
      </c>
      <c r="L554" s="16">
        <f t="shared" si="296"/>
        <v>1</v>
      </c>
      <c r="M554" s="16" t="str">
        <f t="shared" si="297"/>
        <v>July</v>
      </c>
      <c r="N554" s="16" t="str">
        <f t="shared" si="298"/>
        <v/>
      </c>
      <c r="O554" s="16" t="str">
        <f>IF(N554="","",COUNTIF($N$8:N554,N554))</f>
        <v/>
      </c>
      <c r="P554" s="34" t="str">
        <f t="shared" si="299"/>
        <v>InAkun Piutang</v>
      </c>
      <c r="Q554" s="34" t="str">
        <f t="shared" si="300"/>
        <v>inJulyAkun Piutang</v>
      </c>
      <c r="R554" s="34" t="str">
        <f t="shared" si="301"/>
        <v>Bank</v>
      </c>
      <c r="S554" s="34" t="str">
        <f t="shared" si="302"/>
        <v>Akun Piutang</v>
      </c>
      <c r="T554" s="34">
        <f t="shared" si="303"/>
        <v>0</v>
      </c>
      <c r="U554" s="34" t="str">
        <f>IF(AND(L554=1,bp_kode=T554,T554&lt;&gt;""),COUNTIF($T$8:T554,T554),"")</f>
        <v/>
      </c>
      <c r="V554" s="34" t="str">
        <f t="shared" si="304"/>
        <v/>
      </c>
      <c r="W554" s="34" t="str">
        <f t="shared" si="305"/>
        <v/>
      </c>
      <c r="X554" s="34" t="str">
        <f>IF(B554="","",COUNTIF($C$8:C554,C554)&amp;C554)</f>
        <v>0</v>
      </c>
    </row>
    <row r="555" spans="2:24" ht="23.1" customHeight="1">
      <c r="B555" s="31">
        <v>44773</v>
      </c>
      <c r="C555" s="9"/>
      <c r="D555" s="9" t="s">
        <v>730</v>
      </c>
      <c r="E555" s="7"/>
      <c r="F555" s="7"/>
      <c r="G555" s="7"/>
      <c r="H555" s="7" t="s">
        <v>583</v>
      </c>
      <c r="I555" s="7" t="s">
        <v>569</v>
      </c>
      <c r="J555" s="39">
        <v>2145767.16</v>
      </c>
      <c r="L555" s="16">
        <f t="shared" si="296"/>
        <v>1</v>
      </c>
      <c r="M555" s="16" t="str">
        <f t="shared" si="297"/>
        <v>July</v>
      </c>
      <c r="N555" s="16" t="str">
        <f t="shared" si="298"/>
        <v/>
      </c>
      <c r="O555" s="16" t="str">
        <f>IF(N555="","",COUNTIF($N$8:N555,N555))</f>
        <v/>
      </c>
      <c r="P555" s="34" t="str">
        <f t="shared" si="299"/>
        <v>InPendapatan Lainnya</v>
      </c>
      <c r="Q555" s="34" t="str">
        <f t="shared" si="300"/>
        <v>inJulyPendapatan Lainnya</v>
      </c>
      <c r="R555" s="34" t="str">
        <f t="shared" si="301"/>
        <v>Bank</v>
      </c>
      <c r="S555" s="34" t="str">
        <f t="shared" si="302"/>
        <v>Pendapatan Lainnya</v>
      </c>
      <c r="T555" s="34" t="str">
        <f t="shared" si="303"/>
        <v/>
      </c>
      <c r="U555" s="34" t="str">
        <f>IF(AND(L555=1,bp_kode=T555,T555&lt;&gt;""),COUNTIF($T$8:T555,T555),"")</f>
        <v/>
      </c>
      <c r="V555" s="34" t="str">
        <f t="shared" si="304"/>
        <v>kr</v>
      </c>
      <c r="W555" s="34" t="str">
        <f t="shared" si="305"/>
        <v>kr</v>
      </c>
      <c r="X555" s="34" t="str">
        <f>IF(B555="","",COUNTIF($C$8:C555,C555)&amp;C555)</f>
        <v>0</v>
      </c>
    </row>
    <row r="556" spans="2:24" ht="23.1" customHeight="1">
      <c r="B556" s="31">
        <v>44773</v>
      </c>
      <c r="C556" s="9"/>
      <c r="D556" s="9" t="s">
        <v>570</v>
      </c>
      <c r="E556" s="7"/>
      <c r="F556" s="7"/>
      <c r="G556" s="7"/>
      <c r="H556" s="7" t="s">
        <v>571</v>
      </c>
      <c r="I556" s="7" t="s">
        <v>583</v>
      </c>
      <c r="J556" s="39">
        <v>429153.43</v>
      </c>
      <c r="L556" s="16">
        <f t="shared" si="296"/>
        <v>1</v>
      </c>
      <c r="M556" s="16" t="str">
        <f t="shared" si="297"/>
        <v>July</v>
      </c>
      <c r="N556" s="16" t="str">
        <f t="shared" si="298"/>
        <v/>
      </c>
      <c r="O556" s="16" t="str">
        <f>IF(N556="","",COUNTIF($N$8:N556,N556))</f>
        <v/>
      </c>
      <c r="P556" s="34" t="str">
        <f t="shared" si="299"/>
        <v>outBeban Lainnya</v>
      </c>
      <c r="Q556" s="34" t="str">
        <f t="shared" si="300"/>
        <v>outJulyBeban Lainnya</v>
      </c>
      <c r="R556" s="34" t="str">
        <f t="shared" si="301"/>
        <v>Beban Lainnya</v>
      </c>
      <c r="S556" s="34" t="str">
        <f t="shared" si="302"/>
        <v>Bank</v>
      </c>
      <c r="T556" s="34" t="str">
        <f t="shared" si="303"/>
        <v/>
      </c>
      <c r="U556" s="34" t="str">
        <f>IF(AND(L556=1,bp_kode=T556,T556&lt;&gt;""),COUNTIF($T$8:T556,T556),"")</f>
        <v/>
      </c>
      <c r="V556" s="34" t="str">
        <f t="shared" si="304"/>
        <v>db</v>
      </c>
      <c r="W556" s="34" t="str">
        <f t="shared" si="305"/>
        <v>db</v>
      </c>
      <c r="X556" s="34" t="str">
        <f>IF(B556="","",COUNTIF($C$8:C556,C556)&amp;C556)</f>
        <v>0</v>
      </c>
    </row>
    <row r="557" spans="2:24" ht="23.1" customHeight="1">
      <c r="B557" s="31">
        <v>44773</v>
      </c>
      <c r="C557" s="9"/>
      <c r="D557" s="9" t="s">
        <v>685</v>
      </c>
      <c r="E557" s="7"/>
      <c r="F557" s="7"/>
      <c r="G557" s="7"/>
      <c r="H557" s="7" t="s">
        <v>640</v>
      </c>
      <c r="I557" s="7" t="s">
        <v>583</v>
      </c>
      <c r="J557" s="39">
        <v>25000</v>
      </c>
      <c r="L557" s="16">
        <f t="shared" si="296"/>
        <v>1</v>
      </c>
      <c r="M557" s="16" t="str">
        <f t="shared" si="297"/>
        <v>July</v>
      </c>
      <c r="N557" s="16" t="str">
        <f t="shared" si="298"/>
        <v/>
      </c>
      <c r="O557" s="16" t="str">
        <f>IF(N557="","",COUNTIF($N$8:N557,N557))</f>
        <v/>
      </c>
      <c r="P557" s="34" t="str">
        <f t="shared" si="299"/>
        <v>outBeban Lainnya</v>
      </c>
      <c r="Q557" s="34" t="str">
        <f t="shared" si="300"/>
        <v>outJulyBeban Lainnya</v>
      </c>
      <c r="R557" s="34" t="str">
        <f t="shared" si="301"/>
        <v>Beban Lainnya</v>
      </c>
      <c r="S557" s="34" t="str">
        <f t="shared" si="302"/>
        <v>Bank</v>
      </c>
      <c r="T557" s="34" t="str">
        <f t="shared" si="303"/>
        <v/>
      </c>
      <c r="U557" s="34" t="str">
        <f>IF(AND(L557=1,bp_kode=T557,T557&lt;&gt;""),COUNTIF($T$8:T557,T557),"")</f>
        <v/>
      </c>
      <c r="V557" s="34" t="str">
        <f t="shared" si="304"/>
        <v>db</v>
      </c>
      <c r="W557" s="34" t="str">
        <f t="shared" si="305"/>
        <v>db</v>
      </c>
      <c r="X557" s="34" t="str">
        <f>IF(B557="","",COUNTIF($C$8:C557,C557)&amp;C557)</f>
        <v>0</v>
      </c>
    </row>
    <row r="558" spans="2:24" ht="23.1" customHeight="1">
      <c r="B558" s="31">
        <v>44773</v>
      </c>
      <c r="C558" s="9"/>
      <c r="D558" s="9" t="s">
        <v>730</v>
      </c>
      <c r="E558" s="7"/>
      <c r="F558" s="7"/>
      <c r="G558" s="7"/>
      <c r="H558" s="7" t="s">
        <v>586</v>
      </c>
      <c r="I558" s="7" t="s">
        <v>569</v>
      </c>
      <c r="J558" s="39">
        <v>1972893</v>
      </c>
      <c r="L558" s="16">
        <f t="shared" si="296"/>
        <v>1</v>
      </c>
      <c r="M558" s="16" t="str">
        <f t="shared" si="297"/>
        <v>July</v>
      </c>
      <c r="N558" s="16" t="str">
        <f t="shared" si="298"/>
        <v/>
      </c>
      <c r="O558" s="16" t="str">
        <f>IF(N558="","",COUNTIF($N$8:N558,N558))</f>
        <v/>
      </c>
      <c r="P558" s="34" t="str">
        <f t="shared" si="299"/>
        <v>InPendapatan Lainnya</v>
      </c>
      <c r="Q558" s="34" t="str">
        <f t="shared" si="300"/>
        <v>inJulyPendapatan Lainnya</v>
      </c>
      <c r="R558" s="34" t="str">
        <f t="shared" si="301"/>
        <v>Bank</v>
      </c>
      <c r="S558" s="34" t="str">
        <f t="shared" si="302"/>
        <v>Pendapatan Lainnya</v>
      </c>
      <c r="T558" s="34" t="str">
        <f t="shared" si="303"/>
        <v/>
      </c>
      <c r="U558" s="34" t="str">
        <f>IF(AND(L558=1,bp_kode=T558,T558&lt;&gt;""),COUNTIF($T$8:T558,T558),"")</f>
        <v/>
      </c>
      <c r="V558" s="34" t="str">
        <f t="shared" si="304"/>
        <v>kr</v>
      </c>
      <c r="W558" s="34" t="str">
        <f t="shared" si="305"/>
        <v>kr</v>
      </c>
      <c r="X558" s="34" t="str">
        <f>IF(B558="","",COUNTIF($C$8:C558,C558)&amp;C558)</f>
        <v>0</v>
      </c>
    </row>
    <row r="559" spans="2:24" ht="23.1" customHeight="1">
      <c r="B559" s="31">
        <v>44773</v>
      </c>
      <c r="C559" s="9"/>
      <c r="D559" s="9" t="s">
        <v>570</v>
      </c>
      <c r="E559" s="7"/>
      <c r="F559" s="7"/>
      <c r="G559" s="7"/>
      <c r="H559" s="7" t="s">
        <v>571</v>
      </c>
      <c r="I559" s="7" t="s">
        <v>586</v>
      </c>
      <c r="J559" s="39">
        <v>394566</v>
      </c>
      <c r="L559" s="16">
        <f t="shared" si="296"/>
        <v>1</v>
      </c>
      <c r="M559" s="16" t="str">
        <f t="shared" si="297"/>
        <v>July</v>
      </c>
      <c r="N559" s="16" t="str">
        <f t="shared" si="298"/>
        <v/>
      </c>
      <c r="O559" s="16" t="str">
        <f>IF(N559="","",COUNTIF($N$8:N559,N559))</f>
        <v/>
      </c>
      <c r="P559" s="34" t="str">
        <f t="shared" si="299"/>
        <v>outBeban Lainnya</v>
      </c>
      <c r="Q559" s="34" t="str">
        <f t="shared" si="300"/>
        <v>outJulyBeban Lainnya</v>
      </c>
      <c r="R559" s="34" t="str">
        <f t="shared" si="301"/>
        <v>Beban Lainnya</v>
      </c>
      <c r="S559" s="34" t="str">
        <f t="shared" si="302"/>
        <v>Bank</v>
      </c>
      <c r="T559" s="34" t="str">
        <f t="shared" si="303"/>
        <v/>
      </c>
      <c r="U559" s="34" t="str">
        <f>IF(AND(L559=1,bp_kode=T559,T559&lt;&gt;""),COUNTIF($T$8:T559,T559),"")</f>
        <v/>
      </c>
      <c r="V559" s="34" t="str">
        <f t="shared" si="304"/>
        <v>db</v>
      </c>
      <c r="W559" s="34" t="str">
        <f t="shared" si="305"/>
        <v>db</v>
      </c>
      <c r="X559" s="34" t="str">
        <f>IF(B559="","",COUNTIF($C$8:C559,C559)&amp;C559)</f>
        <v>0</v>
      </c>
    </row>
    <row r="560" spans="2:24" ht="23.1" customHeight="1">
      <c r="B560" s="31">
        <v>44773</v>
      </c>
      <c r="C560" s="9"/>
      <c r="D560" s="9" t="s">
        <v>572</v>
      </c>
      <c r="E560" s="7"/>
      <c r="F560" s="7"/>
      <c r="G560" s="7"/>
      <c r="H560" s="7" t="s">
        <v>640</v>
      </c>
      <c r="I560" s="7" t="s">
        <v>586</v>
      </c>
      <c r="J560" s="39">
        <v>36500</v>
      </c>
      <c r="L560" s="16">
        <f t="shared" si="296"/>
        <v>1</v>
      </c>
      <c r="M560" s="16" t="str">
        <f t="shared" si="297"/>
        <v>July</v>
      </c>
      <c r="N560" s="16" t="str">
        <f t="shared" si="298"/>
        <v/>
      </c>
      <c r="O560" s="16" t="str">
        <f>IF(N560="","",COUNTIF($N$8:N560,N560))</f>
        <v/>
      </c>
      <c r="P560" s="34" t="str">
        <f t="shared" si="299"/>
        <v>outBeban Lainnya</v>
      </c>
      <c r="Q560" s="34" t="str">
        <f t="shared" si="300"/>
        <v>outJulyBeban Lainnya</v>
      </c>
      <c r="R560" s="34" t="str">
        <f t="shared" si="301"/>
        <v>Beban Lainnya</v>
      </c>
      <c r="S560" s="34" t="str">
        <f t="shared" si="302"/>
        <v>Bank</v>
      </c>
      <c r="T560" s="34" t="str">
        <f t="shared" si="303"/>
        <v/>
      </c>
      <c r="U560" s="34" t="str">
        <f>IF(AND(L560=1,bp_kode=T560,T560&lt;&gt;""),COUNTIF($T$8:T560,T560),"")</f>
        <v/>
      </c>
      <c r="V560" s="34" t="str">
        <f t="shared" si="304"/>
        <v>db</v>
      </c>
      <c r="W560" s="34" t="str">
        <f t="shared" si="305"/>
        <v>db</v>
      </c>
      <c r="X560" s="34" t="str">
        <f>IF(B560="","",COUNTIF($C$8:C560,C560)&amp;C560)</f>
        <v>0</v>
      </c>
    </row>
    <row r="561" spans="2:24" ht="23.1" customHeight="1">
      <c r="B561" s="31">
        <v>44773</v>
      </c>
      <c r="C561" s="9"/>
      <c r="D561" s="9" t="s">
        <v>573</v>
      </c>
      <c r="E561" s="7"/>
      <c r="F561" s="7"/>
      <c r="G561" s="7"/>
      <c r="H561" s="7" t="s">
        <v>586</v>
      </c>
      <c r="I561" s="7" t="s">
        <v>559</v>
      </c>
      <c r="J561" s="39">
        <v>10793500</v>
      </c>
      <c r="L561" s="16">
        <f t="shared" si="296"/>
        <v>1</v>
      </c>
      <c r="M561" s="16" t="str">
        <f t="shared" si="297"/>
        <v>July</v>
      </c>
      <c r="N561" s="16" t="str">
        <f t="shared" si="298"/>
        <v/>
      </c>
      <c r="O561" s="16" t="str">
        <f>IF(N561="","",COUNTIF($N$8:N561,N561))</f>
        <v/>
      </c>
      <c r="P561" s="34" t="str">
        <f t="shared" si="299"/>
        <v>InAkun Piutang</v>
      </c>
      <c r="Q561" s="34" t="str">
        <f t="shared" si="300"/>
        <v>inJulyAkun Piutang</v>
      </c>
      <c r="R561" s="34" t="str">
        <f t="shared" si="301"/>
        <v>Bank</v>
      </c>
      <c r="S561" s="34" t="str">
        <f t="shared" si="302"/>
        <v>Akun Piutang</v>
      </c>
      <c r="T561" s="34">
        <f t="shared" si="303"/>
        <v>0</v>
      </c>
      <c r="U561" s="34" t="str">
        <f>IF(AND(L561=1,bp_kode=T561,T561&lt;&gt;""),COUNTIF($T$8:T561,T561),"")</f>
        <v/>
      </c>
      <c r="V561" s="34" t="str">
        <f t="shared" si="304"/>
        <v/>
      </c>
      <c r="W561" s="34" t="str">
        <f t="shared" si="305"/>
        <v/>
      </c>
      <c r="X561" s="34" t="str">
        <f>IF(B561="","",COUNTIF($C$8:C561,C561)&amp;C561)</f>
        <v>0</v>
      </c>
    </row>
    <row r="562" spans="2:24" ht="23.1" customHeight="1">
      <c r="B562" s="31">
        <v>44773</v>
      </c>
      <c r="C562" s="9"/>
      <c r="D562" s="9" t="s">
        <v>552</v>
      </c>
      <c r="E562" s="7"/>
      <c r="F562" s="7"/>
      <c r="G562" s="7"/>
      <c r="H562" s="7" t="s">
        <v>554</v>
      </c>
      <c r="I562" s="7" t="s">
        <v>587</v>
      </c>
      <c r="J562" s="39">
        <v>3318000</v>
      </c>
      <c r="L562" s="16">
        <f t="shared" si="296"/>
        <v>1</v>
      </c>
      <c r="M562" s="16" t="str">
        <f t="shared" si="297"/>
        <v>July</v>
      </c>
      <c r="N562" s="16" t="str">
        <f t="shared" si="298"/>
        <v/>
      </c>
      <c r="O562" s="16" t="str">
        <f>IF(N562="","",COUNTIF($N$8:N562,N562))</f>
        <v/>
      </c>
      <c r="P562" s="34" t="str">
        <f t="shared" si="299"/>
        <v>InAkun Piutang</v>
      </c>
      <c r="Q562" s="34" t="str">
        <f t="shared" si="300"/>
        <v>inJulyAkun Piutang</v>
      </c>
      <c r="R562" s="34" t="str">
        <f t="shared" si="301"/>
        <v>Kas</v>
      </c>
      <c r="S562" s="34" t="str">
        <f t="shared" si="302"/>
        <v>Akun Piutang</v>
      </c>
      <c r="T562" s="34">
        <f t="shared" si="303"/>
        <v>0</v>
      </c>
      <c r="U562" s="34" t="str">
        <f>IF(AND(L562=1,bp_kode=T562,T562&lt;&gt;""),COUNTIF($T$8:T562,T562),"")</f>
        <v/>
      </c>
      <c r="V562" s="34" t="str">
        <f t="shared" si="304"/>
        <v/>
      </c>
      <c r="W562" s="34" t="str">
        <f t="shared" si="305"/>
        <v/>
      </c>
      <c r="X562" s="34" t="str">
        <f>IF(B562="","",COUNTIF($C$8:C562,C562)&amp;C562)</f>
        <v>0</v>
      </c>
    </row>
    <row r="563" spans="2:24" ht="23.1" customHeight="1">
      <c r="B563" s="31">
        <v>44773</v>
      </c>
      <c r="C563" s="9"/>
      <c r="D563" s="9" t="s">
        <v>589</v>
      </c>
      <c r="E563" s="7"/>
      <c r="F563" s="7"/>
      <c r="G563" s="7"/>
      <c r="H563" s="7" t="s">
        <v>554</v>
      </c>
      <c r="I563" s="7" t="s">
        <v>551</v>
      </c>
      <c r="J563" s="39">
        <v>534815500</v>
      </c>
      <c r="L563" s="16">
        <f t="shared" si="296"/>
        <v>1</v>
      </c>
      <c r="M563" s="16" t="str">
        <f t="shared" si="297"/>
        <v>July</v>
      </c>
      <c r="N563" s="16" t="str">
        <f t="shared" si="298"/>
        <v/>
      </c>
      <c r="O563" s="16" t="str">
        <f>IF(N563="","",COUNTIF($N$8:N563,N563))</f>
        <v/>
      </c>
      <c r="P563" s="34" t="str">
        <f t="shared" si="299"/>
        <v>InAkun Piutang</v>
      </c>
      <c r="Q563" s="34" t="str">
        <f t="shared" si="300"/>
        <v>inJulyAkun Piutang</v>
      </c>
      <c r="R563" s="34" t="str">
        <f t="shared" si="301"/>
        <v>Kas</v>
      </c>
      <c r="S563" s="34" t="str">
        <f t="shared" si="302"/>
        <v>Akun Piutang</v>
      </c>
      <c r="T563" s="34">
        <f t="shared" si="303"/>
        <v>0</v>
      </c>
      <c r="U563" s="34" t="str">
        <f>IF(AND(L563=1,bp_kode=T563,T563&lt;&gt;""),COUNTIF($T$8:T563,T563),"")</f>
        <v/>
      </c>
      <c r="V563" s="34" t="str">
        <f t="shared" si="304"/>
        <v/>
      </c>
      <c r="W563" s="34" t="str">
        <f t="shared" si="305"/>
        <v/>
      </c>
      <c r="X563" s="34" t="str">
        <f>IF(B563="","",COUNTIF($C$8:C563,C563)&amp;C563)</f>
        <v>0</v>
      </c>
    </row>
    <row r="564" spans="2:24" ht="23.1" customHeight="1">
      <c r="B564" s="31">
        <v>44773</v>
      </c>
      <c r="C564" s="9"/>
      <c r="D564" s="9" t="s">
        <v>728</v>
      </c>
      <c r="E564" s="7"/>
      <c r="F564" s="7"/>
      <c r="G564" s="7"/>
      <c r="H564" s="7" t="s">
        <v>554</v>
      </c>
      <c r="I564" s="7" t="s">
        <v>561</v>
      </c>
      <c r="J564" s="39">
        <v>11674000</v>
      </c>
      <c r="L564" s="16">
        <f t="shared" si="296"/>
        <v>1</v>
      </c>
      <c r="M564" s="16" t="str">
        <f t="shared" si="297"/>
        <v>July</v>
      </c>
      <c r="N564" s="16" t="str">
        <f t="shared" si="298"/>
        <v/>
      </c>
      <c r="O564" s="16" t="str">
        <f>IF(N564="","",COUNTIF($N$8:N564,N564))</f>
        <v/>
      </c>
      <c r="P564" s="34" t="str">
        <f t="shared" si="299"/>
        <v>InAkun Piutang</v>
      </c>
      <c r="Q564" s="34" t="str">
        <f t="shared" si="300"/>
        <v>inJulyAkun Piutang</v>
      </c>
      <c r="R564" s="34" t="str">
        <f t="shared" si="301"/>
        <v>Kas</v>
      </c>
      <c r="S564" s="34" t="str">
        <f t="shared" si="302"/>
        <v>Akun Piutang</v>
      </c>
      <c r="T564" s="34">
        <f t="shared" si="303"/>
        <v>0</v>
      </c>
      <c r="U564" s="34" t="str">
        <f>IF(AND(L564=1,bp_kode=T564,T564&lt;&gt;""),COUNTIF($T$8:T564,T564),"")</f>
        <v/>
      </c>
      <c r="V564" s="34" t="str">
        <f t="shared" si="304"/>
        <v/>
      </c>
      <c r="W564" s="34" t="str">
        <f t="shared" si="305"/>
        <v/>
      </c>
      <c r="X564" s="34" t="str">
        <f>IF(B564="","",COUNTIF($C$8:C564,C564)&amp;C564)</f>
        <v>0</v>
      </c>
    </row>
    <row r="565" spans="2:24" ht="23.1" customHeight="1">
      <c r="B565" s="31">
        <v>44773</v>
      </c>
      <c r="C565" s="9"/>
      <c r="D565" s="9" t="s">
        <v>590</v>
      </c>
      <c r="E565" s="7"/>
      <c r="F565" s="7"/>
      <c r="G565" s="7"/>
      <c r="H565" s="7" t="s">
        <v>586</v>
      </c>
      <c r="I565" s="7" t="s">
        <v>554</v>
      </c>
      <c r="J565" s="39">
        <v>718437500</v>
      </c>
      <c r="L565" s="16">
        <f t="shared" si="296"/>
        <v>1</v>
      </c>
      <c r="M565" s="16" t="str">
        <f t="shared" si="297"/>
        <v>July</v>
      </c>
      <c r="N565" s="16" t="str">
        <f t="shared" si="298"/>
        <v/>
      </c>
      <c r="O565" s="16" t="str">
        <f>IF(N565="","",COUNTIF($N$8:N565,N565))</f>
        <v/>
      </c>
      <c r="P565" s="34" t="str">
        <f t="shared" si="299"/>
        <v>InKas</v>
      </c>
      <c r="Q565" s="34" t="str">
        <f t="shared" si="300"/>
        <v>inJulyKas</v>
      </c>
      <c r="R565" s="34" t="str">
        <f t="shared" si="301"/>
        <v>Bank</v>
      </c>
      <c r="S565" s="34" t="str">
        <f t="shared" si="302"/>
        <v>Kas</v>
      </c>
      <c r="T565" s="34" t="str">
        <f t="shared" si="303"/>
        <v/>
      </c>
      <c r="U565" s="34" t="str">
        <f>IF(AND(L565=1,bp_kode=T565,T565&lt;&gt;""),COUNTIF($T$8:T565,T565),"")</f>
        <v/>
      </c>
      <c r="V565" s="34" t="str">
        <f t="shared" si="304"/>
        <v/>
      </c>
      <c r="W565" s="34" t="str">
        <f t="shared" si="305"/>
        <v/>
      </c>
      <c r="X565" s="34" t="str">
        <f>IF(B565="","",COUNTIF($C$8:C565,C565)&amp;C565)</f>
        <v>0</v>
      </c>
    </row>
    <row r="566" spans="2:24" ht="23.1" customHeight="1">
      <c r="B566" s="31">
        <v>44773</v>
      </c>
      <c r="C566" s="9"/>
      <c r="D566" s="9" t="s">
        <v>591</v>
      </c>
      <c r="E566" s="7"/>
      <c r="F566" s="7"/>
      <c r="G566" s="7"/>
      <c r="H566" s="7" t="s">
        <v>582</v>
      </c>
      <c r="I566" s="7" t="s">
        <v>586</v>
      </c>
      <c r="J566" s="39">
        <v>568116629</v>
      </c>
      <c r="L566" s="16">
        <f t="shared" si="296"/>
        <v>1</v>
      </c>
      <c r="M566" s="16" t="str">
        <f t="shared" si="297"/>
        <v>July</v>
      </c>
      <c r="N566" s="16" t="str">
        <f t="shared" si="298"/>
        <v/>
      </c>
      <c r="O566" s="16" t="str">
        <f>IF(N566="","",COUNTIF($N$8:N566,N566))</f>
        <v/>
      </c>
      <c r="P566" s="34" t="str">
        <f t="shared" si="299"/>
        <v>InBank</v>
      </c>
      <c r="Q566" s="34" t="str">
        <f t="shared" si="300"/>
        <v>inJulyBank</v>
      </c>
      <c r="R566" s="34" t="str">
        <f t="shared" si="301"/>
        <v>Kas</v>
      </c>
      <c r="S566" s="34" t="str">
        <f t="shared" si="302"/>
        <v>Bank</v>
      </c>
      <c r="T566" s="34" t="str">
        <f t="shared" si="303"/>
        <v/>
      </c>
      <c r="U566" s="34" t="str">
        <f>IF(AND(L566=1,bp_kode=T566,T566&lt;&gt;""),COUNTIF($T$8:T566,T566),"")</f>
        <v/>
      </c>
      <c r="V566" s="34" t="str">
        <f t="shared" si="304"/>
        <v/>
      </c>
      <c r="W566" s="34" t="str">
        <f t="shared" si="305"/>
        <v/>
      </c>
      <c r="X566" s="34" t="str">
        <f>IF(B566="","",COUNTIF($C$8:C566,C566)&amp;C566)</f>
        <v>0</v>
      </c>
    </row>
    <row r="567" spans="2:24" ht="23.1" customHeight="1">
      <c r="B567" s="31">
        <v>44773</v>
      </c>
      <c r="C567" s="9"/>
      <c r="D567" s="9" t="s">
        <v>729</v>
      </c>
      <c r="E567" s="7"/>
      <c r="F567" s="7"/>
      <c r="G567" s="7"/>
      <c r="H567" s="7" t="s">
        <v>592</v>
      </c>
      <c r="I567" s="7" t="s">
        <v>569</v>
      </c>
      <c r="J567" s="39">
        <v>15505</v>
      </c>
      <c r="L567" s="16">
        <f t="shared" si="296"/>
        <v>1</v>
      </c>
      <c r="M567" s="16" t="str">
        <f t="shared" si="297"/>
        <v>July</v>
      </c>
      <c r="N567" s="16" t="str">
        <f t="shared" si="298"/>
        <v/>
      </c>
      <c r="O567" s="16" t="str">
        <f>IF(N567="","",COUNTIF($N$8:N567,N567))</f>
        <v/>
      </c>
      <c r="P567" s="34" t="str">
        <f t="shared" si="299"/>
        <v>InPendapatan Lainnya</v>
      </c>
      <c r="Q567" s="34" t="str">
        <f t="shared" si="300"/>
        <v>inJulyPendapatan Lainnya</v>
      </c>
      <c r="R567" s="34" t="str">
        <f t="shared" si="301"/>
        <v>Bank</v>
      </c>
      <c r="S567" s="34" t="str">
        <f t="shared" si="302"/>
        <v>Pendapatan Lainnya</v>
      </c>
      <c r="T567" s="34" t="str">
        <f t="shared" si="303"/>
        <v/>
      </c>
      <c r="U567" s="34" t="str">
        <f>IF(AND(L567=1,bp_kode=T567,T567&lt;&gt;""),COUNTIF($T$8:T567,T567),"")</f>
        <v/>
      </c>
      <c r="V567" s="34" t="str">
        <f t="shared" si="304"/>
        <v>kr</v>
      </c>
      <c r="W567" s="34" t="str">
        <f t="shared" si="305"/>
        <v>kr</v>
      </c>
      <c r="X567" s="34" t="str">
        <f>IF(B567="","",COUNTIF($C$8:C567,C567)&amp;C567)</f>
        <v>0</v>
      </c>
    </row>
    <row r="568" spans="2:24" ht="23.1" customHeight="1">
      <c r="B568" s="31">
        <v>44773</v>
      </c>
      <c r="C568" s="9"/>
      <c r="D568" s="9" t="s">
        <v>570</v>
      </c>
      <c r="E568" s="7"/>
      <c r="F568" s="7"/>
      <c r="G568" s="7"/>
      <c r="H568" s="7" t="s">
        <v>571</v>
      </c>
      <c r="I568" s="7" t="s">
        <v>592</v>
      </c>
      <c r="J568" s="39">
        <v>3101</v>
      </c>
      <c r="L568" s="16">
        <f t="shared" si="296"/>
        <v>1</v>
      </c>
      <c r="M568" s="16" t="str">
        <f t="shared" si="297"/>
        <v>July</v>
      </c>
      <c r="N568" s="16" t="str">
        <f t="shared" si="298"/>
        <v/>
      </c>
      <c r="O568" s="16" t="str">
        <f>IF(N568="","",COUNTIF($N$8:N568,N568))</f>
        <v/>
      </c>
      <c r="P568" s="34" t="str">
        <f t="shared" si="299"/>
        <v>outBeban Lainnya</v>
      </c>
      <c r="Q568" s="34" t="str">
        <f t="shared" si="300"/>
        <v>outJulyBeban Lainnya</v>
      </c>
      <c r="R568" s="34" t="str">
        <f t="shared" si="301"/>
        <v>Beban Lainnya</v>
      </c>
      <c r="S568" s="34" t="str">
        <f t="shared" si="302"/>
        <v>Bank</v>
      </c>
      <c r="T568" s="34" t="str">
        <f t="shared" si="303"/>
        <v/>
      </c>
      <c r="U568" s="34" t="str">
        <f>IF(AND(L568=1,bp_kode=T568,T568&lt;&gt;""),COUNTIF($T$8:T568,T568),"")</f>
        <v/>
      </c>
      <c r="V568" s="34" t="str">
        <f t="shared" si="304"/>
        <v>db</v>
      </c>
      <c r="W568" s="34" t="str">
        <f t="shared" si="305"/>
        <v>db</v>
      </c>
      <c r="X568" s="34" t="str">
        <f>IF(B568="","",COUNTIF($C$8:C568,C568)&amp;C568)</f>
        <v>0</v>
      </c>
    </row>
    <row r="569" spans="2:24" ht="23.1" customHeight="1">
      <c r="B569" s="31">
        <v>44773</v>
      </c>
      <c r="C569" s="9"/>
      <c r="D569" s="9" t="s">
        <v>572</v>
      </c>
      <c r="E569" s="7"/>
      <c r="F569" s="7"/>
      <c r="G569" s="7"/>
      <c r="H569" s="7" t="s">
        <v>640</v>
      </c>
      <c r="I569" s="7" t="s">
        <v>592</v>
      </c>
      <c r="J569" s="39">
        <v>27000</v>
      </c>
      <c r="L569" s="16">
        <f t="shared" si="296"/>
        <v>1</v>
      </c>
      <c r="M569" s="16" t="str">
        <f t="shared" si="297"/>
        <v>July</v>
      </c>
      <c r="N569" s="16" t="str">
        <f t="shared" si="298"/>
        <v/>
      </c>
      <c r="O569" s="16" t="str">
        <f>IF(N569="","",COUNTIF($N$8:N569,N569))</f>
        <v/>
      </c>
      <c r="P569" s="34" t="str">
        <f t="shared" si="299"/>
        <v>outBeban Lainnya</v>
      </c>
      <c r="Q569" s="34" t="str">
        <f t="shared" si="300"/>
        <v>outJulyBeban Lainnya</v>
      </c>
      <c r="R569" s="34" t="str">
        <f t="shared" si="301"/>
        <v>Beban Lainnya</v>
      </c>
      <c r="S569" s="34" t="str">
        <f t="shared" si="302"/>
        <v>Bank</v>
      </c>
      <c r="T569" s="34" t="str">
        <f t="shared" si="303"/>
        <v/>
      </c>
      <c r="U569" s="34" t="str">
        <f>IF(AND(L569=1,bp_kode=T569,T569&lt;&gt;""),COUNTIF($T$8:T569,T569),"")</f>
        <v/>
      </c>
      <c r="V569" s="34" t="str">
        <f t="shared" si="304"/>
        <v>db</v>
      </c>
      <c r="W569" s="34" t="str">
        <f t="shared" si="305"/>
        <v>db</v>
      </c>
      <c r="X569" s="34" t="str">
        <f>IF(B569="","",COUNTIF($C$8:C569,C569)&amp;C569)</f>
        <v>0</v>
      </c>
    </row>
    <row r="570" spans="2:24" ht="23.1" customHeight="1">
      <c r="B570" s="31">
        <v>44773</v>
      </c>
      <c r="C570" s="9"/>
      <c r="D570" s="9" t="s">
        <v>573</v>
      </c>
      <c r="E570" s="7"/>
      <c r="F570" s="7"/>
      <c r="G570" s="7"/>
      <c r="H570" s="7" t="s">
        <v>592</v>
      </c>
      <c r="I570" s="7" t="s">
        <v>559</v>
      </c>
      <c r="J570" s="39">
        <v>12850000</v>
      </c>
      <c r="L570" s="16">
        <f t="shared" si="296"/>
        <v>1</v>
      </c>
      <c r="M570" s="16" t="str">
        <f t="shared" si="297"/>
        <v>July</v>
      </c>
      <c r="N570" s="16" t="str">
        <f t="shared" si="298"/>
        <v/>
      </c>
      <c r="O570" s="16" t="str">
        <f>IF(N570="","",COUNTIF($N$8:N570,N570))</f>
        <v/>
      </c>
      <c r="P570" s="34" t="str">
        <f t="shared" si="299"/>
        <v>InAkun Piutang</v>
      </c>
      <c r="Q570" s="34" t="str">
        <f t="shared" si="300"/>
        <v>inJulyAkun Piutang</v>
      </c>
      <c r="R570" s="34" t="str">
        <f t="shared" si="301"/>
        <v>Bank</v>
      </c>
      <c r="S570" s="34" t="str">
        <f t="shared" si="302"/>
        <v>Akun Piutang</v>
      </c>
      <c r="T570" s="34">
        <f t="shared" si="303"/>
        <v>0</v>
      </c>
      <c r="U570" s="34" t="str">
        <f>IF(AND(L570=1,bp_kode=T570,T570&lt;&gt;""),COUNTIF($T$8:T570,T570),"")</f>
        <v/>
      </c>
      <c r="V570" s="34" t="str">
        <f t="shared" si="304"/>
        <v/>
      </c>
      <c r="W570" s="34" t="str">
        <f t="shared" si="305"/>
        <v/>
      </c>
      <c r="X570" s="34" t="str">
        <f>IF(B570="","",COUNTIF($C$8:C570,C570)&amp;C570)</f>
        <v>0</v>
      </c>
    </row>
    <row r="571" spans="2:24" ht="23.1" customHeight="1">
      <c r="B571" s="31">
        <v>44773</v>
      </c>
      <c r="C571" s="9"/>
      <c r="D571" s="9" t="s">
        <v>730</v>
      </c>
      <c r="E571" s="7"/>
      <c r="F571" s="7"/>
      <c r="G571" s="7"/>
      <c r="H571" s="7" t="s">
        <v>593</v>
      </c>
      <c r="I571" s="7" t="s">
        <v>569</v>
      </c>
      <c r="J571" s="39">
        <v>8304</v>
      </c>
      <c r="L571" s="16">
        <f t="shared" si="296"/>
        <v>1</v>
      </c>
      <c r="M571" s="16" t="str">
        <f t="shared" si="297"/>
        <v>July</v>
      </c>
      <c r="N571" s="16" t="str">
        <f t="shared" si="298"/>
        <v/>
      </c>
      <c r="O571" s="16" t="str">
        <f>IF(N571="","",COUNTIF($N$8:N571,N571))</f>
        <v/>
      </c>
      <c r="P571" s="34" t="str">
        <f t="shared" si="299"/>
        <v>InPendapatan Lainnya</v>
      </c>
      <c r="Q571" s="34" t="str">
        <f t="shared" si="300"/>
        <v>inJulyPendapatan Lainnya</v>
      </c>
      <c r="R571" s="34" t="str">
        <f t="shared" si="301"/>
        <v>Bank</v>
      </c>
      <c r="S571" s="34" t="str">
        <f t="shared" si="302"/>
        <v>Pendapatan Lainnya</v>
      </c>
      <c r="T571" s="34" t="str">
        <f t="shared" si="303"/>
        <v/>
      </c>
      <c r="U571" s="34" t="str">
        <f>IF(AND(L571=1,bp_kode=T571,T571&lt;&gt;""),COUNTIF($T$8:T571,T571),"")</f>
        <v/>
      </c>
      <c r="V571" s="34" t="str">
        <f t="shared" si="304"/>
        <v>kr</v>
      </c>
      <c r="W571" s="34" t="str">
        <f t="shared" si="305"/>
        <v>kr</v>
      </c>
      <c r="X571" s="34" t="str">
        <f>IF(B571="","",COUNTIF($C$8:C571,C571)&amp;C571)</f>
        <v>0</v>
      </c>
    </row>
    <row r="572" spans="2:24" ht="23.1" customHeight="1">
      <c r="B572" s="31">
        <v>44773</v>
      </c>
      <c r="C572" s="9"/>
      <c r="D572" s="9" t="s">
        <v>570</v>
      </c>
      <c r="E572" s="7"/>
      <c r="F572" s="7"/>
      <c r="G572" s="7"/>
      <c r="H572" s="7" t="s">
        <v>571</v>
      </c>
      <c r="I572" s="7" t="s">
        <v>593</v>
      </c>
      <c r="J572" s="39">
        <v>1618</v>
      </c>
      <c r="L572" s="16">
        <f t="shared" si="296"/>
        <v>1</v>
      </c>
      <c r="M572" s="16" t="str">
        <f t="shared" si="297"/>
        <v>July</v>
      </c>
      <c r="N572" s="16" t="str">
        <f t="shared" si="298"/>
        <v/>
      </c>
      <c r="O572" s="16" t="str">
        <f>IF(N572="","",COUNTIF($N$8:N572,N572))</f>
        <v/>
      </c>
      <c r="P572" s="34" t="str">
        <f t="shared" si="299"/>
        <v>outBeban Lainnya</v>
      </c>
      <c r="Q572" s="34" t="str">
        <f t="shared" si="300"/>
        <v>outJulyBeban Lainnya</v>
      </c>
      <c r="R572" s="34" t="str">
        <f t="shared" si="301"/>
        <v>Beban Lainnya</v>
      </c>
      <c r="S572" s="34" t="str">
        <f t="shared" si="302"/>
        <v>Bank</v>
      </c>
      <c r="T572" s="34" t="str">
        <f t="shared" si="303"/>
        <v/>
      </c>
      <c r="U572" s="34" t="str">
        <f>IF(AND(L572=1,bp_kode=T572,T572&lt;&gt;""),COUNTIF($T$8:T572,T572),"")</f>
        <v/>
      </c>
      <c r="V572" s="34" t="str">
        <f t="shared" si="304"/>
        <v>db</v>
      </c>
      <c r="W572" s="34" t="str">
        <f t="shared" si="305"/>
        <v>db</v>
      </c>
      <c r="X572" s="34" t="str">
        <f>IF(B572="","",COUNTIF($C$8:C572,C572)&amp;C572)</f>
        <v>0</v>
      </c>
    </row>
    <row r="573" spans="2:24" ht="23.1" customHeight="1">
      <c r="B573" s="31">
        <v>44773</v>
      </c>
      <c r="C573" s="9"/>
      <c r="D573" s="9" t="s">
        <v>572</v>
      </c>
      <c r="E573" s="7"/>
      <c r="F573" s="7"/>
      <c r="G573" s="7"/>
      <c r="H573" s="7" t="s">
        <v>640</v>
      </c>
      <c r="I573" s="7" t="s">
        <v>593</v>
      </c>
      <c r="J573" s="39">
        <v>36500</v>
      </c>
      <c r="L573" s="16">
        <f t="shared" si="296"/>
        <v>1</v>
      </c>
      <c r="M573" s="16" t="str">
        <f t="shared" si="297"/>
        <v>July</v>
      </c>
      <c r="N573" s="16" t="str">
        <f t="shared" si="298"/>
        <v/>
      </c>
      <c r="O573" s="16" t="str">
        <f>IF(N573="","",COUNTIF($N$8:N573,N573))</f>
        <v/>
      </c>
      <c r="P573" s="34" t="str">
        <f t="shared" si="299"/>
        <v>outBeban Lainnya</v>
      </c>
      <c r="Q573" s="34" t="str">
        <f t="shared" si="300"/>
        <v>outJulyBeban Lainnya</v>
      </c>
      <c r="R573" s="34" t="str">
        <f t="shared" si="301"/>
        <v>Beban Lainnya</v>
      </c>
      <c r="S573" s="34" t="str">
        <f t="shared" si="302"/>
        <v>Bank</v>
      </c>
      <c r="T573" s="34" t="str">
        <f t="shared" si="303"/>
        <v/>
      </c>
      <c r="U573" s="34" t="str">
        <f>IF(AND(L573=1,bp_kode=T573,T573&lt;&gt;""),COUNTIF($T$8:T573,T573),"")</f>
        <v/>
      </c>
      <c r="V573" s="34" t="str">
        <f t="shared" si="304"/>
        <v>db</v>
      </c>
      <c r="W573" s="34" t="str">
        <f t="shared" si="305"/>
        <v>db</v>
      </c>
      <c r="X573" s="34" t="str">
        <f>IF(B573="","",COUNTIF($C$8:C573,C573)&amp;C573)</f>
        <v>0</v>
      </c>
    </row>
    <row r="574" spans="2:24" ht="23.1" customHeight="1">
      <c r="B574" s="31">
        <v>44773</v>
      </c>
      <c r="C574" s="9"/>
      <c r="D574" s="9" t="s">
        <v>595</v>
      </c>
      <c r="E574" s="7"/>
      <c r="F574" s="7"/>
      <c r="G574" s="7"/>
      <c r="H574" s="7" t="s">
        <v>594</v>
      </c>
      <c r="I574" s="7" t="s">
        <v>582</v>
      </c>
      <c r="J574" s="39">
        <v>12800563</v>
      </c>
      <c r="L574" s="16">
        <f t="shared" si="296"/>
        <v>1</v>
      </c>
      <c r="M574" s="16" t="str">
        <f t="shared" si="297"/>
        <v>July</v>
      </c>
      <c r="N574" s="16" t="str">
        <f t="shared" si="298"/>
        <v/>
      </c>
      <c r="O574" s="16" t="str">
        <f>IF(N574="","",COUNTIF($N$8:N574,N574))</f>
        <v/>
      </c>
      <c r="P574" s="34" t="str">
        <f t="shared" si="299"/>
        <v>outAktiva Lancar Lainnya</v>
      </c>
      <c r="Q574" s="34" t="str">
        <f t="shared" si="300"/>
        <v>outJulyAktiva Lancar Lainnya</v>
      </c>
      <c r="R574" s="34" t="str">
        <f t="shared" si="301"/>
        <v>Aktiva Lancar Lainnya</v>
      </c>
      <c r="S574" s="34" t="str">
        <f t="shared" si="302"/>
        <v>Kas</v>
      </c>
      <c r="T574" s="34" t="str">
        <f t="shared" si="303"/>
        <v/>
      </c>
      <c r="U574" s="34" t="str">
        <f>IF(AND(L574=1,bp_kode=T574,T574&lt;&gt;""),COUNTIF($T$8:T574,T574),"")</f>
        <v/>
      </c>
      <c r="V574" s="34" t="str">
        <f t="shared" si="304"/>
        <v/>
      </c>
      <c r="W574" s="34" t="str">
        <f t="shared" si="305"/>
        <v/>
      </c>
      <c r="X574" s="34" t="str">
        <f>IF(B574="","",COUNTIF($C$8:C574,C574)&amp;C574)</f>
        <v>0</v>
      </c>
    </row>
    <row r="575" spans="2:24" ht="23.1" customHeight="1">
      <c r="B575" s="31">
        <v>44773</v>
      </c>
      <c r="C575" s="9"/>
      <c r="D575" s="9" t="s">
        <v>598</v>
      </c>
      <c r="E575" s="7"/>
      <c r="F575" s="7"/>
      <c r="G575" s="7"/>
      <c r="H575" s="7" t="s">
        <v>599</v>
      </c>
      <c r="I575" s="7" t="s">
        <v>582</v>
      </c>
      <c r="J575" s="39">
        <v>5050000</v>
      </c>
      <c r="L575" s="16">
        <f t="shared" si="296"/>
        <v>1</v>
      </c>
      <c r="M575" s="16" t="str">
        <f t="shared" si="297"/>
        <v>July</v>
      </c>
      <c r="N575" s="16" t="str">
        <f t="shared" si="298"/>
        <v/>
      </c>
      <c r="O575" s="16" t="str">
        <f>IF(N575="","",COUNTIF($N$8:N575,N575))</f>
        <v/>
      </c>
      <c r="P575" s="34" t="str">
        <f t="shared" si="299"/>
        <v>outAkun Hutang</v>
      </c>
      <c r="Q575" s="34" t="str">
        <f t="shared" si="300"/>
        <v>outJulyAkun Hutang</v>
      </c>
      <c r="R575" s="34" t="str">
        <f t="shared" si="301"/>
        <v>Akun Hutang</v>
      </c>
      <c r="S575" s="34" t="str">
        <f t="shared" si="302"/>
        <v>Kas</v>
      </c>
      <c r="T575" s="34">
        <f t="shared" si="303"/>
        <v>0</v>
      </c>
      <c r="U575" s="34" t="str">
        <f>IF(AND(L575=1,bp_kode=T575,T575&lt;&gt;""),COUNTIF($T$8:T575,T575),"")</f>
        <v/>
      </c>
      <c r="V575" s="34" t="str">
        <f t="shared" si="304"/>
        <v/>
      </c>
      <c r="W575" s="34" t="str">
        <f t="shared" si="305"/>
        <v/>
      </c>
      <c r="X575" s="34" t="str">
        <f>IF(B575="","",COUNTIF($C$8:C575,C575)&amp;C575)</f>
        <v>0</v>
      </c>
    </row>
    <row r="576" spans="2:24" ht="23.1" customHeight="1">
      <c r="B576" s="31">
        <v>44773</v>
      </c>
      <c r="C576" s="9"/>
      <c r="D576" s="9" t="s">
        <v>600</v>
      </c>
      <c r="E576" s="7"/>
      <c r="F576" s="7"/>
      <c r="G576" s="7"/>
      <c r="H576" s="7" t="s">
        <v>601</v>
      </c>
      <c r="I576" s="7" t="s">
        <v>582</v>
      </c>
      <c r="J576" s="39">
        <v>74840490</v>
      </c>
      <c r="L576" s="16">
        <f t="shared" si="296"/>
        <v>1</v>
      </c>
      <c r="M576" s="16" t="str">
        <f t="shared" si="297"/>
        <v>July</v>
      </c>
      <c r="N576" s="16" t="str">
        <f t="shared" si="298"/>
        <v/>
      </c>
      <c r="O576" s="16" t="str">
        <f>IF(N576="","",COUNTIF($N$8:N576,N576))</f>
        <v/>
      </c>
      <c r="P576" s="34" t="str">
        <f t="shared" si="299"/>
        <v>outKewajiban Lancar Lainnya</v>
      </c>
      <c r="Q576" s="34" t="str">
        <f t="shared" si="300"/>
        <v>outJulyKewajiban Lancar Lainnya</v>
      </c>
      <c r="R576" s="34" t="str">
        <f t="shared" si="301"/>
        <v>Kewajiban Lancar Lainnya</v>
      </c>
      <c r="S576" s="34" t="str">
        <f t="shared" si="302"/>
        <v>Kas</v>
      </c>
      <c r="T576" s="34" t="str">
        <f t="shared" si="303"/>
        <v/>
      </c>
      <c r="U576" s="34" t="str">
        <f>IF(AND(L576=1,bp_kode=T576,T576&lt;&gt;""),COUNTIF($T$8:T576,T576),"")</f>
        <v/>
      </c>
      <c r="V576" s="34" t="str">
        <f t="shared" si="304"/>
        <v/>
      </c>
      <c r="W576" s="34" t="str">
        <f t="shared" si="305"/>
        <v/>
      </c>
      <c r="X576" s="34" t="str">
        <f>IF(B576="","",COUNTIF($C$8:C576,C576)&amp;C576)</f>
        <v>0</v>
      </c>
    </row>
    <row r="577" spans="2:24" ht="23.1" customHeight="1">
      <c r="B577" s="31">
        <v>44773</v>
      </c>
      <c r="C577" s="9"/>
      <c r="D577" s="9" t="s">
        <v>604</v>
      </c>
      <c r="E577" s="7"/>
      <c r="F577" s="7"/>
      <c r="G577" s="7"/>
      <c r="H577" s="7" t="s">
        <v>602</v>
      </c>
      <c r="I577" s="7" t="s">
        <v>582</v>
      </c>
      <c r="J577" s="39">
        <v>4984700</v>
      </c>
      <c r="L577" s="16">
        <f t="shared" si="296"/>
        <v>1</v>
      </c>
      <c r="M577" s="16" t="str">
        <f t="shared" si="297"/>
        <v>July</v>
      </c>
      <c r="N577" s="16" t="str">
        <f t="shared" si="298"/>
        <v/>
      </c>
      <c r="O577" s="16" t="str">
        <f>IF(N577="","",COUNTIF($N$8:N577,N577))</f>
        <v/>
      </c>
      <c r="P577" s="34" t="str">
        <f t="shared" si="299"/>
        <v>outHarga Pokok Penjualan</v>
      </c>
      <c r="Q577" s="34" t="str">
        <f t="shared" si="300"/>
        <v>outJulyHarga Pokok Penjualan</v>
      </c>
      <c r="R577" s="34" t="str">
        <f t="shared" si="301"/>
        <v>Harga Pokok Penjualan</v>
      </c>
      <c r="S577" s="34" t="str">
        <f t="shared" si="302"/>
        <v>Kas</v>
      </c>
      <c r="T577" s="34" t="str">
        <f t="shared" si="303"/>
        <v/>
      </c>
      <c r="U577" s="34" t="str">
        <f>IF(AND(L577=1,bp_kode=T577,T577&lt;&gt;""),COUNTIF($T$8:T577,T577),"")</f>
        <v/>
      </c>
      <c r="V577" s="34" t="str">
        <f t="shared" si="304"/>
        <v>db</v>
      </c>
      <c r="W577" s="34" t="str">
        <f t="shared" si="305"/>
        <v>db</v>
      </c>
      <c r="X577" s="34" t="str">
        <f>IF(B577="","",COUNTIF($C$8:C577,C577)&amp;C577)</f>
        <v>0</v>
      </c>
    </row>
    <row r="578" spans="2:24" ht="23.1" customHeight="1">
      <c r="B578" s="31">
        <v>44773</v>
      </c>
      <c r="C578" s="9"/>
      <c r="D578" s="9" t="s">
        <v>605</v>
      </c>
      <c r="E578" s="7"/>
      <c r="F578" s="7"/>
      <c r="G578" s="7"/>
      <c r="H578" s="7" t="s">
        <v>603</v>
      </c>
      <c r="I578" s="7" t="s">
        <v>582</v>
      </c>
      <c r="J578" s="39">
        <v>7301250</v>
      </c>
      <c r="L578" s="16">
        <f t="shared" si="296"/>
        <v>1</v>
      </c>
      <c r="M578" s="16" t="str">
        <f t="shared" si="297"/>
        <v>July</v>
      </c>
      <c r="N578" s="16" t="str">
        <f t="shared" si="298"/>
        <v/>
      </c>
      <c r="O578" s="16" t="str">
        <f>IF(N578="","",COUNTIF($N$8:N578,N578))</f>
        <v/>
      </c>
      <c r="P578" s="34" t="str">
        <f t="shared" si="299"/>
        <v>outHarga Pokok Penjualan</v>
      </c>
      <c r="Q578" s="34" t="str">
        <f t="shared" si="300"/>
        <v>outJulyHarga Pokok Penjualan</v>
      </c>
      <c r="R578" s="34" t="str">
        <f t="shared" si="301"/>
        <v>Harga Pokok Penjualan</v>
      </c>
      <c r="S578" s="34" t="str">
        <f t="shared" si="302"/>
        <v>Kas</v>
      </c>
      <c r="T578" s="34" t="str">
        <f t="shared" si="303"/>
        <v/>
      </c>
      <c r="U578" s="34" t="str">
        <f>IF(AND(L578=1,bp_kode=T578,T578&lt;&gt;""),COUNTIF($T$8:T578,T578),"")</f>
        <v/>
      </c>
      <c r="V578" s="34" t="str">
        <f t="shared" si="304"/>
        <v>db</v>
      </c>
      <c r="W578" s="34" t="str">
        <f t="shared" si="305"/>
        <v>db</v>
      </c>
      <c r="X578" s="34" t="str">
        <f>IF(B578="","",COUNTIF($C$8:C578,C578)&amp;C578)</f>
        <v>0</v>
      </c>
    </row>
    <row r="579" spans="2:24" ht="23.1" customHeight="1">
      <c r="B579" s="31">
        <v>44773</v>
      </c>
      <c r="C579" s="9"/>
      <c r="D579" s="9" t="s">
        <v>609</v>
      </c>
      <c r="E579" s="7"/>
      <c r="F579" s="7"/>
      <c r="G579" s="7"/>
      <c r="H579" s="7" t="s">
        <v>606</v>
      </c>
      <c r="I579" s="7" t="s">
        <v>582</v>
      </c>
      <c r="J579" s="39">
        <v>3500000</v>
      </c>
      <c r="L579" s="16">
        <f t="shared" si="296"/>
        <v>1</v>
      </c>
      <c r="M579" s="16" t="str">
        <f t="shared" si="297"/>
        <v>July</v>
      </c>
      <c r="N579" s="16" t="str">
        <f t="shared" si="298"/>
        <v/>
      </c>
      <c r="O579" s="16" t="str">
        <f>IF(N579="","",COUNTIF($N$8:N579,N579))</f>
        <v/>
      </c>
      <c r="P579" s="34" t="str">
        <f t="shared" si="299"/>
        <v>outHarga Pokok Penjualan</v>
      </c>
      <c r="Q579" s="34" t="str">
        <f t="shared" si="300"/>
        <v>outJulyHarga Pokok Penjualan</v>
      </c>
      <c r="R579" s="34" t="str">
        <f t="shared" si="301"/>
        <v>Harga Pokok Penjualan</v>
      </c>
      <c r="S579" s="34" t="str">
        <f t="shared" si="302"/>
        <v>Kas</v>
      </c>
      <c r="T579" s="34" t="str">
        <f t="shared" si="303"/>
        <v/>
      </c>
      <c r="U579" s="34" t="str">
        <f>IF(AND(L579=1,bp_kode=T579,T579&lt;&gt;""),COUNTIF($T$8:T579,T579),"")</f>
        <v/>
      </c>
      <c r="V579" s="34" t="str">
        <f t="shared" si="304"/>
        <v>db</v>
      </c>
      <c r="W579" s="34" t="str">
        <f t="shared" si="305"/>
        <v>db</v>
      </c>
      <c r="X579" s="34" t="str">
        <f>IF(B579="","",COUNTIF($C$8:C579,C579)&amp;C579)</f>
        <v>0</v>
      </c>
    </row>
    <row r="580" spans="2:24" ht="23.1" customHeight="1">
      <c r="B580" s="31">
        <v>44773</v>
      </c>
      <c r="C580" s="9"/>
      <c r="D580" s="9" t="s">
        <v>610</v>
      </c>
      <c r="E580" s="7"/>
      <c r="F580" s="7"/>
      <c r="G580" s="7"/>
      <c r="H580" s="7" t="s">
        <v>607</v>
      </c>
      <c r="I580" s="7" t="s">
        <v>582</v>
      </c>
      <c r="J580" s="39">
        <v>80000</v>
      </c>
      <c r="L580" s="16">
        <f t="shared" si="296"/>
        <v>1</v>
      </c>
      <c r="M580" s="16" t="str">
        <f t="shared" si="297"/>
        <v>July</v>
      </c>
      <c r="N580" s="16" t="str">
        <f t="shared" si="298"/>
        <v/>
      </c>
      <c r="O580" s="16" t="str">
        <f>IF(N580="","",COUNTIF($N$8:N580,N580))</f>
        <v/>
      </c>
      <c r="P580" s="34" t="str">
        <f t="shared" si="299"/>
        <v>outHarga Pokok Penjualan</v>
      </c>
      <c r="Q580" s="34" t="str">
        <f t="shared" si="300"/>
        <v>outJulyHarga Pokok Penjualan</v>
      </c>
      <c r="R580" s="34" t="str">
        <f t="shared" si="301"/>
        <v>Harga Pokok Penjualan</v>
      </c>
      <c r="S580" s="34" t="str">
        <f t="shared" si="302"/>
        <v>Kas</v>
      </c>
      <c r="T580" s="34" t="str">
        <f t="shared" si="303"/>
        <v/>
      </c>
      <c r="U580" s="34" t="str">
        <f>IF(AND(L580=1,bp_kode=T580,T580&lt;&gt;""),COUNTIF($T$8:T580,T580),"")</f>
        <v/>
      </c>
      <c r="V580" s="34" t="str">
        <f t="shared" si="304"/>
        <v>db</v>
      </c>
      <c r="W580" s="34" t="str">
        <f t="shared" si="305"/>
        <v>db</v>
      </c>
      <c r="X580" s="34" t="str">
        <f>IF(B580="","",COUNTIF($C$8:C580,C580)&amp;C580)</f>
        <v>0</v>
      </c>
    </row>
    <row r="581" spans="2:24" ht="23.1" customHeight="1">
      <c r="B581" s="31">
        <v>44773</v>
      </c>
      <c r="C581" s="9"/>
      <c r="D581" s="9" t="s">
        <v>696</v>
      </c>
      <c r="E581" s="7"/>
      <c r="F581" s="7"/>
      <c r="G581" s="7"/>
      <c r="H581" s="7" t="s">
        <v>695</v>
      </c>
      <c r="I581" s="7" t="s">
        <v>582</v>
      </c>
      <c r="J581" s="39">
        <v>23976000</v>
      </c>
      <c r="L581" s="16">
        <f t="shared" si="296"/>
        <v>1</v>
      </c>
      <c r="M581" s="16" t="str">
        <f t="shared" si="297"/>
        <v>July</v>
      </c>
      <c r="N581" s="16" t="str">
        <f t="shared" si="298"/>
        <v>Awe</v>
      </c>
      <c r="O581" s="16">
        <f>IF(N581="","",COUNTIF($N$8:N581,N581))</f>
        <v>8</v>
      </c>
      <c r="P581" s="34" t="str">
        <f t="shared" si="299"/>
        <v>outHarga Pokok Penjualan</v>
      </c>
      <c r="Q581" s="34" t="str">
        <f t="shared" si="300"/>
        <v>outJulyHarga Pokok Penjualan</v>
      </c>
      <c r="R581" s="34" t="str">
        <f t="shared" si="301"/>
        <v>Harga Pokok Penjualan</v>
      </c>
      <c r="S581" s="34" t="str">
        <f t="shared" si="302"/>
        <v>Kas</v>
      </c>
      <c r="T581" s="34" t="str">
        <f t="shared" si="303"/>
        <v/>
      </c>
      <c r="U581" s="34" t="str">
        <f>IF(AND(L581=1,bp_kode=T581,T581&lt;&gt;""),COUNTIF($T$8:T581,T581),"")</f>
        <v/>
      </c>
      <c r="V581" s="34" t="str">
        <f t="shared" si="304"/>
        <v>db</v>
      </c>
      <c r="W581" s="34" t="str">
        <f t="shared" si="305"/>
        <v>db</v>
      </c>
      <c r="X581" s="34" t="str">
        <f>IF(B581="","",COUNTIF($C$8:C581,C581)&amp;C581)</f>
        <v>0</v>
      </c>
    </row>
    <row r="582" spans="2:24" ht="23.1" customHeight="1">
      <c r="B582" s="31">
        <v>44773</v>
      </c>
      <c r="C582" s="9"/>
      <c r="D582" s="9" t="s">
        <v>612</v>
      </c>
      <c r="E582" s="7"/>
      <c r="F582" s="7"/>
      <c r="G582" s="7"/>
      <c r="H582" s="7" t="s">
        <v>613</v>
      </c>
      <c r="I582" s="7" t="s">
        <v>582</v>
      </c>
      <c r="J582" s="39">
        <v>6098000</v>
      </c>
      <c r="L582" s="16">
        <f t="shared" si="296"/>
        <v>1</v>
      </c>
      <c r="M582" s="16" t="str">
        <f t="shared" si="297"/>
        <v>July</v>
      </c>
      <c r="N582" s="16" t="str">
        <f t="shared" si="298"/>
        <v/>
      </c>
      <c r="O582" s="16" t="str">
        <f>IF(N582="","",COUNTIF($N$8:N582,N582))</f>
        <v/>
      </c>
      <c r="P582" s="34" t="str">
        <f t="shared" si="299"/>
        <v>outHarga Pokok Penjualan</v>
      </c>
      <c r="Q582" s="34" t="str">
        <f t="shared" si="300"/>
        <v>outJulyHarga Pokok Penjualan</v>
      </c>
      <c r="R582" s="34" t="str">
        <f t="shared" si="301"/>
        <v>Harga Pokok Penjualan</v>
      </c>
      <c r="S582" s="34" t="str">
        <f t="shared" si="302"/>
        <v>Kas</v>
      </c>
      <c r="T582" s="34" t="str">
        <f t="shared" si="303"/>
        <v/>
      </c>
      <c r="U582" s="34" t="str">
        <f>IF(AND(L582=1,bp_kode=T582,T582&lt;&gt;""),COUNTIF($T$8:T582,T582),"")</f>
        <v/>
      </c>
      <c r="V582" s="34" t="str">
        <f t="shared" si="304"/>
        <v>db</v>
      </c>
      <c r="W582" s="34" t="str">
        <f t="shared" si="305"/>
        <v>db</v>
      </c>
      <c r="X582" s="34" t="str">
        <f>IF(B582="","",COUNTIF($C$8:C582,C582)&amp;C582)</f>
        <v>0</v>
      </c>
    </row>
    <row r="583" spans="2:24" ht="23.1" customHeight="1">
      <c r="B583" s="31">
        <v>44773</v>
      </c>
      <c r="C583" s="9"/>
      <c r="D583" s="9" t="s">
        <v>621</v>
      </c>
      <c r="E583" s="7"/>
      <c r="F583" s="7"/>
      <c r="G583" s="7"/>
      <c r="H583" s="7" t="s">
        <v>614</v>
      </c>
      <c r="I583" s="7" t="s">
        <v>582</v>
      </c>
      <c r="J583" s="39">
        <v>12852942</v>
      </c>
      <c r="L583" s="16">
        <f t="shared" si="296"/>
        <v>1</v>
      </c>
      <c r="M583" s="16" t="str">
        <f t="shared" si="297"/>
        <v>July</v>
      </c>
      <c r="N583" s="16" t="str">
        <f t="shared" si="298"/>
        <v/>
      </c>
      <c r="O583" s="16" t="str">
        <f>IF(N583="","",COUNTIF($N$8:N583,N583))</f>
        <v/>
      </c>
      <c r="P583" s="34" t="str">
        <f t="shared" si="299"/>
        <v>outBeban</v>
      </c>
      <c r="Q583" s="34" t="str">
        <f t="shared" si="300"/>
        <v>outJulyBeban</v>
      </c>
      <c r="R583" s="34" t="str">
        <f t="shared" si="301"/>
        <v>Beban</v>
      </c>
      <c r="S583" s="34" t="str">
        <f t="shared" si="302"/>
        <v>Kas</v>
      </c>
      <c r="T583" s="34" t="str">
        <f t="shared" si="303"/>
        <v/>
      </c>
      <c r="U583" s="34" t="str">
        <f>IF(AND(L583=1,bp_kode=T583,T583&lt;&gt;""),COUNTIF($T$8:T583,T583),"")</f>
        <v/>
      </c>
      <c r="V583" s="34" t="str">
        <f t="shared" si="304"/>
        <v>db</v>
      </c>
      <c r="W583" s="34" t="str">
        <f t="shared" si="305"/>
        <v>db</v>
      </c>
      <c r="X583" s="34" t="str">
        <f>IF(B583="","",COUNTIF($C$8:C583,C583)&amp;C583)</f>
        <v>0</v>
      </c>
    </row>
    <row r="584" spans="2:24" ht="23.1" customHeight="1">
      <c r="B584" s="31">
        <v>44773</v>
      </c>
      <c r="C584" s="9"/>
      <c r="D584" s="9" t="s">
        <v>622</v>
      </c>
      <c r="E584" s="7"/>
      <c r="F584" s="7"/>
      <c r="G584" s="7"/>
      <c r="H584" s="7" t="s">
        <v>615</v>
      </c>
      <c r="I584" s="7" t="s">
        <v>582</v>
      </c>
      <c r="J584" s="39">
        <v>2428800</v>
      </c>
      <c r="L584" s="16">
        <f t="shared" si="296"/>
        <v>1</v>
      </c>
      <c r="M584" s="16" t="str">
        <f t="shared" si="297"/>
        <v>July</v>
      </c>
      <c r="N584" s="16" t="str">
        <f t="shared" si="298"/>
        <v/>
      </c>
      <c r="O584" s="16" t="str">
        <f>IF(N584="","",COUNTIF($N$8:N584,N584))</f>
        <v/>
      </c>
      <c r="P584" s="34" t="str">
        <f t="shared" si="299"/>
        <v>outBeban</v>
      </c>
      <c r="Q584" s="34" t="str">
        <f t="shared" si="300"/>
        <v>outJulyBeban</v>
      </c>
      <c r="R584" s="34" t="str">
        <f t="shared" si="301"/>
        <v>Beban</v>
      </c>
      <c r="S584" s="34" t="str">
        <f t="shared" si="302"/>
        <v>Kas</v>
      </c>
      <c r="T584" s="34" t="str">
        <f t="shared" si="303"/>
        <v/>
      </c>
      <c r="U584" s="34" t="str">
        <f>IF(AND(L584=1,bp_kode=T584,T584&lt;&gt;""),COUNTIF($T$8:T584,T584),"")</f>
        <v/>
      </c>
      <c r="V584" s="34" t="str">
        <f t="shared" si="304"/>
        <v>db</v>
      </c>
      <c r="W584" s="34" t="str">
        <f t="shared" si="305"/>
        <v>db</v>
      </c>
      <c r="X584" s="34" t="str">
        <f>IF(B584="","",COUNTIF($C$8:C584,C584)&amp;C584)</f>
        <v>0</v>
      </c>
    </row>
    <row r="585" spans="2:24" ht="23.1" customHeight="1">
      <c r="B585" s="31">
        <v>44773</v>
      </c>
      <c r="C585" s="9"/>
      <c r="D585" s="9" t="s">
        <v>623</v>
      </c>
      <c r="E585" s="7"/>
      <c r="F585" s="7"/>
      <c r="G585" s="7"/>
      <c r="H585" s="7" t="s">
        <v>616</v>
      </c>
      <c r="I585" s="7" t="s">
        <v>582</v>
      </c>
      <c r="J585" s="39">
        <v>1200000</v>
      </c>
      <c r="L585" s="16">
        <f t="shared" si="296"/>
        <v>1</v>
      </c>
      <c r="M585" s="16" t="str">
        <f t="shared" si="297"/>
        <v>July</v>
      </c>
      <c r="N585" s="16" t="str">
        <f t="shared" si="298"/>
        <v/>
      </c>
      <c r="O585" s="16" t="str">
        <f>IF(N585="","",COUNTIF($N$8:N585,N585))</f>
        <v/>
      </c>
      <c r="P585" s="34" t="str">
        <f t="shared" si="299"/>
        <v>outBeban</v>
      </c>
      <c r="Q585" s="34" t="str">
        <f t="shared" si="300"/>
        <v>outJulyBeban</v>
      </c>
      <c r="R585" s="34" t="str">
        <f t="shared" si="301"/>
        <v>Beban</v>
      </c>
      <c r="S585" s="34" t="str">
        <f t="shared" si="302"/>
        <v>Kas</v>
      </c>
      <c r="T585" s="34" t="str">
        <f t="shared" si="303"/>
        <v/>
      </c>
      <c r="U585" s="34" t="str">
        <f>IF(AND(L585=1,bp_kode=T585,T585&lt;&gt;""),COUNTIF($T$8:T585,T585),"")</f>
        <v/>
      </c>
      <c r="V585" s="34" t="str">
        <f t="shared" si="304"/>
        <v>db</v>
      </c>
      <c r="W585" s="34" t="str">
        <f t="shared" si="305"/>
        <v>db</v>
      </c>
      <c r="X585" s="34" t="str">
        <f>IF(B585="","",COUNTIF($C$8:C585,C585)&amp;C585)</f>
        <v>0</v>
      </c>
    </row>
    <row r="586" spans="2:24" ht="23.1" customHeight="1">
      <c r="B586" s="31">
        <v>44773</v>
      </c>
      <c r="C586" s="9"/>
      <c r="D586" s="9" t="s">
        <v>624</v>
      </c>
      <c r="E586" s="7"/>
      <c r="F586" s="7"/>
      <c r="G586" s="7"/>
      <c r="H586" s="7" t="s">
        <v>617</v>
      </c>
      <c r="I586" s="7" t="s">
        <v>582</v>
      </c>
      <c r="J586" s="39">
        <v>32132356</v>
      </c>
      <c r="L586" s="16">
        <f t="shared" si="296"/>
        <v>1</v>
      </c>
      <c r="M586" s="16" t="str">
        <f t="shared" si="297"/>
        <v>July</v>
      </c>
      <c r="N586" s="16" t="str">
        <f t="shared" si="298"/>
        <v/>
      </c>
      <c r="O586" s="16" t="str">
        <f>IF(N586="","",COUNTIF($N$8:N586,N586))</f>
        <v/>
      </c>
      <c r="P586" s="34" t="str">
        <f t="shared" si="299"/>
        <v>outBeban</v>
      </c>
      <c r="Q586" s="34" t="str">
        <f t="shared" si="300"/>
        <v>outJulyBeban</v>
      </c>
      <c r="R586" s="34" t="str">
        <f t="shared" si="301"/>
        <v>Beban</v>
      </c>
      <c r="S586" s="34" t="str">
        <f t="shared" si="302"/>
        <v>Kas</v>
      </c>
      <c r="T586" s="34" t="str">
        <f t="shared" si="303"/>
        <v/>
      </c>
      <c r="U586" s="34" t="str">
        <f>IF(AND(L586=1,bp_kode=T586,T586&lt;&gt;""),COUNTIF($T$8:T586,T586),"")</f>
        <v/>
      </c>
      <c r="V586" s="34" t="str">
        <f t="shared" si="304"/>
        <v>db</v>
      </c>
      <c r="W586" s="34" t="str">
        <f t="shared" si="305"/>
        <v>db</v>
      </c>
      <c r="X586" s="34" t="str">
        <f>IF(B586="","",COUNTIF($C$8:C586,C586)&amp;C586)</f>
        <v>0</v>
      </c>
    </row>
    <row r="587" spans="2:24" ht="23.1" customHeight="1">
      <c r="B587" s="31">
        <v>44773</v>
      </c>
      <c r="C587" s="9"/>
      <c r="D587" s="9" t="s">
        <v>625</v>
      </c>
      <c r="E587" s="7"/>
      <c r="F587" s="7"/>
      <c r="G587" s="7"/>
      <c r="H587" s="7" t="s">
        <v>618</v>
      </c>
      <c r="I587" s="7" t="s">
        <v>582</v>
      </c>
      <c r="J587" s="39">
        <v>199515603</v>
      </c>
      <c r="L587" s="16">
        <f t="shared" si="296"/>
        <v>1</v>
      </c>
      <c r="M587" s="16" t="str">
        <f t="shared" si="297"/>
        <v>July</v>
      </c>
      <c r="N587" s="16" t="str">
        <f t="shared" si="298"/>
        <v/>
      </c>
      <c r="O587" s="16" t="str">
        <f>IF(N587="","",COUNTIF($N$8:N587,N587))</f>
        <v/>
      </c>
      <c r="P587" s="34" t="str">
        <f t="shared" si="299"/>
        <v>outBeban</v>
      </c>
      <c r="Q587" s="34" t="str">
        <f t="shared" si="300"/>
        <v>outJulyBeban</v>
      </c>
      <c r="R587" s="34" t="str">
        <f t="shared" si="301"/>
        <v>Beban</v>
      </c>
      <c r="S587" s="34" t="str">
        <f t="shared" si="302"/>
        <v>Kas</v>
      </c>
      <c r="T587" s="34" t="str">
        <f t="shared" si="303"/>
        <v/>
      </c>
      <c r="U587" s="34" t="str">
        <f>IF(AND(L587=1,bp_kode=T587,T587&lt;&gt;""),COUNTIF($T$8:T587,T587),"")</f>
        <v/>
      </c>
      <c r="V587" s="34" t="str">
        <f t="shared" si="304"/>
        <v>db</v>
      </c>
      <c r="W587" s="34" t="str">
        <f t="shared" si="305"/>
        <v>db</v>
      </c>
      <c r="X587" s="34" t="str">
        <f>IF(B587="","",COUNTIF($C$8:C587,C587)&amp;C587)</f>
        <v>0</v>
      </c>
    </row>
    <row r="588" spans="2:24" ht="23.1" customHeight="1">
      <c r="B588" s="31">
        <v>44773</v>
      </c>
      <c r="C588" s="9"/>
      <c r="D588" s="9" t="s">
        <v>626</v>
      </c>
      <c r="E588" s="7"/>
      <c r="F588" s="7"/>
      <c r="G588" s="7"/>
      <c r="H588" s="7" t="s">
        <v>619</v>
      </c>
      <c r="I588" s="7" t="s">
        <v>582</v>
      </c>
      <c r="J588" s="39">
        <v>208172566</v>
      </c>
      <c r="L588" s="16">
        <f t="shared" si="296"/>
        <v>1</v>
      </c>
      <c r="M588" s="16" t="str">
        <f t="shared" si="297"/>
        <v>July</v>
      </c>
      <c r="N588" s="16" t="str">
        <f t="shared" si="298"/>
        <v/>
      </c>
      <c r="O588" s="16" t="str">
        <f>IF(N588="","",COUNTIF($N$8:N588,N588))</f>
        <v/>
      </c>
      <c r="P588" s="34" t="str">
        <f t="shared" si="299"/>
        <v>outBeban</v>
      </c>
      <c r="Q588" s="34" t="str">
        <f t="shared" si="300"/>
        <v>outJulyBeban</v>
      </c>
      <c r="R588" s="34" t="str">
        <f t="shared" si="301"/>
        <v>Beban</v>
      </c>
      <c r="S588" s="34" t="str">
        <f t="shared" si="302"/>
        <v>Kas</v>
      </c>
      <c r="T588" s="34" t="str">
        <f t="shared" si="303"/>
        <v/>
      </c>
      <c r="U588" s="34" t="str">
        <f>IF(AND(L588=1,bp_kode=T588,T588&lt;&gt;""),COUNTIF($T$8:T588,T588),"")</f>
        <v/>
      </c>
      <c r="V588" s="34" t="str">
        <f t="shared" si="304"/>
        <v>db</v>
      </c>
      <c r="W588" s="34" t="str">
        <f t="shared" si="305"/>
        <v>db</v>
      </c>
      <c r="X588" s="34" t="str">
        <f>IF(B588="","",COUNTIF($C$8:C588,C588)&amp;C588)</f>
        <v>0</v>
      </c>
    </row>
    <row r="589" spans="2:24" ht="23.1" customHeight="1">
      <c r="B589" s="31">
        <v>44773</v>
      </c>
      <c r="C589" s="9"/>
      <c r="D589" s="9" t="s">
        <v>627</v>
      </c>
      <c r="E589" s="7"/>
      <c r="F589" s="7"/>
      <c r="G589" s="7"/>
      <c r="H589" s="7" t="s">
        <v>620</v>
      </c>
      <c r="I589" s="7" t="s">
        <v>582</v>
      </c>
      <c r="J589" s="39">
        <v>26115212</v>
      </c>
      <c r="L589" s="16">
        <f t="shared" si="296"/>
        <v>1</v>
      </c>
      <c r="M589" s="16" t="str">
        <f t="shared" si="297"/>
        <v>July</v>
      </c>
      <c r="N589" s="16" t="str">
        <f t="shared" si="298"/>
        <v/>
      </c>
      <c r="O589" s="16" t="str">
        <f>IF(N589="","",COUNTIF($N$8:N589,N589))</f>
        <v/>
      </c>
      <c r="P589" s="34" t="str">
        <f t="shared" si="299"/>
        <v>outBeban</v>
      </c>
      <c r="Q589" s="34" t="str">
        <f t="shared" si="300"/>
        <v>outJulyBeban</v>
      </c>
      <c r="R589" s="34" t="str">
        <f t="shared" si="301"/>
        <v>Beban</v>
      </c>
      <c r="S589" s="34" t="str">
        <f t="shared" si="302"/>
        <v>Kas</v>
      </c>
      <c r="T589" s="34" t="str">
        <f t="shared" si="303"/>
        <v/>
      </c>
      <c r="U589" s="34" t="str">
        <f>IF(AND(L589=1,bp_kode=T589,T589&lt;&gt;""),COUNTIF($T$8:T589,T589),"")</f>
        <v/>
      </c>
      <c r="V589" s="34" t="str">
        <f t="shared" si="304"/>
        <v>db</v>
      </c>
      <c r="W589" s="34" t="str">
        <f t="shared" si="305"/>
        <v>db</v>
      </c>
      <c r="X589" s="34" t="str">
        <f>IF(B589="","",COUNTIF($C$8:C589,C589)&amp;C589)</f>
        <v>0</v>
      </c>
    </row>
    <row r="590" spans="2:24" ht="23.1" customHeight="1">
      <c r="B590" s="31">
        <v>44773</v>
      </c>
      <c r="C590" s="9"/>
      <c r="D590" s="9" t="s">
        <v>644</v>
      </c>
      <c r="E590" s="7"/>
      <c r="F590" s="7"/>
      <c r="G590" s="7"/>
      <c r="H590" s="7" t="s">
        <v>628</v>
      </c>
      <c r="I590" s="7" t="s">
        <v>582</v>
      </c>
      <c r="J590" s="39">
        <v>21900000</v>
      </c>
      <c r="L590" s="16">
        <f t="shared" si="296"/>
        <v>1</v>
      </c>
      <c r="M590" s="16" t="str">
        <f t="shared" si="297"/>
        <v>July</v>
      </c>
      <c r="N590" s="16" t="str">
        <f t="shared" si="298"/>
        <v/>
      </c>
      <c r="O590" s="16" t="str">
        <f>IF(N590="","",COUNTIF($N$8:N590,N590))</f>
        <v/>
      </c>
      <c r="P590" s="34" t="str">
        <f t="shared" si="299"/>
        <v>outBeban</v>
      </c>
      <c r="Q590" s="34" t="str">
        <f t="shared" si="300"/>
        <v>outJulyBeban</v>
      </c>
      <c r="R590" s="34" t="str">
        <f t="shared" si="301"/>
        <v>Beban</v>
      </c>
      <c r="S590" s="34" t="str">
        <f t="shared" si="302"/>
        <v>Kas</v>
      </c>
      <c r="T590" s="34" t="str">
        <f t="shared" si="303"/>
        <v/>
      </c>
      <c r="U590" s="34" t="str">
        <f>IF(AND(L590=1,bp_kode=T590,T590&lt;&gt;""),COUNTIF($T$8:T590,T590),"")</f>
        <v/>
      </c>
      <c r="V590" s="34" t="str">
        <f t="shared" si="304"/>
        <v>db</v>
      </c>
      <c r="W590" s="34" t="str">
        <f t="shared" si="305"/>
        <v>db</v>
      </c>
      <c r="X590" s="34" t="str">
        <f>IF(B590="","",COUNTIF($C$8:C590,C590)&amp;C590)</f>
        <v>0</v>
      </c>
    </row>
    <row r="591" spans="2:24" ht="23.1" customHeight="1">
      <c r="B591" s="31">
        <v>44773</v>
      </c>
      <c r="C591" s="9"/>
      <c r="D591" s="9" t="s">
        <v>693</v>
      </c>
      <c r="E591" s="7"/>
      <c r="F591" s="7"/>
      <c r="G591" s="7"/>
      <c r="H591" s="7" t="s">
        <v>694</v>
      </c>
      <c r="I591" s="7" t="s">
        <v>582</v>
      </c>
      <c r="J591" s="39">
        <v>500000</v>
      </c>
      <c r="L591" s="16">
        <f t="shared" si="296"/>
        <v>1</v>
      </c>
      <c r="M591" s="16" t="str">
        <f t="shared" si="297"/>
        <v>July</v>
      </c>
      <c r="N591" s="16" t="str">
        <f t="shared" si="298"/>
        <v/>
      </c>
      <c r="O591" s="16" t="str">
        <f>IF(N591="","",COUNTIF($N$8:N591,N591))</f>
        <v/>
      </c>
      <c r="P591" s="34" t="str">
        <f t="shared" si="299"/>
        <v>outBeban</v>
      </c>
      <c r="Q591" s="34" t="str">
        <f t="shared" si="300"/>
        <v>outJulyBeban</v>
      </c>
      <c r="R591" s="34" t="str">
        <f t="shared" si="301"/>
        <v>Beban</v>
      </c>
      <c r="S591" s="34" t="str">
        <f t="shared" si="302"/>
        <v>Kas</v>
      </c>
      <c r="T591" s="34" t="str">
        <f t="shared" si="303"/>
        <v/>
      </c>
      <c r="U591" s="34" t="str">
        <f>IF(AND(L591=1,bp_kode=T591,T591&lt;&gt;""),COUNTIF($T$8:T591,T591),"")</f>
        <v/>
      </c>
      <c r="V591" s="34" t="str">
        <f t="shared" si="304"/>
        <v>db</v>
      </c>
      <c r="W591" s="34" t="str">
        <f t="shared" si="305"/>
        <v>db</v>
      </c>
      <c r="X591" s="34" t="str">
        <f>IF(B591="","",COUNTIF($C$8:C591,C591)&amp;C591)</f>
        <v>0</v>
      </c>
    </row>
    <row r="592" spans="2:24" ht="23.1" customHeight="1">
      <c r="B592" s="31">
        <v>44773</v>
      </c>
      <c r="C592" s="9"/>
      <c r="D592" s="9" t="s">
        <v>645</v>
      </c>
      <c r="E592" s="7"/>
      <c r="F592" s="7"/>
      <c r="G592" s="7"/>
      <c r="H592" s="7" t="s">
        <v>629</v>
      </c>
      <c r="I592" s="7" t="s">
        <v>582</v>
      </c>
      <c r="J592" s="39">
        <v>5285000</v>
      </c>
      <c r="L592" s="16">
        <f t="shared" si="296"/>
        <v>1</v>
      </c>
      <c r="M592" s="16" t="str">
        <f t="shared" si="297"/>
        <v>July</v>
      </c>
      <c r="N592" s="16" t="str">
        <f t="shared" si="298"/>
        <v/>
      </c>
      <c r="O592" s="16" t="str">
        <f>IF(N592="","",COUNTIF($N$8:N592,N592))</f>
        <v/>
      </c>
      <c r="P592" s="34" t="str">
        <f t="shared" si="299"/>
        <v>outBeban</v>
      </c>
      <c r="Q592" s="34" t="str">
        <f t="shared" si="300"/>
        <v>outJulyBeban</v>
      </c>
      <c r="R592" s="34" t="str">
        <f t="shared" si="301"/>
        <v>Beban</v>
      </c>
      <c r="S592" s="34" t="str">
        <f t="shared" si="302"/>
        <v>Kas</v>
      </c>
      <c r="T592" s="34" t="str">
        <f t="shared" si="303"/>
        <v/>
      </c>
      <c r="U592" s="34" t="str">
        <f>IF(AND(L592=1,bp_kode=T592,T592&lt;&gt;""),COUNTIF($T$8:T592,T592),"")</f>
        <v/>
      </c>
      <c r="V592" s="34" t="str">
        <f t="shared" si="304"/>
        <v>db</v>
      </c>
      <c r="W592" s="34" t="str">
        <f t="shared" si="305"/>
        <v>db</v>
      </c>
      <c r="X592" s="34" t="str">
        <f>IF(B592="","",COUNTIF($C$8:C592,C592)&amp;C592)</f>
        <v>0</v>
      </c>
    </row>
    <row r="593" spans="2:24" ht="23.1" customHeight="1">
      <c r="B593" s="31">
        <v>44773</v>
      </c>
      <c r="C593" s="9"/>
      <c r="D593" s="9" t="s">
        <v>646</v>
      </c>
      <c r="E593" s="7"/>
      <c r="F593" s="7"/>
      <c r="G593" s="7"/>
      <c r="H593" s="7" t="s">
        <v>630</v>
      </c>
      <c r="I593" s="7" t="s">
        <v>582</v>
      </c>
      <c r="J593" s="39">
        <v>2694500</v>
      </c>
      <c r="L593" s="16">
        <f t="shared" si="296"/>
        <v>1</v>
      </c>
      <c r="M593" s="16" t="str">
        <f t="shared" si="297"/>
        <v>July</v>
      </c>
      <c r="N593" s="16" t="str">
        <f t="shared" si="298"/>
        <v/>
      </c>
      <c r="O593" s="16" t="str">
        <f>IF(N593="","",COUNTIF($N$8:N593,N593))</f>
        <v/>
      </c>
      <c r="P593" s="34" t="str">
        <f t="shared" si="299"/>
        <v>outBeban</v>
      </c>
      <c r="Q593" s="34" t="str">
        <f t="shared" si="300"/>
        <v>outJulyBeban</v>
      </c>
      <c r="R593" s="34" t="str">
        <f t="shared" si="301"/>
        <v>Beban</v>
      </c>
      <c r="S593" s="34" t="str">
        <f t="shared" si="302"/>
        <v>Kas</v>
      </c>
      <c r="T593" s="34" t="str">
        <f t="shared" si="303"/>
        <v/>
      </c>
      <c r="U593" s="34" t="str">
        <f>IF(AND(L593=1,bp_kode=T593,T593&lt;&gt;""),COUNTIF($T$8:T593,T593),"")</f>
        <v/>
      </c>
      <c r="V593" s="34" t="str">
        <f t="shared" si="304"/>
        <v>db</v>
      </c>
      <c r="W593" s="34" t="str">
        <f t="shared" si="305"/>
        <v>db</v>
      </c>
      <c r="X593" s="34" t="str">
        <f>IF(B593="","",COUNTIF($C$8:C593,C593)&amp;C593)</f>
        <v>0</v>
      </c>
    </row>
    <row r="594" spans="2:24" ht="23.1" customHeight="1">
      <c r="B594" s="31">
        <v>44773</v>
      </c>
      <c r="C594" s="9"/>
      <c r="D594" s="9" t="s">
        <v>647</v>
      </c>
      <c r="E594" s="7"/>
      <c r="F594" s="7"/>
      <c r="G594" s="7"/>
      <c r="H594" s="7" t="s">
        <v>631</v>
      </c>
      <c r="I594" s="7" t="s">
        <v>582</v>
      </c>
      <c r="J594" s="357">
        <v>350000</v>
      </c>
      <c r="L594" s="16">
        <f t="shared" si="296"/>
        <v>1</v>
      </c>
      <c r="M594" s="16" t="str">
        <f t="shared" si="297"/>
        <v>July</v>
      </c>
      <c r="N594" s="16" t="str">
        <f t="shared" si="298"/>
        <v/>
      </c>
      <c r="O594" s="16" t="str">
        <f>IF(N594="","",COUNTIF($N$8:N594,N594))</f>
        <v/>
      </c>
      <c r="P594" s="34" t="str">
        <f t="shared" si="299"/>
        <v>outBeban</v>
      </c>
      <c r="Q594" s="34" t="str">
        <f t="shared" si="300"/>
        <v>outJulyBeban</v>
      </c>
      <c r="R594" s="34" t="str">
        <f t="shared" si="301"/>
        <v>Beban</v>
      </c>
      <c r="S594" s="34" t="str">
        <f t="shared" si="302"/>
        <v>Kas</v>
      </c>
      <c r="T594" s="34" t="str">
        <f t="shared" si="303"/>
        <v/>
      </c>
      <c r="U594" s="34" t="str">
        <f>IF(AND(L594=1,bp_kode=T594,T594&lt;&gt;""),COUNTIF($T$8:T594,T594),"")</f>
        <v/>
      </c>
      <c r="V594" s="34" t="str">
        <f t="shared" si="304"/>
        <v>db</v>
      </c>
      <c r="W594" s="34" t="str">
        <f t="shared" si="305"/>
        <v>db</v>
      </c>
      <c r="X594" s="34" t="str">
        <f>IF(B594="","",COUNTIF($C$8:C594,C594)&amp;C594)</f>
        <v>0</v>
      </c>
    </row>
    <row r="595" spans="2:24" ht="23.1" customHeight="1">
      <c r="B595" s="31">
        <v>44773</v>
      </c>
      <c r="C595" s="9"/>
      <c r="D595" s="9" t="s">
        <v>648</v>
      </c>
      <c r="E595" s="7"/>
      <c r="F595" s="7"/>
      <c r="G595" s="7"/>
      <c r="H595" s="7" t="s">
        <v>632</v>
      </c>
      <c r="I595" s="7" t="s">
        <v>582</v>
      </c>
      <c r="J595" s="357">
        <v>1100000</v>
      </c>
      <c r="L595" s="16">
        <f t="shared" si="296"/>
        <v>1</v>
      </c>
      <c r="M595" s="16" t="str">
        <f t="shared" si="297"/>
        <v>July</v>
      </c>
      <c r="N595" s="16" t="str">
        <f t="shared" si="298"/>
        <v/>
      </c>
      <c r="O595" s="16" t="str">
        <f>IF(N595="","",COUNTIF($N$8:N595,N595))</f>
        <v/>
      </c>
      <c r="P595" s="34" t="str">
        <f t="shared" si="299"/>
        <v>outBeban</v>
      </c>
      <c r="Q595" s="34" t="str">
        <f t="shared" si="300"/>
        <v>outJulyBeban</v>
      </c>
      <c r="R595" s="34" t="str">
        <f t="shared" si="301"/>
        <v>Beban</v>
      </c>
      <c r="S595" s="34" t="str">
        <f t="shared" si="302"/>
        <v>Kas</v>
      </c>
      <c r="T595" s="34" t="str">
        <f t="shared" si="303"/>
        <v/>
      </c>
      <c r="U595" s="34" t="str">
        <f>IF(AND(L595=1,bp_kode=T595,T595&lt;&gt;""),COUNTIF($T$8:T595,T595),"")</f>
        <v/>
      </c>
      <c r="V595" s="34" t="str">
        <f t="shared" si="304"/>
        <v>db</v>
      </c>
      <c r="W595" s="34" t="str">
        <f t="shared" si="305"/>
        <v>db</v>
      </c>
      <c r="X595" s="34" t="str">
        <f>IF(B595="","",COUNTIF($C$8:C595,C595)&amp;C595)</f>
        <v>0</v>
      </c>
    </row>
    <row r="596" spans="2:24" ht="23.1" customHeight="1">
      <c r="B596" s="31">
        <v>44773</v>
      </c>
      <c r="C596" s="9"/>
      <c r="D596" s="9" t="s">
        <v>649</v>
      </c>
      <c r="E596" s="7"/>
      <c r="F596" s="7"/>
      <c r="G596" s="7"/>
      <c r="H596" s="7" t="s">
        <v>633</v>
      </c>
      <c r="I596" s="7" t="s">
        <v>582</v>
      </c>
      <c r="J596" s="357">
        <v>1969314</v>
      </c>
      <c r="L596" s="16">
        <f t="shared" si="296"/>
        <v>1</v>
      </c>
      <c r="M596" s="16" t="str">
        <f t="shared" si="297"/>
        <v>July</v>
      </c>
      <c r="N596" s="16" t="str">
        <f t="shared" si="298"/>
        <v/>
      </c>
      <c r="O596" s="16" t="str">
        <f>IF(N596="","",COUNTIF($N$8:N596,N596))</f>
        <v/>
      </c>
      <c r="P596" s="34" t="str">
        <f t="shared" si="299"/>
        <v>outBeban</v>
      </c>
      <c r="Q596" s="34" t="str">
        <f t="shared" si="300"/>
        <v>outJulyBeban</v>
      </c>
      <c r="R596" s="34" t="str">
        <f t="shared" si="301"/>
        <v>Beban</v>
      </c>
      <c r="S596" s="34" t="str">
        <f t="shared" si="302"/>
        <v>Kas</v>
      </c>
      <c r="T596" s="34" t="str">
        <f t="shared" si="303"/>
        <v/>
      </c>
      <c r="U596" s="34" t="str">
        <f>IF(AND(L596=1,bp_kode=T596,T596&lt;&gt;""),COUNTIF($T$8:T596,T596),"")</f>
        <v/>
      </c>
      <c r="V596" s="34" t="str">
        <f t="shared" si="304"/>
        <v>db</v>
      </c>
      <c r="W596" s="34" t="str">
        <f t="shared" si="305"/>
        <v>db</v>
      </c>
      <c r="X596" s="34" t="str">
        <f>IF(B596="","",COUNTIF($C$8:C596,C596)&amp;C596)</f>
        <v>0</v>
      </c>
    </row>
    <row r="597" spans="2:24" ht="23.1" customHeight="1">
      <c r="B597" s="31">
        <v>44773</v>
      </c>
      <c r="C597" s="9"/>
      <c r="D597" s="9" t="s">
        <v>650</v>
      </c>
      <c r="E597" s="7"/>
      <c r="F597" s="7"/>
      <c r="G597" s="7"/>
      <c r="H597" s="7" t="s">
        <v>634</v>
      </c>
      <c r="I597" s="7" t="s">
        <v>582</v>
      </c>
      <c r="J597" s="357">
        <v>5466966</v>
      </c>
      <c r="L597" s="16">
        <f t="shared" si="296"/>
        <v>1</v>
      </c>
      <c r="M597" s="16" t="str">
        <f t="shared" si="297"/>
        <v>July</v>
      </c>
      <c r="N597" s="16" t="str">
        <f t="shared" si="298"/>
        <v/>
      </c>
      <c r="O597" s="16" t="str">
        <f>IF(N597="","",COUNTIF($N$8:N597,N597))</f>
        <v/>
      </c>
      <c r="P597" s="34" t="str">
        <f t="shared" si="299"/>
        <v>outBeban</v>
      </c>
      <c r="Q597" s="34" t="str">
        <f t="shared" si="300"/>
        <v>outJulyBeban</v>
      </c>
      <c r="R597" s="34" t="str">
        <f t="shared" si="301"/>
        <v>Beban</v>
      </c>
      <c r="S597" s="34" t="str">
        <f t="shared" si="302"/>
        <v>Kas</v>
      </c>
      <c r="T597" s="34" t="str">
        <f t="shared" si="303"/>
        <v/>
      </c>
      <c r="U597" s="34" t="str">
        <f>IF(AND(L597=1,bp_kode=T597,T597&lt;&gt;""),COUNTIF($T$8:T597,T597),"")</f>
        <v/>
      </c>
      <c r="V597" s="34" t="str">
        <f t="shared" si="304"/>
        <v>db</v>
      </c>
      <c r="W597" s="34" t="str">
        <f t="shared" si="305"/>
        <v>db</v>
      </c>
      <c r="X597" s="34" t="str">
        <f>IF(B597="","",COUNTIF($C$8:C597,C597)&amp;C597)</f>
        <v>0</v>
      </c>
    </row>
    <row r="598" spans="2:24" ht="23.1" customHeight="1">
      <c r="B598" s="31">
        <v>44773</v>
      </c>
      <c r="C598" s="9"/>
      <c r="D598" s="9" t="s">
        <v>651</v>
      </c>
      <c r="E598" s="7"/>
      <c r="F598" s="7"/>
      <c r="G598" s="7"/>
      <c r="H598" s="7" t="s">
        <v>635</v>
      </c>
      <c r="I598" s="7" t="s">
        <v>582</v>
      </c>
      <c r="J598" s="357">
        <v>585000</v>
      </c>
      <c r="L598" s="16">
        <f t="shared" si="296"/>
        <v>1</v>
      </c>
      <c r="M598" s="16" t="str">
        <f t="shared" si="297"/>
        <v>July</v>
      </c>
      <c r="N598" s="16" t="str">
        <f t="shared" si="298"/>
        <v/>
      </c>
      <c r="O598" s="16" t="str">
        <f>IF(N598="","",COUNTIF($N$8:N598,N598))</f>
        <v/>
      </c>
      <c r="P598" s="34" t="str">
        <f t="shared" si="299"/>
        <v>outBeban</v>
      </c>
      <c r="Q598" s="34" t="str">
        <f t="shared" si="300"/>
        <v>outJulyBeban</v>
      </c>
      <c r="R598" s="34" t="str">
        <f t="shared" si="301"/>
        <v>Beban</v>
      </c>
      <c r="S598" s="34" t="str">
        <f t="shared" si="302"/>
        <v>Kas</v>
      </c>
      <c r="T598" s="34" t="str">
        <f t="shared" si="303"/>
        <v/>
      </c>
      <c r="U598" s="34" t="str">
        <f>IF(AND(L598=1,bp_kode=T598,T598&lt;&gt;""),COUNTIF($T$8:T598,T598),"")</f>
        <v/>
      </c>
      <c r="V598" s="34" t="str">
        <f t="shared" si="304"/>
        <v>db</v>
      </c>
      <c r="W598" s="34" t="str">
        <f t="shared" si="305"/>
        <v>db</v>
      </c>
      <c r="X598" s="34" t="str">
        <f>IF(B598="","",COUNTIF($C$8:C598,C598)&amp;C598)</f>
        <v>0</v>
      </c>
    </row>
    <row r="599" spans="2:24" ht="23.1" customHeight="1">
      <c r="B599" s="31">
        <v>44773</v>
      </c>
      <c r="C599" s="9"/>
      <c r="D599" s="9" t="s">
        <v>652</v>
      </c>
      <c r="E599" s="7"/>
      <c r="F599" s="7"/>
      <c r="G599" s="7"/>
      <c r="H599" s="7" t="s">
        <v>636</v>
      </c>
      <c r="I599" s="7" t="s">
        <v>582</v>
      </c>
      <c r="J599" s="357">
        <v>5812100</v>
      </c>
      <c r="L599" s="16">
        <f t="shared" si="296"/>
        <v>1</v>
      </c>
      <c r="M599" s="16" t="str">
        <f t="shared" si="297"/>
        <v>July</v>
      </c>
      <c r="N599" s="16" t="str">
        <f t="shared" si="298"/>
        <v/>
      </c>
      <c r="O599" s="16" t="str">
        <f>IF(N599="","",COUNTIF($N$8:N599,N599))</f>
        <v/>
      </c>
      <c r="P599" s="34" t="str">
        <f t="shared" si="299"/>
        <v>outBeban</v>
      </c>
      <c r="Q599" s="34" t="str">
        <f t="shared" si="300"/>
        <v>outJulyBeban</v>
      </c>
      <c r="R599" s="34" t="str">
        <f t="shared" si="301"/>
        <v>Beban</v>
      </c>
      <c r="S599" s="34" t="str">
        <f t="shared" si="302"/>
        <v>Kas</v>
      </c>
      <c r="T599" s="34" t="str">
        <f t="shared" si="303"/>
        <v/>
      </c>
      <c r="U599" s="34" t="str">
        <f>IF(AND(L599=1,bp_kode=T599,T599&lt;&gt;""),COUNTIF($T$8:T599,T599),"")</f>
        <v/>
      </c>
      <c r="V599" s="34" t="str">
        <f t="shared" si="304"/>
        <v>db</v>
      </c>
      <c r="W599" s="34" t="str">
        <f t="shared" si="305"/>
        <v>db</v>
      </c>
      <c r="X599" s="34" t="str">
        <f>IF(B599="","",COUNTIF($C$8:C599,C599)&amp;C599)</f>
        <v>0</v>
      </c>
    </row>
    <row r="600" spans="2:24" ht="23.1" customHeight="1">
      <c r="B600" s="31">
        <v>44773</v>
      </c>
      <c r="C600" s="9"/>
      <c r="D600" s="9" t="s">
        <v>653</v>
      </c>
      <c r="E600" s="7"/>
      <c r="F600" s="7"/>
      <c r="G600" s="7"/>
      <c r="H600" s="7" t="s">
        <v>637</v>
      </c>
      <c r="I600" s="7" t="s">
        <v>582</v>
      </c>
      <c r="J600" s="357">
        <v>2131200</v>
      </c>
      <c r="L600" s="16">
        <f t="shared" si="296"/>
        <v>1</v>
      </c>
      <c r="M600" s="16" t="str">
        <f t="shared" si="297"/>
        <v>July</v>
      </c>
      <c r="N600" s="16" t="str">
        <f t="shared" si="298"/>
        <v/>
      </c>
      <c r="O600" s="16" t="str">
        <f>IF(N600="","",COUNTIF($N$8:N600,N600))</f>
        <v/>
      </c>
      <c r="P600" s="34" t="str">
        <f t="shared" si="299"/>
        <v>outBeban</v>
      </c>
      <c r="Q600" s="34" t="str">
        <f t="shared" si="300"/>
        <v>outJulyBeban</v>
      </c>
      <c r="R600" s="34" t="str">
        <f t="shared" si="301"/>
        <v>Beban</v>
      </c>
      <c r="S600" s="34" t="str">
        <f t="shared" si="302"/>
        <v>Kas</v>
      </c>
      <c r="T600" s="34" t="str">
        <f t="shared" si="303"/>
        <v/>
      </c>
      <c r="U600" s="34" t="str">
        <f>IF(AND(L600=1,bp_kode=T600,T600&lt;&gt;""),COUNTIF($T$8:T600,T600),"")</f>
        <v/>
      </c>
      <c r="V600" s="34" t="str">
        <f t="shared" si="304"/>
        <v>db</v>
      </c>
      <c r="W600" s="34" t="str">
        <f t="shared" si="305"/>
        <v>db</v>
      </c>
      <c r="X600" s="34" t="str">
        <f>IF(B600="","",COUNTIF($C$8:C600,C600)&amp;C600)</f>
        <v>0</v>
      </c>
    </row>
    <row r="601" spans="2:24" ht="23.1" customHeight="1">
      <c r="B601" s="31">
        <v>44773</v>
      </c>
      <c r="C601" s="9"/>
      <c r="D601" s="9" t="s">
        <v>750</v>
      </c>
      <c r="E601" s="7"/>
      <c r="F601" s="7"/>
      <c r="G601" s="7"/>
      <c r="H601" s="7" t="s">
        <v>749</v>
      </c>
      <c r="I601" s="7" t="s">
        <v>582</v>
      </c>
      <c r="J601" s="357">
        <v>6000000</v>
      </c>
      <c r="L601" s="16">
        <f t="shared" si="296"/>
        <v>1</v>
      </c>
      <c r="M601" s="16" t="str">
        <f t="shared" si="297"/>
        <v>July</v>
      </c>
      <c r="N601" s="16" t="str">
        <f t="shared" si="298"/>
        <v/>
      </c>
      <c r="O601" s="16" t="str">
        <f>IF(N601="","",COUNTIF($N$8:N601,N601))</f>
        <v/>
      </c>
      <c r="P601" s="34" t="str">
        <f t="shared" si="299"/>
        <v>outBeban</v>
      </c>
      <c r="Q601" s="34" t="str">
        <f t="shared" si="300"/>
        <v>outJulyBeban</v>
      </c>
      <c r="R601" s="34" t="str">
        <f t="shared" si="301"/>
        <v>Beban</v>
      </c>
      <c r="S601" s="34" t="str">
        <f t="shared" si="302"/>
        <v>Kas</v>
      </c>
      <c r="T601" s="34" t="str">
        <f t="shared" si="303"/>
        <v/>
      </c>
      <c r="U601" s="34" t="str">
        <f>IF(AND(L601=1,bp_kode=T601,T601&lt;&gt;""),COUNTIF($T$8:T601,T601),"")</f>
        <v/>
      </c>
      <c r="V601" s="34" t="str">
        <f t="shared" si="304"/>
        <v>db</v>
      </c>
      <c r="W601" s="34" t="str">
        <f t="shared" si="305"/>
        <v>db</v>
      </c>
      <c r="X601" s="34" t="str">
        <f>IF(B601="","",COUNTIF($C$8:C601,C601)&amp;C601)</f>
        <v>0</v>
      </c>
    </row>
    <row r="602" spans="2:24" ht="23.1" customHeight="1">
      <c r="B602" s="31">
        <v>44773</v>
      </c>
      <c r="C602" s="9"/>
      <c r="D602" s="9" t="s">
        <v>655</v>
      </c>
      <c r="E602" s="7"/>
      <c r="F602" s="7"/>
      <c r="G602" s="7"/>
      <c r="H602" s="7" t="s">
        <v>639</v>
      </c>
      <c r="I602" s="7" t="s">
        <v>582</v>
      </c>
      <c r="J602" s="39">
        <v>21487200</v>
      </c>
      <c r="L602" s="16">
        <f t="shared" si="296"/>
        <v>1</v>
      </c>
      <c r="M602" s="16" t="str">
        <f t="shared" si="297"/>
        <v>July</v>
      </c>
      <c r="N602" s="16" t="str">
        <f t="shared" si="298"/>
        <v/>
      </c>
      <c r="O602" s="16" t="str">
        <f>IF(N602="","",COUNTIF($N$8:N602,N602))</f>
        <v/>
      </c>
      <c r="P602" s="34" t="str">
        <f t="shared" si="299"/>
        <v>outBeban</v>
      </c>
      <c r="Q602" s="34" t="str">
        <f t="shared" si="300"/>
        <v>outJulyBeban</v>
      </c>
      <c r="R602" s="34" t="str">
        <f t="shared" si="301"/>
        <v>Beban</v>
      </c>
      <c r="S602" s="34" t="str">
        <f t="shared" si="302"/>
        <v>Kas</v>
      </c>
      <c r="T602" s="34" t="str">
        <f t="shared" si="303"/>
        <v/>
      </c>
      <c r="U602" s="34" t="str">
        <f>IF(AND(L602=1,bp_kode=T602,T602&lt;&gt;""),COUNTIF($T$8:T602,T602),"")</f>
        <v/>
      </c>
      <c r="V602" s="34" t="str">
        <f t="shared" si="304"/>
        <v>db</v>
      </c>
      <c r="W602" s="34" t="str">
        <f t="shared" si="305"/>
        <v>db</v>
      </c>
      <c r="X602" s="34" t="str">
        <f>IF(B602="","",COUNTIF($C$8:C602,C602)&amp;C602)</f>
        <v>0</v>
      </c>
    </row>
    <row r="603" spans="2:24" ht="23.1" customHeight="1">
      <c r="B603" s="31">
        <v>44773</v>
      </c>
      <c r="C603" s="9"/>
      <c r="D603" s="9" t="s">
        <v>720</v>
      </c>
      <c r="E603" s="7"/>
      <c r="F603" s="7"/>
      <c r="G603" s="7"/>
      <c r="H603" s="7" t="s">
        <v>719</v>
      </c>
      <c r="I603" s="7" t="s">
        <v>582</v>
      </c>
      <c r="J603" s="39">
        <v>3845000</v>
      </c>
      <c r="L603" s="16">
        <f t="shared" ref="L603" si="316">IF(AND(B603&gt;=awal,B603&lt;=akhir,B603&lt;&gt;""),1,IF(AND(B603&lt;&gt;"",B603&lt;awal),2,""))</f>
        <v>1</v>
      </c>
      <c r="M603" s="16" t="str">
        <f t="shared" ref="M603" si="317">IF(B603="","",TEXT(B603,"mmmm"))</f>
        <v>July</v>
      </c>
      <c r="N603" s="16" t="str">
        <f t="shared" ref="N603" si="318">IF(AND(L603=1,H603=bb_akun),"Awe",IF(AND(L603=1,I603=bb_akun),"Awe",""))</f>
        <v/>
      </c>
      <c r="O603" s="16" t="str">
        <f>IF(N603="","",COUNTIF($N$8:N603,N603))</f>
        <v/>
      </c>
      <c r="P603" s="34" t="str">
        <f t="shared" ref="P603" si="319">IFERROR(IF(OR(INDEX(akun_type,MATCH(H603,akun_kb,0))="Kas",INDEX(akun_type,MATCH(H603,akun_kb,0))="Bank"),"In"&amp;INDEX(akun_type,MATCH(I603,akun_kb,0)),IF(OR(INDEX(akun_type,MATCH(I603,akun_kb,0))="Kas",INDEX(akun_type,MATCH(I603,akun_kb,0))="Bank"),"out"&amp;INDEX(akun_type,MATCH(H603,akun_kb,0)),"")),"")</f>
        <v>outBeban</v>
      </c>
      <c r="Q603" s="34" t="str">
        <f t="shared" ref="Q603" si="320">IFERROR(IF(OR(INDEX(akun_type,MATCH(H603,akun_kb,0))="Kas",INDEX(akun_type,MATCH(H603,akun_kb,0))="Bank"),"in"&amp;TEXT(B603,"mmmm")&amp;INDEX(akun_type,MATCH(I603,akun_kb,0)),IF(OR(INDEX(akun_type,MATCH(I603,akun_kb,0))="Kas",INDEX(akun_type,MATCH(I603,akun_kb,0))="Bank"),"out"&amp;TEXT(B603,"mmmm")&amp;INDEX(akun_type,MATCH(H603,akun_kb,0)),"")),"")</f>
        <v>outJulyBeban</v>
      </c>
      <c r="R603" s="34" t="str">
        <f t="shared" ref="R603" si="321">IFERROR(INDEX(akun_type,MATCH(H603,akun_kb,0)),"")</f>
        <v>Beban</v>
      </c>
      <c r="S603" s="34" t="str">
        <f t="shared" ref="S603" si="322">IFERROR(INDEX(akun_type,MATCH(I603,akun_kb,0)),"")</f>
        <v>Kas</v>
      </c>
      <c r="T603" s="34" t="str">
        <f t="shared" ref="T603" si="323">IF(AND(L603=1,OR(R603="Akun Piutang",R603="akun hutang",S603="akun piutang",S603="akun hutang")),E603,"")</f>
        <v/>
      </c>
      <c r="U603" s="34" t="str">
        <f>IF(AND(L603=1,bp_kode=T603,T603&lt;&gt;""),COUNTIF($T$8:T603,T603),"")</f>
        <v/>
      </c>
      <c r="V603" s="34" t="str">
        <f t="shared" ref="V603" si="324">IF(OR(R603="Pendapatan",R603="Pendapatan Lainnya",R603="Beban",R603="Harga Pokok Penjualan",R603="Beban Lainnya"),"db"&amp;F603,IF(OR(S603="Pendapatan",S603="Pendapatan Lainnya",S603="Beban",S603="Harga Pokok Penjualan",S603="Beban Lainnya"),"kr"&amp;F603,""))</f>
        <v>db</v>
      </c>
      <c r="W603" s="34" t="str">
        <f t="shared" ref="W603" si="325">IF(OR(R603="Pendapatan",R603="Pendapatan Lainnya",R603="Beban",R603="Harga Pokok Penjualan",R603="Beban Lainnya"),"db"&amp;G603,IF(OR(S603="Pendapatan",S603="Pendapatan Lainnya",S603="Beban",S603="Harga Pokok Penjualan",S603="Beban Lainnya"),"kr"&amp;G603,""))</f>
        <v>db</v>
      </c>
      <c r="X603" s="34" t="str">
        <f>IF(B603="","",COUNTIF($C$8:C603,C603)&amp;C603)</f>
        <v>0</v>
      </c>
    </row>
    <row r="604" spans="2:24" ht="23.1" customHeight="1">
      <c r="B604" s="31">
        <v>44773</v>
      </c>
      <c r="C604" s="9"/>
      <c r="D604" s="9" t="s">
        <v>663</v>
      </c>
      <c r="E604" s="7"/>
      <c r="F604" s="7"/>
      <c r="G604" s="7"/>
      <c r="H604" s="7" t="s">
        <v>658</v>
      </c>
      <c r="I604" s="7" t="s">
        <v>671</v>
      </c>
      <c r="J604" s="39">
        <v>2806459</v>
      </c>
      <c r="L604" s="16">
        <f t="shared" si="296"/>
        <v>1</v>
      </c>
      <c r="M604" s="16" t="str">
        <f t="shared" si="297"/>
        <v>July</v>
      </c>
      <c r="N604" s="16" t="str">
        <f t="shared" si="298"/>
        <v/>
      </c>
      <c r="O604" s="16" t="str">
        <f>IF(N604="","",COUNTIF($N$8:N604,N604))</f>
        <v/>
      </c>
      <c r="P604" s="34" t="str">
        <f t="shared" si="299"/>
        <v/>
      </c>
      <c r="Q604" s="34" t="str">
        <f t="shared" si="300"/>
        <v/>
      </c>
      <c r="R604" s="34" t="str">
        <f t="shared" si="301"/>
        <v>Beban</v>
      </c>
      <c r="S604" s="34" t="str">
        <f t="shared" si="302"/>
        <v>Depresiasi &amp; Amortisasi</v>
      </c>
      <c r="T604" s="34" t="str">
        <f t="shared" si="303"/>
        <v/>
      </c>
      <c r="U604" s="34" t="str">
        <f>IF(AND(L604=1,bp_kode=T604,T604&lt;&gt;""),COUNTIF($T$8:T604,T604),"")</f>
        <v/>
      </c>
      <c r="V604" s="34" t="str">
        <f t="shared" si="304"/>
        <v>db</v>
      </c>
      <c r="W604" s="34" t="str">
        <f t="shared" si="305"/>
        <v>db</v>
      </c>
      <c r="X604" s="34" t="str">
        <f>IF(B604="","",COUNTIF($C$8:C604,C604)&amp;C604)</f>
        <v>0</v>
      </c>
    </row>
    <row r="605" spans="2:24" ht="23.1" customHeight="1">
      <c r="B605" s="31">
        <v>44773</v>
      </c>
      <c r="C605" s="9"/>
      <c r="D605" s="9" t="s">
        <v>664</v>
      </c>
      <c r="E605" s="7"/>
      <c r="F605" s="7"/>
      <c r="G605" s="7"/>
      <c r="H605" s="7" t="s">
        <v>660</v>
      </c>
      <c r="I605" s="7" t="s">
        <v>659</v>
      </c>
      <c r="J605" s="39">
        <v>29031950</v>
      </c>
      <c r="L605" s="16">
        <f t="shared" si="296"/>
        <v>1</v>
      </c>
      <c r="M605" s="16" t="str">
        <f t="shared" si="297"/>
        <v>July</v>
      </c>
      <c r="N605" s="16" t="str">
        <f t="shared" si="298"/>
        <v/>
      </c>
      <c r="O605" s="16" t="str">
        <f>IF(N605="","",COUNTIF($N$8:N605,N605))</f>
        <v/>
      </c>
      <c r="P605" s="34" t="str">
        <f t="shared" si="299"/>
        <v/>
      </c>
      <c r="Q605" s="34" t="str">
        <f t="shared" si="300"/>
        <v/>
      </c>
      <c r="R605" s="34" t="str">
        <f t="shared" si="301"/>
        <v>Beban</v>
      </c>
      <c r="S605" s="34" t="str">
        <f t="shared" si="302"/>
        <v>Depresiasi &amp; Amortisasi</v>
      </c>
      <c r="T605" s="34" t="str">
        <f t="shared" si="303"/>
        <v/>
      </c>
      <c r="U605" s="34" t="str">
        <f>IF(AND(L605=1,bp_kode=T605,T605&lt;&gt;""),COUNTIF($T$8:T605,T605),"")</f>
        <v/>
      </c>
      <c r="V605" s="34" t="str">
        <f t="shared" si="304"/>
        <v>db</v>
      </c>
      <c r="W605" s="34" t="str">
        <f t="shared" si="305"/>
        <v>db</v>
      </c>
      <c r="X605" s="34" t="str">
        <f>IF(B605="","",COUNTIF($C$8:C605,C605)&amp;C605)</f>
        <v>0</v>
      </c>
    </row>
    <row r="606" spans="2:24" ht="23.1" customHeight="1">
      <c r="B606" s="31">
        <v>44773</v>
      </c>
      <c r="C606" s="9"/>
      <c r="D606" s="9" t="s">
        <v>665</v>
      </c>
      <c r="E606" s="7"/>
      <c r="F606" s="7"/>
      <c r="G606" s="7"/>
      <c r="H606" s="7" t="s">
        <v>661</v>
      </c>
      <c r="I606" s="7" t="s">
        <v>672</v>
      </c>
      <c r="J606" s="39">
        <v>41666</v>
      </c>
      <c r="L606" s="16">
        <f t="shared" si="296"/>
        <v>1</v>
      </c>
      <c r="M606" s="16" t="str">
        <f t="shared" si="297"/>
        <v>July</v>
      </c>
      <c r="N606" s="16" t="str">
        <f t="shared" si="298"/>
        <v/>
      </c>
      <c r="O606" s="16" t="str">
        <f>IF(N606="","",COUNTIF($N$8:N606,N606))</f>
        <v/>
      </c>
      <c r="P606" s="34" t="str">
        <f t="shared" si="299"/>
        <v/>
      </c>
      <c r="Q606" s="34" t="str">
        <f t="shared" si="300"/>
        <v/>
      </c>
      <c r="R606" s="34" t="str">
        <f t="shared" si="301"/>
        <v>Beban</v>
      </c>
      <c r="S606" s="34" t="str">
        <f t="shared" si="302"/>
        <v>Depresiasi &amp; Amortisasi</v>
      </c>
      <c r="T606" s="34" t="str">
        <f t="shared" si="303"/>
        <v/>
      </c>
      <c r="U606" s="34" t="str">
        <f>IF(AND(L606=1,bp_kode=T606,T606&lt;&gt;""),COUNTIF($T$8:T606,T606),"")</f>
        <v/>
      </c>
      <c r="V606" s="34" t="str">
        <f t="shared" si="304"/>
        <v>db</v>
      </c>
      <c r="W606" s="34" t="str">
        <f t="shared" si="305"/>
        <v>db</v>
      </c>
      <c r="X606" s="34" t="str">
        <f>IF(B606="","",COUNTIF($C$8:C606,C606)&amp;C606)</f>
        <v>0</v>
      </c>
    </row>
    <row r="607" spans="2:24" ht="23.1" customHeight="1">
      <c r="B607" s="31">
        <v>44773</v>
      </c>
      <c r="C607" s="9"/>
      <c r="D607" s="9" t="s">
        <v>666</v>
      </c>
      <c r="E607" s="7"/>
      <c r="F607" s="7"/>
      <c r="G607" s="7"/>
      <c r="H607" s="7" t="s">
        <v>662</v>
      </c>
      <c r="I607" s="7" t="s">
        <v>673</v>
      </c>
      <c r="J607" s="39">
        <v>5654493</v>
      </c>
      <c r="L607" s="16">
        <f t="shared" si="296"/>
        <v>1</v>
      </c>
      <c r="M607" s="16" t="str">
        <f t="shared" si="297"/>
        <v>July</v>
      </c>
      <c r="N607" s="16" t="str">
        <f t="shared" si="298"/>
        <v/>
      </c>
      <c r="O607" s="16" t="str">
        <f>IF(N607="","",COUNTIF($N$8:N607,N607))</f>
        <v/>
      </c>
      <c r="P607" s="34" t="str">
        <f t="shared" si="299"/>
        <v/>
      </c>
      <c r="Q607" s="34" t="str">
        <f t="shared" si="300"/>
        <v/>
      </c>
      <c r="R607" s="34" t="str">
        <f t="shared" si="301"/>
        <v>Beban</v>
      </c>
      <c r="S607" s="34" t="str">
        <f t="shared" si="302"/>
        <v>Depresiasi &amp; Amortisasi</v>
      </c>
      <c r="T607" s="34" t="str">
        <f t="shared" si="303"/>
        <v/>
      </c>
      <c r="U607" s="34" t="str">
        <f>IF(AND(L607=1,bp_kode=T607,T607&lt;&gt;""),COUNTIF($T$8:T607,T607),"")</f>
        <v/>
      </c>
      <c r="V607" s="34" t="str">
        <f t="shared" si="304"/>
        <v>db</v>
      </c>
      <c r="W607" s="34" t="str">
        <f t="shared" si="305"/>
        <v>db</v>
      </c>
      <c r="X607" s="34" t="str">
        <f>IF(B607="","",COUNTIF($C$8:C607,C607)&amp;C607)</f>
        <v>0</v>
      </c>
    </row>
    <row r="608" spans="2:24" ht="23.1" customHeight="1">
      <c r="B608" s="31">
        <v>44773</v>
      </c>
      <c r="C608" s="9"/>
      <c r="D608" s="9" t="s">
        <v>669</v>
      </c>
      <c r="E608" s="7"/>
      <c r="F608" s="7"/>
      <c r="G608" s="7"/>
      <c r="H608" s="7" t="s">
        <v>667</v>
      </c>
      <c r="I608" s="7" t="s">
        <v>674</v>
      </c>
      <c r="J608" s="39">
        <v>17325229</v>
      </c>
      <c r="L608" s="16">
        <f t="shared" si="296"/>
        <v>1</v>
      </c>
      <c r="M608" s="16" t="str">
        <f t="shared" si="297"/>
        <v>July</v>
      </c>
      <c r="N608" s="16" t="str">
        <f t="shared" si="298"/>
        <v/>
      </c>
      <c r="O608" s="16" t="str">
        <f>IF(N608="","",COUNTIF($N$8:N608,N608))</f>
        <v/>
      </c>
      <c r="P608" s="34" t="str">
        <f t="shared" si="299"/>
        <v/>
      </c>
      <c r="Q608" s="34" t="str">
        <f t="shared" si="300"/>
        <v/>
      </c>
      <c r="R608" s="34" t="str">
        <f t="shared" si="301"/>
        <v>Beban</v>
      </c>
      <c r="S608" s="34" t="str">
        <f t="shared" si="302"/>
        <v>Depresiasi &amp; Amortisasi</v>
      </c>
      <c r="T608" s="34" t="str">
        <f t="shared" si="303"/>
        <v/>
      </c>
      <c r="U608" s="34" t="str">
        <f>IF(AND(L608=1,bp_kode=T608,T608&lt;&gt;""),COUNTIF($T$8:T608,T608),"")</f>
        <v/>
      </c>
      <c r="V608" s="34" t="str">
        <f t="shared" si="304"/>
        <v>db</v>
      </c>
      <c r="W608" s="34" t="str">
        <f t="shared" si="305"/>
        <v>db</v>
      </c>
      <c r="X608" s="34" t="str">
        <f>IF(B608="","",COUNTIF($C$8:C608,C608)&amp;C608)</f>
        <v>0</v>
      </c>
    </row>
    <row r="609" spans="2:24" ht="23.1" customHeight="1">
      <c r="B609" s="31">
        <v>44773</v>
      </c>
      <c r="C609" s="9"/>
      <c r="D609" s="9" t="s">
        <v>670</v>
      </c>
      <c r="E609" s="7"/>
      <c r="F609" s="7"/>
      <c r="G609" s="7"/>
      <c r="H609" s="7" t="s">
        <v>668</v>
      </c>
      <c r="I609" s="7" t="s">
        <v>675</v>
      </c>
      <c r="J609" s="39">
        <v>5265000</v>
      </c>
      <c r="L609" s="16">
        <f t="shared" si="296"/>
        <v>1</v>
      </c>
      <c r="M609" s="16" t="str">
        <f t="shared" si="297"/>
        <v>July</v>
      </c>
      <c r="N609" s="16" t="str">
        <f t="shared" si="298"/>
        <v/>
      </c>
      <c r="O609" s="16" t="str">
        <f>IF(N609="","",COUNTIF($N$8:N609,N609))</f>
        <v/>
      </c>
      <c r="P609" s="34" t="str">
        <f t="shared" si="299"/>
        <v/>
      </c>
      <c r="Q609" s="34" t="str">
        <f t="shared" si="300"/>
        <v/>
      </c>
      <c r="R609" s="34" t="str">
        <f t="shared" si="301"/>
        <v>Beban</v>
      </c>
      <c r="S609" s="34" t="str">
        <f t="shared" si="302"/>
        <v>Depresiasi &amp; Amortisasi</v>
      </c>
      <c r="T609" s="34" t="str">
        <f t="shared" si="303"/>
        <v/>
      </c>
      <c r="U609" s="34" t="str">
        <f>IF(AND(L609=1,bp_kode=T609,T609&lt;&gt;""),COUNTIF($T$8:T609,T609),"")</f>
        <v/>
      </c>
      <c r="V609" s="34" t="str">
        <f t="shared" si="304"/>
        <v>db</v>
      </c>
      <c r="W609" s="34" t="str">
        <f t="shared" si="305"/>
        <v>db</v>
      </c>
      <c r="X609" s="34" t="str">
        <f>IF(B609="","",COUNTIF($C$8:C609,C609)&amp;C609)</f>
        <v>0</v>
      </c>
    </row>
    <row r="610" spans="2:24" ht="23.1" customHeight="1">
      <c r="B610" s="31">
        <v>44773</v>
      </c>
      <c r="C610" s="9"/>
      <c r="D610" s="9" t="s">
        <v>670</v>
      </c>
      <c r="E610" s="7"/>
      <c r="F610" s="7"/>
      <c r="G610" s="7"/>
      <c r="H610" s="7" t="s">
        <v>668</v>
      </c>
      <c r="I610" s="7" t="s">
        <v>675</v>
      </c>
      <c r="J610" s="39">
        <v>186666.66666666666</v>
      </c>
      <c r="L610" s="16">
        <f t="shared" si="296"/>
        <v>1</v>
      </c>
      <c r="M610" s="16" t="str">
        <f t="shared" si="297"/>
        <v>July</v>
      </c>
      <c r="N610" s="16" t="str">
        <f t="shared" si="298"/>
        <v/>
      </c>
      <c r="O610" s="16" t="str">
        <f>IF(N610="","",COUNTIF($N$8:N610,N610))</f>
        <v/>
      </c>
      <c r="P610" s="34" t="str">
        <f t="shared" si="299"/>
        <v/>
      </c>
      <c r="Q610" s="34" t="str">
        <f t="shared" si="300"/>
        <v/>
      </c>
      <c r="R610" s="34" t="str">
        <f t="shared" si="301"/>
        <v>Beban</v>
      </c>
      <c r="S610" s="34" t="str">
        <f t="shared" si="302"/>
        <v>Depresiasi &amp; Amortisasi</v>
      </c>
      <c r="T610" s="34" t="str">
        <f t="shared" si="303"/>
        <v/>
      </c>
      <c r="U610" s="34" t="str">
        <f>IF(AND(L610=1,bp_kode=T610,T610&lt;&gt;""),COUNTIF($T$8:T610,T610),"")</f>
        <v/>
      </c>
      <c r="V610" s="34" t="str">
        <f t="shared" si="304"/>
        <v>db</v>
      </c>
      <c r="W610" s="34" t="str">
        <f t="shared" si="305"/>
        <v>db</v>
      </c>
      <c r="X610" s="34" t="str">
        <f>IF(B610="","",COUNTIF($C$8:C610,C610)&amp;C610)</f>
        <v>0</v>
      </c>
    </row>
    <row r="611" spans="2:24" s="328" customFormat="1" ht="23.1" customHeight="1">
      <c r="B611" s="329">
        <v>44773</v>
      </c>
      <c r="C611" s="330"/>
      <c r="D611" s="330" t="s">
        <v>666</v>
      </c>
      <c r="E611" s="331"/>
      <c r="F611" s="331"/>
      <c r="G611" s="331"/>
      <c r="H611" s="331" t="s">
        <v>662</v>
      </c>
      <c r="I611" s="331" t="s">
        <v>673</v>
      </c>
      <c r="J611" s="332">
        <v>40833.33</v>
      </c>
      <c r="L611" s="333">
        <f t="shared" ref="L611:L612" si="326">IF(AND(B611&gt;=awal,B611&lt;=akhir,B611&lt;&gt;""),1,IF(AND(B611&lt;&gt;"",B611&lt;awal),2,""))</f>
        <v>1</v>
      </c>
      <c r="M611" s="333" t="str">
        <f t="shared" ref="M611:M612" si="327">IF(B611="","",TEXT(B611,"mmmm"))</f>
        <v>July</v>
      </c>
      <c r="N611" s="333" t="str">
        <f t="shared" ref="N611:N612" si="328">IF(AND(L611=1,H611=bb_akun),"Awe",IF(AND(L611=1,I611=bb_akun),"Awe",""))</f>
        <v/>
      </c>
      <c r="O611" s="333" t="str">
        <f>IF(N611="","",COUNTIF($N$8:N611,N611))</f>
        <v/>
      </c>
      <c r="P611" s="334" t="str">
        <f t="shared" ref="P611:P612" si="329">IFERROR(IF(OR(INDEX(akun_type,MATCH(H611,akun_kb,0))="Kas",INDEX(akun_type,MATCH(H611,akun_kb,0))="Bank"),"In"&amp;INDEX(akun_type,MATCH(I611,akun_kb,0)),IF(OR(INDEX(akun_type,MATCH(I611,akun_kb,0))="Kas",INDEX(akun_type,MATCH(I611,akun_kb,0))="Bank"),"out"&amp;INDEX(akun_type,MATCH(H611,akun_kb,0)),"")),"")</f>
        <v/>
      </c>
      <c r="Q611" s="334" t="str">
        <f t="shared" ref="Q611:Q612" si="330">IFERROR(IF(OR(INDEX(akun_type,MATCH(H611,akun_kb,0))="Kas",INDEX(akun_type,MATCH(H611,akun_kb,0))="Bank"),"in"&amp;TEXT(B611,"mmmm")&amp;INDEX(akun_type,MATCH(I611,akun_kb,0)),IF(OR(INDEX(akun_type,MATCH(I611,akun_kb,0))="Kas",INDEX(akun_type,MATCH(I611,akun_kb,0))="Bank"),"out"&amp;TEXT(B611,"mmmm")&amp;INDEX(akun_type,MATCH(H611,akun_kb,0)),"")),"")</f>
        <v/>
      </c>
      <c r="R611" s="334" t="str">
        <f t="shared" ref="R611:R612" si="331">IFERROR(INDEX(akun_type,MATCH(H611,akun_kb,0)),"")</f>
        <v>Beban</v>
      </c>
      <c r="S611" s="334" t="str">
        <f t="shared" ref="S611:S612" si="332">IFERROR(INDEX(akun_type,MATCH(I611,akun_kb,0)),"")</f>
        <v>Depresiasi &amp; Amortisasi</v>
      </c>
      <c r="T611" s="334" t="str">
        <f t="shared" ref="T611:T612" si="333">IF(AND(L611=1,OR(R611="Akun Piutang",R611="akun hutang",S611="akun piutang",S611="akun hutang")),E611,"")</f>
        <v/>
      </c>
      <c r="U611" s="334" t="str">
        <f>IF(AND(L611=1,bp_kode=T611,T611&lt;&gt;""),COUNTIF($T$8:T611,T611),"")</f>
        <v/>
      </c>
      <c r="V611" s="334" t="str">
        <f t="shared" ref="V611:V612" si="334">IF(OR(R611="Pendapatan",R611="Pendapatan Lainnya",R611="Beban",R611="Harga Pokok Penjualan",R611="Beban Lainnya"),"db"&amp;F611,IF(OR(S611="Pendapatan",S611="Pendapatan Lainnya",S611="Beban",S611="Harga Pokok Penjualan",S611="Beban Lainnya"),"kr"&amp;F611,""))</f>
        <v>db</v>
      </c>
      <c r="W611" s="334" t="str">
        <f t="shared" ref="W611:W612" si="335">IF(OR(R611="Pendapatan",R611="Pendapatan Lainnya",R611="Beban",R611="Harga Pokok Penjualan",R611="Beban Lainnya"),"db"&amp;G611,IF(OR(S611="Pendapatan",S611="Pendapatan Lainnya",S611="Beban",S611="Harga Pokok Penjualan",S611="Beban Lainnya"),"kr"&amp;G611,""))</f>
        <v>db</v>
      </c>
      <c r="X611" s="334" t="str">
        <f>IF(B611="","",COUNTIF($C$8:C611,C611)&amp;C611)</f>
        <v>0</v>
      </c>
    </row>
    <row r="612" spans="2:24" s="349" customFormat="1" ht="23.1" customHeight="1">
      <c r="B612" s="329">
        <v>44773</v>
      </c>
      <c r="C612" s="351"/>
      <c r="D612" s="351" t="s">
        <v>666</v>
      </c>
      <c r="E612" s="352"/>
      <c r="F612" s="352"/>
      <c r="G612" s="352"/>
      <c r="H612" s="352" t="s">
        <v>662</v>
      </c>
      <c r="I612" s="352" t="s">
        <v>673</v>
      </c>
      <c r="J612" s="353">
        <v>15833.333333333334</v>
      </c>
      <c r="L612" s="354">
        <f t="shared" si="326"/>
        <v>1</v>
      </c>
      <c r="M612" s="354" t="str">
        <f t="shared" si="327"/>
        <v>July</v>
      </c>
      <c r="N612" s="354" t="str">
        <f t="shared" si="328"/>
        <v/>
      </c>
      <c r="O612" s="354" t="str">
        <f>IF(N612="","",COUNTIF($N$8:N612,N612))</f>
        <v/>
      </c>
      <c r="P612" s="355" t="str">
        <f t="shared" si="329"/>
        <v/>
      </c>
      <c r="Q612" s="355" t="str">
        <f t="shared" si="330"/>
        <v/>
      </c>
      <c r="R612" s="355" t="str">
        <f t="shared" si="331"/>
        <v>Beban</v>
      </c>
      <c r="S612" s="355" t="str">
        <f t="shared" si="332"/>
        <v>Depresiasi &amp; Amortisasi</v>
      </c>
      <c r="T612" s="355" t="str">
        <f t="shared" si="333"/>
        <v/>
      </c>
      <c r="U612" s="355" t="str">
        <f>IF(AND(L612=1,bp_kode=T612,T612&lt;&gt;""),COUNTIF($T$8:T612,T612),"")</f>
        <v/>
      </c>
      <c r="V612" s="355" t="str">
        <f t="shared" si="334"/>
        <v>db</v>
      </c>
      <c r="W612" s="355" t="str">
        <f t="shared" si="335"/>
        <v>db</v>
      </c>
      <c r="X612" s="355" t="str">
        <f>IF(B612="","",COUNTIF($C$8:C612,C612)&amp;C612)</f>
        <v>0</v>
      </c>
    </row>
    <row r="613" spans="2:24" s="335" customFormat="1" ht="23.1" customHeight="1">
      <c r="B613" s="336">
        <v>44804</v>
      </c>
      <c r="C613" s="337"/>
      <c r="D613" s="337" t="s">
        <v>550</v>
      </c>
      <c r="E613" s="338"/>
      <c r="F613" s="338"/>
      <c r="G613" s="338"/>
      <c r="H613" s="338" t="s">
        <v>551</v>
      </c>
      <c r="I613" s="338" t="s">
        <v>503</v>
      </c>
      <c r="J613" s="339">
        <v>766327500</v>
      </c>
      <c r="L613" s="340">
        <f t="shared" ref="L613:L640" si="336">IF(AND(B613&gt;=awal,B613&lt;=akhir,B613&lt;&gt;""),1,IF(AND(B613&lt;&gt;"",B613&lt;awal),2,""))</f>
        <v>1</v>
      </c>
      <c r="M613" s="340" t="str">
        <f t="shared" ref="M613:M640" si="337">IF(B613="","",TEXT(B613,"mmmm"))</f>
        <v>August</v>
      </c>
      <c r="N613" s="340" t="str">
        <f t="shared" ref="N613:N640" si="338">IF(AND(L613=1,H613=bb_akun),"Awe",IF(AND(L613=1,I613=bb_akun),"Awe",""))</f>
        <v/>
      </c>
      <c r="O613" s="340" t="str">
        <f>IF(N613="","",COUNTIF($N$8:N613,N613))</f>
        <v/>
      </c>
      <c r="P613" s="341" t="str">
        <f t="shared" ref="P613:P640" si="339">IFERROR(IF(OR(INDEX(akun_type,MATCH(H613,akun_kb,0))="Kas",INDEX(akun_type,MATCH(H613,akun_kb,0))="Bank"),"In"&amp;INDEX(akun_type,MATCH(I613,akun_kb,0)),IF(OR(INDEX(akun_type,MATCH(I613,akun_kb,0))="Kas",INDEX(akun_type,MATCH(I613,akun_kb,0))="Bank"),"out"&amp;INDEX(akun_type,MATCH(H613,akun_kb,0)),"")),"")</f>
        <v/>
      </c>
      <c r="Q613" s="341" t="str">
        <f t="shared" ref="Q613:Q640" si="340">IFERROR(IF(OR(INDEX(akun_type,MATCH(H613,akun_kb,0))="Kas",INDEX(akun_type,MATCH(H613,akun_kb,0))="Bank"),"in"&amp;TEXT(B613,"mmmm")&amp;INDEX(akun_type,MATCH(I613,akun_kb,0)),IF(OR(INDEX(akun_type,MATCH(I613,akun_kb,0))="Kas",INDEX(akun_type,MATCH(I613,akun_kb,0))="Bank"),"out"&amp;TEXT(B613,"mmmm")&amp;INDEX(akun_type,MATCH(H613,akun_kb,0)),"")),"")</f>
        <v/>
      </c>
      <c r="R613" s="341" t="str">
        <f t="shared" ref="R613:R640" si="341">IFERROR(INDEX(akun_type,MATCH(H613,akun_kb,0)),"")</f>
        <v>Akun Piutang</v>
      </c>
      <c r="S613" s="341" t="str">
        <f t="shared" ref="S613:S640" si="342">IFERROR(INDEX(akun_type,MATCH(I613,akun_kb,0)),"")</f>
        <v>Pendapatan</v>
      </c>
      <c r="T613" s="341">
        <f t="shared" ref="T613:T640" si="343">IF(AND(L613=1,OR(R613="Akun Piutang",R613="akun hutang",S613="akun piutang",S613="akun hutang")),E613,"")</f>
        <v>0</v>
      </c>
      <c r="U613" s="341" t="str">
        <f>IF(AND(L613=1,bp_kode=T613,T613&lt;&gt;""),COUNTIF($T$8:T613,T613),"")</f>
        <v/>
      </c>
      <c r="V613" s="341" t="str">
        <f t="shared" ref="V613:V640" si="344">IF(OR(R613="Pendapatan",R613="Pendapatan Lainnya",R613="Beban",R613="Harga Pokok Penjualan",R613="Beban Lainnya"),"db"&amp;F613,IF(OR(S613="Pendapatan",S613="Pendapatan Lainnya",S613="Beban",S613="Harga Pokok Penjualan",S613="Beban Lainnya"),"kr"&amp;F613,""))</f>
        <v>kr</v>
      </c>
      <c r="W613" s="341" t="str">
        <f t="shared" ref="W613:W640" si="345">IF(OR(R613="Pendapatan",R613="Pendapatan Lainnya",R613="Beban",R613="Harga Pokok Penjualan",R613="Beban Lainnya"),"db"&amp;G613,IF(OR(S613="Pendapatan",S613="Pendapatan Lainnya",S613="Beban",S613="Harga Pokok Penjualan",S613="Beban Lainnya"),"kr"&amp;G613,""))</f>
        <v>kr</v>
      </c>
      <c r="X613" s="341" t="str">
        <f>IF(B613="","",COUNTIF($C$8:C613,C613)&amp;C613)</f>
        <v>0</v>
      </c>
    </row>
    <row r="614" spans="2:24" s="335" customFormat="1" ht="23.1" customHeight="1">
      <c r="B614" s="336">
        <v>44804</v>
      </c>
      <c r="C614" s="337"/>
      <c r="D614" s="337" t="s">
        <v>552</v>
      </c>
      <c r="E614" s="338"/>
      <c r="F614" s="338"/>
      <c r="G614" s="338"/>
      <c r="H614" s="338" t="s">
        <v>587</v>
      </c>
      <c r="I614" s="338" t="s">
        <v>553</v>
      </c>
      <c r="J614" s="339">
        <v>5442000</v>
      </c>
      <c r="L614" s="340">
        <f t="shared" si="336"/>
        <v>1</v>
      </c>
      <c r="M614" s="340" t="str">
        <f t="shared" si="337"/>
        <v>August</v>
      </c>
      <c r="N614" s="340" t="str">
        <f t="shared" si="338"/>
        <v/>
      </c>
      <c r="O614" s="340" t="str">
        <f>IF(N614="","",COUNTIF($N$8:N614,N614))</f>
        <v/>
      </c>
      <c r="P614" s="341" t="str">
        <f t="shared" si="339"/>
        <v/>
      </c>
      <c r="Q614" s="341" t="str">
        <f t="shared" si="340"/>
        <v/>
      </c>
      <c r="R614" s="341" t="str">
        <f t="shared" si="341"/>
        <v>Akun Piutang</v>
      </c>
      <c r="S614" s="341" t="str">
        <f t="shared" si="342"/>
        <v>Pendapatan</v>
      </c>
      <c r="T614" s="341">
        <f t="shared" si="343"/>
        <v>0</v>
      </c>
      <c r="U614" s="341" t="str">
        <f>IF(AND(L614=1,bp_kode=T614,T614&lt;&gt;""),COUNTIF($T$8:T614,T614),"")</f>
        <v/>
      </c>
      <c r="V614" s="341" t="str">
        <f t="shared" si="344"/>
        <v>kr</v>
      </c>
      <c r="W614" s="341" t="str">
        <f t="shared" si="345"/>
        <v>kr</v>
      </c>
      <c r="X614" s="341" t="str">
        <f>IF(B614="","",COUNTIF($C$8:C614,C614)&amp;C614)</f>
        <v>0</v>
      </c>
    </row>
    <row r="615" spans="2:24" s="335" customFormat="1" ht="23.1" customHeight="1">
      <c r="B615" s="336">
        <v>44804</v>
      </c>
      <c r="C615" s="337"/>
      <c r="D615" s="337" t="s">
        <v>555</v>
      </c>
      <c r="E615" s="338"/>
      <c r="F615" s="338"/>
      <c r="G615" s="338"/>
      <c r="H615" s="338" t="s">
        <v>557</v>
      </c>
      <c r="I615" s="338" t="s">
        <v>556</v>
      </c>
      <c r="J615" s="339">
        <v>250675000</v>
      </c>
      <c r="L615" s="340">
        <f t="shared" si="336"/>
        <v>1</v>
      </c>
      <c r="M615" s="340" t="str">
        <f t="shared" si="337"/>
        <v>August</v>
      </c>
      <c r="N615" s="340" t="str">
        <f t="shared" si="338"/>
        <v/>
      </c>
      <c r="O615" s="340" t="str">
        <f>IF(N615="","",COUNTIF($N$8:N615,N615))</f>
        <v/>
      </c>
      <c r="P615" s="341" t="str">
        <f t="shared" si="339"/>
        <v/>
      </c>
      <c r="Q615" s="341" t="str">
        <f t="shared" si="340"/>
        <v/>
      </c>
      <c r="R615" s="341" t="str">
        <f t="shared" si="341"/>
        <v>Akun Piutang</v>
      </c>
      <c r="S615" s="341" t="str">
        <f t="shared" si="342"/>
        <v>Pendapatan</v>
      </c>
      <c r="T615" s="341">
        <f t="shared" si="343"/>
        <v>0</v>
      </c>
      <c r="U615" s="341" t="str">
        <f>IF(AND(L615=1,bp_kode=T615,T615&lt;&gt;""),COUNTIF($T$8:T615,T615),"")</f>
        <v/>
      </c>
      <c r="V615" s="341" t="str">
        <f t="shared" si="344"/>
        <v>kr</v>
      </c>
      <c r="W615" s="341" t="str">
        <f t="shared" si="345"/>
        <v>kr</v>
      </c>
      <c r="X615" s="341" t="str">
        <f>IF(B615="","",COUNTIF($C$8:C615,C615)&amp;C615)</f>
        <v>0</v>
      </c>
    </row>
    <row r="616" spans="2:24" s="335" customFormat="1" ht="23.1" customHeight="1">
      <c r="B616" s="336">
        <v>44804</v>
      </c>
      <c r="C616" s="337"/>
      <c r="D616" s="337" t="s">
        <v>558</v>
      </c>
      <c r="E616" s="338"/>
      <c r="F616" s="338"/>
      <c r="G616" s="338"/>
      <c r="H616" s="338" t="s">
        <v>559</v>
      </c>
      <c r="I616" s="338" t="s">
        <v>560</v>
      </c>
      <c r="J616" s="339">
        <v>398241000</v>
      </c>
      <c r="L616" s="340">
        <f t="shared" si="336"/>
        <v>1</v>
      </c>
      <c r="M616" s="340" t="str">
        <f t="shared" si="337"/>
        <v>August</v>
      </c>
      <c r="N616" s="340" t="str">
        <f t="shared" si="338"/>
        <v/>
      </c>
      <c r="O616" s="340" t="str">
        <f>IF(N616="","",COUNTIF($N$8:N616,N616))</f>
        <v/>
      </c>
      <c r="P616" s="341" t="str">
        <f t="shared" si="339"/>
        <v/>
      </c>
      <c r="Q616" s="341" t="str">
        <f t="shared" si="340"/>
        <v/>
      </c>
      <c r="R616" s="341" t="str">
        <f t="shared" si="341"/>
        <v>Akun Piutang</v>
      </c>
      <c r="S616" s="341" t="str">
        <f t="shared" si="342"/>
        <v>Pendapatan</v>
      </c>
      <c r="T616" s="341">
        <f t="shared" si="343"/>
        <v>0</v>
      </c>
      <c r="U616" s="341" t="str">
        <f>IF(AND(L616=1,bp_kode=T616,T616&lt;&gt;""),COUNTIF($T$8:T616,T616),"")</f>
        <v/>
      </c>
      <c r="V616" s="341" t="str">
        <f t="shared" si="344"/>
        <v>kr</v>
      </c>
      <c r="W616" s="341" t="str">
        <f t="shared" si="345"/>
        <v>kr</v>
      </c>
      <c r="X616" s="341" t="str">
        <f>IF(B616="","",COUNTIF($C$8:C616,C616)&amp;C616)</f>
        <v>0</v>
      </c>
    </row>
    <row r="617" spans="2:24" s="335" customFormat="1" ht="23.1" customHeight="1">
      <c r="B617" s="336">
        <v>44804</v>
      </c>
      <c r="C617" s="337"/>
      <c r="D617" s="337" t="s">
        <v>562</v>
      </c>
      <c r="E617" s="338"/>
      <c r="F617" s="338"/>
      <c r="G617" s="338"/>
      <c r="H617" s="338" t="s">
        <v>561</v>
      </c>
      <c r="I617" s="338" t="s">
        <v>504</v>
      </c>
      <c r="J617" s="339">
        <v>42711000</v>
      </c>
      <c r="L617" s="340">
        <f t="shared" si="336"/>
        <v>1</v>
      </c>
      <c r="M617" s="340" t="str">
        <f t="shared" si="337"/>
        <v>August</v>
      </c>
      <c r="N617" s="340" t="str">
        <f t="shared" si="338"/>
        <v/>
      </c>
      <c r="O617" s="340" t="str">
        <f>IF(N617="","",COUNTIF($N$8:N617,N617))</f>
        <v/>
      </c>
      <c r="P617" s="341" t="str">
        <f t="shared" si="339"/>
        <v/>
      </c>
      <c r="Q617" s="341" t="str">
        <f t="shared" si="340"/>
        <v/>
      </c>
      <c r="R617" s="341" t="str">
        <f t="shared" si="341"/>
        <v>Akun Piutang</v>
      </c>
      <c r="S617" s="341" t="str">
        <f t="shared" si="342"/>
        <v>Pendapatan</v>
      </c>
      <c r="T617" s="341">
        <f t="shared" si="343"/>
        <v>0</v>
      </c>
      <c r="U617" s="341" t="str">
        <f>IF(AND(L617=1,bp_kode=T617,T617&lt;&gt;""),COUNTIF($T$8:T617,T617),"")</f>
        <v/>
      </c>
      <c r="V617" s="341" t="str">
        <f t="shared" si="344"/>
        <v>kr</v>
      </c>
      <c r="W617" s="341" t="str">
        <f t="shared" si="345"/>
        <v>kr</v>
      </c>
      <c r="X617" s="341" t="str">
        <f>IF(B617="","",COUNTIF($C$8:C617,C617)&amp;C617)</f>
        <v>0</v>
      </c>
    </row>
    <row r="618" spans="2:24" s="335" customFormat="1" ht="23.1" customHeight="1">
      <c r="B618" s="336">
        <v>44804</v>
      </c>
      <c r="C618" s="337"/>
      <c r="D618" s="337" t="s">
        <v>563</v>
      </c>
      <c r="E618" s="338"/>
      <c r="F618" s="338"/>
      <c r="G618" s="338"/>
      <c r="H618" s="338" t="s">
        <v>565</v>
      </c>
      <c r="I618" s="338" t="s">
        <v>551</v>
      </c>
      <c r="J618" s="339">
        <v>121501000</v>
      </c>
      <c r="L618" s="340">
        <f t="shared" si="336"/>
        <v>1</v>
      </c>
      <c r="M618" s="340" t="str">
        <f t="shared" si="337"/>
        <v>August</v>
      </c>
      <c r="N618" s="340" t="str">
        <f t="shared" si="338"/>
        <v/>
      </c>
      <c r="O618" s="340" t="str">
        <f>IF(N618="","",COUNTIF($N$8:N618,N618))</f>
        <v/>
      </c>
      <c r="P618" s="341" t="str">
        <f t="shared" si="339"/>
        <v/>
      </c>
      <c r="Q618" s="341" t="str">
        <f t="shared" si="340"/>
        <v/>
      </c>
      <c r="R618" s="341" t="str">
        <f t="shared" si="341"/>
        <v>Pendapatan</v>
      </c>
      <c r="S618" s="341" t="str">
        <f t="shared" si="342"/>
        <v>Akun Piutang</v>
      </c>
      <c r="T618" s="341">
        <f t="shared" si="343"/>
        <v>0</v>
      </c>
      <c r="U618" s="341" t="str">
        <f>IF(AND(L618=1,bp_kode=T618,T618&lt;&gt;""),COUNTIF($T$8:T618,T618),"")</f>
        <v/>
      </c>
      <c r="V618" s="341" t="str">
        <f t="shared" si="344"/>
        <v>db</v>
      </c>
      <c r="W618" s="341" t="str">
        <f t="shared" si="345"/>
        <v>db</v>
      </c>
      <c r="X618" s="341" t="str">
        <f>IF(B618="","",COUNTIF($C$8:C618,C618)&amp;C618)</f>
        <v>0</v>
      </c>
    </row>
    <row r="619" spans="2:24" s="335" customFormat="1" ht="23.1" customHeight="1">
      <c r="B619" s="336">
        <v>44804</v>
      </c>
      <c r="C619" s="337"/>
      <c r="D619" s="337" t="s">
        <v>564</v>
      </c>
      <c r="E619" s="338"/>
      <c r="F619" s="338"/>
      <c r="G619" s="338"/>
      <c r="H619" s="338" t="s">
        <v>566</v>
      </c>
      <c r="I619" s="338" t="s">
        <v>559</v>
      </c>
      <c r="J619" s="339">
        <v>7399900</v>
      </c>
      <c r="L619" s="340">
        <f t="shared" si="336"/>
        <v>1</v>
      </c>
      <c r="M619" s="340" t="str">
        <f t="shared" si="337"/>
        <v>August</v>
      </c>
      <c r="N619" s="340" t="str">
        <f t="shared" si="338"/>
        <v/>
      </c>
      <c r="O619" s="340" t="str">
        <f>IF(N619="","",COUNTIF($N$8:N619,N619))</f>
        <v/>
      </c>
      <c r="P619" s="341" t="str">
        <f t="shared" si="339"/>
        <v/>
      </c>
      <c r="Q619" s="341" t="str">
        <f t="shared" si="340"/>
        <v/>
      </c>
      <c r="R619" s="341" t="str">
        <f t="shared" si="341"/>
        <v>Pendapatan</v>
      </c>
      <c r="S619" s="341" t="str">
        <f t="shared" si="342"/>
        <v>Akun Piutang</v>
      </c>
      <c r="T619" s="341">
        <f t="shared" si="343"/>
        <v>0</v>
      </c>
      <c r="U619" s="341" t="str">
        <f>IF(AND(L619=1,bp_kode=T619,T619&lt;&gt;""),COUNTIF($T$8:T619,T619),"")</f>
        <v/>
      </c>
      <c r="V619" s="341" t="str">
        <f t="shared" si="344"/>
        <v>db</v>
      </c>
      <c r="W619" s="341" t="str">
        <f t="shared" si="345"/>
        <v>db</v>
      </c>
      <c r="X619" s="341" t="str">
        <f>IF(B619="","",COUNTIF($C$8:C619,C619)&amp;C619)</f>
        <v>0</v>
      </c>
    </row>
    <row r="620" spans="2:24" s="335" customFormat="1" ht="23.1" customHeight="1">
      <c r="B620" s="336">
        <v>44804</v>
      </c>
      <c r="C620" s="337"/>
      <c r="D620" s="337" t="s">
        <v>555</v>
      </c>
      <c r="E620" s="338"/>
      <c r="F620" s="338"/>
      <c r="G620" s="338"/>
      <c r="H620" s="338" t="s">
        <v>554</v>
      </c>
      <c r="I620" s="338" t="s">
        <v>557</v>
      </c>
      <c r="J620" s="339">
        <v>253650000</v>
      </c>
      <c r="L620" s="340">
        <f t="shared" si="336"/>
        <v>1</v>
      </c>
      <c r="M620" s="340" t="str">
        <f t="shared" si="337"/>
        <v>August</v>
      </c>
      <c r="N620" s="340" t="str">
        <f t="shared" si="338"/>
        <v/>
      </c>
      <c r="O620" s="340" t="str">
        <f>IF(N620="","",COUNTIF($N$8:N620,N620))</f>
        <v/>
      </c>
      <c r="P620" s="341" t="str">
        <f t="shared" si="339"/>
        <v>InAkun Piutang</v>
      </c>
      <c r="Q620" s="341" t="str">
        <f t="shared" si="340"/>
        <v>inAugustAkun Piutang</v>
      </c>
      <c r="R620" s="341" t="str">
        <f t="shared" si="341"/>
        <v>Kas</v>
      </c>
      <c r="S620" s="341" t="str">
        <f t="shared" si="342"/>
        <v>Akun Piutang</v>
      </c>
      <c r="T620" s="341">
        <f t="shared" si="343"/>
        <v>0</v>
      </c>
      <c r="U620" s="341" t="str">
        <f>IF(AND(L620=1,bp_kode=T620,T620&lt;&gt;""),COUNTIF($T$8:T620,T620),"")</f>
        <v/>
      </c>
      <c r="V620" s="341" t="str">
        <f t="shared" si="344"/>
        <v/>
      </c>
      <c r="W620" s="341" t="str">
        <f t="shared" si="345"/>
        <v/>
      </c>
      <c r="X620" s="341" t="str">
        <f>IF(B620="","",COUNTIF($C$8:C620,C620)&amp;C620)</f>
        <v>0</v>
      </c>
    </row>
    <row r="621" spans="2:24" s="335" customFormat="1" ht="23.1" customHeight="1">
      <c r="B621" s="336">
        <v>44804</v>
      </c>
      <c r="C621" s="337"/>
      <c r="D621" s="337" t="s">
        <v>572</v>
      </c>
      <c r="E621" s="338"/>
      <c r="F621" s="338"/>
      <c r="G621" s="338"/>
      <c r="H621" s="338" t="s">
        <v>640</v>
      </c>
      <c r="I621" s="338" t="s">
        <v>568</v>
      </c>
      <c r="J621" s="339">
        <v>36500</v>
      </c>
      <c r="L621" s="340">
        <f t="shared" si="336"/>
        <v>1</v>
      </c>
      <c r="M621" s="340" t="str">
        <f t="shared" si="337"/>
        <v>August</v>
      </c>
      <c r="N621" s="340" t="str">
        <f t="shared" si="338"/>
        <v/>
      </c>
      <c r="O621" s="340" t="str">
        <f>IF(N621="","",COUNTIF($N$8:N621,N621))</f>
        <v/>
      </c>
      <c r="P621" s="341" t="str">
        <f t="shared" si="339"/>
        <v>outBeban Lainnya</v>
      </c>
      <c r="Q621" s="341" t="str">
        <f t="shared" si="340"/>
        <v>outAugustBeban Lainnya</v>
      </c>
      <c r="R621" s="341" t="str">
        <f t="shared" si="341"/>
        <v>Beban Lainnya</v>
      </c>
      <c r="S621" s="341" t="str">
        <f t="shared" si="342"/>
        <v>Bank</v>
      </c>
      <c r="T621" s="341" t="str">
        <f t="shared" si="343"/>
        <v/>
      </c>
      <c r="U621" s="341" t="str">
        <f>IF(AND(L621=1,bp_kode=T621,T621&lt;&gt;""),COUNTIF($T$8:T621,T621),"")</f>
        <v/>
      </c>
      <c r="V621" s="341" t="str">
        <f t="shared" si="344"/>
        <v>db</v>
      </c>
      <c r="W621" s="341" t="str">
        <f t="shared" si="345"/>
        <v>db</v>
      </c>
      <c r="X621" s="341" t="str">
        <f>IF(B621="","",COUNTIF($C$8:C621,C621)&amp;C621)</f>
        <v>0</v>
      </c>
    </row>
    <row r="622" spans="2:24" s="335" customFormat="1" ht="23.1" customHeight="1">
      <c r="B622" s="336">
        <v>44804</v>
      </c>
      <c r="C622" s="337"/>
      <c r="D622" s="337" t="s">
        <v>573</v>
      </c>
      <c r="E622" s="338"/>
      <c r="F622" s="338"/>
      <c r="G622" s="338"/>
      <c r="H622" s="338" t="s">
        <v>568</v>
      </c>
      <c r="I622" s="338" t="s">
        <v>559</v>
      </c>
      <c r="J622" s="339">
        <v>17497100</v>
      </c>
      <c r="L622" s="340">
        <f t="shared" si="336"/>
        <v>1</v>
      </c>
      <c r="M622" s="340" t="str">
        <f t="shared" si="337"/>
        <v>August</v>
      </c>
      <c r="N622" s="340" t="str">
        <f t="shared" si="338"/>
        <v/>
      </c>
      <c r="O622" s="340" t="str">
        <f>IF(N622="","",COUNTIF($N$8:N622,N622))</f>
        <v/>
      </c>
      <c r="P622" s="341" t="str">
        <f t="shared" si="339"/>
        <v>InAkun Piutang</v>
      </c>
      <c r="Q622" s="341" t="str">
        <f t="shared" si="340"/>
        <v>inAugustAkun Piutang</v>
      </c>
      <c r="R622" s="341" t="str">
        <f t="shared" si="341"/>
        <v>Bank</v>
      </c>
      <c r="S622" s="341" t="str">
        <f t="shared" si="342"/>
        <v>Akun Piutang</v>
      </c>
      <c r="T622" s="341">
        <f t="shared" si="343"/>
        <v>0</v>
      </c>
      <c r="U622" s="341" t="str">
        <f>IF(AND(L622=1,bp_kode=T622,T622&lt;&gt;""),COUNTIF($T$8:T622,T622),"")</f>
        <v/>
      </c>
      <c r="V622" s="341" t="str">
        <f t="shared" si="344"/>
        <v/>
      </c>
      <c r="W622" s="341" t="str">
        <f t="shared" si="345"/>
        <v/>
      </c>
      <c r="X622" s="341" t="str">
        <f>IF(B622="","",COUNTIF($C$8:C622,C622)&amp;C622)</f>
        <v>0</v>
      </c>
    </row>
    <row r="623" spans="2:24" s="335" customFormat="1" ht="23.1" customHeight="1">
      <c r="B623" s="336">
        <v>44804</v>
      </c>
      <c r="C623" s="337"/>
      <c r="D623" s="337" t="s">
        <v>730</v>
      </c>
      <c r="E623" s="338"/>
      <c r="F623" s="338"/>
      <c r="G623" s="338"/>
      <c r="H623" s="338" t="s">
        <v>575</v>
      </c>
      <c r="I623" s="338" t="s">
        <v>569</v>
      </c>
      <c r="J623" s="339">
        <v>1207</v>
      </c>
      <c r="L623" s="340">
        <f t="shared" si="336"/>
        <v>1</v>
      </c>
      <c r="M623" s="340" t="str">
        <f t="shared" si="337"/>
        <v>August</v>
      </c>
      <c r="N623" s="340" t="str">
        <f t="shared" si="338"/>
        <v/>
      </c>
      <c r="O623" s="340" t="str">
        <f>IF(N623="","",COUNTIF($N$8:N623,N623))</f>
        <v/>
      </c>
      <c r="P623" s="341" t="str">
        <f t="shared" si="339"/>
        <v>InPendapatan Lainnya</v>
      </c>
      <c r="Q623" s="341" t="str">
        <f t="shared" si="340"/>
        <v>inAugustPendapatan Lainnya</v>
      </c>
      <c r="R623" s="341" t="str">
        <f t="shared" si="341"/>
        <v>Bank</v>
      </c>
      <c r="S623" s="341" t="str">
        <f t="shared" si="342"/>
        <v>Pendapatan Lainnya</v>
      </c>
      <c r="T623" s="341" t="str">
        <f t="shared" si="343"/>
        <v/>
      </c>
      <c r="U623" s="341" t="str">
        <f>IF(AND(L623=1,bp_kode=T623,T623&lt;&gt;""),COUNTIF($T$8:T623,T623),"")</f>
        <v/>
      </c>
      <c r="V623" s="341" t="str">
        <f t="shared" si="344"/>
        <v>kr</v>
      </c>
      <c r="W623" s="341" t="str">
        <f t="shared" si="345"/>
        <v>kr</v>
      </c>
      <c r="X623" s="341" t="str">
        <f>IF(B623="","",COUNTIF($C$8:C623,C623)&amp;C623)</f>
        <v>0</v>
      </c>
    </row>
    <row r="624" spans="2:24" s="335" customFormat="1" ht="23.1" customHeight="1">
      <c r="B624" s="336">
        <v>44804</v>
      </c>
      <c r="C624" s="337"/>
      <c r="D624" s="337" t="s">
        <v>574</v>
      </c>
      <c r="E624" s="338"/>
      <c r="F624" s="338"/>
      <c r="G624" s="338"/>
      <c r="H624" s="338" t="s">
        <v>640</v>
      </c>
      <c r="I624" s="338" t="s">
        <v>575</v>
      </c>
      <c r="J624" s="339">
        <v>36500</v>
      </c>
      <c r="L624" s="340">
        <f t="shared" si="336"/>
        <v>1</v>
      </c>
      <c r="M624" s="340" t="str">
        <f t="shared" si="337"/>
        <v>August</v>
      </c>
      <c r="N624" s="340" t="str">
        <f t="shared" si="338"/>
        <v/>
      </c>
      <c r="O624" s="340" t="str">
        <f>IF(N624="","",COUNTIF($N$8:N624,N624))</f>
        <v/>
      </c>
      <c r="P624" s="341" t="str">
        <f t="shared" si="339"/>
        <v>outBeban Lainnya</v>
      </c>
      <c r="Q624" s="341" t="str">
        <f t="shared" si="340"/>
        <v>outAugustBeban Lainnya</v>
      </c>
      <c r="R624" s="341" t="str">
        <f t="shared" si="341"/>
        <v>Beban Lainnya</v>
      </c>
      <c r="S624" s="341" t="str">
        <f t="shared" si="342"/>
        <v>Bank</v>
      </c>
      <c r="T624" s="341" t="str">
        <f t="shared" si="343"/>
        <v/>
      </c>
      <c r="U624" s="341" t="str">
        <f>IF(AND(L624=1,bp_kode=T624,T624&lt;&gt;""),COUNTIF($T$8:T624,T624),"")</f>
        <v/>
      </c>
      <c r="V624" s="341" t="str">
        <f t="shared" si="344"/>
        <v>db</v>
      </c>
      <c r="W624" s="341" t="str">
        <f t="shared" si="345"/>
        <v>db</v>
      </c>
      <c r="X624" s="341" t="str">
        <f>IF(B624="","",COUNTIF($C$8:C624,C624)&amp;C624)</f>
        <v>0</v>
      </c>
    </row>
    <row r="625" spans="2:24" s="335" customFormat="1" ht="23.1" customHeight="1">
      <c r="B625" s="336">
        <v>44804</v>
      </c>
      <c r="C625" s="337"/>
      <c r="D625" s="337" t="s">
        <v>730</v>
      </c>
      <c r="E625" s="338"/>
      <c r="F625" s="338"/>
      <c r="G625" s="338"/>
      <c r="H625" s="338" t="s">
        <v>577</v>
      </c>
      <c r="I625" s="338" t="s">
        <v>569</v>
      </c>
      <c r="J625" s="339">
        <v>1389868.35</v>
      </c>
      <c r="L625" s="340">
        <f t="shared" si="336"/>
        <v>1</v>
      </c>
      <c r="M625" s="340" t="str">
        <f t="shared" si="337"/>
        <v>August</v>
      </c>
      <c r="N625" s="340" t="str">
        <f t="shared" si="338"/>
        <v/>
      </c>
      <c r="O625" s="340" t="str">
        <f>IF(N625="","",COUNTIF($N$8:N625,N625))</f>
        <v/>
      </c>
      <c r="P625" s="341" t="str">
        <f t="shared" si="339"/>
        <v>InPendapatan Lainnya</v>
      </c>
      <c r="Q625" s="341" t="str">
        <f t="shared" si="340"/>
        <v>inAugustPendapatan Lainnya</v>
      </c>
      <c r="R625" s="341" t="str">
        <f t="shared" si="341"/>
        <v>Bank</v>
      </c>
      <c r="S625" s="341" t="str">
        <f t="shared" si="342"/>
        <v>Pendapatan Lainnya</v>
      </c>
      <c r="T625" s="341" t="str">
        <f t="shared" si="343"/>
        <v/>
      </c>
      <c r="U625" s="341" t="str">
        <f>IF(AND(L625=1,bp_kode=T625,T625&lt;&gt;""),COUNTIF($T$8:T625,T625),"")</f>
        <v/>
      </c>
      <c r="V625" s="341" t="str">
        <f t="shared" si="344"/>
        <v>kr</v>
      </c>
      <c r="W625" s="341" t="str">
        <f t="shared" si="345"/>
        <v>kr</v>
      </c>
      <c r="X625" s="341" t="str">
        <f>IF(B625="","",COUNTIF($C$8:C625,C625)&amp;C625)</f>
        <v>0</v>
      </c>
    </row>
    <row r="626" spans="2:24" s="335" customFormat="1" ht="23.1" customHeight="1">
      <c r="B626" s="336">
        <v>44804</v>
      </c>
      <c r="C626" s="337"/>
      <c r="D626" s="337" t="s">
        <v>570</v>
      </c>
      <c r="E626" s="338"/>
      <c r="F626" s="338"/>
      <c r="G626" s="338"/>
      <c r="H626" s="338" t="s">
        <v>571</v>
      </c>
      <c r="I626" s="338" t="s">
        <v>577</v>
      </c>
      <c r="J626" s="339">
        <v>277973.65999999997</v>
      </c>
      <c r="L626" s="340">
        <f t="shared" si="336"/>
        <v>1</v>
      </c>
      <c r="M626" s="340" t="str">
        <f t="shared" si="337"/>
        <v>August</v>
      </c>
      <c r="N626" s="340" t="str">
        <f t="shared" si="338"/>
        <v/>
      </c>
      <c r="O626" s="340" t="str">
        <f>IF(N626="","",COUNTIF($N$8:N626,N626))</f>
        <v/>
      </c>
      <c r="P626" s="341" t="str">
        <f t="shared" si="339"/>
        <v>outBeban Lainnya</v>
      </c>
      <c r="Q626" s="341" t="str">
        <f t="shared" si="340"/>
        <v>outAugustBeban Lainnya</v>
      </c>
      <c r="R626" s="341" t="str">
        <f t="shared" si="341"/>
        <v>Beban Lainnya</v>
      </c>
      <c r="S626" s="341" t="str">
        <f t="shared" si="342"/>
        <v>Bank</v>
      </c>
      <c r="T626" s="341" t="str">
        <f t="shared" si="343"/>
        <v/>
      </c>
      <c r="U626" s="341" t="str">
        <f>IF(AND(L626=1,bp_kode=T626,T626&lt;&gt;""),COUNTIF($T$8:T626,T626),"")</f>
        <v/>
      </c>
      <c r="V626" s="341" t="str">
        <f t="shared" si="344"/>
        <v>db</v>
      </c>
      <c r="W626" s="341" t="str">
        <f t="shared" si="345"/>
        <v>db</v>
      </c>
      <c r="X626" s="341" t="str">
        <f>IF(B626="","",COUNTIF($C$8:C626,C626)&amp;C626)</f>
        <v>0</v>
      </c>
    </row>
    <row r="627" spans="2:24" s="335" customFormat="1" ht="23.1" customHeight="1">
      <c r="B627" s="336">
        <v>44804</v>
      </c>
      <c r="C627" s="337"/>
      <c r="D627" s="337" t="s">
        <v>572</v>
      </c>
      <c r="E627" s="338"/>
      <c r="F627" s="338"/>
      <c r="G627" s="338"/>
      <c r="H627" s="338" t="s">
        <v>640</v>
      </c>
      <c r="I627" s="338" t="s">
        <v>577</v>
      </c>
      <c r="J627" s="339">
        <v>25000</v>
      </c>
      <c r="L627" s="340">
        <f t="shared" si="336"/>
        <v>1</v>
      </c>
      <c r="M627" s="340" t="str">
        <f t="shared" si="337"/>
        <v>August</v>
      </c>
      <c r="N627" s="340" t="str">
        <f t="shared" si="338"/>
        <v/>
      </c>
      <c r="O627" s="340" t="str">
        <f>IF(N627="","",COUNTIF($N$8:N627,N627))</f>
        <v/>
      </c>
      <c r="P627" s="341" t="str">
        <f t="shared" si="339"/>
        <v>outBeban Lainnya</v>
      </c>
      <c r="Q627" s="341" t="str">
        <f t="shared" si="340"/>
        <v>outAugustBeban Lainnya</v>
      </c>
      <c r="R627" s="341" t="str">
        <f t="shared" si="341"/>
        <v>Beban Lainnya</v>
      </c>
      <c r="S627" s="341" t="str">
        <f t="shared" si="342"/>
        <v>Bank</v>
      </c>
      <c r="T627" s="341" t="str">
        <f t="shared" si="343"/>
        <v/>
      </c>
      <c r="U627" s="341" t="str">
        <f>IF(AND(L627=1,bp_kode=T627,T627&lt;&gt;""),COUNTIF($T$8:T627,T627),"")</f>
        <v/>
      </c>
      <c r="V627" s="341" t="str">
        <f t="shared" si="344"/>
        <v>db</v>
      </c>
      <c r="W627" s="341" t="str">
        <f t="shared" si="345"/>
        <v>db</v>
      </c>
      <c r="X627" s="341" t="str">
        <f>IF(B627="","",COUNTIF($C$8:C627,C627)&amp;C627)</f>
        <v>0</v>
      </c>
    </row>
    <row r="628" spans="2:24" s="335" customFormat="1" ht="23.1" customHeight="1">
      <c r="B628" s="336">
        <v>44804</v>
      </c>
      <c r="C628" s="337"/>
      <c r="D628" s="337" t="s">
        <v>578</v>
      </c>
      <c r="E628" s="338"/>
      <c r="F628" s="338"/>
      <c r="G628" s="338"/>
      <c r="H628" s="338" t="s">
        <v>640</v>
      </c>
      <c r="I628" s="338" t="s">
        <v>577</v>
      </c>
      <c r="J628" s="339">
        <v>10000</v>
      </c>
      <c r="L628" s="340">
        <f t="shared" si="336"/>
        <v>1</v>
      </c>
      <c r="M628" s="340" t="str">
        <f t="shared" si="337"/>
        <v>August</v>
      </c>
      <c r="N628" s="340" t="str">
        <f t="shared" si="338"/>
        <v/>
      </c>
      <c r="O628" s="340" t="str">
        <f>IF(N628="","",COUNTIF($N$8:N628,N628))</f>
        <v/>
      </c>
      <c r="P628" s="341" t="str">
        <f t="shared" si="339"/>
        <v>outBeban Lainnya</v>
      </c>
      <c r="Q628" s="341" t="str">
        <f t="shared" si="340"/>
        <v>outAugustBeban Lainnya</v>
      </c>
      <c r="R628" s="341" t="str">
        <f t="shared" si="341"/>
        <v>Beban Lainnya</v>
      </c>
      <c r="S628" s="341" t="str">
        <f t="shared" si="342"/>
        <v>Bank</v>
      </c>
      <c r="T628" s="341" t="str">
        <f t="shared" si="343"/>
        <v/>
      </c>
      <c r="U628" s="341" t="str">
        <f>IF(AND(L628=1,bp_kode=T628,T628&lt;&gt;""),COUNTIF($T$8:T628,T628),"")</f>
        <v/>
      </c>
      <c r="V628" s="341" t="str">
        <f t="shared" si="344"/>
        <v>db</v>
      </c>
      <c r="W628" s="341" t="str">
        <f t="shared" si="345"/>
        <v>db</v>
      </c>
      <c r="X628" s="341" t="str">
        <f>IF(B628="","",COUNTIF($C$8:C628,C628)&amp;C628)</f>
        <v>0</v>
      </c>
    </row>
    <row r="629" spans="2:24" s="335" customFormat="1" ht="23.1" customHeight="1">
      <c r="B629" s="336">
        <v>44804</v>
      </c>
      <c r="C629" s="337"/>
      <c r="D629" s="337" t="s">
        <v>751</v>
      </c>
      <c r="E629" s="338"/>
      <c r="F629" s="338"/>
      <c r="G629" s="338"/>
      <c r="H629" s="338" t="s">
        <v>577</v>
      </c>
      <c r="I629" s="338" t="s">
        <v>554</v>
      </c>
      <c r="J629" s="339">
        <v>352386500</v>
      </c>
      <c r="L629" s="340">
        <f t="shared" si="336"/>
        <v>1</v>
      </c>
      <c r="M629" s="340" t="str">
        <f t="shared" si="337"/>
        <v>August</v>
      </c>
      <c r="N629" s="340" t="str">
        <f t="shared" si="338"/>
        <v/>
      </c>
      <c r="O629" s="340" t="str">
        <f>IF(N629="","",COUNTIF($N$8:N629,N629))</f>
        <v/>
      </c>
      <c r="P629" s="341" t="str">
        <f t="shared" si="339"/>
        <v>InKas</v>
      </c>
      <c r="Q629" s="341" t="str">
        <f t="shared" si="340"/>
        <v>inAugustKas</v>
      </c>
      <c r="R629" s="341" t="str">
        <f t="shared" si="341"/>
        <v>Bank</v>
      </c>
      <c r="S629" s="341" t="str">
        <f t="shared" si="342"/>
        <v>Kas</v>
      </c>
      <c r="T629" s="341" t="str">
        <f t="shared" si="343"/>
        <v/>
      </c>
      <c r="U629" s="341" t="str">
        <f>IF(AND(L629=1,bp_kode=T629,T629&lt;&gt;""),COUNTIF($T$8:T629,T629),"")</f>
        <v/>
      </c>
      <c r="V629" s="341" t="str">
        <f t="shared" si="344"/>
        <v/>
      </c>
      <c r="W629" s="341" t="str">
        <f t="shared" si="345"/>
        <v/>
      </c>
      <c r="X629" s="341" t="str">
        <f>IF(B629="","",COUNTIF($C$8:C629,C629)&amp;C629)</f>
        <v>0</v>
      </c>
    </row>
    <row r="630" spans="2:24" s="335" customFormat="1" ht="23.1" customHeight="1">
      <c r="B630" s="336">
        <v>44804</v>
      </c>
      <c r="C630" s="337"/>
      <c r="D630" s="337" t="s">
        <v>573</v>
      </c>
      <c r="E630" s="338"/>
      <c r="F630" s="338"/>
      <c r="G630" s="338"/>
      <c r="H630" s="338" t="s">
        <v>577</v>
      </c>
      <c r="I630" s="338" t="s">
        <v>559</v>
      </c>
      <c r="J630" s="339">
        <v>103853400</v>
      </c>
      <c r="L630" s="340">
        <f t="shared" si="336"/>
        <v>1</v>
      </c>
      <c r="M630" s="340" t="str">
        <f t="shared" si="337"/>
        <v>August</v>
      </c>
      <c r="N630" s="340" t="str">
        <f t="shared" si="338"/>
        <v/>
      </c>
      <c r="O630" s="340" t="str">
        <f>IF(N630="","",COUNTIF($N$8:N630,N630))</f>
        <v/>
      </c>
      <c r="P630" s="341" t="str">
        <f t="shared" si="339"/>
        <v>InAkun Piutang</v>
      </c>
      <c r="Q630" s="341" t="str">
        <f t="shared" si="340"/>
        <v>inAugustAkun Piutang</v>
      </c>
      <c r="R630" s="341" t="str">
        <f t="shared" si="341"/>
        <v>Bank</v>
      </c>
      <c r="S630" s="341" t="str">
        <f t="shared" si="342"/>
        <v>Akun Piutang</v>
      </c>
      <c r="T630" s="341">
        <f t="shared" si="343"/>
        <v>0</v>
      </c>
      <c r="U630" s="341" t="str">
        <f>IF(AND(L630=1,bp_kode=T630,T630&lt;&gt;""),COUNTIF($T$8:T630,T630),"")</f>
        <v/>
      </c>
      <c r="V630" s="341" t="str">
        <f t="shared" si="344"/>
        <v/>
      </c>
      <c r="W630" s="341" t="str">
        <f t="shared" si="345"/>
        <v/>
      </c>
      <c r="X630" s="341" t="str">
        <f>IF(B630="","",COUNTIF($C$8:C630,C630)&amp;C630)</f>
        <v>0</v>
      </c>
    </row>
    <row r="631" spans="2:24" s="335" customFormat="1" ht="23.1" customHeight="1">
      <c r="B631" s="336">
        <v>44804</v>
      </c>
      <c r="C631" s="337"/>
      <c r="D631" s="337" t="s">
        <v>729</v>
      </c>
      <c r="E631" s="338"/>
      <c r="F631" s="338"/>
      <c r="G631" s="338"/>
      <c r="H631" s="338" t="s">
        <v>579</v>
      </c>
      <c r="I631" s="338" t="s">
        <v>569</v>
      </c>
      <c r="J631" s="339">
        <v>553731.6</v>
      </c>
      <c r="L631" s="340">
        <f t="shared" si="336"/>
        <v>1</v>
      </c>
      <c r="M631" s="340" t="str">
        <f t="shared" si="337"/>
        <v>August</v>
      </c>
      <c r="N631" s="340" t="str">
        <f t="shared" si="338"/>
        <v/>
      </c>
      <c r="O631" s="340" t="str">
        <f>IF(N631="","",COUNTIF($N$8:N631,N631))</f>
        <v/>
      </c>
      <c r="P631" s="341" t="str">
        <f t="shared" si="339"/>
        <v>InPendapatan Lainnya</v>
      </c>
      <c r="Q631" s="341" t="str">
        <f t="shared" si="340"/>
        <v>inAugustPendapatan Lainnya</v>
      </c>
      <c r="R631" s="341" t="str">
        <f t="shared" si="341"/>
        <v>Bank</v>
      </c>
      <c r="S631" s="341" t="str">
        <f t="shared" si="342"/>
        <v>Pendapatan Lainnya</v>
      </c>
      <c r="T631" s="341" t="str">
        <f t="shared" si="343"/>
        <v/>
      </c>
      <c r="U631" s="341" t="str">
        <f>IF(AND(L631=1,bp_kode=T631,T631&lt;&gt;""),COUNTIF($T$8:T631,T631),"")</f>
        <v/>
      </c>
      <c r="V631" s="341" t="str">
        <f t="shared" si="344"/>
        <v>kr</v>
      </c>
      <c r="W631" s="341" t="str">
        <f t="shared" si="345"/>
        <v>kr</v>
      </c>
      <c r="X631" s="341" t="str">
        <f>IF(B631="","",COUNTIF($C$8:C631,C631)&amp;C631)</f>
        <v>0</v>
      </c>
    </row>
    <row r="632" spans="2:24" s="335" customFormat="1" ht="23.1" customHeight="1">
      <c r="B632" s="336">
        <v>44804</v>
      </c>
      <c r="C632" s="337"/>
      <c r="D632" s="337" t="s">
        <v>689</v>
      </c>
      <c r="E632" s="338"/>
      <c r="F632" s="338"/>
      <c r="G632" s="338"/>
      <c r="H632" s="338" t="s">
        <v>640</v>
      </c>
      <c r="I632" s="338" t="s">
        <v>579</v>
      </c>
      <c r="J632" s="339">
        <v>25000</v>
      </c>
      <c r="L632" s="340">
        <f t="shared" si="336"/>
        <v>1</v>
      </c>
      <c r="M632" s="340" t="str">
        <f t="shared" si="337"/>
        <v>August</v>
      </c>
      <c r="N632" s="340" t="str">
        <f t="shared" si="338"/>
        <v/>
      </c>
      <c r="O632" s="340" t="str">
        <f>IF(N632="","",COUNTIF($N$8:N632,N632))</f>
        <v/>
      </c>
      <c r="P632" s="341" t="str">
        <f t="shared" si="339"/>
        <v>outBeban Lainnya</v>
      </c>
      <c r="Q632" s="341" t="str">
        <f t="shared" si="340"/>
        <v>outAugustBeban Lainnya</v>
      </c>
      <c r="R632" s="341" t="str">
        <f t="shared" si="341"/>
        <v>Beban Lainnya</v>
      </c>
      <c r="S632" s="341" t="str">
        <f t="shared" si="342"/>
        <v>Bank</v>
      </c>
      <c r="T632" s="341" t="str">
        <f t="shared" si="343"/>
        <v/>
      </c>
      <c r="U632" s="341" t="str">
        <f>IF(AND(L632=1,bp_kode=T632,T632&lt;&gt;""),COUNTIF($T$8:T632,T632),"")</f>
        <v/>
      </c>
      <c r="V632" s="341" t="str">
        <f t="shared" si="344"/>
        <v>db</v>
      </c>
      <c r="W632" s="341" t="str">
        <f t="shared" si="345"/>
        <v>db</v>
      </c>
      <c r="X632" s="341" t="str">
        <f>IF(B632="","",COUNTIF($C$8:C632,C632)&amp;C632)</f>
        <v>0</v>
      </c>
    </row>
    <row r="633" spans="2:24" s="335" customFormat="1" ht="23.1" customHeight="1">
      <c r="B633" s="336">
        <v>44804</v>
      </c>
      <c r="C633" s="337"/>
      <c r="D633" s="337" t="s">
        <v>573</v>
      </c>
      <c r="E633" s="338"/>
      <c r="F633" s="338"/>
      <c r="G633" s="338"/>
      <c r="H633" s="338" t="s">
        <v>579</v>
      </c>
      <c r="I633" s="338" t="s">
        <v>559</v>
      </c>
      <c r="J633" s="339">
        <v>31147100</v>
      </c>
      <c r="L633" s="340">
        <f t="shared" si="336"/>
        <v>1</v>
      </c>
      <c r="M633" s="340" t="str">
        <f t="shared" si="337"/>
        <v>August</v>
      </c>
      <c r="N633" s="340" t="str">
        <f t="shared" si="338"/>
        <v/>
      </c>
      <c r="O633" s="340" t="str">
        <f>IF(N633="","",COUNTIF($N$8:N633,N633))</f>
        <v/>
      </c>
      <c r="P633" s="341" t="str">
        <f t="shared" si="339"/>
        <v>InAkun Piutang</v>
      </c>
      <c r="Q633" s="341" t="str">
        <f t="shared" si="340"/>
        <v>inAugustAkun Piutang</v>
      </c>
      <c r="R633" s="341" t="str">
        <f t="shared" si="341"/>
        <v>Bank</v>
      </c>
      <c r="S633" s="341" t="str">
        <f t="shared" si="342"/>
        <v>Akun Piutang</v>
      </c>
      <c r="T633" s="341">
        <f t="shared" si="343"/>
        <v>0</v>
      </c>
      <c r="U633" s="341" t="str">
        <f>IF(AND(L633=1,bp_kode=T633,T633&lt;&gt;""),COUNTIF($T$8:T633,T633),"")</f>
        <v/>
      </c>
      <c r="V633" s="341" t="str">
        <f t="shared" si="344"/>
        <v/>
      </c>
      <c r="W633" s="341" t="str">
        <f t="shared" si="345"/>
        <v/>
      </c>
      <c r="X633" s="341" t="str">
        <f>IF(B633="","",COUNTIF($C$8:C633,C633)&amp;C633)</f>
        <v>0</v>
      </c>
    </row>
    <row r="634" spans="2:24" s="335" customFormat="1" ht="23.1" customHeight="1">
      <c r="B634" s="336">
        <v>44804</v>
      </c>
      <c r="C634" s="337"/>
      <c r="D634" s="337" t="s">
        <v>581</v>
      </c>
      <c r="E634" s="338"/>
      <c r="F634" s="338"/>
      <c r="G634" s="338"/>
      <c r="H634" s="338" t="s">
        <v>582</v>
      </c>
      <c r="I634" s="338" t="s">
        <v>579</v>
      </c>
      <c r="J634" s="339">
        <v>389703119</v>
      </c>
      <c r="L634" s="340">
        <f t="shared" si="336"/>
        <v>1</v>
      </c>
      <c r="M634" s="340" t="str">
        <f t="shared" si="337"/>
        <v>August</v>
      </c>
      <c r="N634" s="340" t="str">
        <f t="shared" si="338"/>
        <v/>
      </c>
      <c r="O634" s="340" t="str">
        <f>IF(N634="","",COUNTIF($N$8:N634,N634))</f>
        <v/>
      </c>
      <c r="P634" s="341" t="str">
        <f t="shared" si="339"/>
        <v>InBank</v>
      </c>
      <c r="Q634" s="341" t="str">
        <f t="shared" si="340"/>
        <v>inAugustBank</v>
      </c>
      <c r="R634" s="341" t="str">
        <f t="shared" si="341"/>
        <v>Kas</v>
      </c>
      <c r="S634" s="341" t="str">
        <f t="shared" si="342"/>
        <v>Bank</v>
      </c>
      <c r="T634" s="341" t="str">
        <f t="shared" si="343"/>
        <v/>
      </c>
      <c r="U634" s="341" t="str">
        <f>IF(AND(L634=1,bp_kode=T634,T634&lt;&gt;""),COUNTIF($T$8:T634,T634),"")</f>
        <v/>
      </c>
      <c r="V634" s="341" t="str">
        <f t="shared" si="344"/>
        <v/>
      </c>
      <c r="W634" s="341" t="str">
        <f t="shared" si="345"/>
        <v/>
      </c>
      <c r="X634" s="341" t="str">
        <f>IF(B634="","",COUNTIF($C$8:C634,C634)&amp;C634)</f>
        <v>0</v>
      </c>
    </row>
    <row r="635" spans="2:24" s="335" customFormat="1" ht="23.1" customHeight="1">
      <c r="B635" s="336">
        <v>44804</v>
      </c>
      <c r="C635" s="337"/>
      <c r="D635" s="337" t="s">
        <v>584</v>
      </c>
      <c r="E635" s="338"/>
      <c r="F635" s="338"/>
      <c r="G635" s="338"/>
      <c r="H635" s="338" t="s">
        <v>583</v>
      </c>
      <c r="I635" s="338" t="s">
        <v>561</v>
      </c>
      <c r="J635" s="339">
        <v>21000000</v>
      </c>
      <c r="L635" s="340">
        <f t="shared" si="336"/>
        <v>1</v>
      </c>
      <c r="M635" s="340" t="str">
        <f t="shared" si="337"/>
        <v>August</v>
      </c>
      <c r="N635" s="340" t="str">
        <f t="shared" si="338"/>
        <v/>
      </c>
      <c r="O635" s="340" t="str">
        <f>IF(N635="","",COUNTIF($N$8:N635,N635))</f>
        <v/>
      </c>
      <c r="P635" s="341" t="str">
        <f t="shared" si="339"/>
        <v>InAkun Piutang</v>
      </c>
      <c r="Q635" s="341" t="str">
        <f t="shared" si="340"/>
        <v>inAugustAkun Piutang</v>
      </c>
      <c r="R635" s="341" t="str">
        <f t="shared" si="341"/>
        <v>Bank</v>
      </c>
      <c r="S635" s="341" t="str">
        <f t="shared" si="342"/>
        <v>Akun Piutang</v>
      </c>
      <c r="T635" s="341">
        <f t="shared" si="343"/>
        <v>0</v>
      </c>
      <c r="U635" s="341" t="str">
        <f>IF(AND(L635=1,bp_kode=T635,T635&lt;&gt;""),COUNTIF($T$8:T635,T635),"")</f>
        <v/>
      </c>
      <c r="V635" s="341" t="str">
        <f t="shared" si="344"/>
        <v/>
      </c>
      <c r="W635" s="341" t="str">
        <f t="shared" si="345"/>
        <v/>
      </c>
      <c r="X635" s="341" t="str">
        <f>IF(B635="","",COUNTIF($C$8:C635,C635)&amp;C635)</f>
        <v>0</v>
      </c>
    </row>
    <row r="636" spans="2:24" s="335" customFormat="1" ht="23.1" customHeight="1">
      <c r="B636" s="336">
        <v>44804</v>
      </c>
      <c r="C636" s="337"/>
      <c r="D636" s="337" t="s">
        <v>730</v>
      </c>
      <c r="E636" s="338"/>
      <c r="F636" s="338"/>
      <c r="G636" s="338"/>
      <c r="H636" s="338" t="s">
        <v>583</v>
      </c>
      <c r="I636" s="338" t="s">
        <v>569</v>
      </c>
      <c r="J636" s="339">
        <v>2187456.7999999998</v>
      </c>
      <c r="L636" s="340">
        <f t="shared" si="336"/>
        <v>1</v>
      </c>
      <c r="M636" s="340" t="str">
        <f t="shared" si="337"/>
        <v>August</v>
      </c>
      <c r="N636" s="340" t="str">
        <f t="shared" si="338"/>
        <v/>
      </c>
      <c r="O636" s="340" t="str">
        <f>IF(N636="","",COUNTIF($N$8:N636,N636))</f>
        <v/>
      </c>
      <c r="P636" s="341" t="str">
        <f t="shared" si="339"/>
        <v>InPendapatan Lainnya</v>
      </c>
      <c r="Q636" s="341" t="str">
        <f t="shared" si="340"/>
        <v>inAugustPendapatan Lainnya</v>
      </c>
      <c r="R636" s="341" t="str">
        <f t="shared" si="341"/>
        <v>Bank</v>
      </c>
      <c r="S636" s="341" t="str">
        <f t="shared" si="342"/>
        <v>Pendapatan Lainnya</v>
      </c>
      <c r="T636" s="341" t="str">
        <f t="shared" si="343"/>
        <v/>
      </c>
      <c r="U636" s="341" t="str">
        <f>IF(AND(L636=1,bp_kode=T636,T636&lt;&gt;""),COUNTIF($T$8:T636,T636),"")</f>
        <v/>
      </c>
      <c r="V636" s="341" t="str">
        <f t="shared" si="344"/>
        <v>kr</v>
      </c>
      <c r="W636" s="341" t="str">
        <f t="shared" si="345"/>
        <v>kr</v>
      </c>
      <c r="X636" s="341" t="str">
        <f>IF(B636="","",COUNTIF($C$8:C636,C636)&amp;C636)</f>
        <v>0</v>
      </c>
    </row>
    <row r="637" spans="2:24" s="335" customFormat="1" ht="23.1" customHeight="1">
      <c r="B637" s="336">
        <v>44804</v>
      </c>
      <c r="C637" s="337"/>
      <c r="D637" s="337" t="s">
        <v>570</v>
      </c>
      <c r="E637" s="338"/>
      <c r="F637" s="338"/>
      <c r="G637" s="338"/>
      <c r="H637" s="338" t="s">
        <v>571</v>
      </c>
      <c r="I637" s="338" t="s">
        <v>583</v>
      </c>
      <c r="J637" s="339">
        <v>437491.36</v>
      </c>
      <c r="L637" s="340">
        <f t="shared" si="336"/>
        <v>1</v>
      </c>
      <c r="M637" s="340" t="str">
        <f t="shared" si="337"/>
        <v>August</v>
      </c>
      <c r="N637" s="340" t="str">
        <f t="shared" si="338"/>
        <v/>
      </c>
      <c r="O637" s="340" t="str">
        <f>IF(N637="","",COUNTIF($N$8:N637,N637))</f>
        <v/>
      </c>
      <c r="P637" s="341" t="str">
        <f t="shared" si="339"/>
        <v>outBeban Lainnya</v>
      </c>
      <c r="Q637" s="341" t="str">
        <f t="shared" si="340"/>
        <v>outAugustBeban Lainnya</v>
      </c>
      <c r="R637" s="341" t="str">
        <f t="shared" si="341"/>
        <v>Beban Lainnya</v>
      </c>
      <c r="S637" s="341" t="str">
        <f t="shared" si="342"/>
        <v>Bank</v>
      </c>
      <c r="T637" s="341" t="str">
        <f t="shared" si="343"/>
        <v/>
      </c>
      <c r="U637" s="341" t="str">
        <f>IF(AND(L637=1,bp_kode=T637,T637&lt;&gt;""),COUNTIF($T$8:T637,T637),"")</f>
        <v/>
      </c>
      <c r="V637" s="341" t="str">
        <f t="shared" si="344"/>
        <v>db</v>
      </c>
      <c r="W637" s="341" t="str">
        <f t="shared" si="345"/>
        <v>db</v>
      </c>
      <c r="X637" s="341" t="str">
        <f>IF(B637="","",COUNTIF($C$8:C637,C637)&amp;C637)</f>
        <v>0</v>
      </c>
    </row>
    <row r="638" spans="2:24" s="335" customFormat="1" ht="23.1" customHeight="1">
      <c r="B638" s="336">
        <v>44804</v>
      </c>
      <c r="C638" s="337"/>
      <c r="D638" s="337" t="s">
        <v>685</v>
      </c>
      <c r="E638" s="338"/>
      <c r="F638" s="338"/>
      <c r="G638" s="338"/>
      <c r="H638" s="338" t="s">
        <v>640</v>
      </c>
      <c r="I638" s="338" t="s">
        <v>583</v>
      </c>
      <c r="J638" s="339">
        <v>45000</v>
      </c>
      <c r="L638" s="340">
        <f t="shared" si="336"/>
        <v>1</v>
      </c>
      <c r="M638" s="340" t="str">
        <f t="shared" si="337"/>
        <v>August</v>
      </c>
      <c r="N638" s="340" t="str">
        <f t="shared" si="338"/>
        <v/>
      </c>
      <c r="O638" s="340" t="str">
        <f>IF(N638="","",COUNTIF($N$8:N638,N638))</f>
        <v/>
      </c>
      <c r="P638" s="341" t="str">
        <f t="shared" si="339"/>
        <v>outBeban Lainnya</v>
      </c>
      <c r="Q638" s="341" t="str">
        <f t="shared" si="340"/>
        <v>outAugustBeban Lainnya</v>
      </c>
      <c r="R638" s="341" t="str">
        <f t="shared" si="341"/>
        <v>Beban Lainnya</v>
      </c>
      <c r="S638" s="341" t="str">
        <f t="shared" si="342"/>
        <v>Bank</v>
      </c>
      <c r="T638" s="341" t="str">
        <f t="shared" si="343"/>
        <v/>
      </c>
      <c r="U638" s="341" t="str">
        <f>IF(AND(L638=1,bp_kode=T638,T638&lt;&gt;""),COUNTIF($T$8:T638,T638),"")</f>
        <v/>
      </c>
      <c r="V638" s="341" t="str">
        <f t="shared" si="344"/>
        <v>db</v>
      </c>
      <c r="W638" s="341" t="str">
        <f t="shared" si="345"/>
        <v>db</v>
      </c>
      <c r="X638" s="341" t="str">
        <f>IF(B638="","",COUNTIF($C$8:C638,C638)&amp;C638)</f>
        <v>0</v>
      </c>
    </row>
    <row r="639" spans="2:24" s="335" customFormat="1" ht="23.1" customHeight="1">
      <c r="B639" s="336">
        <v>44804</v>
      </c>
      <c r="C639" s="337"/>
      <c r="D639" s="337" t="s">
        <v>572</v>
      </c>
      <c r="E639" s="338"/>
      <c r="F639" s="338"/>
      <c r="G639" s="338"/>
      <c r="H639" s="338" t="s">
        <v>640</v>
      </c>
      <c r="I639" s="338" t="s">
        <v>586</v>
      </c>
      <c r="J639" s="339">
        <v>36500</v>
      </c>
      <c r="L639" s="340">
        <f t="shared" si="336"/>
        <v>1</v>
      </c>
      <c r="M639" s="340" t="str">
        <f t="shared" si="337"/>
        <v>August</v>
      </c>
      <c r="N639" s="340" t="str">
        <f t="shared" si="338"/>
        <v/>
      </c>
      <c r="O639" s="340" t="str">
        <f>IF(N639="","",COUNTIF($N$8:N639,N639))</f>
        <v/>
      </c>
      <c r="P639" s="341" t="str">
        <f t="shared" si="339"/>
        <v>outBeban Lainnya</v>
      </c>
      <c r="Q639" s="341" t="str">
        <f t="shared" si="340"/>
        <v>outAugustBeban Lainnya</v>
      </c>
      <c r="R639" s="341" t="str">
        <f t="shared" si="341"/>
        <v>Beban Lainnya</v>
      </c>
      <c r="S639" s="341" t="str">
        <f t="shared" si="342"/>
        <v>Bank</v>
      </c>
      <c r="T639" s="341" t="str">
        <f t="shared" si="343"/>
        <v/>
      </c>
      <c r="U639" s="341" t="str">
        <f>IF(AND(L639=1,bp_kode=T639,T639&lt;&gt;""),COUNTIF($T$8:T639,T639),"")</f>
        <v/>
      </c>
      <c r="V639" s="341" t="str">
        <f t="shared" si="344"/>
        <v>db</v>
      </c>
      <c r="W639" s="341" t="str">
        <f t="shared" si="345"/>
        <v>db</v>
      </c>
      <c r="X639" s="341" t="str">
        <f>IF(B639="","",COUNTIF($C$8:C639,C639)&amp;C639)</f>
        <v>0</v>
      </c>
    </row>
    <row r="640" spans="2:24" s="335" customFormat="1" ht="23.1" customHeight="1">
      <c r="B640" s="336">
        <v>44804</v>
      </c>
      <c r="C640" s="337"/>
      <c r="D640" s="337" t="s">
        <v>573</v>
      </c>
      <c r="E640" s="338"/>
      <c r="F640" s="338"/>
      <c r="G640" s="338"/>
      <c r="H640" s="338" t="s">
        <v>586</v>
      </c>
      <c r="I640" s="338" t="s">
        <v>559</v>
      </c>
      <c r="J640" s="339">
        <v>12593500</v>
      </c>
      <c r="L640" s="340">
        <f t="shared" si="336"/>
        <v>1</v>
      </c>
      <c r="M640" s="340" t="str">
        <f t="shared" si="337"/>
        <v>August</v>
      </c>
      <c r="N640" s="340" t="str">
        <f t="shared" si="338"/>
        <v/>
      </c>
      <c r="O640" s="340" t="str">
        <f>IF(N640="","",COUNTIF($N$8:N640,N640))</f>
        <v/>
      </c>
      <c r="P640" s="341" t="str">
        <f t="shared" si="339"/>
        <v>InAkun Piutang</v>
      </c>
      <c r="Q640" s="341" t="str">
        <f t="shared" si="340"/>
        <v>inAugustAkun Piutang</v>
      </c>
      <c r="R640" s="341" t="str">
        <f t="shared" si="341"/>
        <v>Bank</v>
      </c>
      <c r="S640" s="341" t="str">
        <f t="shared" si="342"/>
        <v>Akun Piutang</v>
      </c>
      <c r="T640" s="341">
        <f t="shared" si="343"/>
        <v>0</v>
      </c>
      <c r="U640" s="341" t="str">
        <f>IF(AND(L640=1,bp_kode=T640,T640&lt;&gt;""),COUNTIF($T$8:T640,T640),"")</f>
        <v/>
      </c>
      <c r="V640" s="341" t="str">
        <f t="shared" si="344"/>
        <v/>
      </c>
      <c r="W640" s="341" t="str">
        <f t="shared" si="345"/>
        <v/>
      </c>
      <c r="X640" s="341" t="str">
        <f>IF(B640="","",COUNTIF($C$8:C640,C640)&amp;C640)</f>
        <v>0</v>
      </c>
    </row>
    <row r="641" spans="2:24" s="335" customFormat="1" ht="23.1" customHeight="1">
      <c r="B641" s="336">
        <v>44804</v>
      </c>
      <c r="C641" s="337"/>
      <c r="D641" s="337" t="s">
        <v>552</v>
      </c>
      <c r="E641" s="338"/>
      <c r="F641" s="338"/>
      <c r="G641" s="338"/>
      <c r="H641" s="338" t="s">
        <v>554</v>
      </c>
      <c r="I641" s="338" t="s">
        <v>587</v>
      </c>
      <c r="J641" s="339">
        <v>6292000</v>
      </c>
      <c r="L641" s="340">
        <f t="shared" ref="L641:L663" si="346">IF(AND(B641&gt;=awal,B641&lt;=akhir,B641&lt;&gt;""),1,IF(AND(B641&lt;&gt;"",B641&lt;awal),2,""))</f>
        <v>1</v>
      </c>
      <c r="M641" s="340" t="str">
        <f t="shared" ref="M641:M663" si="347">IF(B641="","",TEXT(B641,"mmmm"))</f>
        <v>August</v>
      </c>
      <c r="N641" s="340" t="str">
        <f t="shared" ref="N641:N663" si="348">IF(AND(L641=1,H641=bb_akun),"Awe",IF(AND(L641=1,I641=bb_akun),"Awe",""))</f>
        <v/>
      </c>
      <c r="O641" s="340" t="str">
        <f>IF(N641="","",COUNTIF($N$8:N641,N641))</f>
        <v/>
      </c>
      <c r="P641" s="341" t="str">
        <f t="shared" ref="P641:P663" si="349">IFERROR(IF(OR(INDEX(akun_type,MATCH(H641,akun_kb,0))="Kas",INDEX(akun_type,MATCH(H641,akun_kb,0))="Bank"),"In"&amp;INDEX(akun_type,MATCH(I641,akun_kb,0)),IF(OR(INDEX(akun_type,MATCH(I641,akun_kb,0))="Kas",INDEX(akun_type,MATCH(I641,akun_kb,0))="Bank"),"out"&amp;INDEX(akun_type,MATCH(H641,akun_kb,0)),"")),"")</f>
        <v>InAkun Piutang</v>
      </c>
      <c r="Q641" s="341" t="str">
        <f t="shared" ref="Q641:Q663" si="350">IFERROR(IF(OR(INDEX(akun_type,MATCH(H641,akun_kb,0))="Kas",INDEX(akun_type,MATCH(H641,akun_kb,0))="Bank"),"in"&amp;TEXT(B641,"mmmm")&amp;INDEX(akun_type,MATCH(I641,akun_kb,0)),IF(OR(INDEX(akun_type,MATCH(I641,akun_kb,0))="Kas",INDEX(akun_type,MATCH(I641,akun_kb,0))="Bank"),"out"&amp;TEXT(B641,"mmmm")&amp;INDEX(akun_type,MATCH(H641,akun_kb,0)),"")),"")</f>
        <v>inAugustAkun Piutang</v>
      </c>
      <c r="R641" s="341" t="str">
        <f t="shared" ref="R641:R663" si="351">IFERROR(INDEX(akun_type,MATCH(H641,akun_kb,0)),"")</f>
        <v>Kas</v>
      </c>
      <c r="S641" s="341" t="str">
        <f t="shared" ref="S641:S663" si="352">IFERROR(INDEX(akun_type,MATCH(I641,akun_kb,0)),"")</f>
        <v>Akun Piutang</v>
      </c>
      <c r="T641" s="341">
        <f t="shared" ref="T641:T663" si="353">IF(AND(L641=1,OR(R641="Akun Piutang",R641="akun hutang",S641="akun piutang",S641="akun hutang")),E641,"")</f>
        <v>0</v>
      </c>
      <c r="U641" s="341" t="str">
        <f>IF(AND(L641=1,bp_kode=T641,T641&lt;&gt;""),COUNTIF($T$8:T641,T641),"")</f>
        <v/>
      </c>
      <c r="V641" s="341" t="str">
        <f t="shared" ref="V641:V663" si="354">IF(OR(R641="Pendapatan",R641="Pendapatan Lainnya",R641="Beban",R641="Harga Pokok Penjualan",R641="Beban Lainnya"),"db"&amp;F641,IF(OR(S641="Pendapatan",S641="Pendapatan Lainnya",S641="Beban",S641="Harga Pokok Penjualan",S641="Beban Lainnya"),"kr"&amp;F641,""))</f>
        <v/>
      </c>
      <c r="W641" s="341" t="str">
        <f t="shared" ref="W641:W663" si="355">IF(OR(R641="Pendapatan",R641="Pendapatan Lainnya",R641="Beban",R641="Harga Pokok Penjualan",R641="Beban Lainnya"),"db"&amp;G641,IF(OR(S641="Pendapatan",S641="Pendapatan Lainnya",S641="Beban",S641="Harga Pokok Penjualan",S641="Beban Lainnya"),"kr"&amp;G641,""))</f>
        <v/>
      </c>
      <c r="X641" s="341" t="str">
        <f>IF(B641="","",COUNTIF($C$8:C641,C641)&amp;C641)</f>
        <v>0</v>
      </c>
    </row>
    <row r="642" spans="2:24" s="335" customFormat="1" ht="23.1" customHeight="1">
      <c r="B642" s="336">
        <v>44804</v>
      </c>
      <c r="C642" s="337"/>
      <c r="D642" s="337" t="s">
        <v>589</v>
      </c>
      <c r="E642" s="338"/>
      <c r="F642" s="338"/>
      <c r="G642" s="338"/>
      <c r="H642" s="338" t="s">
        <v>554</v>
      </c>
      <c r="I642" s="338" t="s">
        <v>551</v>
      </c>
      <c r="J642" s="339">
        <v>679985500</v>
      </c>
      <c r="L642" s="340">
        <f t="shared" si="346"/>
        <v>1</v>
      </c>
      <c r="M642" s="340" t="str">
        <f t="shared" si="347"/>
        <v>August</v>
      </c>
      <c r="N642" s="340" t="str">
        <f t="shared" si="348"/>
        <v/>
      </c>
      <c r="O642" s="340" t="str">
        <f>IF(N642="","",COUNTIF($N$8:N642,N642))</f>
        <v/>
      </c>
      <c r="P642" s="341" t="str">
        <f t="shared" si="349"/>
        <v>InAkun Piutang</v>
      </c>
      <c r="Q642" s="341" t="str">
        <f t="shared" si="350"/>
        <v>inAugustAkun Piutang</v>
      </c>
      <c r="R642" s="341" t="str">
        <f t="shared" si="351"/>
        <v>Kas</v>
      </c>
      <c r="S642" s="341" t="str">
        <f t="shared" si="352"/>
        <v>Akun Piutang</v>
      </c>
      <c r="T642" s="341">
        <f t="shared" si="353"/>
        <v>0</v>
      </c>
      <c r="U642" s="341" t="str">
        <f>IF(AND(L642=1,bp_kode=T642,T642&lt;&gt;""),COUNTIF($T$8:T642,T642),"")</f>
        <v/>
      </c>
      <c r="V642" s="341" t="str">
        <f t="shared" si="354"/>
        <v/>
      </c>
      <c r="W642" s="341" t="str">
        <f t="shared" si="355"/>
        <v/>
      </c>
      <c r="X642" s="341" t="str">
        <f>IF(B642="","",COUNTIF($C$8:C642,C642)&amp;C642)</f>
        <v>0</v>
      </c>
    </row>
    <row r="643" spans="2:24" s="335" customFormat="1" ht="23.1" customHeight="1">
      <c r="B643" s="336">
        <v>44804</v>
      </c>
      <c r="C643" s="337"/>
      <c r="D643" s="337" t="s">
        <v>573</v>
      </c>
      <c r="E643" s="338"/>
      <c r="F643" s="338"/>
      <c r="G643" s="338"/>
      <c r="H643" s="338" t="s">
        <v>554</v>
      </c>
      <c r="I643" s="338" t="s">
        <v>559</v>
      </c>
      <c r="J643" s="339">
        <v>272725000</v>
      </c>
      <c r="L643" s="340">
        <f t="shared" ref="L643" si="356">IF(AND(B643&gt;=awal,B643&lt;=akhir,B643&lt;&gt;""),1,IF(AND(B643&lt;&gt;"",B643&lt;awal),2,""))</f>
        <v>1</v>
      </c>
      <c r="M643" s="340" t="str">
        <f t="shared" ref="M643" si="357">IF(B643="","",TEXT(B643,"mmmm"))</f>
        <v>August</v>
      </c>
      <c r="N643" s="340" t="str">
        <f t="shared" ref="N643" si="358">IF(AND(L643=1,H643=bb_akun),"Awe",IF(AND(L643=1,I643=bb_akun),"Awe",""))</f>
        <v/>
      </c>
      <c r="O643" s="340" t="str">
        <f>IF(N643="","",COUNTIF($N$8:N643,N643))</f>
        <v/>
      </c>
      <c r="P643" s="341" t="str">
        <f t="shared" ref="P643" si="359">IFERROR(IF(OR(INDEX(akun_type,MATCH(H643,akun_kb,0))="Kas",INDEX(akun_type,MATCH(H643,akun_kb,0))="Bank"),"In"&amp;INDEX(akun_type,MATCH(I643,akun_kb,0)),IF(OR(INDEX(akun_type,MATCH(I643,akun_kb,0))="Kas",INDEX(akun_type,MATCH(I643,akun_kb,0))="Bank"),"out"&amp;INDEX(akun_type,MATCH(H643,akun_kb,0)),"")),"")</f>
        <v>InAkun Piutang</v>
      </c>
      <c r="Q643" s="341" t="str">
        <f t="shared" ref="Q643" si="360">IFERROR(IF(OR(INDEX(akun_type,MATCH(H643,akun_kb,0))="Kas",INDEX(akun_type,MATCH(H643,akun_kb,0))="Bank"),"in"&amp;TEXT(B643,"mmmm")&amp;INDEX(akun_type,MATCH(I643,akun_kb,0)),IF(OR(INDEX(akun_type,MATCH(I643,akun_kb,0))="Kas",INDEX(akun_type,MATCH(I643,akun_kb,0))="Bank"),"out"&amp;TEXT(B643,"mmmm")&amp;INDEX(akun_type,MATCH(H643,akun_kb,0)),"")),"")</f>
        <v>inAugustAkun Piutang</v>
      </c>
      <c r="R643" s="341" t="str">
        <f t="shared" ref="R643" si="361">IFERROR(INDEX(akun_type,MATCH(H643,akun_kb,0)),"")</f>
        <v>Kas</v>
      </c>
      <c r="S643" s="341" t="str">
        <f t="shared" ref="S643" si="362">IFERROR(INDEX(akun_type,MATCH(I643,akun_kb,0)),"")</f>
        <v>Akun Piutang</v>
      </c>
      <c r="T643" s="341">
        <f t="shared" ref="T643" si="363">IF(AND(L643=1,OR(R643="Akun Piutang",R643="akun hutang",S643="akun piutang",S643="akun hutang")),E643,"")</f>
        <v>0</v>
      </c>
      <c r="U643" s="341" t="str">
        <f>IF(AND(L643=1,bp_kode=T643,T643&lt;&gt;""),COUNTIF($T$8:T643,T643),"")</f>
        <v/>
      </c>
      <c r="V643" s="341" t="str">
        <f t="shared" ref="V643" si="364">IF(OR(R643="Pendapatan",R643="Pendapatan Lainnya",R643="Beban",R643="Harga Pokok Penjualan",R643="Beban Lainnya"),"db"&amp;F643,IF(OR(S643="Pendapatan",S643="Pendapatan Lainnya",S643="Beban",S643="Harga Pokok Penjualan",S643="Beban Lainnya"),"kr"&amp;F643,""))</f>
        <v/>
      </c>
      <c r="W643" s="341" t="str">
        <f t="shared" ref="W643" si="365">IF(OR(R643="Pendapatan",R643="Pendapatan Lainnya",R643="Beban",R643="Harga Pokok Penjualan",R643="Beban Lainnya"),"db"&amp;G643,IF(OR(S643="Pendapatan",S643="Pendapatan Lainnya",S643="Beban",S643="Harga Pokok Penjualan",S643="Beban Lainnya"),"kr"&amp;G643,""))</f>
        <v/>
      </c>
      <c r="X643" s="341" t="str">
        <f>IF(B643="","",COUNTIF($C$8:C643,C643)&amp;C643)</f>
        <v>0</v>
      </c>
    </row>
    <row r="644" spans="2:24" s="335" customFormat="1" ht="23.1" customHeight="1">
      <c r="B644" s="336">
        <v>44804</v>
      </c>
      <c r="C644" s="337"/>
      <c r="D644" s="337" t="s">
        <v>728</v>
      </c>
      <c r="E644" s="338"/>
      <c r="F644" s="338"/>
      <c r="G644" s="338"/>
      <c r="H644" s="338" t="s">
        <v>554</v>
      </c>
      <c r="I644" s="338" t="s">
        <v>561</v>
      </c>
      <c r="J644" s="339">
        <v>22251000</v>
      </c>
      <c r="L644" s="340">
        <f t="shared" si="346"/>
        <v>1</v>
      </c>
      <c r="M644" s="340" t="str">
        <f t="shared" si="347"/>
        <v>August</v>
      </c>
      <c r="N644" s="340" t="str">
        <f t="shared" si="348"/>
        <v/>
      </c>
      <c r="O644" s="340" t="str">
        <f>IF(N644="","",COUNTIF($N$8:N644,N644))</f>
        <v/>
      </c>
      <c r="P644" s="341" t="str">
        <f t="shared" si="349"/>
        <v>InAkun Piutang</v>
      </c>
      <c r="Q644" s="341" t="str">
        <f t="shared" si="350"/>
        <v>inAugustAkun Piutang</v>
      </c>
      <c r="R644" s="341" t="str">
        <f t="shared" si="351"/>
        <v>Kas</v>
      </c>
      <c r="S644" s="341" t="str">
        <f t="shared" si="352"/>
        <v>Akun Piutang</v>
      </c>
      <c r="T644" s="341">
        <f t="shared" si="353"/>
        <v>0</v>
      </c>
      <c r="U644" s="341" t="str">
        <f>IF(AND(L644=1,bp_kode=T644,T644&lt;&gt;""),COUNTIF($T$8:T644,T644),"")</f>
        <v/>
      </c>
      <c r="V644" s="341" t="str">
        <f t="shared" si="354"/>
        <v/>
      </c>
      <c r="W644" s="341" t="str">
        <f t="shared" si="355"/>
        <v/>
      </c>
      <c r="X644" s="341" t="str">
        <f>IF(B644="","",COUNTIF($C$8:C644,C644)&amp;C644)</f>
        <v>0</v>
      </c>
    </row>
    <row r="645" spans="2:24" s="335" customFormat="1" ht="23.1" customHeight="1">
      <c r="B645" s="336">
        <v>44804</v>
      </c>
      <c r="C645" s="337"/>
      <c r="D645" s="337" t="s">
        <v>590</v>
      </c>
      <c r="E645" s="338"/>
      <c r="F645" s="338"/>
      <c r="G645" s="338"/>
      <c r="H645" s="338" t="s">
        <v>586</v>
      </c>
      <c r="I645" s="338" t="s">
        <v>554</v>
      </c>
      <c r="J645" s="339">
        <v>910539500</v>
      </c>
      <c r="L645" s="340">
        <f t="shared" si="346"/>
        <v>1</v>
      </c>
      <c r="M645" s="340" t="str">
        <f t="shared" si="347"/>
        <v>August</v>
      </c>
      <c r="N645" s="340" t="str">
        <f t="shared" si="348"/>
        <v/>
      </c>
      <c r="O645" s="340" t="str">
        <f>IF(N645="","",COUNTIF($N$8:N645,N645))</f>
        <v/>
      </c>
      <c r="P645" s="341" t="str">
        <f t="shared" si="349"/>
        <v>InKas</v>
      </c>
      <c r="Q645" s="341" t="str">
        <f t="shared" si="350"/>
        <v>inAugustKas</v>
      </c>
      <c r="R645" s="341" t="str">
        <f t="shared" si="351"/>
        <v>Bank</v>
      </c>
      <c r="S645" s="341" t="str">
        <f t="shared" si="352"/>
        <v>Kas</v>
      </c>
      <c r="T645" s="341" t="str">
        <f t="shared" si="353"/>
        <v/>
      </c>
      <c r="U645" s="341" t="str">
        <f>IF(AND(L645=1,bp_kode=T645,T645&lt;&gt;""),COUNTIF($T$8:T645,T645),"")</f>
        <v/>
      </c>
      <c r="V645" s="341" t="str">
        <f t="shared" si="354"/>
        <v/>
      </c>
      <c r="W645" s="341" t="str">
        <f t="shared" si="355"/>
        <v/>
      </c>
      <c r="X645" s="341" t="str">
        <f>IF(B645="","",COUNTIF($C$8:C645,C645)&amp;C645)</f>
        <v>0</v>
      </c>
    </row>
    <row r="646" spans="2:24" s="335" customFormat="1" ht="23.1" customHeight="1">
      <c r="B646" s="336">
        <v>44804</v>
      </c>
      <c r="C646" s="337"/>
      <c r="D646" s="337" t="s">
        <v>591</v>
      </c>
      <c r="E646" s="338"/>
      <c r="F646" s="338"/>
      <c r="G646" s="338"/>
      <c r="H646" s="338" t="s">
        <v>582</v>
      </c>
      <c r="I646" s="338" t="s">
        <v>586</v>
      </c>
      <c r="J646" s="339">
        <v>654978044</v>
      </c>
      <c r="L646" s="340">
        <f t="shared" si="346"/>
        <v>1</v>
      </c>
      <c r="M646" s="340" t="str">
        <f t="shared" si="347"/>
        <v>August</v>
      </c>
      <c r="N646" s="340" t="str">
        <f t="shared" si="348"/>
        <v/>
      </c>
      <c r="O646" s="340" t="str">
        <f>IF(N646="","",COUNTIF($N$8:N646,N646))</f>
        <v/>
      </c>
      <c r="P646" s="341" t="str">
        <f t="shared" si="349"/>
        <v>InBank</v>
      </c>
      <c r="Q646" s="341" t="str">
        <f t="shared" si="350"/>
        <v>inAugustBank</v>
      </c>
      <c r="R646" s="341" t="str">
        <f t="shared" si="351"/>
        <v>Kas</v>
      </c>
      <c r="S646" s="341" t="str">
        <f t="shared" si="352"/>
        <v>Bank</v>
      </c>
      <c r="T646" s="341" t="str">
        <f t="shared" si="353"/>
        <v/>
      </c>
      <c r="U646" s="341" t="str">
        <f>IF(AND(L646=1,bp_kode=T646,T646&lt;&gt;""),COUNTIF($T$8:T646,T646),"")</f>
        <v/>
      </c>
      <c r="V646" s="341" t="str">
        <f t="shared" si="354"/>
        <v/>
      </c>
      <c r="W646" s="341" t="str">
        <f t="shared" si="355"/>
        <v/>
      </c>
      <c r="X646" s="341" t="str">
        <f>IF(B646="","",COUNTIF($C$8:C646,C646)&amp;C646)</f>
        <v>0</v>
      </c>
    </row>
    <row r="647" spans="2:24" s="335" customFormat="1" ht="23.1" customHeight="1">
      <c r="B647" s="336">
        <v>44804</v>
      </c>
      <c r="C647" s="337"/>
      <c r="D647" s="337" t="s">
        <v>729</v>
      </c>
      <c r="E647" s="338"/>
      <c r="F647" s="338"/>
      <c r="G647" s="338"/>
      <c r="H647" s="338" t="s">
        <v>592</v>
      </c>
      <c r="I647" s="338" t="s">
        <v>569</v>
      </c>
      <c r="J647" s="339">
        <v>17496</v>
      </c>
      <c r="L647" s="340">
        <f t="shared" si="346"/>
        <v>1</v>
      </c>
      <c r="M647" s="340" t="str">
        <f t="shared" si="347"/>
        <v>August</v>
      </c>
      <c r="N647" s="340" t="str">
        <f t="shared" si="348"/>
        <v/>
      </c>
      <c r="O647" s="340" t="str">
        <f>IF(N647="","",COUNTIF($N$8:N647,N647))</f>
        <v/>
      </c>
      <c r="P647" s="341" t="str">
        <f t="shared" si="349"/>
        <v>InPendapatan Lainnya</v>
      </c>
      <c r="Q647" s="341" t="str">
        <f t="shared" si="350"/>
        <v>inAugustPendapatan Lainnya</v>
      </c>
      <c r="R647" s="341" t="str">
        <f t="shared" si="351"/>
        <v>Bank</v>
      </c>
      <c r="S647" s="341" t="str">
        <f t="shared" si="352"/>
        <v>Pendapatan Lainnya</v>
      </c>
      <c r="T647" s="341" t="str">
        <f t="shared" si="353"/>
        <v/>
      </c>
      <c r="U647" s="341" t="str">
        <f>IF(AND(L647=1,bp_kode=T647,T647&lt;&gt;""),COUNTIF($T$8:T647,T647),"")</f>
        <v/>
      </c>
      <c r="V647" s="341" t="str">
        <f t="shared" si="354"/>
        <v>kr</v>
      </c>
      <c r="W647" s="341" t="str">
        <f t="shared" si="355"/>
        <v>kr</v>
      </c>
      <c r="X647" s="341" t="str">
        <f>IF(B647="","",COUNTIF($C$8:C647,C647)&amp;C647)</f>
        <v>0</v>
      </c>
    </row>
    <row r="648" spans="2:24" s="335" customFormat="1" ht="23.1" customHeight="1">
      <c r="B648" s="336">
        <v>44804</v>
      </c>
      <c r="C648" s="337"/>
      <c r="D648" s="337" t="s">
        <v>570</v>
      </c>
      <c r="E648" s="338"/>
      <c r="F648" s="338"/>
      <c r="G648" s="338"/>
      <c r="H648" s="338" t="s">
        <v>571</v>
      </c>
      <c r="I648" s="338" t="s">
        <v>592</v>
      </c>
      <c r="J648" s="339">
        <v>3500</v>
      </c>
      <c r="L648" s="340">
        <f t="shared" si="346"/>
        <v>1</v>
      </c>
      <c r="M648" s="340" t="str">
        <f t="shared" si="347"/>
        <v>August</v>
      </c>
      <c r="N648" s="340" t="str">
        <f t="shared" si="348"/>
        <v/>
      </c>
      <c r="O648" s="340" t="str">
        <f>IF(N648="","",COUNTIF($N$8:N648,N648))</f>
        <v/>
      </c>
      <c r="P648" s="341" t="str">
        <f t="shared" si="349"/>
        <v>outBeban Lainnya</v>
      </c>
      <c r="Q648" s="341" t="str">
        <f t="shared" si="350"/>
        <v>outAugustBeban Lainnya</v>
      </c>
      <c r="R648" s="341" t="str">
        <f t="shared" si="351"/>
        <v>Beban Lainnya</v>
      </c>
      <c r="S648" s="341" t="str">
        <f t="shared" si="352"/>
        <v>Bank</v>
      </c>
      <c r="T648" s="341" t="str">
        <f t="shared" si="353"/>
        <v/>
      </c>
      <c r="U648" s="341" t="str">
        <f>IF(AND(L648=1,bp_kode=T648,T648&lt;&gt;""),COUNTIF($T$8:T648,T648),"")</f>
        <v/>
      </c>
      <c r="V648" s="341" t="str">
        <f t="shared" si="354"/>
        <v>db</v>
      </c>
      <c r="W648" s="341" t="str">
        <f t="shared" si="355"/>
        <v>db</v>
      </c>
      <c r="X648" s="341" t="str">
        <f>IF(B648="","",COUNTIF($C$8:C648,C648)&amp;C648)</f>
        <v>0</v>
      </c>
    </row>
    <row r="649" spans="2:24" s="335" customFormat="1" ht="23.1" customHeight="1">
      <c r="B649" s="336">
        <v>44804</v>
      </c>
      <c r="C649" s="337"/>
      <c r="D649" s="337" t="s">
        <v>572</v>
      </c>
      <c r="E649" s="338"/>
      <c r="F649" s="338"/>
      <c r="G649" s="338"/>
      <c r="H649" s="338" t="s">
        <v>640</v>
      </c>
      <c r="I649" s="338" t="s">
        <v>592</v>
      </c>
      <c r="J649" s="339">
        <v>25000</v>
      </c>
      <c r="L649" s="340">
        <f t="shared" si="346"/>
        <v>1</v>
      </c>
      <c r="M649" s="340" t="str">
        <f t="shared" si="347"/>
        <v>August</v>
      </c>
      <c r="N649" s="340" t="str">
        <f t="shared" si="348"/>
        <v/>
      </c>
      <c r="O649" s="340" t="str">
        <f>IF(N649="","",COUNTIF($N$8:N649,N649))</f>
        <v/>
      </c>
      <c r="P649" s="341" t="str">
        <f t="shared" si="349"/>
        <v>outBeban Lainnya</v>
      </c>
      <c r="Q649" s="341" t="str">
        <f t="shared" si="350"/>
        <v>outAugustBeban Lainnya</v>
      </c>
      <c r="R649" s="341" t="str">
        <f t="shared" si="351"/>
        <v>Beban Lainnya</v>
      </c>
      <c r="S649" s="341" t="str">
        <f t="shared" si="352"/>
        <v>Bank</v>
      </c>
      <c r="T649" s="341" t="str">
        <f t="shared" si="353"/>
        <v/>
      </c>
      <c r="U649" s="341" t="str">
        <f>IF(AND(L649=1,bp_kode=T649,T649&lt;&gt;""),COUNTIF($T$8:T649,T649),"")</f>
        <v/>
      </c>
      <c r="V649" s="341" t="str">
        <f t="shared" si="354"/>
        <v>db</v>
      </c>
      <c r="W649" s="341" t="str">
        <f t="shared" si="355"/>
        <v>db</v>
      </c>
      <c r="X649" s="341" t="str">
        <f>IF(B649="","",COUNTIF($C$8:C649,C649)&amp;C649)</f>
        <v>0</v>
      </c>
    </row>
    <row r="650" spans="2:24" s="335" customFormat="1" ht="23.1" customHeight="1">
      <c r="B650" s="336">
        <v>44804</v>
      </c>
      <c r="C650" s="337"/>
      <c r="D650" s="337" t="s">
        <v>573</v>
      </c>
      <c r="E650" s="338"/>
      <c r="F650" s="338"/>
      <c r="G650" s="338"/>
      <c r="H650" s="338" t="s">
        <v>592</v>
      </c>
      <c r="I650" s="338" t="s">
        <v>559</v>
      </c>
      <c r="J650" s="339">
        <v>800000</v>
      </c>
      <c r="L650" s="340">
        <f t="shared" si="346"/>
        <v>1</v>
      </c>
      <c r="M650" s="340" t="str">
        <f t="shared" si="347"/>
        <v>August</v>
      </c>
      <c r="N650" s="340" t="str">
        <f t="shared" si="348"/>
        <v/>
      </c>
      <c r="O650" s="340" t="str">
        <f>IF(N650="","",COUNTIF($N$8:N650,N650))</f>
        <v/>
      </c>
      <c r="P650" s="341" t="str">
        <f t="shared" si="349"/>
        <v>InAkun Piutang</v>
      </c>
      <c r="Q650" s="341" t="str">
        <f t="shared" si="350"/>
        <v>inAugustAkun Piutang</v>
      </c>
      <c r="R650" s="341" t="str">
        <f t="shared" si="351"/>
        <v>Bank</v>
      </c>
      <c r="S650" s="341" t="str">
        <f t="shared" si="352"/>
        <v>Akun Piutang</v>
      </c>
      <c r="T650" s="341">
        <f t="shared" si="353"/>
        <v>0</v>
      </c>
      <c r="U650" s="341" t="str">
        <f>IF(AND(L650=1,bp_kode=T650,T650&lt;&gt;""),COUNTIF($T$8:T650,T650),"")</f>
        <v/>
      </c>
      <c r="V650" s="341" t="str">
        <f t="shared" si="354"/>
        <v/>
      </c>
      <c r="W650" s="341" t="str">
        <f t="shared" si="355"/>
        <v/>
      </c>
      <c r="X650" s="341" t="str">
        <f>IF(B650="","",COUNTIF($C$8:C650,C650)&amp;C650)</f>
        <v>0</v>
      </c>
    </row>
    <row r="651" spans="2:24" s="335" customFormat="1" ht="23.1" customHeight="1">
      <c r="B651" s="336">
        <v>44804</v>
      </c>
      <c r="C651" s="337"/>
      <c r="D651" s="337" t="s">
        <v>572</v>
      </c>
      <c r="E651" s="338"/>
      <c r="F651" s="338"/>
      <c r="G651" s="338"/>
      <c r="H651" s="338" t="s">
        <v>640</v>
      </c>
      <c r="I651" s="338" t="s">
        <v>593</v>
      </c>
      <c r="J651" s="339">
        <v>36500</v>
      </c>
      <c r="L651" s="340">
        <f t="shared" si="346"/>
        <v>1</v>
      </c>
      <c r="M651" s="340" t="str">
        <f t="shared" si="347"/>
        <v>August</v>
      </c>
      <c r="N651" s="340" t="str">
        <f t="shared" si="348"/>
        <v/>
      </c>
      <c r="O651" s="340" t="str">
        <f>IF(N651="","",COUNTIF($N$8:N651,N651))</f>
        <v/>
      </c>
      <c r="P651" s="341" t="str">
        <f t="shared" si="349"/>
        <v>outBeban Lainnya</v>
      </c>
      <c r="Q651" s="341" t="str">
        <f t="shared" si="350"/>
        <v>outAugustBeban Lainnya</v>
      </c>
      <c r="R651" s="341" t="str">
        <f t="shared" si="351"/>
        <v>Beban Lainnya</v>
      </c>
      <c r="S651" s="341" t="str">
        <f t="shared" si="352"/>
        <v>Bank</v>
      </c>
      <c r="T651" s="341" t="str">
        <f t="shared" si="353"/>
        <v/>
      </c>
      <c r="U651" s="341" t="str">
        <f>IF(AND(L651=1,bp_kode=T651,T651&lt;&gt;""),COUNTIF($T$8:T651,T651),"")</f>
        <v/>
      </c>
      <c r="V651" s="341" t="str">
        <f t="shared" si="354"/>
        <v>db</v>
      </c>
      <c r="W651" s="341" t="str">
        <f t="shared" si="355"/>
        <v>db</v>
      </c>
      <c r="X651" s="341" t="str">
        <f>IF(B651="","",COUNTIF($C$8:C651,C651)&amp;C651)</f>
        <v>0</v>
      </c>
    </row>
    <row r="652" spans="2:24" s="335" customFormat="1" ht="23.1" customHeight="1">
      <c r="B652" s="336">
        <v>44804</v>
      </c>
      <c r="C652" s="337"/>
      <c r="D652" s="337" t="s">
        <v>595</v>
      </c>
      <c r="E652" s="338"/>
      <c r="F652" s="338"/>
      <c r="G652" s="338"/>
      <c r="H652" s="338" t="s">
        <v>594</v>
      </c>
      <c r="I652" s="338" t="s">
        <v>582</v>
      </c>
      <c r="J652" s="339">
        <v>12800563</v>
      </c>
      <c r="L652" s="340">
        <f t="shared" si="346"/>
        <v>1</v>
      </c>
      <c r="M652" s="340" t="str">
        <f t="shared" si="347"/>
        <v>August</v>
      </c>
      <c r="N652" s="340" t="str">
        <f t="shared" si="348"/>
        <v/>
      </c>
      <c r="O652" s="340" t="str">
        <f>IF(N652="","",COUNTIF($N$8:N652,N652))</f>
        <v/>
      </c>
      <c r="P652" s="341" t="str">
        <f t="shared" si="349"/>
        <v>outAktiva Lancar Lainnya</v>
      </c>
      <c r="Q652" s="341" t="str">
        <f t="shared" si="350"/>
        <v>outAugustAktiva Lancar Lainnya</v>
      </c>
      <c r="R652" s="341" t="str">
        <f t="shared" si="351"/>
        <v>Aktiva Lancar Lainnya</v>
      </c>
      <c r="S652" s="341" t="str">
        <f t="shared" si="352"/>
        <v>Kas</v>
      </c>
      <c r="T652" s="341" t="str">
        <f t="shared" si="353"/>
        <v/>
      </c>
      <c r="U652" s="341" t="str">
        <f>IF(AND(L652=1,bp_kode=T652,T652&lt;&gt;""),COUNTIF($T$8:T652,T652),"")</f>
        <v/>
      </c>
      <c r="V652" s="341" t="str">
        <f t="shared" si="354"/>
        <v/>
      </c>
      <c r="W652" s="341" t="str">
        <f t="shared" si="355"/>
        <v/>
      </c>
      <c r="X652" s="341" t="str">
        <f>IF(B652="","",COUNTIF($C$8:C652,C652)&amp;C652)</f>
        <v>0</v>
      </c>
    </row>
    <row r="653" spans="2:24" s="335" customFormat="1" ht="23.1" customHeight="1">
      <c r="B653" s="336">
        <v>44804</v>
      </c>
      <c r="C653" s="337"/>
      <c r="D653" s="337" t="s">
        <v>598</v>
      </c>
      <c r="E653" s="338"/>
      <c r="F653" s="338"/>
      <c r="G653" s="338"/>
      <c r="H653" s="338" t="s">
        <v>599</v>
      </c>
      <c r="I653" s="338" t="s">
        <v>582</v>
      </c>
      <c r="J653" s="339">
        <v>5050000</v>
      </c>
      <c r="L653" s="340">
        <f t="shared" si="346"/>
        <v>1</v>
      </c>
      <c r="M653" s="340" t="str">
        <f t="shared" si="347"/>
        <v>August</v>
      </c>
      <c r="N653" s="340" t="str">
        <f t="shared" si="348"/>
        <v/>
      </c>
      <c r="O653" s="340" t="str">
        <f>IF(N653="","",COUNTIF($N$8:N653,N653))</f>
        <v/>
      </c>
      <c r="P653" s="341" t="str">
        <f t="shared" si="349"/>
        <v>outAkun Hutang</v>
      </c>
      <c r="Q653" s="341" t="str">
        <f t="shared" si="350"/>
        <v>outAugustAkun Hutang</v>
      </c>
      <c r="R653" s="341" t="str">
        <f t="shared" si="351"/>
        <v>Akun Hutang</v>
      </c>
      <c r="S653" s="341" t="str">
        <f t="shared" si="352"/>
        <v>Kas</v>
      </c>
      <c r="T653" s="341">
        <f t="shared" si="353"/>
        <v>0</v>
      </c>
      <c r="U653" s="341" t="str">
        <f>IF(AND(L653=1,bp_kode=T653,T653&lt;&gt;""),COUNTIF($T$8:T653,T653),"")</f>
        <v/>
      </c>
      <c r="V653" s="341" t="str">
        <f t="shared" si="354"/>
        <v/>
      </c>
      <c r="W653" s="341" t="str">
        <f t="shared" si="355"/>
        <v/>
      </c>
      <c r="X653" s="341" t="str">
        <f>IF(B653="","",COUNTIF($C$8:C653,C653)&amp;C653)</f>
        <v>0</v>
      </c>
    </row>
    <row r="654" spans="2:24" s="335" customFormat="1" ht="23.1" customHeight="1">
      <c r="B654" s="336">
        <v>44804</v>
      </c>
      <c r="C654" s="337"/>
      <c r="D654" s="337" t="s">
        <v>752</v>
      </c>
      <c r="E654" s="338"/>
      <c r="F654" s="338"/>
      <c r="G654" s="338"/>
      <c r="H654" s="338" t="s">
        <v>828</v>
      </c>
      <c r="I654" s="338" t="s">
        <v>582</v>
      </c>
      <c r="J654" s="339">
        <v>203797256</v>
      </c>
      <c r="L654" s="340">
        <f t="shared" si="346"/>
        <v>1</v>
      </c>
      <c r="M654" s="340" t="str">
        <f t="shared" si="347"/>
        <v>August</v>
      </c>
      <c r="N654" s="340" t="str">
        <f t="shared" si="348"/>
        <v/>
      </c>
      <c r="O654" s="340" t="str">
        <f>IF(N654="","",COUNTIF($N$8:N654,N654))</f>
        <v/>
      </c>
      <c r="P654" s="341" t="str">
        <f t="shared" si="349"/>
        <v>outKewajiban Lancar Lainnya</v>
      </c>
      <c r="Q654" s="341" t="str">
        <f t="shared" si="350"/>
        <v>outAugustKewajiban Lancar Lainnya</v>
      </c>
      <c r="R654" s="341" t="str">
        <f t="shared" si="351"/>
        <v>Kewajiban Lancar Lainnya</v>
      </c>
      <c r="S654" s="341" t="str">
        <f t="shared" si="352"/>
        <v>Kas</v>
      </c>
      <c r="T654" s="341" t="str">
        <f t="shared" si="353"/>
        <v/>
      </c>
      <c r="U654" s="341" t="str">
        <f>IF(AND(L654=1,bp_kode=T654,T654&lt;&gt;""),COUNTIF($T$8:T654,T654),"")</f>
        <v/>
      </c>
      <c r="V654" s="341" t="str">
        <f t="shared" si="354"/>
        <v/>
      </c>
      <c r="W654" s="341" t="str">
        <f t="shared" si="355"/>
        <v/>
      </c>
      <c r="X654" s="341" t="str">
        <f>IF(B654="","",COUNTIF($C$8:C654,C654)&amp;C654)</f>
        <v>0</v>
      </c>
    </row>
    <row r="655" spans="2:24" s="335" customFormat="1" ht="23.1" customHeight="1">
      <c r="B655" s="336">
        <v>44804</v>
      </c>
      <c r="C655" s="337"/>
      <c r="D655" s="337" t="s">
        <v>604</v>
      </c>
      <c r="E655" s="338"/>
      <c r="F655" s="338"/>
      <c r="G655" s="338"/>
      <c r="H655" s="338" t="s">
        <v>602</v>
      </c>
      <c r="I655" s="338" t="s">
        <v>582</v>
      </c>
      <c r="J655" s="339">
        <v>4085900</v>
      </c>
      <c r="L655" s="340">
        <f t="shared" si="346"/>
        <v>1</v>
      </c>
      <c r="M655" s="340" t="str">
        <f t="shared" si="347"/>
        <v>August</v>
      </c>
      <c r="N655" s="340" t="str">
        <f t="shared" si="348"/>
        <v/>
      </c>
      <c r="O655" s="340" t="str">
        <f>IF(N655="","",COUNTIF($N$8:N655,N655))</f>
        <v/>
      </c>
      <c r="P655" s="341" t="str">
        <f t="shared" si="349"/>
        <v>outHarga Pokok Penjualan</v>
      </c>
      <c r="Q655" s="341" t="str">
        <f t="shared" si="350"/>
        <v>outAugustHarga Pokok Penjualan</v>
      </c>
      <c r="R655" s="341" t="str">
        <f t="shared" si="351"/>
        <v>Harga Pokok Penjualan</v>
      </c>
      <c r="S655" s="341" t="str">
        <f t="shared" si="352"/>
        <v>Kas</v>
      </c>
      <c r="T655" s="341" t="str">
        <f t="shared" si="353"/>
        <v/>
      </c>
      <c r="U655" s="341" t="str">
        <f>IF(AND(L655=1,bp_kode=T655,T655&lt;&gt;""),COUNTIF($T$8:T655,T655),"")</f>
        <v/>
      </c>
      <c r="V655" s="341" t="str">
        <f t="shared" si="354"/>
        <v>db</v>
      </c>
      <c r="W655" s="341" t="str">
        <f t="shared" si="355"/>
        <v>db</v>
      </c>
      <c r="X655" s="341" t="str">
        <f>IF(B655="","",COUNTIF($C$8:C655,C655)&amp;C655)</f>
        <v>0</v>
      </c>
    </row>
    <row r="656" spans="2:24" s="335" customFormat="1" ht="23.1" customHeight="1">
      <c r="B656" s="336">
        <v>44804</v>
      </c>
      <c r="C656" s="337"/>
      <c r="D656" s="337" t="s">
        <v>605</v>
      </c>
      <c r="E656" s="338"/>
      <c r="F656" s="338"/>
      <c r="G656" s="338"/>
      <c r="H656" s="338" t="s">
        <v>603</v>
      </c>
      <c r="I656" s="338" t="s">
        <v>582</v>
      </c>
      <c r="J656" s="339">
        <v>8001250</v>
      </c>
      <c r="L656" s="340">
        <f t="shared" si="346"/>
        <v>1</v>
      </c>
      <c r="M656" s="340" t="str">
        <f t="shared" si="347"/>
        <v>August</v>
      </c>
      <c r="N656" s="340" t="str">
        <f t="shared" si="348"/>
        <v/>
      </c>
      <c r="O656" s="340" t="str">
        <f>IF(N656="","",COUNTIF($N$8:N656,N656))</f>
        <v/>
      </c>
      <c r="P656" s="341" t="str">
        <f t="shared" si="349"/>
        <v>outHarga Pokok Penjualan</v>
      </c>
      <c r="Q656" s="341" t="str">
        <f t="shared" si="350"/>
        <v>outAugustHarga Pokok Penjualan</v>
      </c>
      <c r="R656" s="341" t="str">
        <f t="shared" si="351"/>
        <v>Harga Pokok Penjualan</v>
      </c>
      <c r="S656" s="341" t="str">
        <f t="shared" si="352"/>
        <v>Kas</v>
      </c>
      <c r="T656" s="341" t="str">
        <f t="shared" si="353"/>
        <v/>
      </c>
      <c r="U656" s="341" t="str">
        <f>IF(AND(L656=1,bp_kode=T656,T656&lt;&gt;""),COUNTIF($T$8:T656,T656),"")</f>
        <v/>
      </c>
      <c r="V656" s="341" t="str">
        <f t="shared" si="354"/>
        <v>db</v>
      </c>
      <c r="W656" s="341" t="str">
        <f t="shared" si="355"/>
        <v>db</v>
      </c>
      <c r="X656" s="341" t="str">
        <f>IF(B656="","",COUNTIF($C$8:C656,C656)&amp;C656)</f>
        <v>0</v>
      </c>
    </row>
    <row r="657" spans="2:24" s="335" customFormat="1" ht="23.1" customHeight="1">
      <c r="B657" s="336">
        <v>44804</v>
      </c>
      <c r="C657" s="337"/>
      <c r="D657" s="337" t="s">
        <v>609</v>
      </c>
      <c r="E657" s="338"/>
      <c r="F657" s="338"/>
      <c r="G657" s="338"/>
      <c r="H657" s="338" t="s">
        <v>606</v>
      </c>
      <c r="I657" s="338" t="s">
        <v>582</v>
      </c>
      <c r="J657" s="339">
        <v>4000000</v>
      </c>
      <c r="L657" s="340">
        <f t="shared" si="346"/>
        <v>1</v>
      </c>
      <c r="M657" s="340" t="str">
        <f t="shared" si="347"/>
        <v>August</v>
      </c>
      <c r="N657" s="340" t="str">
        <f t="shared" si="348"/>
        <v/>
      </c>
      <c r="O657" s="340" t="str">
        <f>IF(N657="","",COUNTIF($N$8:N657,N657))</f>
        <v/>
      </c>
      <c r="P657" s="341" t="str">
        <f t="shared" si="349"/>
        <v>outHarga Pokok Penjualan</v>
      </c>
      <c r="Q657" s="341" t="str">
        <f t="shared" si="350"/>
        <v>outAugustHarga Pokok Penjualan</v>
      </c>
      <c r="R657" s="341" t="str">
        <f t="shared" si="351"/>
        <v>Harga Pokok Penjualan</v>
      </c>
      <c r="S657" s="341" t="str">
        <f t="shared" si="352"/>
        <v>Kas</v>
      </c>
      <c r="T657" s="341" t="str">
        <f t="shared" si="353"/>
        <v/>
      </c>
      <c r="U657" s="341" t="str">
        <f>IF(AND(L657=1,bp_kode=T657,T657&lt;&gt;""),COUNTIF($T$8:T657,T657),"")</f>
        <v/>
      </c>
      <c r="V657" s="341" t="str">
        <f t="shared" si="354"/>
        <v>db</v>
      </c>
      <c r="W657" s="341" t="str">
        <f t="shared" si="355"/>
        <v>db</v>
      </c>
      <c r="X657" s="341" t="str">
        <f>IF(B657="","",COUNTIF($C$8:C657,C657)&amp;C657)</f>
        <v>0</v>
      </c>
    </row>
    <row r="658" spans="2:24" s="335" customFormat="1" ht="23.1" customHeight="1">
      <c r="B658" s="336">
        <v>44804</v>
      </c>
      <c r="C658" s="337"/>
      <c r="D658" s="337" t="s">
        <v>610</v>
      </c>
      <c r="E658" s="338"/>
      <c r="F658" s="338"/>
      <c r="G658" s="338"/>
      <c r="H658" s="338" t="s">
        <v>607</v>
      </c>
      <c r="I658" s="338" t="s">
        <v>582</v>
      </c>
      <c r="J658" s="339">
        <v>8121500</v>
      </c>
      <c r="L658" s="340">
        <f t="shared" si="346"/>
        <v>1</v>
      </c>
      <c r="M658" s="340" t="str">
        <f t="shared" si="347"/>
        <v>August</v>
      </c>
      <c r="N658" s="340" t="str">
        <f t="shared" si="348"/>
        <v/>
      </c>
      <c r="O658" s="340" t="str">
        <f>IF(N658="","",COUNTIF($N$8:N658,N658))</f>
        <v/>
      </c>
      <c r="P658" s="341" t="str">
        <f t="shared" si="349"/>
        <v>outHarga Pokok Penjualan</v>
      </c>
      <c r="Q658" s="341" t="str">
        <f t="shared" si="350"/>
        <v>outAugustHarga Pokok Penjualan</v>
      </c>
      <c r="R658" s="341" t="str">
        <f t="shared" si="351"/>
        <v>Harga Pokok Penjualan</v>
      </c>
      <c r="S658" s="341" t="str">
        <f t="shared" si="352"/>
        <v>Kas</v>
      </c>
      <c r="T658" s="341" t="str">
        <f t="shared" si="353"/>
        <v/>
      </c>
      <c r="U658" s="341" t="str">
        <f>IF(AND(L658=1,bp_kode=T658,T658&lt;&gt;""),COUNTIF($T$8:T658,T658),"")</f>
        <v/>
      </c>
      <c r="V658" s="341" t="str">
        <f t="shared" si="354"/>
        <v>db</v>
      </c>
      <c r="W658" s="341" t="str">
        <f t="shared" si="355"/>
        <v>db</v>
      </c>
      <c r="X658" s="341" t="str">
        <f>IF(B658="","",COUNTIF($C$8:C658,C658)&amp;C658)</f>
        <v>0</v>
      </c>
    </row>
    <row r="659" spans="2:24" s="335" customFormat="1" ht="23.1" customHeight="1">
      <c r="B659" s="336">
        <v>44804</v>
      </c>
      <c r="C659" s="337"/>
      <c r="D659" s="337" t="s">
        <v>760</v>
      </c>
      <c r="E659" s="338"/>
      <c r="F659" s="338"/>
      <c r="G659" s="338"/>
      <c r="H659" s="338" t="s">
        <v>758</v>
      </c>
      <c r="I659" s="338" t="s">
        <v>582</v>
      </c>
      <c r="J659" s="339">
        <v>9560850</v>
      </c>
      <c r="L659" s="340">
        <f t="shared" ref="L659:L660" si="366">IF(AND(B659&gt;=awal,B659&lt;=akhir,B659&lt;&gt;""),1,IF(AND(B659&lt;&gt;"",B659&lt;awal),2,""))</f>
        <v>1</v>
      </c>
      <c r="M659" s="340" t="str">
        <f t="shared" ref="M659:M660" si="367">IF(B659="","",TEXT(B659,"mmmm"))</f>
        <v>August</v>
      </c>
      <c r="N659" s="340" t="str">
        <f t="shared" ref="N659:N660" si="368">IF(AND(L659=1,H659=bb_akun),"Awe",IF(AND(L659=1,I659=bb_akun),"Awe",""))</f>
        <v/>
      </c>
      <c r="O659" s="340" t="str">
        <f>IF(N659="","",COUNTIF($N$8:N659,N659))</f>
        <v/>
      </c>
      <c r="P659" s="341" t="str">
        <f t="shared" ref="P659:P660" si="369">IFERROR(IF(OR(INDEX(akun_type,MATCH(H659,akun_kb,0))="Kas",INDEX(akun_type,MATCH(H659,akun_kb,0))="Bank"),"In"&amp;INDEX(akun_type,MATCH(I659,akun_kb,0)),IF(OR(INDEX(akun_type,MATCH(I659,akun_kb,0))="Kas",INDEX(akun_type,MATCH(I659,akun_kb,0))="Bank"),"out"&amp;INDEX(akun_type,MATCH(H659,akun_kb,0)),"")),"")</f>
        <v>outHarga Pokok Penjualan</v>
      </c>
      <c r="Q659" s="341" t="str">
        <f t="shared" ref="Q659:Q660" si="370">IFERROR(IF(OR(INDEX(akun_type,MATCH(H659,akun_kb,0))="Kas",INDEX(akun_type,MATCH(H659,akun_kb,0))="Bank"),"in"&amp;TEXT(B659,"mmmm")&amp;INDEX(akun_type,MATCH(I659,akun_kb,0)),IF(OR(INDEX(akun_type,MATCH(I659,akun_kb,0))="Kas",INDEX(akun_type,MATCH(I659,akun_kb,0))="Bank"),"out"&amp;TEXT(B659,"mmmm")&amp;INDEX(akun_type,MATCH(H659,akun_kb,0)),"")),"")</f>
        <v>outAugustHarga Pokok Penjualan</v>
      </c>
      <c r="R659" s="341" t="str">
        <f t="shared" ref="R659:R660" si="371">IFERROR(INDEX(akun_type,MATCH(H659,akun_kb,0)),"")</f>
        <v>Harga Pokok Penjualan</v>
      </c>
      <c r="S659" s="341" t="str">
        <f t="shared" ref="S659:S660" si="372">IFERROR(INDEX(akun_type,MATCH(I659,akun_kb,0)),"")</f>
        <v>Kas</v>
      </c>
      <c r="T659" s="341" t="str">
        <f t="shared" ref="T659:T660" si="373">IF(AND(L659=1,OR(R659="Akun Piutang",R659="akun hutang",S659="akun piutang",S659="akun hutang")),E659,"")</f>
        <v/>
      </c>
      <c r="U659" s="341" t="str">
        <f>IF(AND(L659=1,bp_kode=T659,T659&lt;&gt;""),COUNTIF($T$8:T659,T659),"")</f>
        <v/>
      </c>
      <c r="V659" s="341" t="str">
        <f t="shared" ref="V659:V660" si="374">IF(OR(R659="Pendapatan",R659="Pendapatan Lainnya",R659="Beban",R659="Harga Pokok Penjualan",R659="Beban Lainnya"),"db"&amp;F659,IF(OR(S659="Pendapatan",S659="Pendapatan Lainnya",S659="Beban",S659="Harga Pokok Penjualan",S659="Beban Lainnya"),"kr"&amp;F659,""))</f>
        <v>db</v>
      </c>
      <c r="W659" s="341" t="str">
        <f t="shared" ref="W659:W660" si="375">IF(OR(R659="Pendapatan",R659="Pendapatan Lainnya",R659="Beban",R659="Harga Pokok Penjualan",R659="Beban Lainnya"),"db"&amp;G659,IF(OR(S659="Pendapatan",S659="Pendapatan Lainnya",S659="Beban",S659="Harga Pokok Penjualan",S659="Beban Lainnya"),"kr"&amp;G659,""))</f>
        <v>db</v>
      </c>
      <c r="X659" s="341" t="str">
        <f>IF(B659="","",COUNTIF($C$8:C659,C659)&amp;C659)</f>
        <v>0</v>
      </c>
    </row>
    <row r="660" spans="2:24" s="335" customFormat="1" ht="23.1" customHeight="1">
      <c r="B660" s="336">
        <v>44804</v>
      </c>
      <c r="C660" s="337"/>
      <c r="D660" s="337" t="s">
        <v>762</v>
      </c>
      <c r="E660" s="338"/>
      <c r="F660" s="338"/>
      <c r="G660" s="338"/>
      <c r="H660" s="338" t="s">
        <v>761</v>
      </c>
      <c r="I660" s="338" t="s">
        <v>582</v>
      </c>
      <c r="J660" s="339">
        <v>11131250</v>
      </c>
      <c r="L660" s="340">
        <f t="shared" si="366"/>
        <v>1</v>
      </c>
      <c r="M660" s="340" t="str">
        <f t="shared" si="367"/>
        <v>August</v>
      </c>
      <c r="N660" s="340" t="str">
        <f t="shared" si="368"/>
        <v/>
      </c>
      <c r="O660" s="340" t="str">
        <f>IF(N660="","",COUNTIF($N$8:N660,N660))</f>
        <v/>
      </c>
      <c r="P660" s="341" t="str">
        <f t="shared" si="369"/>
        <v>outHarga Pokok Penjualan</v>
      </c>
      <c r="Q660" s="341" t="str">
        <f t="shared" si="370"/>
        <v>outAugustHarga Pokok Penjualan</v>
      </c>
      <c r="R660" s="341" t="str">
        <f t="shared" si="371"/>
        <v>Harga Pokok Penjualan</v>
      </c>
      <c r="S660" s="341" t="str">
        <f t="shared" si="372"/>
        <v>Kas</v>
      </c>
      <c r="T660" s="341" t="str">
        <f t="shared" si="373"/>
        <v/>
      </c>
      <c r="U660" s="341" t="str">
        <f>IF(AND(L660=1,bp_kode=T660,T660&lt;&gt;""),COUNTIF($T$8:T660,T660),"")</f>
        <v/>
      </c>
      <c r="V660" s="341" t="str">
        <f t="shared" si="374"/>
        <v>db</v>
      </c>
      <c r="W660" s="341" t="str">
        <f t="shared" si="375"/>
        <v>db</v>
      </c>
      <c r="X660" s="341" t="str">
        <f>IF(B660="","",COUNTIF($C$8:C660,C660)&amp;C660)</f>
        <v>0</v>
      </c>
    </row>
    <row r="661" spans="2:24" s="335" customFormat="1" ht="23.1" customHeight="1">
      <c r="B661" s="336">
        <v>44804</v>
      </c>
      <c r="C661" s="337"/>
      <c r="D661" s="337" t="s">
        <v>696</v>
      </c>
      <c r="E661" s="338"/>
      <c r="F661" s="338"/>
      <c r="G661" s="338"/>
      <c r="H661" s="338" t="s">
        <v>695</v>
      </c>
      <c r="I661" s="338" t="s">
        <v>582</v>
      </c>
      <c r="J661" s="339">
        <v>1000000</v>
      </c>
      <c r="L661" s="340">
        <f t="shared" si="346"/>
        <v>1</v>
      </c>
      <c r="M661" s="340" t="str">
        <f t="shared" si="347"/>
        <v>August</v>
      </c>
      <c r="N661" s="340" t="str">
        <f t="shared" si="348"/>
        <v>Awe</v>
      </c>
      <c r="O661" s="340">
        <f>IF(N661="","",COUNTIF($N$8:N661,N661))</f>
        <v>9</v>
      </c>
      <c r="P661" s="341" t="str">
        <f t="shared" si="349"/>
        <v>outHarga Pokok Penjualan</v>
      </c>
      <c r="Q661" s="341" t="str">
        <f t="shared" si="350"/>
        <v>outAugustHarga Pokok Penjualan</v>
      </c>
      <c r="R661" s="341" t="str">
        <f t="shared" si="351"/>
        <v>Harga Pokok Penjualan</v>
      </c>
      <c r="S661" s="341" t="str">
        <f t="shared" si="352"/>
        <v>Kas</v>
      </c>
      <c r="T661" s="341" t="str">
        <f t="shared" si="353"/>
        <v/>
      </c>
      <c r="U661" s="341" t="str">
        <f>IF(AND(L661=1,bp_kode=T661,T661&lt;&gt;""),COUNTIF($T$8:T661,T661),"")</f>
        <v/>
      </c>
      <c r="V661" s="341" t="str">
        <f t="shared" si="354"/>
        <v>db</v>
      </c>
      <c r="W661" s="341" t="str">
        <f t="shared" si="355"/>
        <v>db</v>
      </c>
      <c r="X661" s="341" t="str">
        <f>IF(B661="","",COUNTIF($C$8:C661,C661)&amp;C661)</f>
        <v>0</v>
      </c>
    </row>
    <row r="662" spans="2:24" s="335" customFormat="1" ht="23.1" customHeight="1">
      <c r="B662" s="336">
        <v>44804</v>
      </c>
      <c r="C662" s="337"/>
      <c r="D662" s="337" t="s">
        <v>612</v>
      </c>
      <c r="E662" s="338"/>
      <c r="F662" s="338"/>
      <c r="G662" s="338"/>
      <c r="H662" s="338" t="s">
        <v>613</v>
      </c>
      <c r="I662" s="338" t="s">
        <v>582</v>
      </c>
      <c r="J662" s="339">
        <v>14948000</v>
      </c>
      <c r="L662" s="340">
        <f t="shared" si="346"/>
        <v>1</v>
      </c>
      <c r="M662" s="340" t="str">
        <f t="shared" si="347"/>
        <v>August</v>
      </c>
      <c r="N662" s="340" t="str">
        <f t="shared" si="348"/>
        <v/>
      </c>
      <c r="O662" s="340" t="str">
        <f>IF(N662="","",COUNTIF($N$8:N662,N662))</f>
        <v/>
      </c>
      <c r="P662" s="341" t="str">
        <f t="shared" si="349"/>
        <v>outHarga Pokok Penjualan</v>
      </c>
      <c r="Q662" s="341" t="str">
        <f t="shared" si="350"/>
        <v>outAugustHarga Pokok Penjualan</v>
      </c>
      <c r="R662" s="341" t="str">
        <f t="shared" si="351"/>
        <v>Harga Pokok Penjualan</v>
      </c>
      <c r="S662" s="341" t="str">
        <f t="shared" si="352"/>
        <v>Kas</v>
      </c>
      <c r="T662" s="341" t="str">
        <f t="shared" si="353"/>
        <v/>
      </c>
      <c r="U662" s="341" t="str">
        <f>IF(AND(L662=1,bp_kode=T662,T662&lt;&gt;""),COUNTIF($T$8:T662,T662),"")</f>
        <v/>
      </c>
      <c r="V662" s="341" t="str">
        <f t="shared" si="354"/>
        <v>db</v>
      </c>
      <c r="W662" s="341" t="str">
        <f t="shared" si="355"/>
        <v>db</v>
      </c>
      <c r="X662" s="341" t="str">
        <f>IF(B662="","",COUNTIF($C$8:C662,C662)&amp;C662)</f>
        <v>0</v>
      </c>
    </row>
    <row r="663" spans="2:24" s="335" customFormat="1" ht="23.1" customHeight="1">
      <c r="B663" s="336">
        <v>44804</v>
      </c>
      <c r="C663" s="337"/>
      <c r="D663" s="337" t="s">
        <v>621</v>
      </c>
      <c r="E663" s="338"/>
      <c r="F663" s="338"/>
      <c r="G663" s="338"/>
      <c r="H663" s="338" t="s">
        <v>614</v>
      </c>
      <c r="I663" s="338" t="s">
        <v>582</v>
      </c>
      <c r="J663" s="339">
        <v>40699000</v>
      </c>
      <c r="L663" s="340">
        <f t="shared" si="346"/>
        <v>1</v>
      </c>
      <c r="M663" s="340" t="str">
        <f t="shared" si="347"/>
        <v>August</v>
      </c>
      <c r="N663" s="340" t="str">
        <f t="shared" si="348"/>
        <v/>
      </c>
      <c r="O663" s="340" t="str">
        <f>IF(N663="","",COUNTIF($N$8:N663,N663))</f>
        <v/>
      </c>
      <c r="P663" s="341" t="str">
        <f t="shared" si="349"/>
        <v>outBeban</v>
      </c>
      <c r="Q663" s="341" t="str">
        <f t="shared" si="350"/>
        <v>outAugustBeban</v>
      </c>
      <c r="R663" s="341" t="str">
        <f t="shared" si="351"/>
        <v>Beban</v>
      </c>
      <c r="S663" s="341" t="str">
        <f t="shared" si="352"/>
        <v>Kas</v>
      </c>
      <c r="T663" s="341" t="str">
        <f t="shared" si="353"/>
        <v/>
      </c>
      <c r="U663" s="341" t="str">
        <f>IF(AND(L663=1,bp_kode=T663,T663&lt;&gt;""),COUNTIF($T$8:T663,T663),"")</f>
        <v/>
      </c>
      <c r="V663" s="341" t="str">
        <f t="shared" si="354"/>
        <v>db</v>
      </c>
      <c r="W663" s="341" t="str">
        <f t="shared" si="355"/>
        <v>db</v>
      </c>
      <c r="X663" s="341" t="str">
        <f>IF(B663="","",COUNTIF($C$8:C663,C663)&amp;C663)</f>
        <v>0</v>
      </c>
    </row>
    <row r="664" spans="2:24" s="335" customFormat="1" ht="23.1" customHeight="1">
      <c r="B664" s="336">
        <v>44804</v>
      </c>
      <c r="C664" s="337"/>
      <c r="D664" s="337" t="s">
        <v>624</v>
      </c>
      <c r="E664" s="338"/>
      <c r="F664" s="338"/>
      <c r="G664" s="338"/>
      <c r="H664" s="338" t="s">
        <v>617</v>
      </c>
      <c r="I664" s="338" t="s">
        <v>582</v>
      </c>
      <c r="J664" s="339">
        <v>98576200</v>
      </c>
      <c r="L664" s="340">
        <f t="shared" ref="L664:L677" si="376">IF(AND(B664&gt;=awal,B664&lt;=akhir,B664&lt;&gt;""),1,IF(AND(B664&lt;&gt;"",B664&lt;awal),2,""))</f>
        <v>1</v>
      </c>
      <c r="M664" s="340" t="str">
        <f t="shared" ref="M664:M677" si="377">IF(B664="","",TEXT(B664,"mmmm"))</f>
        <v>August</v>
      </c>
      <c r="N664" s="340" t="str">
        <f t="shared" ref="N664:N677" si="378">IF(AND(L664=1,H664=bb_akun),"Awe",IF(AND(L664=1,I664=bb_akun),"Awe",""))</f>
        <v/>
      </c>
      <c r="O664" s="340" t="str">
        <f>IF(N664="","",COUNTIF($N$8:N664,N664))</f>
        <v/>
      </c>
      <c r="P664" s="341" t="str">
        <f t="shared" ref="P664:P677" si="379">IFERROR(IF(OR(INDEX(akun_type,MATCH(H664,akun_kb,0))="Kas",INDEX(akun_type,MATCH(H664,akun_kb,0))="Bank"),"In"&amp;INDEX(akun_type,MATCH(I664,akun_kb,0)),IF(OR(INDEX(akun_type,MATCH(I664,akun_kb,0))="Kas",INDEX(akun_type,MATCH(I664,akun_kb,0))="Bank"),"out"&amp;INDEX(akun_type,MATCH(H664,akun_kb,0)),"")),"")</f>
        <v>outBeban</v>
      </c>
      <c r="Q664" s="341" t="str">
        <f t="shared" ref="Q664:Q677" si="380">IFERROR(IF(OR(INDEX(akun_type,MATCH(H664,akun_kb,0))="Kas",INDEX(akun_type,MATCH(H664,akun_kb,0))="Bank"),"in"&amp;TEXT(B664,"mmmm")&amp;INDEX(akun_type,MATCH(I664,akun_kb,0)),IF(OR(INDEX(akun_type,MATCH(I664,akun_kb,0))="Kas",INDEX(akun_type,MATCH(I664,akun_kb,0))="Bank"),"out"&amp;TEXT(B664,"mmmm")&amp;INDEX(akun_type,MATCH(H664,akun_kb,0)),"")),"")</f>
        <v>outAugustBeban</v>
      </c>
      <c r="R664" s="341" t="str">
        <f t="shared" ref="R664:R677" si="381">IFERROR(INDEX(akun_type,MATCH(H664,akun_kb,0)),"")</f>
        <v>Beban</v>
      </c>
      <c r="S664" s="341" t="str">
        <f t="shared" ref="S664:S677" si="382">IFERROR(INDEX(akun_type,MATCH(I664,akun_kb,0)),"")</f>
        <v>Kas</v>
      </c>
      <c r="T664" s="341" t="str">
        <f t="shared" ref="T664:T677" si="383">IF(AND(L664=1,OR(R664="Akun Piutang",R664="akun hutang",S664="akun piutang",S664="akun hutang")),E664,"")</f>
        <v/>
      </c>
      <c r="U664" s="341" t="str">
        <f>IF(AND(L664=1,bp_kode=T664,T664&lt;&gt;""),COUNTIF($T$8:T664,T664),"")</f>
        <v/>
      </c>
      <c r="V664" s="341" t="str">
        <f t="shared" ref="V664:V677" si="384">IF(OR(R664="Pendapatan",R664="Pendapatan Lainnya",R664="Beban",R664="Harga Pokok Penjualan",R664="Beban Lainnya"),"db"&amp;F664,IF(OR(S664="Pendapatan",S664="Pendapatan Lainnya",S664="Beban",S664="Harga Pokok Penjualan",S664="Beban Lainnya"),"kr"&amp;F664,""))</f>
        <v>db</v>
      </c>
      <c r="W664" s="341" t="str">
        <f t="shared" ref="W664:W677" si="385">IF(OR(R664="Pendapatan",R664="Pendapatan Lainnya",R664="Beban",R664="Harga Pokok Penjualan",R664="Beban Lainnya"),"db"&amp;G664,IF(OR(S664="Pendapatan",S664="Pendapatan Lainnya",S664="Beban",S664="Harga Pokok Penjualan",S664="Beban Lainnya"),"kr"&amp;G664,""))</f>
        <v>db</v>
      </c>
      <c r="X664" s="341" t="str">
        <f>IF(B664="","",COUNTIF($C$8:C664,C664)&amp;C664)</f>
        <v>0</v>
      </c>
    </row>
    <row r="665" spans="2:24" s="335" customFormat="1" ht="23.1" customHeight="1">
      <c r="B665" s="336">
        <v>44804</v>
      </c>
      <c r="C665" s="337"/>
      <c r="D665" s="337" t="s">
        <v>625</v>
      </c>
      <c r="E665" s="338"/>
      <c r="F665" s="338"/>
      <c r="G665" s="338"/>
      <c r="H665" s="338" t="s">
        <v>618</v>
      </c>
      <c r="I665" s="338" t="s">
        <v>582</v>
      </c>
      <c r="J665" s="339">
        <v>217856645</v>
      </c>
      <c r="L665" s="340">
        <f t="shared" si="376"/>
        <v>1</v>
      </c>
      <c r="M665" s="340" t="str">
        <f t="shared" si="377"/>
        <v>August</v>
      </c>
      <c r="N665" s="340" t="str">
        <f t="shared" si="378"/>
        <v/>
      </c>
      <c r="O665" s="340" t="str">
        <f>IF(N665="","",COUNTIF($N$8:N665,N665))</f>
        <v/>
      </c>
      <c r="P665" s="341" t="str">
        <f t="shared" si="379"/>
        <v>outBeban</v>
      </c>
      <c r="Q665" s="341" t="str">
        <f t="shared" si="380"/>
        <v>outAugustBeban</v>
      </c>
      <c r="R665" s="341" t="str">
        <f t="shared" si="381"/>
        <v>Beban</v>
      </c>
      <c r="S665" s="341" t="str">
        <f t="shared" si="382"/>
        <v>Kas</v>
      </c>
      <c r="T665" s="341" t="str">
        <f t="shared" si="383"/>
        <v/>
      </c>
      <c r="U665" s="341" t="str">
        <f>IF(AND(L665=1,bp_kode=T665,T665&lt;&gt;""),COUNTIF($T$8:T665,T665),"")</f>
        <v/>
      </c>
      <c r="V665" s="341" t="str">
        <f t="shared" si="384"/>
        <v>db</v>
      </c>
      <c r="W665" s="341" t="str">
        <f t="shared" si="385"/>
        <v>db</v>
      </c>
      <c r="X665" s="341" t="str">
        <f>IF(B665="","",COUNTIF($C$8:C665,C665)&amp;C665)</f>
        <v>0</v>
      </c>
    </row>
    <row r="666" spans="2:24" s="335" customFormat="1" ht="23.1" customHeight="1">
      <c r="B666" s="336">
        <v>44804</v>
      </c>
      <c r="C666" s="337"/>
      <c r="D666" s="337" t="s">
        <v>626</v>
      </c>
      <c r="E666" s="338"/>
      <c r="F666" s="338"/>
      <c r="G666" s="338"/>
      <c r="H666" s="338" t="s">
        <v>619</v>
      </c>
      <c r="I666" s="338" t="s">
        <v>582</v>
      </c>
      <c r="J666" s="339">
        <v>219996766</v>
      </c>
      <c r="L666" s="340">
        <f t="shared" si="376"/>
        <v>1</v>
      </c>
      <c r="M666" s="340" t="str">
        <f t="shared" si="377"/>
        <v>August</v>
      </c>
      <c r="N666" s="340" t="str">
        <f t="shared" si="378"/>
        <v/>
      </c>
      <c r="O666" s="340" t="str">
        <f>IF(N666="","",COUNTIF($N$8:N666,N666))</f>
        <v/>
      </c>
      <c r="P666" s="341" t="str">
        <f t="shared" si="379"/>
        <v>outBeban</v>
      </c>
      <c r="Q666" s="341" t="str">
        <f t="shared" si="380"/>
        <v>outAugustBeban</v>
      </c>
      <c r="R666" s="341" t="str">
        <f t="shared" si="381"/>
        <v>Beban</v>
      </c>
      <c r="S666" s="341" t="str">
        <f t="shared" si="382"/>
        <v>Kas</v>
      </c>
      <c r="T666" s="341" t="str">
        <f t="shared" si="383"/>
        <v/>
      </c>
      <c r="U666" s="341" t="str">
        <f>IF(AND(L666=1,bp_kode=T666,T666&lt;&gt;""),COUNTIF($T$8:T666,T666),"")</f>
        <v/>
      </c>
      <c r="V666" s="341" t="str">
        <f t="shared" si="384"/>
        <v>db</v>
      </c>
      <c r="W666" s="341" t="str">
        <f t="shared" si="385"/>
        <v>db</v>
      </c>
      <c r="X666" s="341" t="str">
        <f>IF(B666="","",COUNTIF($C$8:C666,C666)&amp;C666)</f>
        <v>0</v>
      </c>
    </row>
    <row r="667" spans="2:24" s="335" customFormat="1" ht="23.1" customHeight="1">
      <c r="B667" s="336">
        <v>44804</v>
      </c>
      <c r="C667" s="337"/>
      <c r="D667" s="337" t="s">
        <v>627</v>
      </c>
      <c r="E667" s="338"/>
      <c r="F667" s="338"/>
      <c r="G667" s="338"/>
      <c r="H667" s="338" t="s">
        <v>620</v>
      </c>
      <c r="I667" s="338" t="s">
        <v>582</v>
      </c>
      <c r="J667" s="339">
        <v>32714838</v>
      </c>
      <c r="L667" s="340">
        <f t="shared" si="376"/>
        <v>1</v>
      </c>
      <c r="M667" s="340" t="str">
        <f t="shared" si="377"/>
        <v>August</v>
      </c>
      <c r="N667" s="340" t="str">
        <f t="shared" si="378"/>
        <v/>
      </c>
      <c r="O667" s="340" t="str">
        <f>IF(N667="","",COUNTIF($N$8:N667,N667))</f>
        <v/>
      </c>
      <c r="P667" s="341" t="str">
        <f t="shared" si="379"/>
        <v>outBeban</v>
      </c>
      <c r="Q667" s="341" t="str">
        <f t="shared" si="380"/>
        <v>outAugustBeban</v>
      </c>
      <c r="R667" s="341" t="str">
        <f t="shared" si="381"/>
        <v>Beban</v>
      </c>
      <c r="S667" s="341" t="str">
        <f t="shared" si="382"/>
        <v>Kas</v>
      </c>
      <c r="T667" s="341" t="str">
        <f t="shared" si="383"/>
        <v/>
      </c>
      <c r="U667" s="341" t="str">
        <f>IF(AND(L667=1,bp_kode=T667,T667&lt;&gt;""),COUNTIF($T$8:T667,T667),"")</f>
        <v/>
      </c>
      <c r="V667" s="341" t="str">
        <f t="shared" si="384"/>
        <v>db</v>
      </c>
      <c r="W667" s="341" t="str">
        <f t="shared" si="385"/>
        <v>db</v>
      </c>
      <c r="X667" s="341" t="str">
        <f>IF(B667="","",COUNTIF($C$8:C667,C667)&amp;C667)</f>
        <v>0</v>
      </c>
    </row>
    <row r="668" spans="2:24" s="335" customFormat="1" ht="23.1" customHeight="1">
      <c r="B668" s="336">
        <v>44804</v>
      </c>
      <c r="C668" s="337"/>
      <c r="D668" s="337" t="s">
        <v>764</v>
      </c>
      <c r="E668" s="338"/>
      <c r="F668" s="338"/>
      <c r="G668" s="338"/>
      <c r="H668" s="338" t="s">
        <v>763</v>
      </c>
      <c r="I668" s="338" t="s">
        <v>582</v>
      </c>
      <c r="J668" s="339">
        <v>7654500</v>
      </c>
      <c r="L668" s="340">
        <f t="shared" ref="L668" si="386">IF(AND(B668&gt;=awal,B668&lt;=akhir,B668&lt;&gt;""),1,IF(AND(B668&lt;&gt;"",B668&lt;awal),2,""))</f>
        <v>1</v>
      </c>
      <c r="M668" s="340" t="str">
        <f t="shared" ref="M668" si="387">IF(B668="","",TEXT(B668,"mmmm"))</f>
        <v>August</v>
      </c>
      <c r="N668" s="340" t="str">
        <f t="shared" ref="N668" si="388">IF(AND(L668=1,H668=bb_akun),"Awe",IF(AND(L668=1,I668=bb_akun),"Awe",""))</f>
        <v/>
      </c>
      <c r="O668" s="340" t="str">
        <f>IF(N668="","",COUNTIF($N$8:N668,N668))</f>
        <v/>
      </c>
      <c r="P668" s="341" t="str">
        <f t="shared" ref="P668" si="389">IFERROR(IF(OR(INDEX(akun_type,MATCH(H668,akun_kb,0))="Kas",INDEX(akun_type,MATCH(H668,akun_kb,0))="Bank"),"In"&amp;INDEX(akun_type,MATCH(I668,akun_kb,0)),IF(OR(INDEX(akun_type,MATCH(I668,akun_kb,0))="Kas",INDEX(akun_type,MATCH(I668,akun_kb,0))="Bank"),"out"&amp;INDEX(akun_type,MATCH(H668,akun_kb,0)),"")),"")</f>
        <v>outBeban</v>
      </c>
      <c r="Q668" s="341" t="str">
        <f t="shared" ref="Q668" si="390">IFERROR(IF(OR(INDEX(akun_type,MATCH(H668,akun_kb,0))="Kas",INDEX(akun_type,MATCH(H668,akun_kb,0))="Bank"),"in"&amp;TEXT(B668,"mmmm")&amp;INDEX(akun_type,MATCH(I668,akun_kb,0)),IF(OR(INDEX(akun_type,MATCH(I668,akun_kb,0))="Kas",INDEX(akun_type,MATCH(I668,akun_kb,0))="Bank"),"out"&amp;TEXT(B668,"mmmm")&amp;INDEX(akun_type,MATCH(H668,akun_kb,0)),"")),"")</f>
        <v>outAugustBeban</v>
      </c>
      <c r="R668" s="341" t="str">
        <f t="shared" ref="R668" si="391">IFERROR(INDEX(akun_type,MATCH(H668,akun_kb,0)),"")</f>
        <v>Beban</v>
      </c>
      <c r="S668" s="341" t="str">
        <f t="shared" ref="S668" si="392">IFERROR(INDEX(akun_type,MATCH(I668,akun_kb,0)),"")</f>
        <v>Kas</v>
      </c>
      <c r="T668" s="341" t="str">
        <f t="shared" ref="T668" si="393">IF(AND(L668=1,OR(R668="Akun Piutang",R668="akun hutang",S668="akun piutang",S668="akun hutang")),E668,"")</f>
        <v/>
      </c>
      <c r="U668" s="341" t="str">
        <f>IF(AND(L668=1,bp_kode=T668,T668&lt;&gt;""),COUNTIF($T$8:T668,T668),"")</f>
        <v/>
      </c>
      <c r="V668" s="341" t="str">
        <f t="shared" ref="V668" si="394">IF(OR(R668="Pendapatan",R668="Pendapatan Lainnya",R668="Beban",R668="Harga Pokok Penjualan",R668="Beban Lainnya"),"db"&amp;F668,IF(OR(S668="Pendapatan",S668="Pendapatan Lainnya",S668="Beban",S668="Harga Pokok Penjualan",S668="Beban Lainnya"),"kr"&amp;F668,""))</f>
        <v>db</v>
      </c>
      <c r="W668" s="341" t="str">
        <f t="shared" ref="W668" si="395">IF(OR(R668="Pendapatan",R668="Pendapatan Lainnya",R668="Beban",R668="Harga Pokok Penjualan",R668="Beban Lainnya"),"db"&amp;G668,IF(OR(S668="Pendapatan",S668="Pendapatan Lainnya",S668="Beban",S668="Harga Pokok Penjualan",S668="Beban Lainnya"),"kr"&amp;G668,""))</f>
        <v>db</v>
      </c>
      <c r="X668" s="341" t="str">
        <f>IF(B668="","",COUNTIF($C$8:C668,C668)&amp;C668)</f>
        <v>0</v>
      </c>
    </row>
    <row r="669" spans="2:24" s="335" customFormat="1" ht="23.1" customHeight="1">
      <c r="B669" s="336">
        <v>44804</v>
      </c>
      <c r="C669" s="337"/>
      <c r="D669" s="337" t="s">
        <v>766</v>
      </c>
      <c r="E669" s="338"/>
      <c r="F669" s="338"/>
      <c r="G669" s="338"/>
      <c r="H669" s="338" t="s">
        <v>765</v>
      </c>
      <c r="I669" s="338" t="s">
        <v>582</v>
      </c>
      <c r="J669" s="339">
        <v>69003340</v>
      </c>
      <c r="L669" s="340">
        <f t="shared" ref="L669" si="396">IF(AND(B669&gt;=awal,B669&lt;=akhir,B669&lt;&gt;""),1,IF(AND(B669&lt;&gt;"",B669&lt;awal),2,""))</f>
        <v>1</v>
      </c>
      <c r="M669" s="340" t="str">
        <f t="shared" ref="M669" si="397">IF(B669="","",TEXT(B669,"mmmm"))</f>
        <v>August</v>
      </c>
      <c r="N669" s="340" t="str">
        <f t="shared" ref="N669" si="398">IF(AND(L669=1,H669=bb_akun),"Awe",IF(AND(L669=1,I669=bb_akun),"Awe",""))</f>
        <v/>
      </c>
      <c r="O669" s="340" t="str">
        <f>IF(N669="","",COUNTIF($N$8:N669,N669))</f>
        <v/>
      </c>
      <c r="P669" s="341" t="str">
        <f t="shared" ref="P669" si="399">IFERROR(IF(OR(INDEX(akun_type,MATCH(H669,akun_kb,0))="Kas",INDEX(akun_type,MATCH(H669,akun_kb,0))="Bank"),"In"&amp;INDEX(akun_type,MATCH(I669,akun_kb,0)),IF(OR(INDEX(akun_type,MATCH(I669,akun_kb,0))="Kas",INDEX(akun_type,MATCH(I669,akun_kb,0))="Bank"),"out"&amp;INDEX(akun_type,MATCH(H669,akun_kb,0)),"")),"")</f>
        <v>outBeban</v>
      </c>
      <c r="Q669" s="341" t="str">
        <f t="shared" ref="Q669" si="400">IFERROR(IF(OR(INDEX(akun_type,MATCH(H669,akun_kb,0))="Kas",INDEX(akun_type,MATCH(H669,akun_kb,0))="Bank"),"in"&amp;TEXT(B669,"mmmm")&amp;INDEX(akun_type,MATCH(I669,akun_kb,0)),IF(OR(INDEX(akun_type,MATCH(I669,akun_kb,0))="Kas",INDEX(akun_type,MATCH(I669,akun_kb,0))="Bank"),"out"&amp;TEXT(B669,"mmmm")&amp;INDEX(akun_type,MATCH(H669,akun_kb,0)),"")),"")</f>
        <v>outAugustBeban</v>
      </c>
      <c r="R669" s="341" t="str">
        <f t="shared" ref="R669" si="401">IFERROR(INDEX(akun_type,MATCH(H669,akun_kb,0)),"")</f>
        <v>Beban</v>
      </c>
      <c r="S669" s="341" t="str">
        <f t="shared" ref="S669" si="402">IFERROR(INDEX(akun_type,MATCH(I669,akun_kb,0)),"")</f>
        <v>Kas</v>
      </c>
      <c r="T669" s="341" t="str">
        <f t="shared" ref="T669" si="403">IF(AND(L669=1,OR(R669="Akun Piutang",R669="akun hutang",S669="akun piutang",S669="akun hutang")),E669,"")</f>
        <v/>
      </c>
      <c r="U669" s="341" t="str">
        <f>IF(AND(L669=1,bp_kode=T669,T669&lt;&gt;""),COUNTIF($T$8:T669,T669),"")</f>
        <v/>
      </c>
      <c r="V669" s="341" t="str">
        <f t="shared" ref="V669" si="404">IF(OR(R669="Pendapatan",R669="Pendapatan Lainnya",R669="Beban",R669="Harga Pokok Penjualan",R669="Beban Lainnya"),"db"&amp;F669,IF(OR(S669="Pendapatan",S669="Pendapatan Lainnya",S669="Beban",S669="Harga Pokok Penjualan",S669="Beban Lainnya"),"kr"&amp;F669,""))</f>
        <v>db</v>
      </c>
      <c r="W669" s="341" t="str">
        <f t="shared" ref="W669" si="405">IF(OR(R669="Pendapatan",R669="Pendapatan Lainnya",R669="Beban",R669="Harga Pokok Penjualan",R669="Beban Lainnya"),"db"&amp;G669,IF(OR(S669="Pendapatan",S669="Pendapatan Lainnya",S669="Beban",S669="Harga Pokok Penjualan",S669="Beban Lainnya"),"kr"&amp;G669,""))</f>
        <v>db</v>
      </c>
      <c r="X669" s="341" t="str">
        <f>IF(B669="","",COUNTIF($C$8:C669,C669)&amp;C669)</f>
        <v>0</v>
      </c>
    </row>
    <row r="670" spans="2:24" s="335" customFormat="1" ht="23.1" customHeight="1">
      <c r="B670" s="336">
        <v>44804</v>
      </c>
      <c r="C670" s="337"/>
      <c r="D670" s="337" t="s">
        <v>644</v>
      </c>
      <c r="E670" s="338"/>
      <c r="F670" s="338"/>
      <c r="G670" s="338"/>
      <c r="H670" s="338" t="s">
        <v>628</v>
      </c>
      <c r="I670" s="338" t="s">
        <v>582</v>
      </c>
      <c r="J670" s="339">
        <v>21900000</v>
      </c>
      <c r="L670" s="340">
        <f t="shared" si="376"/>
        <v>1</v>
      </c>
      <c r="M670" s="340" t="str">
        <f t="shared" si="377"/>
        <v>August</v>
      </c>
      <c r="N670" s="340" t="str">
        <f t="shared" si="378"/>
        <v/>
      </c>
      <c r="O670" s="340" t="str">
        <f>IF(N670="","",COUNTIF($N$8:N670,N670))</f>
        <v/>
      </c>
      <c r="P670" s="341" t="str">
        <f t="shared" si="379"/>
        <v>outBeban</v>
      </c>
      <c r="Q670" s="341" t="str">
        <f t="shared" si="380"/>
        <v>outAugustBeban</v>
      </c>
      <c r="R670" s="341" t="str">
        <f t="shared" si="381"/>
        <v>Beban</v>
      </c>
      <c r="S670" s="341" t="str">
        <f t="shared" si="382"/>
        <v>Kas</v>
      </c>
      <c r="T670" s="341" t="str">
        <f t="shared" si="383"/>
        <v/>
      </c>
      <c r="U670" s="341" t="str">
        <f>IF(AND(L670=1,bp_kode=T670,T670&lt;&gt;""),COUNTIF($T$8:T670,T670),"")</f>
        <v/>
      </c>
      <c r="V670" s="341" t="str">
        <f t="shared" si="384"/>
        <v>db</v>
      </c>
      <c r="W670" s="341" t="str">
        <f t="shared" si="385"/>
        <v>db</v>
      </c>
      <c r="X670" s="341" t="str">
        <f>IF(B670="","",COUNTIF($C$8:C670,C670)&amp;C670)</f>
        <v>0</v>
      </c>
    </row>
    <row r="671" spans="2:24" s="335" customFormat="1" ht="23.1" customHeight="1">
      <c r="B671" s="336">
        <v>44804</v>
      </c>
      <c r="C671" s="337"/>
      <c r="D671" s="337" t="s">
        <v>693</v>
      </c>
      <c r="E671" s="338"/>
      <c r="F671" s="338"/>
      <c r="G671" s="338"/>
      <c r="H671" s="338" t="s">
        <v>694</v>
      </c>
      <c r="I671" s="338" t="s">
        <v>582</v>
      </c>
      <c r="J671" s="339">
        <v>1602000</v>
      </c>
      <c r="L671" s="340">
        <f t="shared" si="376"/>
        <v>1</v>
      </c>
      <c r="M671" s="340" t="str">
        <f t="shared" si="377"/>
        <v>August</v>
      </c>
      <c r="N671" s="340" t="str">
        <f t="shared" si="378"/>
        <v/>
      </c>
      <c r="O671" s="340" t="str">
        <f>IF(N671="","",COUNTIF($N$8:N671,N671))</f>
        <v/>
      </c>
      <c r="P671" s="341" t="str">
        <f t="shared" si="379"/>
        <v>outBeban</v>
      </c>
      <c r="Q671" s="341" t="str">
        <f t="shared" si="380"/>
        <v>outAugustBeban</v>
      </c>
      <c r="R671" s="341" t="str">
        <f t="shared" si="381"/>
        <v>Beban</v>
      </c>
      <c r="S671" s="341" t="str">
        <f t="shared" si="382"/>
        <v>Kas</v>
      </c>
      <c r="T671" s="341" t="str">
        <f t="shared" si="383"/>
        <v/>
      </c>
      <c r="U671" s="341" t="str">
        <f>IF(AND(L671=1,bp_kode=T671,T671&lt;&gt;""),COUNTIF($T$8:T671,T671),"")</f>
        <v/>
      </c>
      <c r="V671" s="341" t="str">
        <f t="shared" si="384"/>
        <v>db</v>
      </c>
      <c r="W671" s="341" t="str">
        <f t="shared" si="385"/>
        <v>db</v>
      </c>
      <c r="X671" s="341" t="str">
        <f>IF(B671="","",COUNTIF($C$8:C671,C671)&amp;C671)</f>
        <v>0</v>
      </c>
    </row>
    <row r="672" spans="2:24" s="335" customFormat="1" ht="23.1" customHeight="1">
      <c r="B672" s="336">
        <v>44804</v>
      </c>
      <c r="C672" s="337"/>
      <c r="D672" s="337" t="s">
        <v>645</v>
      </c>
      <c r="E672" s="338"/>
      <c r="F672" s="338"/>
      <c r="G672" s="338"/>
      <c r="H672" s="338" t="s">
        <v>629</v>
      </c>
      <c r="I672" s="338" t="s">
        <v>582</v>
      </c>
      <c r="J672" s="339">
        <v>665000</v>
      </c>
      <c r="L672" s="340">
        <f t="shared" si="376"/>
        <v>1</v>
      </c>
      <c r="M672" s="340" t="str">
        <f t="shared" si="377"/>
        <v>August</v>
      </c>
      <c r="N672" s="340" t="str">
        <f t="shared" si="378"/>
        <v/>
      </c>
      <c r="O672" s="340" t="str">
        <f>IF(N672="","",COUNTIF($N$8:N672,N672))</f>
        <v/>
      </c>
      <c r="P672" s="341" t="str">
        <f t="shared" si="379"/>
        <v>outBeban</v>
      </c>
      <c r="Q672" s="341" t="str">
        <f t="shared" si="380"/>
        <v>outAugustBeban</v>
      </c>
      <c r="R672" s="341" t="str">
        <f t="shared" si="381"/>
        <v>Beban</v>
      </c>
      <c r="S672" s="341" t="str">
        <f t="shared" si="382"/>
        <v>Kas</v>
      </c>
      <c r="T672" s="341" t="str">
        <f t="shared" si="383"/>
        <v/>
      </c>
      <c r="U672" s="341" t="str">
        <f>IF(AND(L672=1,bp_kode=T672,T672&lt;&gt;""),COUNTIF($T$8:T672,T672),"")</f>
        <v/>
      </c>
      <c r="V672" s="341" t="str">
        <f t="shared" si="384"/>
        <v>db</v>
      </c>
      <c r="W672" s="341" t="str">
        <f t="shared" si="385"/>
        <v>db</v>
      </c>
      <c r="X672" s="341" t="str">
        <f>IF(B672="","",COUNTIF($C$8:C672,C672)&amp;C672)</f>
        <v>0</v>
      </c>
    </row>
    <row r="673" spans="2:24" s="335" customFormat="1" ht="23.1" customHeight="1">
      <c r="B673" s="336">
        <v>44804</v>
      </c>
      <c r="C673" s="337"/>
      <c r="D673" s="337" t="s">
        <v>646</v>
      </c>
      <c r="E673" s="338"/>
      <c r="F673" s="338"/>
      <c r="G673" s="338"/>
      <c r="H673" s="338" t="s">
        <v>630</v>
      </c>
      <c r="I673" s="338" t="s">
        <v>582</v>
      </c>
      <c r="J673" s="339">
        <v>4895500</v>
      </c>
      <c r="L673" s="340">
        <f t="shared" si="376"/>
        <v>1</v>
      </c>
      <c r="M673" s="340" t="str">
        <f t="shared" si="377"/>
        <v>August</v>
      </c>
      <c r="N673" s="340" t="str">
        <f t="shared" si="378"/>
        <v/>
      </c>
      <c r="O673" s="340" t="str">
        <f>IF(N673="","",COUNTIF($N$8:N673,N673))</f>
        <v/>
      </c>
      <c r="P673" s="341" t="str">
        <f t="shared" si="379"/>
        <v>outBeban</v>
      </c>
      <c r="Q673" s="341" t="str">
        <f t="shared" si="380"/>
        <v>outAugustBeban</v>
      </c>
      <c r="R673" s="341" t="str">
        <f t="shared" si="381"/>
        <v>Beban</v>
      </c>
      <c r="S673" s="341" t="str">
        <f t="shared" si="382"/>
        <v>Kas</v>
      </c>
      <c r="T673" s="341" t="str">
        <f t="shared" si="383"/>
        <v/>
      </c>
      <c r="U673" s="341" t="str">
        <f>IF(AND(L673=1,bp_kode=T673,T673&lt;&gt;""),COUNTIF($T$8:T673,T673),"")</f>
        <v/>
      </c>
      <c r="V673" s="341" t="str">
        <f t="shared" si="384"/>
        <v>db</v>
      </c>
      <c r="W673" s="341" t="str">
        <f t="shared" si="385"/>
        <v>db</v>
      </c>
      <c r="X673" s="341" t="str">
        <f>IF(B673="","",COUNTIF($C$8:C673,C673)&amp;C673)</f>
        <v>0</v>
      </c>
    </row>
    <row r="674" spans="2:24" s="335" customFormat="1" ht="23.1" customHeight="1">
      <c r="B674" s="336">
        <v>44804</v>
      </c>
      <c r="C674" s="337"/>
      <c r="D674" s="337" t="s">
        <v>647</v>
      </c>
      <c r="E674" s="338"/>
      <c r="F674" s="338"/>
      <c r="G674" s="338"/>
      <c r="H674" s="338" t="s">
        <v>631</v>
      </c>
      <c r="I674" s="338" t="s">
        <v>582</v>
      </c>
      <c r="J674" s="339">
        <v>540000</v>
      </c>
      <c r="L674" s="340">
        <f t="shared" si="376"/>
        <v>1</v>
      </c>
      <c r="M674" s="340" t="str">
        <f t="shared" si="377"/>
        <v>August</v>
      </c>
      <c r="N674" s="340" t="str">
        <f t="shared" si="378"/>
        <v/>
      </c>
      <c r="O674" s="340" t="str">
        <f>IF(N674="","",COUNTIF($N$8:N674,N674))</f>
        <v/>
      </c>
      <c r="P674" s="341" t="str">
        <f t="shared" si="379"/>
        <v>outBeban</v>
      </c>
      <c r="Q674" s="341" t="str">
        <f t="shared" si="380"/>
        <v>outAugustBeban</v>
      </c>
      <c r="R674" s="341" t="str">
        <f t="shared" si="381"/>
        <v>Beban</v>
      </c>
      <c r="S674" s="341" t="str">
        <f t="shared" si="382"/>
        <v>Kas</v>
      </c>
      <c r="T674" s="341" t="str">
        <f t="shared" si="383"/>
        <v/>
      </c>
      <c r="U674" s="341" t="str">
        <f>IF(AND(L674=1,bp_kode=T674,T674&lt;&gt;""),COUNTIF($T$8:T674,T674),"")</f>
        <v/>
      </c>
      <c r="V674" s="341" t="str">
        <f t="shared" si="384"/>
        <v>db</v>
      </c>
      <c r="W674" s="341" t="str">
        <f t="shared" si="385"/>
        <v>db</v>
      </c>
      <c r="X674" s="341" t="str">
        <f>IF(B674="","",COUNTIF($C$8:C674,C674)&amp;C674)</f>
        <v>0</v>
      </c>
    </row>
    <row r="675" spans="2:24" s="335" customFormat="1" ht="23.1" customHeight="1">
      <c r="B675" s="336">
        <v>44804</v>
      </c>
      <c r="C675" s="337"/>
      <c r="D675" s="337" t="s">
        <v>648</v>
      </c>
      <c r="E675" s="338"/>
      <c r="F675" s="338"/>
      <c r="G675" s="338"/>
      <c r="H675" s="338" t="s">
        <v>632</v>
      </c>
      <c r="I675" s="338" t="s">
        <v>582</v>
      </c>
      <c r="J675" s="339">
        <v>1050000</v>
      </c>
      <c r="L675" s="340">
        <f t="shared" si="376"/>
        <v>1</v>
      </c>
      <c r="M675" s="340" t="str">
        <f t="shared" si="377"/>
        <v>August</v>
      </c>
      <c r="N675" s="340" t="str">
        <f t="shared" si="378"/>
        <v/>
      </c>
      <c r="O675" s="340" t="str">
        <f>IF(N675="","",COUNTIF($N$8:N675,N675))</f>
        <v/>
      </c>
      <c r="P675" s="341" t="str">
        <f t="shared" si="379"/>
        <v>outBeban</v>
      </c>
      <c r="Q675" s="341" t="str">
        <f t="shared" si="380"/>
        <v>outAugustBeban</v>
      </c>
      <c r="R675" s="341" t="str">
        <f t="shared" si="381"/>
        <v>Beban</v>
      </c>
      <c r="S675" s="341" t="str">
        <f t="shared" si="382"/>
        <v>Kas</v>
      </c>
      <c r="T675" s="341" t="str">
        <f t="shared" si="383"/>
        <v/>
      </c>
      <c r="U675" s="341" t="str">
        <f>IF(AND(L675=1,bp_kode=T675,T675&lt;&gt;""),COUNTIF($T$8:T675,T675),"")</f>
        <v/>
      </c>
      <c r="V675" s="341" t="str">
        <f t="shared" si="384"/>
        <v>db</v>
      </c>
      <c r="W675" s="341" t="str">
        <f t="shared" si="385"/>
        <v>db</v>
      </c>
      <c r="X675" s="341" t="str">
        <f>IF(B675="","",COUNTIF($C$8:C675,C675)&amp;C675)</f>
        <v>0</v>
      </c>
    </row>
    <row r="676" spans="2:24" s="335" customFormat="1" ht="23.1" customHeight="1">
      <c r="B676" s="336">
        <v>44804</v>
      </c>
      <c r="C676" s="337"/>
      <c r="D676" s="337" t="s">
        <v>649</v>
      </c>
      <c r="E676" s="338"/>
      <c r="F676" s="338"/>
      <c r="G676" s="338"/>
      <c r="H676" s="338" t="s">
        <v>633</v>
      </c>
      <c r="I676" s="338" t="s">
        <v>582</v>
      </c>
      <c r="J676" s="339">
        <v>2019314</v>
      </c>
      <c r="L676" s="340">
        <f t="shared" si="376"/>
        <v>1</v>
      </c>
      <c r="M676" s="340" t="str">
        <f t="shared" si="377"/>
        <v>August</v>
      </c>
      <c r="N676" s="340" t="str">
        <f t="shared" si="378"/>
        <v/>
      </c>
      <c r="O676" s="340" t="str">
        <f>IF(N676="","",COUNTIF($N$8:N676,N676))</f>
        <v/>
      </c>
      <c r="P676" s="341" t="str">
        <f t="shared" si="379"/>
        <v>outBeban</v>
      </c>
      <c r="Q676" s="341" t="str">
        <f t="shared" si="380"/>
        <v>outAugustBeban</v>
      </c>
      <c r="R676" s="341" t="str">
        <f t="shared" si="381"/>
        <v>Beban</v>
      </c>
      <c r="S676" s="341" t="str">
        <f t="shared" si="382"/>
        <v>Kas</v>
      </c>
      <c r="T676" s="341" t="str">
        <f t="shared" si="383"/>
        <v/>
      </c>
      <c r="U676" s="341" t="str">
        <f>IF(AND(L676=1,bp_kode=T676,T676&lt;&gt;""),COUNTIF($T$8:T676,T676),"")</f>
        <v/>
      </c>
      <c r="V676" s="341" t="str">
        <f t="shared" si="384"/>
        <v>db</v>
      </c>
      <c r="W676" s="341" t="str">
        <f t="shared" si="385"/>
        <v>db</v>
      </c>
      <c r="X676" s="341" t="str">
        <f>IF(B676="","",COUNTIF($C$8:C676,C676)&amp;C676)</f>
        <v>0</v>
      </c>
    </row>
    <row r="677" spans="2:24" s="335" customFormat="1" ht="23.1" customHeight="1">
      <c r="B677" s="336">
        <v>44804</v>
      </c>
      <c r="C677" s="337"/>
      <c r="D677" s="337" t="s">
        <v>650</v>
      </c>
      <c r="E677" s="338"/>
      <c r="F677" s="338"/>
      <c r="G677" s="338"/>
      <c r="H677" s="338" t="s">
        <v>634</v>
      </c>
      <c r="I677" s="338" t="s">
        <v>582</v>
      </c>
      <c r="J677" s="339">
        <v>8635119</v>
      </c>
      <c r="L677" s="340">
        <f t="shared" si="376"/>
        <v>1</v>
      </c>
      <c r="M677" s="340" t="str">
        <f t="shared" si="377"/>
        <v>August</v>
      </c>
      <c r="N677" s="340" t="str">
        <f t="shared" si="378"/>
        <v/>
      </c>
      <c r="O677" s="340" t="str">
        <f>IF(N677="","",COUNTIF($N$8:N677,N677))</f>
        <v/>
      </c>
      <c r="P677" s="341" t="str">
        <f t="shared" si="379"/>
        <v>outBeban</v>
      </c>
      <c r="Q677" s="341" t="str">
        <f t="shared" si="380"/>
        <v>outAugustBeban</v>
      </c>
      <c r="R677" s="341" t="str">
        <f t="shared" si="381"/>
        <v>Beban</v>
      </c>
      <c r="S677" s="341" t="str">
        <f t="shared" si="382"/>
        <v>Kas</v>
      </c>
      <c r="T677" s="341" t="str">
        <f t="shared" si="383"/>
        <v/>
      </c>
      <c r="U677" s="341" t="str">
        <f>IF(AND(L677=1,bp_kode=T677,T677&lt;&gt;""),COUNTIF($T$8:T677,T677),"")</f>
        <v/>
      </c>
      <c r="V677" s="341" t="str">
        <f t="shared" si="384"/>
        <v>db</v>
      </c>
      <c r="W677" s="341" t="str">
        <f t="shared" si="385"/>
        <v>db</v>
      </c>
      <c r="X677" s="341" t="str">
        <f>IF(B677="","",COUNTIF($C$8:C677,C677)&amp;C677)</f>
        <v>0</v>
      </c>
    </row>
    <row r="678" spans="2:24" s="335" customFormat="1" ht="23.1" customHeight="1">
      <c r="B678" s="336">
        <v>44804</v>
      </c>
      <c r="C678" s="337"/>
      <c r="D678" s="337" t="s">
        <v>651</v>
      </c>
      <c r="E678" s="338"/>
      <c r="F678" s="338"/>
      <c r="G678" s="338"/>
      <c r="H678" s="338" t="s">
        <v>635</v>
      </c>
      <c r="I678" s="338" t="s">
        <v>582</v>
      </c>
      <c r="J678" s="339">
        <v>575000</v>
      </c>
      <c r="L678" s="340">
        <f t="shared" ref="L678:L717" si="406">IF(AND(B678&gt;=awal,B678&lt;=akhir,B678&lt;&gt;""),1,IF(AND(B678&lt;&gt;"",B678&lt;awal),2,""))</f>
        <v>1</v>
      </c>
      <c r="M678" s="340" t="str">
        <f t="shared" ref="M678:M717" si="407">IF(B678="","",TEXT(B678,"mmmm"))</f>
        <v>August</v>
      </c>
      <c r="N678" s="340" t="str">
        <f t="shared" ref="N678:N717" si="408">IF(AND(L678=1,H678=bb_akun),"Awe",IF(AND(L678=1,I678=bb_akun),"Awe",""))</f>
        <v/>
      </c>
      <c r="O678" s="340" t="str">
        <f>IF(N678="","",COUNTIF($N$8:N678,N678))</f>
        <v/>
      </c>
      <c r="P678" s="341" t="str">
        <f t="shared" ref="P678:P717" si="409">IFERROR(IF(OR(INDEX(akun_type,MATCH(H678,akun_kb,0))="Kas",INDEX(akun_type,MATCH(H678,akun_kb,0))="Bank"),"In"&amp;INDEX(akun_type,MATCH(I678,akun_kb,0)),IF(OR(INDEX(akun_type,MATCH(I678,akun_kb,0))="Kas",INDEX(akun_type,MATCH(I678,akun_kb,0))="Bank"),"out"&amp;INDEX(akun_type,MATCH(H678,akun_kb,0)),"")),"")</f>
        <v>outBeban</v>
      </c>
      <c r="Q678" s="341" t="str">
        <f t="shared" ref="Q678:Q717" si="410">IFERROR(IF(OR(INDEX(akun_type,MATCH(H678,akun_kb,0))="Kas",INDEX(akun_type,MATCH(H678,akun_kb,0))="Bank"),"in"&amp;TEXT(B678,"mmmm")&amp;INDEX(akun_type,MATCH(I678,akun_kb,0)),IF(OR(INDEX(akun_type,MATCH(I678,akun_kb,0))="Kas",INDEX(akun_type,MATCH(I678,akun_kb,0))="Bank"),"out"&amp;TEXT(B678,"mmmm")&amp;INDEX(akun_type,MATCH(H678,akun_kb,0)),"")),"")</f>
        <v>outAugustBeban</v>
      </c>
      <c r="R678" s="341" t="str">
        <f t="shared" ref="R678:R717" si="411">IFERROR(INDEX(akun_type,MATCH(H678,akun_kb,0)),"")</f>
        <v>Beban</v>
      </c>
      <c r="S678" s="341" t="str">
        <f t="shared" ref="S678:S717" si="412">IFERROR(INDEX(akun_type,MATCH(I678,akun_kb,0)),"")</f>
        <v>Kas</v>
      </c>
      <c r="T678" s="341" t="str">
        <f t="shared" ref="T678:T717" si="413">IF(AND(L678=1,OR(R678="Akun Piutang",R678="akun hutang",S678="akun piutang",S678="akun hutang")),E678,"")</f>
        <v/>
      </c>
      <c r="U678" s="341" t="str">
        <f>IF(AND(L678=1,bp_kode=T678,T678&lt;&gt;""),COUNTIF($T$8:T678,T678),"")</f>
        <v/>
      </c>
      <c r="V678" s="341" t="str">
        <f t="shared" ref="V678:V717" si="414">IF(OR(R678="Pendapatan",R678="Pendapatan Lainnya",R678="Beban",R678="Harga Pokok Penjualan",R678="Beban Lainnya"),"db"&amp;F678,IF(OR(S678="Pendapatan",S678="Pendapatan Lainnya",S678="Beban",S678="Harga Pokok Penjualan",S678="Beban Lainnya"),"kr"&amp;F678,""))</f>
        <v>db</v>
      </c>
      <c r="W678" s="341" t="str">
        <f t="shared" ref="W678:W717" si="415">IF(OR(R678="Pendapatan",R678="Pendapatan Lainnya",R678="Beban",R678="Harga Pokok Penjualan",R678="Beban Lainnya"),"db"&amp;G678,IF(OR(S678="Pendapatan",S678="Pendapatan Lainnya",S678="Beban",S678="Harga Pokok Penjualan",S678="Beban Lainnya"),"kr"&amp;G678,""))</f>
        <v>db</v>
      </c>
      <c r="X678" s="341" t="str">
        <f>IF(B678="","",COUNTIF($C$8:C678,C678)&amp;C678)</f>
        <v>0</v>
      </c>
    </row>
    <row r="679" spans="2:24" s="335" customFormat="1" ht="23.1" customHeight="1">
      <c r="B679" s="336">
        <v>44804</v>
      </c>
      <c r="C679" s="337"/>
      <c r="D679" s="337" t="s">
        <v>652</v>
      </c>
      <c r="E679" s="338"/>
      <c r="F679" s="338"/>
      <c r="G679" s="338"/>
      <c r="H679" s="338" t="s">
        <v>636</v>
      </c>
      <c r="I679" s="338" t="s">
        <v>582</v>
      </c>
      <c r="J679" s="339">
        <v>12297805</v>
      </c>
      <c r="L679" s="340">
        <f t="shared" si="406"/>
        <v>1</v>
      </c>
      <c r="M679" s="340" t="str">
        <f t="shared" si="407"/>
        <v>August</v>
      </c>
      <c r="N679" s="340" t="str">
        <f t="shared" si="408"/>
        <v/>
      </c>
      <c r="O679" s="340" t="str">
        <f>IF(N679="","",COUNTIF($N$8:N679,N679))</f>
        <v/>
      </c>
      <c r="P679" s="341" t="str">
        <f t="shared" si="409"/>
        <v>outBeban</v>
      </c>
      <c r="Q679" s="341" t="str">
        <f t="shared" si="410"/>
        <v>outAugustBeban</v>
      </c>
      <c r="R679" s="341" t="str">
        <f t="shared" si="411"/>
        <v>Beban</v>
      </c>
      <c r="S679" s="341" t="str">
        <f t="shared" si="412"/>
        <v>Kas</v>
      </c>
      <c r="T679" s="341" t="str">
        <f t="shared" si="413"/>
        <v/>
      </c>
      <c r="U679" s="341" t="str">
        <f>IF(AND(L679=1,bp_kode=T679,T679&lt;&gt;""),COUNTIF($T$8:T679,T679),"")</f>
        <v/>
      </c>
      <c r="V679" s="341" t="str">
        <f t="shared" si="414"/>
        <v>db</v>
      </c>
      <c r="W679" s="341" t="str">
        <f t="shared" si="415"/>
        <v>db</v>
      </c>
      <c r="X679" s="341" t="str">
        <f>IF(B679="","",COUNTIF($C$8:C679,C679)&amp;C679)</f>
        <v>0</v>
      </c>
    </row>
    <row r="680" spans="2:24" s="335" customFormat="1" ht="23.1" customHeight="1">
      <c r="B680" s="336">
        <v>44804</v>
      </c>
      <c r="C680" s="337"/>
      <c r="D680" s="337" t="s">
        <v>653</v>
      </c>
      <c r="E680" s="338"/>
      <c r="F680" s="338"/>
      <c r="G680" s="338"/>
      <c r="H680" s="338" t="s">
        <v>637</v>
      </c>
      <c r="I680" s="338" t="s">
        <v>582</v>
      </c>
      <c r="J680" s="339">
        <v>3134136</v>
      </c>
      <c r="L680" s="340">
        <f t="shared" si="406"/>
        <v>1</v>
      </c>
      <c r="M680" s="340" t="str">
        <f t="shared" si="407"/>
        <v>August</v>
      </c>
      <c r="N680" s="340" t="str">
        <f t="shared" si="408"/>
        <v/>
      </c>
      <c r="O680" s="340" t="str">
        <f>IF(N680="","",COUNTIF($N$8:N680,N680))</f>
        <v/>
      </c>
      <c r="P680" s="341" t="str">
        <f t="shared" si="409"/>
        <v>outBeban</v>
      </c>
      <c r="Q680" s="341" t="str">
        <f t="shared" si="410"/>
        <v>outAugustBeban</v>
      </c>
      <c r="R680" s="341" t="str">
        <f t="shared" si="411"/>
        <v>Beban</v>
      </c>
      <c r="S680" s="341" t="str">
        <f t="shared" si="412"/>
        <v>Kas</v>
      </c>
      <c r="T680" s="341" t="str">
        <f t="shared" si="413"/>
        <v/>
      </c>
      <c r="U680" s="341" t="str">
        <f>IF(AND(L680=1,bp_kode=T680,T680&lt;&gt;""),COUNTIF($T$8:T680,T680),"")</f>
        <v/>
      </c>
      <c r="V680" s="341" t="str">
        <f t="shared" si="414"/>
        <v>db</v>
      </c>
      <c r="W680" s="341" t="str">
        <f t="shared" si="415"/>
        <v>db</v>
      </c>
      <c r="X680" s="341" t="str">
        <f>IF(B680="","",COUNTIF($C$8:C680,C680)&amp;C680)</f>
        <v>0</v>
      </c>
    </row>
    <row r="681" spans="2:24" s="335" customFormat="1" ht="23.1" customHeight="1">
      <c r="B681" s="336">
        <v>44804</v>
      </c>
      <c r="C681" s="337"/>
      <c r="D681" s="337" t="s">
        <v>846</v>
      </c>
      <c r="E681" s="338"/>
      <c r="F681" s="338"/>
      <c r="G681" s="338"/>
      <c r="H681" s="338" t="s">
        <v>712</v>
      </c>
      <c r="I681" s="338" t="s">
        <v>582</v>
      </c>
      <c r="J681" s="339">
        <v>599900</v>
      </c>
      <c r="L681" s="340">
        <f t="shared" ref="L681" si="416">IF(AND(B681&gt;=awal,B681&lt;=akhir,B681&lt;&gt;""),1,IF(AND(B681&lt;&gt;"",B681&lt;awal),2,""))</f>
        <v>1</v>
      </c>
      <c r="M681" s="340" t="str">
        <f t="shared" ref="M681" si="417">IF(B681="","",TEXT(B681,"mmmm"))</f>
        <v>August</v>
      </c>
      <c r="N681" s="340" t="str">
        <f t="shared" ref="N681" si="418">IF(AND(L681=1,H681=bb_akun),"Awe",IF(AND(L681=1,I681=bb_akun),"Awe",""))</f>
        <v/>
      </c>
      <c r="O681" s="340" t="str">
        <f>IF(N681="","",COUNTIF($N$8:N681,N681))</f>
        <v/>
      </c>
      <c r="P681" s="341" t="str">
        <f t="shared" ref="P681" si="419">IFERROR(IF(OR(INDEX(akun_type,MATCH(H681,akun_kb,0))="Kas",INDEX(akun_type,MATCH(H681,akun_kb,0))="Bank"),"In"&amp;INDEX(akun_type,MATCH(I681,akun_kb,0)),IF(OR(INDEX(akun_type,MATCH(I681,akun_kb,0))="Kas",INDEX(akun_type,MATCH(I681,akun_kb,0))="Bank"),"out"&amp;INDEX(akun_type,MATCH(H681,akun_kb,0)),"")),"")</f>
        <v>outAktiva Tetap</v>
      </c>
      <c r="Q681" s="341" t="str">
        <f t="shared" ref="Q681" si="420">IFERROR(IF(OR(INDEX(akun_type,MATCH(H681,akun_kb,0))="Kas",INDEX(akun_type,MATCH(H681,akun_kb,0))="Bank"),"in"&amp;TEXT(B681,"mmmm")&amp;INDEX(akun_type,MATCH(I681,akun_kb,0)),IF(OR(INDEX(akun_type,MATCH(I681,akun_kb,0))="Kas",INDEX(akun_type,MATCH(I681,akun_kb,0))="Bank"),"out"&amp;TEXT(B681,"mmmm")&amp;INDEX(akun_type,MATCH(H681,akun_kb,0)),"")),"")</f>
        <v>outAugustAktiva Tetap</v>
      </c>
      <c r="R681" s="341" t="str">
        <f t="shared" ref="R681" si="421">IFERROR(INDEX(akun_type,MATCH(H681,akun_kb,0)),"")</f>
        <v>Aktiva Tetap</v>
      </c>
      <c r="S681" s="341" t="str">
        <f t="shared" ref="S681" si="422">IFERROR(INDEX(akun_type,MATCH(I681,akun_kb,0)),"")</f>
        <v>Kas</v>
      </c>
      <c r="T681" s="341" t="str">
        <f t="shared" ref="T681" si="423">IF(AND(L681=1,OR(R681="Akun Piutang",R681="akun hutang",S681="akun piutang",S681="akun hutang")),E681,"")</f>
        <v/>
      </c>
      <c r="U681" s="341" t="str">
        <f>IF(AND(L681=1,bp_kode=T681,T681&lt;&gt;""),COUNTIF($T$8:T681,T681),"")</f>
        <v/>
      </c>
      <c r="V681" s="341" t="str">
        <f t="shared" ref="V681" si="424">IF(OR(R681="Pendapatan",R681="Pendapatan Lainnya",R681="Beban",R681="Harga Pokok Penjualan",R681="Beban Lainnya"),"db"&amp;F681,IF(OR(S681="Pendapatan",S681="Pendapatan Lainnya",S681="Beban",S681="Harga Pokok Penjualan",S681="Beban Lainnya"),"kr"&amp;F681,""))</f>
        <v/>
      </c>
      <c r="W681" s="341" t="str">
        <f t="shared" ref="W681" si="425">IF(OR(R681="Pendapatan",R681="Pendapatan Lainnya",R681="Beban",R681="Harga Pokok Penjualan",R681="Beban Lainnya"),"db"&amp;G681,IF(OR(S681="Pendapatan",S681="Pendapatan Lainnya",S681="Beban",S681="Harga Pokok Penjualan",S681="Beban Lainnya"),"kr"&amp;G681,""))</f>
        <v/>
      </c>
      <c r="X681" s="341" t="str">
        <f>IF(B681="","",COUNTIF($C$8:C681,C681)&amp;C681)</f>
        <v>0</v>
      </c>
    </row>
    <row r="682" spans="2:24" s="335" customFormat="1" ht="23.1" customHeight="1">
      <c r="B682" s="336">
        <v>44804</v>
      </c>
      <c r="C682" s="337"/>
      <c r="D682" s="337" t="s">
        <v>750</v>
      </c>
      <c r="E682" s="338"/>
      <c r="F682" s="338"/>
      <c r="G682" s="338"/>
      <c r="H682" s="338" t="s">
        <v>749</v>
      </c>
      <c r="I682" s="338" t="s">
        <v>582</v>
      </c>
      <c r="J682" s="339">
        <v>27378600</v>
      </c>
      <c r="L682" s="340">
        <f t="shared" si="406"/>
        <v>1</v>
      </c>
      <c r="M682" s="340" t="str">
        <f t="shared" si="407"/>
        <v>August</v>
      </c>
      <c r="N682" s="340" t="str">
        <f t="shared" si="408"/>
        <v/>
      </c>
      <c r="O682" s="340" t="str">
        <f>IF(N682="","",COUNTIF($N$8:N682,N682))</f>
        <v/>
      </c>
      <c r="P682" s="341" t="str">
        <f t="shared" si="409"/>
        <v>outBeban</v>
      </c>
      <c r="Q682" s="341" t="str">
        <f t="shared" si="410"/>
        <v>outAugustBeban</v>
      </c>
      <c r="R682" s="341" t="str">
        <f t="shared" si="411"/>
        <v>Beban</v>
      </c>
      <c r="S682" s="341" t="str">
        <f t="shared" si="412"/>
        <v>Kas</v>
      </c>
      <c r="T682" s="341" t="str">
        <f t="shared" si="413"/>
        <v/>
      </c>
      <c r="U682" s="341" t="str">
        <f>IF(AND(L682=1,bp_kode=T682,T682&lt;&gt;""),COUNTIF($T$8:T682,T682),"")</f>
        <v/>
      </c>
      <c r="V682" s="341" t="str">
        <f t="shared" si="414"/>
        <v>db</v>
      </c>
      <c r="W682" s="341" t="str">
        <f t="shared" si="415"/>
        <v>db</v>
      </c>
      <c r="X682" s="341" t="str">
        <f>IF(B682="","",COUNTIF($C$8:C682,C682)&amp;C682)</f>
        <v>0</v>
      </c>
    </row>
    <row r="683" spans="2:24" s="335" customFormat="1" ht="23.1" customHeight="1">
      <c r="B683" s="336">
        <v>44804</v>
      </c>
      <c r="C683" s="337"/>
      <c r="D683" s="337" t="s">
        <v>655</v>
      </c>
      <c r="E683" s="338"/>
      <c r="F683" s="338"/>
      <c r="G683" s="338"/>
      <c r="H683" s="338" t="s">
        <v>639</v>
      </c>
      <c r="I683" s="338" t="s">
        <v>582</v>
      </c>
      <c r="J683" s="339">
        <v>33508400</v>
      </c>
      <c r="L683" s="340">
        <f t="shared" si="406"/>
        <v>1</v>
      </c>
      <c r="M683" s="340" t="str">
        <f t="shared" si="407"/>
        <v>August</v>
      </c>
      <c r="N683" s="340" t="str">
        <f t="shared" si="408"/>
        <v/>
      </c>
      <c r="O683" s="340" t="str">
        <f>IF(N683="","",COUNTIF($N$8:N683,N683))</f>
        <v/>
      </c>
      <c r="P683" s="341" t="str">
        <f t="shared" si="409"/>
        <v>outBeban</v>
      </c>
      <c r="Q683" s="341" t="str">
        <f t="shared" si="410"/>
        <v>outAugustBeban</v>
      </c>
      <c r="R683" s="341" t="str">
        <f t="shared" si="411"/>
        <v>Beban</v>
      </c>
      <c r="S683" s="341" t="str">
        <f t="shared" si="412"/>
        <v>Kas</v>
      </c>
      <c r="T683" s="341" t="str">
        <f t="shared" si="413"/>
        <v/>
      </c>
      <c r="U683" s="341" t="str">
        <f>IF(AND(L683=1,bp_kode=T683,T683&lt;&gt;""),COUNTIF($T$8:T683,T683),"")</f>
        <v/>
      </c>
      <c r="V683" s="341" t="str">
        <f t="shared" si="414"/>
        <v>db</v>
      </c>
      <c r="W683" s="341" t="str">
        <f t="shared" si="415"/>
        <v>db</v>
      </c>
      <c r="X683" s="341" t="str">
        <f>IF(B683="","",COUNTIF($C$8:C683,C683)&amp;C683)</f>
        <v>0</v>
      </c>
    </row>
    <row r="684" spans="2:24" s="335" customFormat="1" ht="23.1" customHeight="1">
      <c r="B684" s="336">
        <v>44804</v>
      </c>
      <c r="C684" s="337"/>
      <c r="D684" s="337" t="s">
        <v>720</v>
      </c>
      <c r="E684" s="338"/>
      <c r="F684" s="338"/>
      <c r="G684" s="338"/>
      <c r="H684" s="338" t="s">
        <v>719</v>
      </c>
      <c r="I684" s="338" t="s">
        <v>582</v>
      </c>
      <c r="J684" s="339">
        <v>978000</v>
      </c>
      <c r="L684" s="340">
        <f t="shared" si="406"/>
        <v>1</v>
      </c>
      <c r="M684" s="340" t="str">
        <f t="shared" si="407"/>
        <v>August</v>
      </c>
      <c r="N684" s="340" t="str">
        <f t="shared" si="408"/>
        <v/>
      </c>
      <c r="O684" s="340" t="str">
        <f>IF(N684="","",COUNTIF($N$8:N684,N684))</f>
        <v/>
      </c>
      <c r="P684" s="341" t="str">
        <f t="shared" si="409"/>
        <v>outBeban</v>
      </c>
      <c r="Q684" s="341" t="str">
        <f t="shared" si="410"/>
        <v>outAugustBeban</v>
      </c>
      <c r="R684" s="341" t="str">
        <f t="shared" si="411"/>
        <v>Beban</v>
      </c>
      <c r="S684" s="341" t="str">
        <f t="shared" si="412"/>
        <v>Kas</v>
      </c>
      <c r="T684" s="341" t="str">
        <f t="shared" si="413"/>
        <v/>
      </c>
      <c r="U684" s="341" t="str">
        <f>IF(AND(L684=1,bp_kode=T684,T684&lt;&gt;""),COUNTIF($T$8:T684,T684),"")</f>
        <v/>
      </c>
      <c r="V684" s="341" t="str">
        <f t="shared" si="414"/>
        <v>db</v>
      </c>
      <c r="W684" s="341" t="str">
        <f t="shared" si="415"/>
        <v>db</v>
      </c>
      <c r="X684" s="341" t="str">
        <f>IF(B684="","",COUNTIF($C$8:C684,C684)&amp;C684)</f>
        <v>0</v>
      </c>
    </row>
    <row r="685" spans="2:24" s="335" customFormat="1" ht="23.1" customHeight="1">
      <c r="B685" s="336">
        <v>44804</v>
      </c>
      <c r="C685" s="337"/>
      <c r="D685" s="337" t="s">
        <v>768</v>
      </c>
      <c r="E685" s="338"/>
      <c r="F685" s="338"/>
      <c r="G685" s="338"/>
      <c r="H685" s="338" t="s">
        <v>767</v>
      </c>
      <c r="I685" s="338" t="s">
        <v>582</v>
      </c>
      <c r="J685" s="339">
        <v>1000000</v>
      </c>
      <c r="L685" s="340">
        <f t="shared" ref="L685" si="426">IF(AND(B685&gt;=awal,B685&lt;=akhir,B685&lt;&gt;""),1,IF(AND(B685&lt;&gt;"",B685&lt;awal),2,""))</f>
        <v>1</v>
      </c>
      <c r="M685" s="340" t="str">
        <f t="shared" ref="M685" si="427">IF(B685="","",TEXT(B685,"mmmm"))</f>
        <v>August</v>
      </c>
      <c r="N685" s="340" t="str">
        <f t="shared" ref="N685" si="428">IF(AND(L685=1,H685=bb_akun),"Awe",IF(AND(L685=1,I685=bb_akun),"Awe",""))</f>
        <v/>
      </c>
      <c r="O685" s="340" t="str">
        <f>IF(N685="","",COUNTIF($N$8:N685,N685))</f>
        <v/>
      </c>
      <c r="P685" s="341" t="str">
        <f t="shared" ref="P685" si="429">IFERROR(IF(OR(INDEX(akun_type,MATCH(H685,akun_kb,0))="Kas",INDEX(akun_type,MATCH(H685,akun_kb,0))="Bank"),"In"&amp;INDEX(akun_type,MATCH(I685,akun_kb,0)),IF(OR(INDEX(akun_type,MATCH(I685,akun_kb,0))="Kas",INDEX(akun_type,MATCH(I685,akun_kb,0))="Bank"),"out"&amp;INDEX(akun_type,MATCH(H685,akun_kb,0)),"")),"")</f>
        <v>outBeban</v>
      </c>
      <c r="Q685" s="341" t="str">
        <f t="shared" ref="Q685" si="430">IFERROR(IF(OR(INDEX(akun_type,MATCH(H685,akun_kb,0))="Kas",INDEX(akun_type,MATCH(H685,akun_kb,0))="Bank"),"in"&amp;TEXT(B685,"mmmm")&amp;INDEX(akun_type,MATCH(I685,akun_kb,0)),IF(OR(INDEX(akun_type,MATCH(I685,akun_kb,0))="Kas",INDEX(akun_type,MATCH(I685,akun_kb,0))="Bank"),"out"&amp;TEXT(B685,"mmmm")&amp;INDEX(akun_type,MATCH(H685,akun_kb,0)),"")),"")</f>
        <v>outAugustBeban</v>
      </c>
      <c r="R685" s="341" t="str">
        <f t="shared" ref="R685" si="431">IFERROR(INDEX(akun_type,MATCH(H685,akun_kb,0)),"")</f>
        <v>Beban</v>
      </c>
      <c r="S685" s="341" t="str">
        <f t="shared" ref="S685" si="432">IFERROR(INDEX(akun_type,MATCH(I685,akun_kb,0)),"")</f>
        <v>Kas</v>
      </c>
      <c r="T685" s="341" t="str">
        <f t="shared" ref="T685" si="433">IF(AND(L685=1,OR(R685="Akun Piutang",R685="akun hutang",S685="akun piutang",S685="akun hutang")),E685,"")</f>
        <v/>
      </c>
      <c r="U685" s="341" t="str">
        <f>IF(AND(L685=1,bp_kode=T685,T685&lt;&gt;""),COUNTIF($T$8:T685,T685),"")</f>
        <v/>
      </c>
      <c r="V685" s="341" t="str">
        <f t="shared" ref="V685" si="434">IF(OR(R685="Pendapatan",R685="Pendapatan Lainnya",R685="Beban",R685="Harga Pokok Penjualan",R685="Beban Lainnya"),"db"&amp;F685,IF(OR(S685="Pendapatan",S685="Pendapatan Lainnya",S685="Beban",S685="Harga Pokok Penjualan",S685="Beban Lainnya"),"kr"&amp;F685,""))</f>
        <v>db</v>
      </c>
      <c r="W685" s="341" t="str">
        <f t="shared" ref="W685" si="435">IF(OR(R685="Pendapatan",R685="Pendapatan Lainnya",R685="Beban",R685="Harga Pokok Penjualan",R685="Beban Lainnya"),"db"&amp;G685,IF(OR(S685="Pendapatan",S685="Pendapatan Lainnya",S685="Beban",S685="Harga Pokok Penjualan",S685="Beban Lainnya"),"kr"&amp;G685,""))</f>
        <v>db</v>
      </c>
      <c r="X685" s="341" t="str">
        <f>IF(B685="","",COUNTIF($C$8:C685,C685)&amp;C685)</f>
        <v>0</v>
      </c>
    </row>
    <row r="686" spans="2:24" s="335" customFormat="1" ht="23.1" customHeight="1">
      <c r="B686" s="336">
        <v>44804</v>
      </c>
      <c r="C686" s="337"/>
      <c r="D686" s="337" t="s">
        <v>663</v>
      </c>
      <c r="E686" s="338"/>
      <c r="F686" s="338"/>
      <c r="G686" s="338"/>
      <c r="H686" s="338" t="s">
        <v>658</v>
      </c>
      <c r="I686" s="338" t="s">
        <v>671</v>
      </c>
      <c r="J686" s="339">
        <v>2806459</v>
      </c>
      <c r="L686" s="340">
        <f t="shared" si="406"/>
        <v>1</v>
      </c>
      <c r="M686" s="340" t="str">
        <f t="shared" si="407"/>
        <v>August</v>
      </c>
      <c r="N686" s="340" t="str">
        <f t="shared" si="408"/>
        <v/>
      </c>
      <c r="O686" s="340" t="str">
        <f>IF(N686="","",COUNTIF($N$8:N686,N686))</f>
        <v/>
      </c>
      <c r="P686" s="341" t="str">
        <f t="shared" si="409"/>
        <v/>
      </c>
      <c r="Q686" s="341" t="str">
        <f t="shared" si="410"/>
        <v/>
      </c>
      <c r="R686" s="341" t="str">
        <f t="shared" si="411"/>
        <v>Beban</v>
      </c>
      <c r="S686" s="341" t="str">
        <f t="shared" si="412"/>
        <v>Depresiasi &amp; Amortisasi</v>
      </c>
      <c r="T686" s="341" t="str">
        <f t="shared" si="413"/>
        <v/>
      </c>
      <c r="U686" s="341" t="str">
        <f>IF(AND(L686=1,bp_kode=T686,T686&lt;&gt;""),COUNTIF($T$8:T686,T686),"")</f>
        <v/>
      </c>
      <c r="V686" s="341" t="str">
        <f t="shared" si="414"/>
        <v>db</v>
      </c>
      <c r="W686" s="341" t="str">
        <f t="shared" si="415"/>
        <v>db</v>
      </c>
      <c r="X686" s="341" t="str">
        <f>IF(B686="","",COUNTIF($C$8:C686,C686)&amp;C686)</f>
        <v>0</v>
      </c>
    </row>
    <row r="687" spans="2:24" s="335" customFormat="1" ht="23.1" customHeight="1">
      <c r="B687" s="336">
        <v>44804</v>
      </c>
      <c r="C687" s="337"/>
      <c r="D687" s="337" t="s">
        <v>664</v>
      </c>
      <c r="E687" s="338"/>
      <c r="F687" s="338"/>
      <c r="G687" s="338"/>
      <c r="H687" s="338" t="s">
        <v>660</v>
      </c>
      <c r="I687" s="338" t="s">
        <v>659</v>
      </c>
      <c r="J687" s="339">
        <v>29031950</v>
      </c>
      <c r="L687" s="340">
        <f t="shared" si="406"/>
        <v>1</v>
      </c>
      <c r="M687" s="340" t="str">
        <f t="shared" si="407"/>
        <v>August</v>
      </c>
      <c r="N687" s="340" t="str">
        <f t="shared" si="408"/>
        <v/>
      </c>
      <c r="O687" s="340" t="str">
        <f>IF(N687="","",COUNTIF($N$8:N687,N687))</f>
        <v/>
      </c>
      <c r="P687" s="341" t="str">
        <f t="shared" si="409"/>
        <v/>
      </c>
      <c r="Q687" s="341" t="str">
        <f t="shared" si="410"/>
        <v/>
      </c>
      <c r="R687" s="341" t="str">
        <f t="shared" si="411"/>
        <v>Beban</v>
      </c>
      <c r="S687" s="341" t="str">
        <f t="shared" si="412"/>
        <v>Depresiasi &amp; Amortisasi</v>
      </c>
      <c r="T687" s="341" t="str">
        <f t="shared" si="413"/>
        <v/>
      </c>
      <c r="U687" s="341" t="str">
        <f>IF(AND(L687=1,bp_kode=T687,T687&lt;&gt;""),COUNTIF($T$8:T687,T687),"")</f>
        <v/>
      </c>
      <c r="V687" s="341" t="str">
        <f t="shared" si="414"/>
        <v>db</v>
      </c>
      <c r="W687" s="341" t="str">
        <f t="shared" si="415"/>
        <v>db</v>
      </c>
      <c r="X687" s="341" t="str">
        <f>IF(B687="","",COUNTIF($C$8:C687,C687)&amp;C687)</f>
        <v>0</v>
      </c>
    </row>
    <row r="688" spans="2:24" s="335" customFormat="1" ht="23.1" customHeight="1">
      <c r="B688" s="336">
        <v>44804</v>
      </c>
      <c r="C688" s="337"/>
      <c r="D688" s="337" t="s">
        <v>665</v>
      </c>
      <c r="E688" s="338"/>
      <c r="F688" s="338"/>
      <c r="G688" s="338"/>
      <c r="H688" s="338" t="s">
        <v>661</v>
      </c>
      <c r="I688" s="338" t="s">
        <v>672</v>
      </c>
      <c r="J688" s="339">
        <v>41666</v>
      </c>
      <c r="L688" s="340">
        <f t="shared" si="406"/>
        <v>1</v>
      </c>
      <c r="M688" s="340" t="str">
        <f t="shared" si="407"/>
        <v>August</v>
      </c>
      <c r="N688" s="340" t="str">
        <f t="shared" si="408"/>
        <v/>
      </c>
      <c r="O688" s="340" t="str">
        <f>IF(N688="","",COUNTIF($N$8:N688,N688))</f>
        <v/>
      </c>
      <c r="P688" s="341" t="str">
        <f t="shared" si="409"/>
        <v/>
      </c>
      <c r="Q688" s="341" t="str">
        <f t="shared" si="410"/>
        <v/>
      </c>
      <c r="R688" s="341" t="str">
        <f t="shared" si="411"/>
        <v>Beban</v>
      </c>
      <c r="S688" s="341" t="str">
        <f t="shared" si="412"/>
        <v>Depresiasi &amp; Amortisasi</v>
      </c>
      <c r="T688" s="341" t="str">
        <f t="shared" si="413"/>
        <v/>
      </c>
      <c r="U688" s="341" t="str">
        <f>IF(AND(L688=1,bp_kode=T688,T688&lt;&gt;""),COUNTIF($T$8:T688,T688),"")</f>
        <v/>
      </c>
      <c r="V688" s="341" t="str">
        <f t="shared" si="414"/>
        <v>db</v>
      </c>
      <c r="W688" s="341" t="str">
        <f t="shared" si="415"/>
        <v>db</v>
      </c>
      <c r="X688" s="341" t="str">
        <f>IF(B688="","",COUNTIF($C$8:C688,C688)&amp;C688)</f>
        <v>0</v>
      </c>
    </row>
    <row r="689" spans="2:24" s="335" customFormat="1" ht="23.1" customHeight="1">
      <c r="B689" s="336">
        <v>44804</v>
      </c>
      <c r="C689" s="337"/>
      <c r="D689" s="337" t="s">
        <v>666</v>
      </c>
      <c r="E689" s="338"/>
      <c r="F689" s="338"/>
      <c r="G689" s="338"/>
      <c r="H689" s="338" t="s">
        <v>662</v>
      </c>
      <c r="I689" s="338" t="s">
        <v>673</v>
      </c>
      <c r="J689" s="339">
        <v>5654493</v>
      </c>
      <c r="L689" s="340">
        <f t="shared" si="406"/>
        <v>1</v>
      </c>
      <c r="M689" s="340" t="str">
        <f t="shared" si="407"/>
        <v>August</v>
      </c>
      <c r="N689" s="340" t="str">
        <f t="shared" si="408"/>
        <v/>
      </c>
      <c r="O689" s="340" t="str">
        <f>IF(N689="","",COUNTIF($N$8:N689,N689))</f>
        <v/>
      </c>
      <c r="P689" s="341" t="str">
        <f t="shared" si="409"/>
        <v/>
      </c>
      <c r="Q689" s="341" t="str">
        <f t="shared" si="410"/>
        <v/>
      </c>
      <c r="R689" s="341" t="str">
        <f t="shared" si="411"/>
        <v>Beban</v>
      </c>
      <c r="S689" s="341" t="str">
        <f t="shared" si="412"/>
        <v>Depresiasi &amp; Amortisasi</v>
      </c>
      <c r="T689" s="341" t="str">
        <f t="shared" si="413"/>
        <v/>
      </c>
      <c r="U689" s="341" t="str">
        <f>IF(AND(L689=1,bp_kode=T689,T689&lt;&gt;""),COUNTIF($T$8:T689,T689),"")</f>
        <v/>
      </c>
      <c r="V689" s="341" t="str">
        <f t="shared" si="414"/>
        <v>db</v>
      </c>
      <c r="W689" s="341" t="str">
        <f t="shared" si="415"/>
        <v>db</v>
      </c>
      <c r="X689" s="341" t="str">
        <f>IF(B689="","",COUNTIF($C$8:C689,C689)&amp;C689)</f>
        <v>0</v>
      </c>
    </row>
    <row r="690" spans="2:24" s="335" customFormat="1" ht="23.1" customHeight="1">
      <c r="B690" s="336">
        <v>44804</v>
      </c>
      <c r="C690" s="337"/>
      <c r="D690" s="337" t="s">
        <v>669</v>
      </c>
      <c r="E690" s="338"/>
      <c r="F690" s="338"/>
      <c r="G690" s="338"/>
      <c r="H690" s="338" t="s">
        <v>667</v>
      </c>
      <c r="I690" s="338" t="s">
        <v>674</v>
      </c>
      <c r="J690" s="339">
        <v>17325229</v>
      </c>
      <c r="L690" s="340">
        <f t="shared" si="406"/>
        <v>1</v>
      </c>
      <c r="M690" s="340" t="str">
        <f t="shared" si="407"/>
        <v>August</v>
      </c>
      <c r="N690" s="340" t="str">
        <f t="shared" si="408"/>
        <v/>
      </c>
      <c r="O690" s="340" t="str">
        <f>IF(N690="","",COUNTIF($N$8:N690,N690))</f>
        <v/>
      </c>
      <c r="P690" s="341" t="str">
        <f t="shared" si="409"/>
        <v/>
      </c>
      <c r="Q690" s="341" t="str">
        <f t="shared" si="410"/>
        <v/>
      </c>
      <c r="R690" s="341" t="str">
        <f t="shared" si="411"/>
        <v>Beban</v>
      </c>
      <c r="S690" s="341" t="str">
        <f t="shared" si="412"/>
        <v>Depresiasi &amp; Amortisasi</v>
      </c>
      <c r="T690" s="341" t="str">
        <f t="shared" si="413"/>
        <v/>
      </c>
      <c r="U690" s="341" t="str">
        <f>IF(AND(L690=1,bp_kode=T690,T690&lt;&gt;""),COUNTIF($T$8:T690,T690),"")</f>
        <v/>
      </c>
      <c r="V690" s="341" t="str">
        <f t="shared" si="414"/>
        <v>db</v>
      </c>
      <c r="W690" s="341" t="str">
        <f t="shared" si="415"/>
        <v>db</v>
      </c>
      <c r="X690" s="341" t="str">
        <f>IF(B690="","",COUNTIF($C$8:C690,C690)&amp;C690)</f>
        <v>0</v>
      </c>
    </row>
    <row r="691" spans="2:24" s="335" customFormat="1" ht="23.1" customHeight="1">
      <c r="B691" s="336">
        <v>44804</v>
      </c>
      <c r="C691" s="337"/>
      <c r="D691" s="337" t="s">
        <v>670</v>
      </c>
      <c r="E691" s="338"/>
      <c r="F691" s="338"/>
      <c r="G691" s="338"/>
      <c r="H691" s="338" t="s">
        <v>668</v>
      </c>
      <c r="I691" s="338" t="s">
        <v>675</v>
      </c>
      <c r="J691" s="339">
        <v>5265000</v>
      </c>
      <c r="L691" s="340">
        <f t="shared" si="406"/>
        <v>1</v>
      </c>
      <c r="M691" s="340" t="str">
        <f t="shared" si="407"/>
        <v>August</v>
      </c>
      <c r="N691" s="340" t="str">
        <f t="shared" si="408"/>
        <v/>
      </c>
      <c r="O691" s="340" t="str">
        <f>IF(N691="","",COUNTIF($N$8:N691,N691))</f>
        <v/>
      </c>
      <c r="P691" s="341" t="str">
        <f t="shared" si="409"/>
        <v/>
      </c>
      <c r="Q691" s="341" t="str">
        <f t="shared" si="410"/>
        <v/>
      </c>
      <c r="R691" s="341" t="str">
        <f t="shared" si="411"/>
        <v>Beban</v>
      </c>
      <c r="S691" s="341" t="str">
        <f t="shared" si="412"/>
        <v>Depresiasi &amp; Amortisasi</v>
      </c>
      <c r="T691" s="341" t="str">
        <f t="shared" si="413"/>
        <v/>
      </c>
      <c r="U691" s="341" t="str">
        <f>IF(AND(L691=1,bp_kode=T691,T691&lt;&gt;""),COUNTIF($T$8:T691,T691),"")</f>
        <v/>
      </c>
      <c r="V691" s="341" t="str">
        <f t="shared" si="414"/>
        <v>db</v>
      </c>
      <c r="W691" s="341" t="str">
        <f t="shared" si="415"/>
        <v>db</v>
      </c>
      <c r="X691" s="341" t="str">
        <f>IF(B691="","",COUNTIF($C$8:C691,C691)&amp;C691)</f>
        <v>0</v>
      </c>
    </row>
    <row r="692" spans="2:24" s="335" customFormat="1" ht="23.1" customHeight="1">
      <c r="B692" s="336">
        <v>44804</v>
      </c>
      <c r="C692" s="337"/>
      <c r="D692" s="337" t="s">
        <v>670</v>
      </c>
      <c r="E692" s="338"/>
      <c r="F692" s="338"/>
      <c r="G692" s="338"/>
      <c r="H692" s="338" t="s">
        <v>668</v>
      </c>
      <c r="I692" s="338" t="s">
        <v>675</v>
      </c>
      <c r="J692" s="339">
        <v>186666.66666666666</v>
      </c>
      <c r="L692" s="340">
        <f t="shared" si="406"/>
        <v>1</v>
      </c>
      <c r="M692" s="340" t="str">
        <f t="shared" si="407"/>
        <v>August</v>
      </c>
      <c r="N692" s="340" t="str">
        <f t="shared" si="408"/>
        <v/>
      </c>
      <c r="O692" s="340" t="str">
        <f>IF(N692="","",COUNTIF($N$8:N692,N692))</f>
        <v/>
      </c>
      <c r="P692" s="341" t="str">
        <f t="shared" si="409"/>
        <v/>
      </c>
      <c r="Q692" s="341" t="str">
        <f t="shared" si="410"/>
        <v/>
      </c>
      <c r="R692" s="341" t="str">
        <f t="shared" si="411"/>
        <v>Beban</v>
      </c>
      <c r="S692" s="341" t="str">
        <f t="shared" si="412"/>
        <v>Depresiasi &amp; Amortisasi</v>
      </c>
      <c r="T692" s="341" t="str">
        <f t="shared" si="413"/>
        <v/>
      </c>
      <c r="U692" s="341" t="str">
        <f>IF(AND(L692=1,bp_kode=T692,T692&lt;&gt;""),COUNTIF($T$8:T692,T692),"")</f>
        <v/>
      </c>
      <c r="V692" s="341" t="str">
        <f t="shared" si="414"/>
        <v>db</v>
      </c>
      <c r="W692" s="341" t="str">
        <f t="shared" si="415"/>
        <v>db</v>
      </c>
      <c r="X692" s="341" t="str">
        <f>IF(B692="","",COUNTIF($C$8:C692,C692)&amp;C692)</f>
        <v>0</v>
      </c>
    </row>
    <row r="693" spans="2:24" s="335" customFormat="1" ht="23.1" customHeight="1">
      <c r="B693" s="336">
        <v>44804</v>
      </c>
      <c r="C693" s="337"/>
      <c r="D693" s="337" t="s">
        <v>666</v>
      </c>
      <c r="E693" s="338"/>
      <c r="F693" s="338"/>
      <c r="G693" s="338"/>
      <c r="H693" s="338" t="s">
        <v>662</v>
      </c>
      <c r="I693" s="338" t="s">
        <v>673</v>
      </c>
      <c r="J693" s="339">
        <v>40833.33</v>
      </c>
      <c r="L693" s="340">
        <f t="shared" si="406"/>
        <v>1</v>
      </c>
      <c r="M693" s="340" t="str">
        <f t="shared" si="407"/>
        <v>August</v>
      </c>
      <c r="N693" s="340" t="str">
        <f t="shared" si="408"/>
        <v/>
      </c>
      <c r="O693" s="340" t="str">
        <f>IF(N693="","",COUNTIF($N$8:N693,N693))</f>
        <v/>
      </c>
      <c r="P693" s="341" t="str">
        <f t="shared" si="409"/>
        <v/>
      </c>
      <c r="Q693" s="341" t="str">
        <f t="shared" si="410"/>
        <v/>
      </c>
      <c r="R693" s="341" t="str">
        <f t="shared" si="411"/>
        <v>Beban</v>
      </c>
      <c r="S693" s="341" t="str">
        <f t="shared" si="412"/>
        <v>Depresiasi &amp; Amortisasi</v>
      </c>
      <c r="T693" s="341" t="str">
        <f t="shared" si="413"/>
        <v/>
      </c>
      <c r="U693" s="341" t="str">
        <f>IF(AND(L693=1,bp_kode=T693,T693&lt;&gt;""),COUNTIF($T$8:T693,T693),"")</f>
        <v/>
      </c>
      <c r="V693" s="341" t="str">
        <f t="shared" si="414"/>
        <v>db</v>
      </c>
      <c r="W693" s="341" t="str">
        <f t="shared" si="415"/>
        <v>db</v>
      </c>
      <c r="X693" s="341" t="str">
        <f>IF(B693="","",COUNTIF($C$8:C693,C693)&amp;C693)</f>
        <v>0</v>
      </c>
    </row>
    <row r="694" spans="2:24" s="335" customFormat="1" ht="23.1" customHeight="1">
      <c r="B694" s="336">
        <v>44804</v>
      </c>
      <c r="C694" s="337"/>
      <c r="D694" s="337" t="s">
        <v>691</v>
      </c>
      <c r="E694" s="338"/>
      <c r="F694" s="338"/>
      <c r="G694" s="338"/>
      <c r="H694" s="338" t="s">
        <v>692</v>
      </c>
      <c r="I694" s="338" t="s">
        <v>582</v>
      </c>
      <c r="J694" s="339">
        <v>250000</v>
      </c>
      <c r="L694" s="340">
        <f t="shared" si="406"/>
        <v>1</v>
      </c>
      <c r="M694" s="340" t="str">
        <f t="shared" si="407"/>
        <v>August</v>
      </c>
      <c r="N694" s="340" t="str">
        <f t="shared" si="408"/>
        <v/>
      </c>
      <c r="O694" s="340" t="str">
        <f>IF(N694="","",COUNTIF($N$8:N694,N694))</f>
        <v/>
      </c>
      <c r="P694" s="341" t="str">
        <f t="shared" si="409"/>
        <v>outHarga Pokok Penjualan</v>
      </c>
      <c r="Q694" s="341" t="str">
        <f t="shared" si="410"/>
        <v>outAugustHarga Pokok Penjualan</v>
      </c>
      <c r="R694" s="341" t="str">
        <f t="shared" si="411"/>
        <v>Harga Pokok Penjualan</v>
      </c>
      <c r="S694" s="341" t="str">
        <f t="shared" si="412"/>
        <v>Kas</v>
      </c>
      <c r="T694" s="341" t="str">
        <f t="shared" si="413"/>
        <v/>
      </c>
      <c r="U694" s="341" t="str">
        <f>IF(AND(L694=1,bp_kode=T694,T694&lt;&gt;""),COUNTIF($T$8:T694,T694),"")</f>
        <v/>
      </c>
      <c r="V694" s="341" t="str">
        <f t="shared" si="414"/>
        <v>db</v>
      </c>
      <c r="W694" s="341" t="str">
        <f t="shared" si="415"/>
        <v>db</v>
      </c>
      <c r="X694" s="341" t="str">
        <f>IF(B694="","",COUNTIF($C$8:C694,C694)&amp;C694)</f>
        <v>0</v>
      </c>
    </row>
    <row r="695" spans="2:24" s="335" customFormat="1" ht="23.1" customHeight="1">
      <c r="B695" s="336">
        <v>44804</v>
      </c>
      <c r="C695" s="337"/>
      <c r="D695" s="337" t="s">
        <v>742</v>
      </c>
      <c r="E695" s="338"/>
      <c r="F695" s="338"/>
      <c r="G695" s="338"/>
      <c r="H695" s="338" t="s">
        <v>640</v>
      </c>
      <c r="I695" s="338" t="s">
        <v>582</v>
      </c>
      <c r="J695" s="339">
        <v>100000</v>
      </c>
      <c r="L695" s="340">
        <f t="shared" si="406"/>
        <v>1</v>
      </c>
      <c r="M695" s="340" t="str">
        <f t="shared" si="407"/>
        <v>August</v>
      </c>
      <c r="N695" s="340" t="str">
        <f t="shared" si="408"/>
        <v/>
      </c>
      <c r="O695" s="340" t="str">
        <f>IF(N695="","",COUNTIF($N$8:N695,N695))</f>
        <v/>
      </c>
      <c r="P695" s="341" t="str">
        <f t="shared" si="409"/>
        <v>outBeban Lainnya</v>
      </c>
      <c r="Q695" s="341" t="str">
        <f t="shared" si="410"/>
        <v>outAugustBeban Lainnya</v>
      </c>
      <c r="R695" s="341" t="str">
        <f t="shared" si="411"/>
        <v>Beban Lainnya</v>
      </c>
      <c r="S695" s="341" t="str">
        <f t="shared" si="412"/>
        <v>Kas</v>
      </c>
      <c r="T695" s="341" t="str">
        <f t="shared" si="413"/>
        <v/>
      </c>
      <c r="U695" s="341" t="str">
        <f>IF(AND(L695=1,bp_kode=T695,T695&lt;&gt;""),COUNTIF($T$8:T695,T695),"")</f>
        <v/>
      </c>
      <c r="V695" s="341" t="str">
        <f t="shared" si="414"/>
        <v>db</v>
      </c>
      <c r="W695" s="341" t="str">
        <f t="shared" si="415"/>
        <v>db</v>
      </c>
      <c r="X695" s="341" t="str">
        <f>IF(B695="","",COUNTIF($C$8:C695,C695)&amp;C695)</f>
        <v>0</v>
      </c>
    </row>
    <row r="696" spans="2:24" s="349" customFormat="1" ht="23.1" customHeight="1">
      <c r="B696" s="336">
        <v>44804</v>
      </c>
      <c r="C696" s="351"/>
      <c r="D696" s="351" t="s">
        <v>666</v>
      </c>
      <c r="E696" s="352"/>
      <c r="F696" s="352"/>
      <c r="G696" s="352"/>
      <c r="H696" s="352" t="s">
        <v>662</v>
      </c>
      <c r="I696" s="352" t="s">
        <v>673</v>
      </c>
      <c r="J696" s="353">
        <v>15833.333333333334</v>
      </c>
      <c r="L696" s="354">
        <f t="shared" si="406"/>
        <v>1</v>
      </c>
      <c r="M696" s="354" t="str">
        <f t="shared" si="407"/>
        <v>August</v>
      </c>
      <c r="N696" s="354" t="str">
        <f t="shared" si="408"/>
        <v/>
      </c>
      <c r="O696" s="354" t="str">
        <f>IF(N696="","",COUNTIF($N$8:N696,N696))</f>
        <v/>
      </c>
      <c r="P696" s="355" t="str">
        <f t="shared" si="409"/>
        <v/>
      </c>
      <c r="Q696" s="355" t="str">
        <f t="shared" si="410"/>
        <v/>
      </c>
      <c r="R696" s="355" t="str">
        <f t="shared" si="411"/>
        <v>Beban</v>
      </c>
      <c r="S696" s="355" t="str">
        <f t="shared" si="412"/>
        <v>Depresiasi &amp; Amortisasi</v>
      </c>
      <c r="T696" s="355" t="str">
        <f t="shared" si="413"/>
        <v/>
      </c>
      <c r="U696" s="355" t="str">
        <f>IF(AND(L696=1,bp_kode=T696,T696&lt;&gt;""),COUNTIF($T$8:T696,T696),"")</f>
        <v/>
      </c>
      <c r="V696" s="355" t="str">
        <f t="shared" si="414"/>
        <v>db</v>
      </c>
      <c r="W696" s="355" t="str">
        <f t="shared" si="415"/>
        <v>db</v>
      </c>
      <c r="X696" s="355" t="str">
        <f>IF(B696="","",COUNTIF($C$8:C696,C696)&amp;C696)</f>
        <v>0</v>
      </c>
    </row>
    <row r="697" spans="2:24" ht="23.1" customHeight="1">
      <c r="B697" s="31">
        <v>44834</v>
      </c>
      <c r="C697" s="9"/>
      <c r="D697" s="9" t="s">
        <v>550</v>
      </c>
      <c r="E697" s="7"/>
      <c r="F697" s="7"/>
      <c r="G697" s="7"/>
      <c r="H697" s="7" t="s">
        <v>551</v>
      </c>
      <c r="I697" s="7" t="s">
        <v>503</v>
      </c>
      <c r="J697" s="39">
        <v>744719000</v>
      </c>
      <c r="L697" s="16">
        <f t="shared" si="406"/>
        <v>1</v>
      </c>
      <c r="M697" s="16" t="str">
        <f t="shared" si="407"/>
        <v>September</v>
      </c>
      <c r="N697" s="16" t="str">
        <f t="shared" si="408"/>
        <v/>
      </c>
      <c r="O697" s="16" t="str">
        <f>IF(N697="","",COUNTIF($N$8:N697,N697))</f>
        <v/>
      </c>
      <c r="P697" s="34" t="str">
        <f t="shared" si="409"/>
        <v/>
      </c>
      <c r="Q697" s="34" t="str">
        <f t="shared" si="410"/>
        <v/>
      </c>
      <c r="R697" s="34" t="str">
        <f t="shared" si="411"/>
        <v>Akun Piutang</v>
      </c>
      <c r="S697" s="34" t="str">
        <f t="shared" si="412"/>
        <v>Pendapatan</v>
      </c>
      <c r="T697" s="34">
        <f t="shared" si="413"/>
        <v>0</v>
      </c>
      <c r="U697" s="34" t="str">
        <f>IF(AND(L697=1,bp_kode=T697,T697&lt;&gt;""),COUNTIF($T$8:T697,T697),"")</f>
        <v/>
      </c>
      <c r="V697" s="34" t="str">
        <f t="shared" si="414"/>
        <v>kr</v>
      </c>
      <c r="W697" s="34" t="str">
        <f t="shared" si="415"/>
        <v>kr</v>
      </c>
      <c r="X697" s="34" t="str">
        <f>IF(B697="","",COUNTIF($C$8:C697,C697)&amp;C697)</f>
        <v>0</v>
      </c>
    </row>
    <row r="698" spans="2:24" ht="23.1" customHeight="1">
      <c r="B698" s="31">
        <v>44834</v>
      </c>
      <c r="C698" s="9"/>
      <c r="D698" s="9" t="s">
        <v>552</v>
      </c>
      <c r="E698" s="7"/>
      <c r="F698" s="7"/>
      <c r="G698" s="7"/>
      <c r="H698" s="7" t="s">
        <v>587</v>
      </c>
      <c r="I698" s="7" t="s">
        <v>553</v>
      </c>
      <c r="J698" s="39">
        <v>28574000</v>
      </c>
      <c r="L698" s="16">
        <f t="shared" si="406"/>
        <v>1</v>
      </c>
      <c r="M698" s="16" t="str">
        <f t="shared" si="407"/>
        <v>September</v>
      </c>
      <c r="N698" s="16" t="str">
        <f t="shared" si="408"/>
        <v/>
      </c>
      <c r="O698" s="16" t="str">
        <f>IF(N698="","",COUNTIF($N$8:N698,N698))</f>
        <v/>
      </c>
      <c r="P698" s="34" t="str">
        <f t="shared" si="409"/>
        <v/>
      </c>
      <c r="Q698" s="34" t="str">
        <f t="shared" si="410"/>
        <v/>
      </c>
      <c r="R698" s="34" t="str">
        <f t="shared" si="411"/>
        <v>Akun Piutang</v>
      </c>
      <c r="S698" s="34" t="str">
        <f t="shared" si="412"/>
        <v>Pendapatan</v>
      </c>
      <c r="T698" s="34">
        <f t="shared" si="413"/>
        <v>0</v>
      </c>
      <c r="U698" s="34" t="str">
        <f>IF(AND(L698=1,bp_kode=T698,T698&lt;&gt;""),COUNTIF($T$8:T698,T698),"")</f>
        <v/>
      </c>
      <c r="V698" s="34" t="str">
        <f t="shared" si="414"/>
        <v>kr</v>
      </c>
      <c r="W698" s="34" t="str">
        <f t="shared" si="415"/>
        <v>kr</v>
      </c>
      <c r="X698" s="34" t="str">
        <f>IF(B698="","",COUNTIF($C$8:C698,C698)&amp;C698)</f>
        <v>0</v>
      </c>
    </row>
    <row r="699" spans="2:24" ht="23.1" customHeight="1">
      <c r="B699" s="31">
        <v>44834</v>
      </c>
      <c r="C699" s="9"/>
      <c r="D699" s="9" t="s">
        <v>555</v>
      </c>
      <c r="E699" s="7"/>
      <c r="F699" s="7"/>
      <c r="G699" s="7"/>
      <c r="H699" s="7" t="s">
        <v>557</v>
      </c>
      <c r="I699" s="7" t="s">
        <v>556</v>
      </c>
      <c r="J699" s="39">
        <v>254895000</v>
      </c>
      <c r="L699" s="16">
        <f t="shared" si="406"/>
        <v>1</v>
      </c>
      <c r="M699" s="16" t="str">
        <f t="shared" si="407"/>
        <v>September</v>
      </c>
      <c r="N699" s="16" t="str">
        <f t="shared" si="408"/>
        <v/>
      </c>
      <c r="O699" s="16" t="str">
        <f>IF(N699="","",COUNTIF($N$8:N699,N699))</f>
        <v/>
      </c>
      <c r="P699" s="34" t="str">
        <f t="shared" si="409"/>
        <v/>
      </c>
      <c r="Q699" s="34" t="str">
        <f t="shared" si="410"/>
        <v/>
      </c>
      <c r="R699" s="34" t="str">
        <f t="shared" si="411"/>
        <v>Akun Piutang</v>
      </c>
      <c r="S699" s="34" t="str">
        <f t="shared" si="412"/>
        <v>Pendapatan</v>
      </c>
      <c r="T699" s="34">
        <f t="shared" si="413"/>
        <v>0</v>
      </c>
      <c r="U699" s="34" t="str">
        <f>IF(AND(L699=1,bp_kode=T699,T699&lt;&gt;""),COUNTIF($T$8:T699,T699),"")</f>
        <v/>
      </c>
      <c r="V699" s="34" t="str">
        <f t="shared" si="414"/>
        <v>kr</v>
      </c>
      <c r="W699" s="34" t="str">
        <f t="shared" si="415"/>
        <v>kr</v>
      </c>
      <c r="X699" s="34" t="str">
        <f>IF(B699="","",COUNTIF($C$8:C699,C699)&amp;C699)</f>
        <v>0</v>
      </c>
    </row>
    <row r="700" spans="2:24" ht="23.1" customHeight="1">
      <c r="B700" s="31">
        <v>44834</v>
      </c>
      <c r="C700" s="9"/>
      <c r="D700" s="9" t="s">
        <v>558</v>
      </c>
      <c r="E700" s="7"/>
      <c r="F700" s="7"/>
      <c r="G700" s="7"/>
      <c r="H700" s="7" t="s">
        <v>559</v>
      </c>
      <c r="I700" s="7" t="s">
        <v>560</v>
      </c>
      <c r="J700" s="39">
        <v>395391000</v>
      </c>
      <c r="L700" s="16">
        <f t="shared" si="406"/>
        <v>1</v>
      </c>
      <c r="M700" s="16" t="str">
        <f t="shared" si="407"/>
        <v>September</v>
      </c>
      <c r="N700" s="16" t="str">
        <f t="shared" si="408"/>
        <v/>
      </c>
      <c r="O700" s="16" t="str">
        <f>IF(N700="","",COUNTIF($N$8:N700,N700))</f>
        <v/>
      </c>
      <c r="P700" s="34" t="str">
        <f t="shared" si="409"/>
        <v/>
      </c>
      <c r="Q700" s="34" t="str">
        <f t="shared" si="410"/>
        <v/>
      </c>
      <c r="R700" s="34" t="str">
        <f t="shared" si="411"/>
        <v>Akun Piutang</v>
      </c>
      <c r="S700" s="34" t="str">
        <f t="shared" si="412"/>
        <v>Pendapatan</v>
      </c>
      <c r="T700" s="34">
        <f t="shared" si="413"/>
        <v>0</v>
      </c>
      <c r="U700" s="34" t="str">
        <f>IF(AND(L700=1,bp_kode=T700,T700&lt;&gt;""),COUNTIF($T$8:T700,T700),"")</f>
        <v/>
      </c>
      <c r="V700" s="34" t="str">
        <f t="shared" si="414"/>
        <v>kr</v>
      </c>
      <c r="W700" s="34" t="str">
        <f t="shared" si="415"/>
        <v>kr</v>
      </c>
      <c r="X700" s="34" t="str">
        <f>IF(B700="","",COUNTIF($C$8:C700,C700)&amp;C700)</f>
        <v>0</v>
      </c>
    </row>
    <row r="701" spans="2:24" ht="23.1" customHeight="1">
      <c r="B701" s="31">
        <v>44834</v>
      </c>
      <c r="C701" s="9"/>
      <c r="D701" s="9" t="s">
        <v>562</v>
      </c>
      <c r="E701" s="7"/>
      <c r="F701" s="7"/>
      <c r="G701" s="7"/>
      <c r="H701" s="7" t="s">
        <v>561</v>
      </c>
      <c r="I701" s="7" t="s">
        <v>504</v>
      </c>
      <c r="J701" s="39">
        <v>44273000</v>
      </c>
      <c r="L701" s="16">
        <f t="shared" si="406"/>
        <v>1</v>
      </c>
      <c r="M701" s="16" t="str">
        <f t="shared" si="407"/>
        <v>September</v>
      </c>
      <c r="N701" s="16" t="str">
        <f t="shared" si="408"/>
        <v/>
      </c>
      <c r="O701" s="16" t="str">
        <f>IF(N701="","",COUNTIF($N$8:N701,N701))</f>
        <v/>
      </c>
      <c r="P701" s="34" t="str">
        <f t="shared" si="409"/>
        <v/>
      </c>
      <c r="Q701" s="34" t="str">
        <f t="shared" si="410"/>
        <v/>
      </c>
      <c r="R701" s="34" t="str">
        <f t="shared" si="411"/>
        <v>Akun Piutang</v>
      </c>
      <c r="S701" s="34" t="str">
        <f t="shared" si="412"/>
        <v>Pendapatan</v>
      </c>
      <c r="T701" s="34">
        <f t="shared" si="413"/>
        <v>0</v>
      </c>
      <c r="U701" s="34" t="str">
        <f>IF(AND(L701=1,bp_kode=T701,T701&lt;&gt;""),COUNTIF($T$8:T701,T701),"")</f>
        <v/>
      </c>
      <c r="V701" s="34" t="str">
        <f t="shared" si="414"/>
        <v>kr</v>
      </c>
      <c r="W701" s="34" t="str">
        <f t="shared" si="415"/>
        <v>kr</v>
      </c>
      <c r="X701" s="34" t="str">
        <f>IF(B701="","",COUNTIF($C$8:C701,C701)&amp;C701)</f>
        <v>0</v>
      </c>
    </row>
    <row r="702" spans="2:24" ht="23.1" customHeight="1">
      <c r="B702" s="31">
        <v>44834</v>
      </c>
      <c r="C702" s="9"/>
      <c r="D702" s="9" t="s">
        <v>562</v>
      </c>
      <c r="E702" s="7"/>
      <c r="F702" s="7"/>
      <c r="G702" s="7"/>
      <c r="H702" s="7" t="s">
        <v>727</v>
      </c>
      <c r="I702" s="7" t="s">
        <v>504</v>
      </c>
      <c r="J702" s="39">
        <v>2500000</v>
      </c>
      <c r="L702" s="16">
        <f t="shared" ref="L702" si="436">IF(AND(B702&gt;=awal,B702&lt;=akhir,B702&lt;&gt;""),1,IF(AND(B702&lt;&gt;"",B702&lt;awal),2,""))</f>
        <v>1</v>
      </c>
      <c r="M702" s="16" t="str">
        <f t="shared" ref="M702" si="437">IF(B702="","",TEXT(B702,"mmmm"))</f>
        <v>September</v>
      </c>
      <c r="N702" s="16" t="str">
        <f t="shared" ref="N702" si="438">IF(AND(L702=1,H702=bb_akun),"Awe",IF(AND(L702=1,I702=bb_akun),"Awe",""))</f>
        <v/>
      </c>
      <c r="O702" s="16" t="str">
        <f>IF(N702="","",COUNTIF($N$8:N702,N702))</f>
        <v/>
      </c>
      <c r="P702" s="34" t="str">
        <f t="shared" ref="P702" si="439">IFERROR(IF(OR(INDEX(akun_type,MATCH(H702,akun_kb,0))="Kas",INDEX(akun_type,MATCH(H702,akun_kb,0))="Bank"),"In"&amp;INDEX(akun_type,MATCH(I702,akun_kb,0)),IF(OR(INDEX(akun_type,MATCH(I702,akun_kb,0))="Kas",INDEX(akun_type,MATCH(I702,akun_kb,0))="Bank"),"out"&amp;INDEX(akun_type,MATCH(H702,akun_kb,0)),"")),"")</f>
        <v/>
      </c>
      <c r="Q702" s="34" t="str">
        <f t="shared" ref="Q702" si="440">IFERROR(IF(OR(INDEX(akun_type,MATCH(H702,akun_kb,0))="Kas",INDEX(akun_type,MATCH(H702,akun_kb,0))="Bank"),"in"&amp;TEXT(B702,"mmmm")&amp;INDEX(akun_type,MATCH(I702,akun_kb,0)),IF(OR(INDEX(akun_type,MATCH(I702,akun_kb,0))="Kas",INDEX(akun_type,MATCH(I702,akun_kb,0))="Bank"),"out"&amp;TEXT(B702,"mmmm")&amp;INDEX(akun_type,MATCH(H702,akun_kb,0)),"")),"")</f>
        <v/>
      </c>
      <c r="R702" s="34" t="str">
        <f t="shared" ref="R702" si="441">IFERROR(INDEX(akun_type,MATCH(H702,akun_kb,0)),"")</f>
        <v>Akun Piutang</v>
      </c>
      <c r="S702" s="34" t="str">
        <f t="shared" ref="S702" si="442">IFERROR(INDEX(akun_type,MATCH(I702,akun_kb,0)),"")</f>
        <v>Pendapatan</v>
      </c>
      <c r="T702" s="34">
        <f t="shared" ref="T702" si="443">IF(AND(L702=1,OR(R702="Akun Piutang",R702="akun hutang",S702="akun piutang",S702="akun hutang")),E702,"")</f>
        <v>0</v>
      </c>
      <c r="U702" s="34" t="str">
        <f>IF(AND(L702=1,bp_kode=T702,T702&lt;&gt;""),COUNTIF($T$8:T702,T702),"")</f>
        <v/>
      </c>
      <c r="V702" s="34" t="str">
        <f t="shared" ref="V702" si="444">IF(OR(R702="Pendapatan",R702="Pendapatan Lainnya",R702="Beban",R702="Harga Pokok Penjualan",R702="Beban Lainnya"),"db"&amp;F702,IF(OR(S702="Pendapatan",S702="Pendapatan Lainnya",S702="Beban",S702="Harga Pokok Penjualan",S702="Beban Lainnya"),"kr"&amp;F702,""))</f>
        <v>kr</v>
      </c>
      <c r="W702" s="34" t="str">
        <f t="shared" ref="W702" si="445">IF(OR(R702="Pendapatan",R702="Pendapatan Lainnya",R702="Beban",R702="Harga Pokok Penjualan",R702="Beban Lainnya"),"db"&amp;G702,IF(OR(S702="Pendapatan",S702="Pendapatan Lainnya",S702="Beban",S702="Harga Pokok Penjualan",S702="Beban Lainnya"),"kr"&amp;G702,""))</f>
        <v>kr</v>
      </c>
      <c r="X702" s="34" t="str">
        <f>IF(B702="","",COUNTIF($C$8:C702,C702)&amp;C702)</f>
        <v>0</v>
      </c>
    </row>
    <row r="703" spans="2:24" ht="23.1" customHeight="1">
      <c r="B703" s="31">
        <v>44834</v>
      </c>
      <c r="C703" s="9"/>
      <c r="D703" s="9" t="s">
        <v>563</v>
      </c>
      <c r="E703" s="7"/>
      <c r="F703" s="7"/>
      <c r="G703" s="7"/>
      <c r="H703" s="7" t="s">
        <v>565</v>
      </c>
      <c r="I703" s="7" t="s">
        <v>551</v>
      </c>
      <c r="J703" s="39">
        <v>103347000</v>
      </c>
      <c r="L703" s="16">
        <f t="shared" si="406"/>
        <v>1</v>
      </c>
      <c r="M703" s="16" t="str">
        <f t="shared" si="407"/>
        <v>September</v>
      </c>
      <c r="N703" s="16" t="str">
        <f t="shared" si="408"/>
        <v/>
      </c>
      <c r="O703" s="16" t="str">
        <f>IF(N703="","",COUNTIF($N$8:N703,N703))</f>
        <v/>
      </c>
      <c r="P703" s="34" t="str">
        <f t="shared" si="409"/>
        <v/>
      </c>
      <c r="Q703" s="34" t="str">
        <f t="shared" si="410"/>
        <v/>
      </c>
      <c r="R703" s="34" t="str">
        <f t="shared" si="411"/>
        <v>Pendapatan</v>
      </c>
      <c r="S703" s="34" t="str">
        <f t="shared" si="412"/>
        <v>Akun Piutang</v>
      </c>
      <c r="T703" s="34">
        <f t="shared" si="413"/>
        <v>0</v>
      </c>
      <c r="U703" s="34" t="str">
        <f>IF(AND(L703=1,bp_kode=T703,T703&lt;&gt;""),COUNTIF($T$8:T703,T703),"")</f>
        <v/>
      </c>
      <c r="V703" s="34" t="str">
        <f t="shared" si="414"/>
        <v>db</v>
      </c>
      <c r="W703" s="34" t="str">
        <f t="shared" si="415"/>
        <v>db</v>
      </c>
      <c r="X703" s="34" t="str">
        <f>IF(B703="","",COUNTIF($C$8:C703,C703)&amp;C703)</f>
        <v>0</v>
      </c>
    </row>
    <row r="704" spans="2:24" ht="23.1" customHeight="1">
      <c r="B704" s="31">
        <v>44834</v>
      </c>
      <c r="C704" s="9"/>
      <c r="D704" s="9" t="s">
        <v>564</v>
      </c>
      <c r="E704" s="7"/>
      <c r="F704" s="7"/>
      <c r="G704" s="7"/>
      <c r="H704" s="7" t="s">
        <v>566</v>
      </c>
      <c r="I704" s="7" t="s">
        <v>559</v>
      </c>
      <c r="J704" s="39">
        <v>3673900</v>
      </c>
      <c r="L704" s="16">
        <f t="shared" si="406"/>
        <v>1</v>
      </c>
      <c r="M704" s="16" t="str">
        <f t="shared" si="407"/>
        <v>September</v>
      </c>
      <c r="N704" s="16" t="str">
        <f t="shared" si="408"/>
        <v/>
      </c>
      <c r="O704" s="16" t="str">
        <f>IF(N704="","",COUNTIF($N$8:N704,N704))</f>
        <v/>
      </c>
      <c r="P704" s="34" t="str">
        <f t="shared" si="409"/>
        <v/>
      </c>
      <c r="Q704" s="34" t="str">
        <f t="shared" si="410"/>
        <v/>
      </c>
      <c r="R704" s="34" t="str">
        <f t="shared" si="411"/>
        <v>Pendapatan</v>
      </c>
      <c r="S704" s="34" t="str">
        <f t="shared" si="412"/>
        <v>Akun Piutang</v>
      </c>
      <c r="T704" s="34">
        <f t="shared" si="413"/>
        <v>0</v>
      </c>
      <c r="U704" s="34" t="str">
        <f>IF(AND(L704=1,bp_kode=T704,T704&lt;&gt;""),COUNTIF($T$8:T704,T704),"")</f>
        <v/>
      </c>
      <c r="V704" s="34" t="str">
        <f t="shared" si="414"/>
        <v>db</v>
      </c>
      <c r="W704" s="34" t="str">
        <f t="shared" si="415"/>
        <v>db</v>
      </c>
      <c r="X704" s="34" t="str">
        <f>IF(B704="","",COUNTIF($C$8:C704,C704)&amp;C704)</f>
        <v>0</v>
      </c>
    </row>
    <row r="705" spans="2:24" ht="23.1" customHeight="1">
      <c r="B705" s="31">
        <v>44834</v>
      </c>
      <c r="C705" s="9"/>
      <c r="D705" s="9" t="s">
        <v>555</v>
      </c>
      <c r="E705" s="7"/>
      <c r="F705" s="7"/>
      <c r="G705" s="7"/>
      <c r="H705" s="7" t="s">
        <v>554</v>
      </c>
      <c r="I705" s="7" t="s">
        <v>557</v>
      </c>
      <c r="J705" s="39">
        <v>255670000</v>
      </c>
      <c r="L705" s="16">
        <f t="shared" si="406"/>
        <v>1</v>
      </c>
      <c r="M705" s="16" t="str">
        <f t="shared" si="407"/>
        <v>September</v>
      </c>
      <c r="N705" s="16" t="str">
        <f t="shared" si="408"/>
        <v/>
      </c>
      <c r="O705" s="16" t="str">
        <f>IF(N705="","",COUNTIF($N$8:N705,N705))</f>
        <v/>
      </c>
      <c r="P705" s="34" t="str">
        <f t="shared" si="409"/>
        <v>InAkun Piutang</v>
      </c>
      <c r="Q705" s="34" t="str">
        <f t="shared" si="410"/>
        <v>inSeptemberAkun Piutang</v>
      </c>
      <c r="R705" s="34" t="str">
        <f t="shared" si="411"/>
        <v>Kas</v>
      </c>
      <c r="S705" s="34" t="str">
        <f t="shared" si="412"/>
        <v>Akun Piutang</v>
      </c>
      <c r="T705" s="34">
        <f t="shared" si="413"/>
        <v>0</v>
      </c>
      <c r="U705" s="34" t="str">
        <f>IF(AND(L705=1,bp_kode=T705,T705&lt;&gt;""),COUNTIF($T$8:T705,T705),"")</f>
        <v/>
      </c>
      <c r="V705" s="34" t="str">
        <f t="shared" si="414"/>
        <v/>
      </c>
      <c r="W705" s="34" t="str">
        <f t="shared" si="415"/>
        <v/>
      </c>
      <c r="X705" s="34" t="str">
        <f>IF(B705="","",COUNTIF($C$8:C705,C705)&amp;C705)</f>
        <v>0</v>
      </c>
    </row>
    <row r="706" spans="2:24" ht="23.1" customHeight="1">
      <c r="B706" s="31">
        <v>44834</v>
      </c>
      <c r="C706" s="9"/>
      <c r="D706" s="9" t="s">
        <v>770</v>
      </c>
      <c r="E706" s="7"/>
      <c r="F706" s="7"/>
      <c r="G706" s="7"/>
      <c r="H706" s="7" t="s">
        <v>568</v>
      </c>
      <c r="I706" s="7" t="s">
        <v>569</v>
      </c>
      <c r="J706" s="39">
        <v>1016451</v>
      </c>
      <c r="L706" s="16">
        <f t="shared" ref="L706:L707" si="446">IF(AND(B706&gt;=awal,B706&lt;=akhir,B706&lt;&gt;""),1,IF(AND(B706&lt;&gt;"",B706&lt;awal),2,""))</f>
        <v>1</v>
      </c>
      <c r="M706" s="16" t="str">
        <f t="shared" ref="M706:M707" si="447">IF(B706="","",TEXT(B706,"mmmm"))</f>
        <v>September</v>
      </c>
      <c r="N706" s="16" t="str">
        <f t="shared" ref="N706:N707" si="448">IF(AND(L706=1,H706=bb_akun),"Awe",IF(AND(L706=1,I706=bb_akun),"Awe",""))</f>
        <v/>
      </c>
      <c r="O706" s="16" t="str">
        <f>IF(N706="","",COUNTIF($N$8:N706,N706))</f>
        <v/>
      </c>
      <c r="P706" s="34" t="str">
        <f t="shared" ref="P706:P707" si="449">IFERROR(IF(OR(INDEX(akun_type,MATCH(H706,akun_kb,0))="Kas",INDEX(akun_type,MATCH(H706,akun_kb,0))="Bank"),"In"&amp;INDEX(akun_type,MATCH(I706,akun_kb,0)),IF(OR(INDEX(akun_type,MATCH(I706,akun_kb,0))="Kas",INDEX(akun_type,MATCH(I706,akun_kb,0))="Bank"),"out"&amp;INDEX(akun_type,MATCH(H706,akun_kb,0)),"")),"")</f>
        <v>InPendapatan Lainnya</v>
      </c>
      <c r="Q706" s="34" t="str">
        <f t="shared" ref="Q706:Q707" si="450">IFERROR(IF(OR(INDEX(akun_type,MATCH(H706,akun_kb,0))="Kas",INDEX(akun_type,MATCH(H706,akun_kb,0))="Bank"),"in"&amp;TEXT(B706,"mmmm")&amp;INDEX(akun_type,MATCH(I706,akun_kb,0)),IF(OR(INDEX(akun_type,MATCH(I706,akun_kb,0))="Kas",INDEX(akun_type,MATCH(I706,akun_kb,0))="Bank"),"out"&amp;TEXT(B706,"mmmm")&amp;INDEX(akun_type,MATCH(H706,akun_kb,0)),"")),"")</f>
        <v>inSeptemberPendapatan Lainnya</v>
      </c>
      <c r="R706" s="34" t="str">
        <f t="shared" ref="R706:R707" si="451">IFERROR(INDEX(akun_type,MATCH(H706,akun_kb,0)),"")</f>
        <v>Bank</v>
      </c>
      <c r="S706" s="34" t="str">
        <f t="shared" ref="S706:S707" si="452">IFERROR(INDEX(akun_type,MATCH(I706,akun_kb,0)),"")</f>
        <v>Pendapatan Lainnya</v>
      </c>
      <c r="T706" s="34" t="str">
        <f t="shared" ref="T706:T707" si="453">IF(AND(L706=1,OR(R706="Akun Piutang",R706="akun hutang",S706="akun piutang",S706="akun hutang")),E706,"")</f>
        <v/>
      </c>
      <c r="U706" s="34" t="str">
        <f>IF(AND(L706=1,bp_kode=T706,T706&lt;&gt;""),COUNTIF($T$8:T706,T706),"")</f>
        <v/>
      </c>
      <c r="V706" s="34" t="str">
        <f t="shared" ref="V706:V707" si="454">IF(OR(R706="Pendapatan",R706="Pendapatan Lainnya",R706="Beban",R706="Harga Pokok Penjualan",R706="Beban Lainnya"),"db"&amp;F706,IF(OR(S706="Pendapatan",S706="Pendapatan Lainnya",S706="Beban",S706="Harga Pokok Penjualan",S706="Beban Lainnya"),"kr"&amp;F706,""))</f>
        <v>kr</v>
      </c>
      <c r="W706" s="34" t="str">
        <f t="shared" ref="W706:W707" si="455">IF(OR(R706="Pendapatan",R706="Pendapatan Lainnya",R706="Beban",R706="Harga Pokok Penjualan",R706="Beban Lainnya"),"db"&amp;G706,IF(OR(S706="Pendapatan",S706="Pendapatan Lainnya",S706="Beban",S706="Harga Pokok Penjualan",S706="Beban Lainnya"),"kr"&amp;G706,""))</f>
        <v>kr</v>
      </c>
      <c r="X706" s="34" t="str">
        <f>IF(B706="","",COUNTIF($C$8:C706,C706)&amp;C706)</f>
        <v>0</v>
      </c>
    </row>
    <row r="707" spans="2:24" ht="23.1" customHeight="1">
      <c r="B707" s="31">
        <v>44834</v>
      </c>
      <c r="C707" s="9"/>
      <c r="D707" s="9" t="s">
        <v>769</v>
      </c>
      <c r="E707" s="7"/>
      <c r="F707" s="7"/>
      <c r="G707" s="7"/>
      <c r="H707" s="7" t="s">
        <v>571</v>
      </c>
      <c r="I707" s="7" t="s">
        <v>568</v>
      </c>
      <c r="J707" s="39">
        <v>203270</v>
      </c>
      <c r="L707" s="16">
        <f t="shared" si="446"/>
        <v>1</v>
      </c>
      <c r="M707" s="16" t="str">
        <f t="shared" si="447"/>
        <v>September</v>
      </c>
      <c r="N707" s="16" t="str">
        <f t="shared" si="448"/>
        <v/>
      </c>
      <c r="O707" s="16" t="str">
        <f>IF(N707="","",COUNTIF($N$8:N707,N707))</f>
        <v/>
      </c>
      <c r="P707" s="34" t="str">
        <f t="shared" si="449"/>
        <v>outBeban Lainnya</v>
      </c>
      <c r="Q707" s="34" t="str">
        <f t="shared" si="450"/>
        <v>outSeptemberBeban Lainnya</v>
      </c>
      <c r="R707" s="34" t="str">
        <f t="shared" si="451"/>
        <v>Beban Lainnya</v>
      </c>
      <c r="S707" s="34" t="str">
        <f t="shared" si="452"/>
        <v>Bank</v>
      </c>
      <c r="T707" s="34" t="str">
        <f t="shared" si="453"/>
        <v/>
      </c>
      <c r="U707" s="34" t="str">
        <f>IF(AND(L707=1,bp_kode=T707,T707&lt;&gt;""),COUNTIF($T$8:T707,T707),"")</f>
        <v/>
      </c>
      <c r="V707" s="34" t="str">
        <f t="shared" si="454"/>
        <v>db</v>
      </c>
      <c r="W707" s="34" t="str">
        <f t="shared" si="455"/>
        <v>db</v>
      </c>
      <c r="X707" s="34" t="str">
        <f>IF(B707="","",COUNTIF($C$8:C707,C707)&amp;C707)</f>
        <v>0</v>
      </c>
    </row>
    <row r="708" spans="2:24" ht="23.1" customHeight="1">
      <c r="B708" s="31">
        <v>44834</v>
      </c>
      <c r="C708" s="9"/>
      <c r="D708" s="9" t="s">
        <v>572</v>
      </c>
      <c r="E708" s="7"/>
      <c r="F708" s="7"/>
      <c r="G708" s="7"/>
      <c r="H708" s="7" t="s">
        <v>640</v>
      </c>
      <c r="I708" s="7" t="s">
        <v>568</v>
      </c>
      <c r="J708" s="39">
        <v>36500</v>
      </c>
      <c r="L708" s="16">
        <f t="shared" si="406"/>
        <v>1</v>
      </c>
      <c r="M708" s="16" t="str">
        <f t="shared" si="407"/>
        <v>September</v>
      </c>
      <c r="N708" s="16" t="str">
        <f t="shared" si="408"/>
        <v/>
      </c>
      <c r="O708" s="16" t="str">
        <f>IF(N708="","",COUNTIF($N$8:N708,N708))</f>
        <v/>
      </c>
      <c r="P708" s="34" t="str">
        <f t="shared" si="409"/>
        <v>outBeban Lainnya</v>
      </c>
      <c r="Q708" s="34" t="str">
        <f t="shared" si="410"/>
        <v>outSeptemberBeban Lainnya</v>
      </c>
      <c r="R708" s="34" t="str">
        <f t="shared" si="411"/>
        <v>Beban Lainnya</v>
      </c>
      <c r="S708" s="34" t="str">
        <f t="shared" si="412"/>
        <v>Bank</v>
      </c>
      <c r="T708" s="34" t="str">
        <f t="shared" si="413"/>
        <v/>
      </c>
      <c r="U708" s="34" t="str">
        <f>IF(AND(L708=1,bp_kode=T708,T708&lt;&gt;""),COUNTIF($T$8:T708,T708),"")</f>
        <v/>
      </c>
      <c r="V708" s="34" t="str">
        <f t="shared" si="414"/>
        <v>db</v>
      </c>
      <c r="W708" s="34" t="str">
        <f t="shared" si="415"/>
        <v>db</v>
      </c>
      <c r="X708" s="34" t="str">
        <f>IF(B708="","",COUNTIF($C$8:C708,C708)&amp;C708)</f>
        <v>0</v>
      </c>
    </row>
    <row r="709" spans="2:24" ht="23.1" customHeight="1">
      <c r="B709" s="31">
        <v>44834</v>
      </c>
      <c r="C709" s="9"/>
      <c r="D709" s="9" t="s">
        <v>573</v>
      </c>
      <c r="E709" s="7"/>
      <c r="F709" s="7"/>
      <c r="G709" s="7"/>
      <c r="H709" s="7" t="s">
        <v>568</v>
      </c>
      <c r="I709" s="7" t="s">
        <v>559</v>
      </c>
      <c r="J709" s="39">
        <v>6697100</v>
      </c>
      <c r="L709" s="16">
        <f t="shared" si="406"/>
        <v>1</v>
      </c>
      <c r="M709" s="16" t="str">
        <f t="shared" si="407"/>
        <v>September</v>
      </c>
      <c r="N709" s="16" t="str">
        <f t="shared" si="408"/>
        <v/>
      </c>
      <c r="O709" s="16" t="str">
        <f>IF(N709="","",COUNTIF($N$8:N709,N709))</f>
        <v/>
      </c>
      <c r="P709" s="34" t="str">
        <f t="shared" si="409"/>
        <v>InAkun Piutang</v>
      </c>
      <c r="Q709" s="34" t="str">
        <f t="shared" si="410"/>
        <v>inSeptemberAkun Piutang</v>
      </c>
      <c r="R709" s="34" t="str">
        <f t="shared" si="411"/>
        <v>Bank</v>
      </c>
      <c r="S709" s="34" t="str">
        <f t="shared" si="412"/>
        <v>Akun Piutang</v>
      </c>
      <c r="T709" s="34">
        <f t="shared" si="413"/>
        <v>0</v>
      </c>
      <c r="U709" s="34" t="str">
        <f>IF(AND(L709=1,bp_kode=T709,T709&lt;&gt;""),COUNTIF($T$8:T709,T709),"")</f>
        <v/>
      </c>
      <c r="V709" s="34" t="str">
        <f t="shared" si="414"/>
        <v/>
      </c>
      <c r="W709" s="34" t="str">
        <f t="shared" si="415"/>
        <v/>
      </c>
      <c r="X709" s="34" t="str">
        <f>IF(B709="","",COUNTIF($C$8:C709,C709)&amp;C709)</f>
        <v>0</v>
      </c>
    </row>
    <row r="710" spans="2:24" ht="23.1" customHeight="1">
      <c r="B710" s="31">
        <v>44834</v>
      </c>
      <c r="C710" s="9"/>
      <c r="D710" s="9" t="s">
        <v>730</v>
      </c>
      <c r="E710" s="7"/>
      <c r="F710" s="7"/>
      <c r="G710" s="7"/>
      <c r="H710" s="7" t="s">
        <v>575</v>
      </c>
      <c r="I710" s="7" t="s">
        <v>569</v>
      </c>
      <c r="J710" s="39">
        <v>1199</v>
      </c>
      <c r="L710" s="16">
        <f t="shared" si="406"/>
        <v>1</v>
      </c>
      <c r="M710" s="16" t="str">
        <f t="shared" si="407"/>
        <v>September</v>
      </c>
      <c r="N710" s="16" t="str">
        <f t="shared" si="408"/>
        <v/>
      </c>
      <c r="O710" s="16" t="str">
        <f>IF(N710="","",COUNTIF($N$8:N710,N710))</f>
        <v/>
      </c>
      <c r="P710" s="34" t="str">
        <f t="shared" si="409"/>
        <v>InPendapatan Lainnya</v>
      </c>
      <c r="Q710" s="34" t="str">
        <f t="shared" si="410"/>
        <v>inSeptemberPendapatan Lainnya</v>
      </c>
      <c r="R710" s="34" t="str">
        <f t="shared" si="411"/>
        <v>Bank</v>
      </c>
      <c r="S710" s="34" t="str">
        <f t="shared" si="412"/>
        <v>Pendapatan Lainnya</v>
      </c>
      <c r="T710" s="34" t="str">
        <f t="shared" si="413"/>
        <v/>
      </c>
      <c r="U710" s="34" t="str">
        <f>IF(AND(L710=1,bp_kode=T710,T710&lt;&gt;""),COUNTIF($T$8:T710,T710),"")</f>
        <v/>
      </c>
      <c r="V710" s="34" t="str">
        <f t="shared" si="414"/>
        <v>kr</v>
      </c>
      <c r="W710" s="34" t="str">
        <f t="shared" si="415"/>
        <v>kr</v>
      </c>
      <c r="X710" s="34" t="str">
        <f>IF(B710="","",COUNTIF($C$8:C710,C710)&amp;C710)</f>
        <v>0</v>
      </c>
    </row>
    <row r="711" spans="2:24" ht="23.1" customHeight="1">
      <c r="B711" s="31">
        <v>44834</v>
      </c>
      <c r="C711" s="9"/>
      <c r="D711" s="9" t="s">
        <v>574</v>
      </c>
      <c r="E711" s="7"/>
      <c r="F711" s="7"/>
      <c r="G711" s="7"/>
      <c r="H711" s="7" t="s">
        <v>640</v>
      </c>
      <c r="I711" s="7" t="s">
        <v>575</v>
      </c>
      <c r="J711" s="39">
        <v>36500</v>
      </c>
      <c r="L711" s="16">
        <f t="shared" si="406"/>
        <v>1</v>
      </c>
      <c r="M711" s="16" t="str">
        <f t="shared" si="407"/>
        <v>September</v>
      </c>
      <c r="N711" s="16" t="str">
        <f t="shared" si="408"/>
        <v/>
      </c>
      <c r="O711" s="16" t="str">
        <f>IF(N711="","",COUNTIF($N$8:N711,N711))</f>
        <v/>
      </c>
      <c r="P711" s="34" t="str">
        <f t="shared" si="409"/>
        <v>outBeban Lainnya</v>
      </c>
      <c r="Q711" s="34" t="str">
        <f t="shared" si="410"/>
        <v>outSeptemberBeban Lainnya</v>
      </c>
      <c r="R711" s="34" t="str">
        <f t="shared" si="411"/>
        <v>Beban Lainnya</v>
      </c>
      <c r="S711" s="34" t="str">
        <f t="shared" si="412"/>
        <v>Bank</v>
      </c>
      <c r="T711" s="34" t="str">
        <f t="shared" si="413"/>
        <v/>
      </c>
      <c r="U711" s="34" t="str">
        <f>IF(AND(L711=1,bp_kode=T711,T711&lt;&gt;""),COUNTIF($T$8:T711,T711),"")</f>
        <v/>
      </c>
      <c r="V711" s="34" t="str">
        <f t="shared" si="414"/>
        <v>db</v>
      </c>
      <c r="W711" s="34" t="str">
        <f t="shared" si="415"/>
        <v>db</v>
      </c>
      <c r="X711" s="34" t="str">
        <f>IF(B711="","",COUNTIF($C$8:C711,C711)&amp;C711)</f>
        <v>0</v>
      </c>
    </row>
    <row r="712" spans="2:24" ht="23.1" customHeight="1">
      <c r="B712" s="31">
        <v>44834</v>
      </c>
      <c r="C712" s="9"/>
      <c r="D712" s="9" t="s">
        <v>730</v>
      </c>
      <c r="E712" s="7"/>
      <c r="F712" s="7"/>
      <c r="G712" s="7"/>
      <c r="H712" s="7" t="s">
        <v>577</v>
      </c>
      <c r="I712" s="7" t="s">
        <v>569</v>
      </c>
      <c r="J712" s="39">
        <v>2305767.7999999998</v>
      </c>
      <c r="L712" s="16">
        <f t="shared" si="406"/>
        <v>1</v>
      </c>
      <c r="M712" s="16" t="str">
        <f t="shared" si="407"/>
        <v>September</v>
      </c>
      <c r="N712" s="16" t="str">
        <f t="shared" si="408"/>
        <v/>
      </c>
      <c r="O712" s="16" t="str">
        <f>IF(N712="","",COUNTIF($N$8:N712,N712))</f>
        <v/>
      </c>
      <c r="P712" s="34" t="str">
        <f t="shared" si="409"/>
        <v>InPendapatan Lainnya</v>
      </c>
      <c r="Q712" s="34" t="str">
        <f t="shared" si="410"/>
        <v>inSeptemberPendapatan Lainnya</v>
      </c>
      <c r="R712" s="34" t="str">
        <f t="shared" si="411"/>
        <v>Bank</v>
      </c>
      <c r="S712" s="34" t="str">
        <f t="shared" si="412"/>
        <v>Pendapatan Lainnya</v>
      </c>
      <c r="T712" s="34" t="str">
        <f t="shared" si="413"/>
        <v/>
      </c>
      <c r="U712" s="34" t="str">
        <f>IF(AND(L712=1,bp_kode=T712,T712&lt;&gt;""),COUNTIF($T$8:T712,T712),"")</f>
        <v/>
      </c>
      <c r="V712" s="34" t="str">
        <f t="shared" si="414"/>
        <v>kr</v>
      </c>
      <c r="W712" s="34" t="str">
        <f t="shared" si="415"/>
        <v>kr</v>
      </c>
      <c r="X712" s="34" t="str">
        <f>IF(B712="","",COUNTIF($C$8:C712,C712)&amp;C712)</f>
        <v>0</v>
      </c>
    </row>
    <row r="713" spans="2:24" ht="23.1" customHeight="1">
      <c r="B713" s="31">
        <v>44834</v>
      </c>
      <c r="C713" s="9"/>
      <c r="D713" s="9" t="s">
        <v>570</v>
      </c>
      <c r="E713" s="7"/>
      <c r="F713" s="7"/>
      <c r="G713" s="7"/>
      <c r="H713" s="7" t="s">
        <v>571</v>
      </c>
      <c r="I713" s="7" t="s">
        <v>577</v>
      </c>
      <c r="J713" s="39">
        <v>461153.58</v>
      </c>
      <c r="L713" s="16">
        <f t="shared" si="406"/>
        <v>1</v>
      </c>
      <c r="M713" s="16" t="str">
        <f t="shared" si="407"/>
        <v>September</v>
      </c>
      <c r="N713" s="16" t="str">
        <f t="shared" si="408"/>
        <v/>
      </c>
      <c r="O713" s="16" t="str">
        <f>IF(N713="","",COUNTIF($N$8:N713,N713))</f>
        <v/>
      </c>
      <c r="P713" s="34" t="str">
        <f t="shared" si="409"/>
        <v>outBeban Lainnya</v>
      </c>
      <c r="Q713" s="34" t="str">
        <f t="shared" si="410"/>
        <v>outSeptemberBeban Lainnya</v>
      </c>
      <c r="R713" s="34" t="str">
        <f t="shared" si="411"/>
        <v>Beban Lainnya</v>
      </c>
      <c r="S713" s="34" t="str">
        <f t="shared" si="412"/>
        <v>Bank</v>
      </c>
      <c r="T713" s="34" t="str">
        <f t="shared" si="413"/>
        <v/>
      </c>
      <c r="U713" s="34" t="str">
        <f>IF(AND(L713=1,bp_kode=T713,T713&lt;&gt;""),COUNTIF($T$8:T713,T713),"")</f>
        <v/>
      </c>
      <c r="V713" s="34" t="str">
        <f t="shared" si="414"/>
        <v>db</v>
      </c>
      <c r="W713" s="34" t="str">
        <f t="shared" si="415"/>
        <v>db</v>
      </c>
      <c r="X713" s="34" t="str">
        <f>IF(B713="","",COUNTIF($C$8:C713,C713)&amp;C713)</f>
        <v>0</v>
      </c>
    </row>
    <row r="714" spans="2:24" ht="23.1" customHeight="1">
      <c r="B714" s="31">
        <v>44834</v>
      </c>
      <c r="C714" s="9"/>
      <c r="D714" s="9" t="s">
        <v>572</v>
      </c>
      <c r="E714" s="7"/>
      <c r="F714" s="7"/>
      <c r="G714" s="7"/>
      <c r="H714" s="7" t="s">
        <v>640</v>
      </c>
      <c r="I714" s="7" t="s">
        <v>577</v>
      </c>
      <c r="J714" s="39">
        <v>25000</v>
      </c>
      <c r="L714" s="16">
        <f t="shared" si="406"/>
        <v>1</v>
      </c>
      <c r="M714" s="16" t="str">
        <f t="shared" si="407"/>
        <v>September</v>
      </c>
      <c r="N714" s="16" t="str">
        <f t="shared" si="408"/>
        <v/>
      </c>
      <c r="O714" s="16" t="str">
        <f>IF(N714="","",COUNTIF($N$8:N714,N714))</f>
        <v/>
      </c>
      <c r="P714" s="34" t="str">
        <f t="shared" si="409"/>
        <v>outBeban Lainnya</v>
      </c>
      <c r="Q714" s="34" t="str">
        <f t="shared" si="410"/>
        <v>outSeptemberBeban Lainnya</v>
      </c>
      <c r="R714" s="34" t="str">
        <f t="shared" si="411"/>
        <v>Beban Lainnya</v>
      </c>
      <c r="S714" s="34" t="str">
        <f t="shared" si="412"/>
        <v>Bank</v>
      </c>
      <c r="T714" s="34" t="str">
        <f t="shared" si="413"/>
        <v/>
      </c>
      <c r="U714" s="34" t="str">
        <f>IF(AND(L714=1,bp_kode=T714,T714&lt;&gt;""),COUNTIF($T$8:T714,T714),"")</f>
        <v/>
      </c>
      <c r="V714" s="34" t="str">
        <f t="shared" si="414"/>
        <v>db</v>
      </c>
      <c r="W714" s="34" t="str">
        <f t="shared" si="415"/>
        <v>db</v>
      </c>
      <c r="X714" s="34" t="str">
        <f>IF(B714="","",COUNTIF($C$8:C714,C714)&amp;C714)</f>
        <v>0</v>
      </c>
    </row>
    <row r="715" spans="2:24" ht="23.1" customHeight="1">
      <c r="B715" s="31">
        <v>44834</v>
      </c>
      <c r="C715" s="9"/>
      <c r="D715" s="9" t="s">
        <v>578</v>
      </c>
      <c r="E715" s="7"/>
      <c r="F715" s="7"/>
      <c r="G715" s="7"/>
      <c r="H715" s="7" t="s">
        <v>640</v>
      </c>
      <c r="I715" s="7" t="s">
        <v>577</v>
      </c>
      <c r="J715" s="39">
        <v>10000</v>
      </c>
      <c r="L715" s="16">
        <f t="shared" si="406"/>
        <v>1</v>
      </c>
      <c r="M715" s="16" t="str">
        <f t="shared" si="407"/>
        <v>September</v>
      </c>
      <c r="N715" s="16" t="str">
        <f t="shared" si="408"/>
        <v/>
      </c>
      <c r="O715" s="16" t="str">
        <f>IF(N715="","",COUNTIF($N$8:N715,N715))</f>
        <v/>
      </c>
      <c r="P715" s="34" t="str">
        <f t="shared" si="409"/>
        <v>outBeban Lainnya</v>
      </c>
      <c r="Q715" s="34" t="str">
        <f t="shared" si="410"/>
        <v>outSeptemberBeban Lainnya</v>
      </c>
      <c r="R715" s="34" t="str">
        <f t="shared" si="411"/>
        <v>Beban Lainnya</v>
      </c>
      <c r="S715" s="34" t="str">
        <f t="shared" si="412"/>
        <v>Bank</v>
      </c>
      <c r="T715" s="34" t="str">
        <f t="shared" si="413"/>
        <v/>
      </c>
      <c r="U715" s="34" t="str">
        <f>IF(AND(L715=1,bp_kode=T715,T715&lt;&gt;""),COUNTIF($T$8:T715,T715),"")</f>
        <v/>
      </c>
      <c r="V715" s="34" t="str">
        <f t="shared" si="414"/>
        <v>db</v>
      </c>
      <c r="W715" s="34" t="str">
        <f t="shared" si="415"/>
        <v>db</v>
      </c>
      <c r="X715" s="34" t="str">
        <f>IF(B715="","",COUNTIF($C$8:C715,C715)&amp;C715)</f>
        <v>0</v>
      </c>
    </row>
    <row r="716" spans="2:24" ht="23.1" customHeight="1">
      <c r="B716" s="31">
        <v>44834</v>
      </c>
      <c r="C716" s="9"/>
      <c r="D716" s="9" t="s">
        <v>751</v>
      </c>
      <c r="E716" s="7"/>
      <c r="F716" s="7"/>
      <c r="G716" s="7"/>
      <c r="H716" s="7" t="s">
        <v>577</v>
      </c>
      <c r="I716" s="7" t="s">
        <v>554</v>
      </c>
      <c r="J716" s="39">
        <v>1229107000</v>
      </c>
      <c r="L716" s="16">
        <f t="shared" si="406"/>
        <v>1</v>
      </c>
      <c r="M716" s="16" t="str">
        <f t="shared" si="407"/>
        <v>September</v>
      </c>
      <c r="N716" s="16" t="str">
        <f t="shared" si="408"/>
        <v/>
      </c>
      <c r="O716" s="16" t="str">
        <f>IF(N716="","",COUNTIF($N$8:N716,N716))</f>
        <v/>
      </c>
      <c r="P716" s="34" t="str">
        <f t="shared" si="409"/>
        <v>InKas</v>
      </c>
      <c r="Q716" s="34" t="str">
        <f t="shared" si="410"/>
        <v>inSeptemberKas</v>
      </c>
      <c r="R716" s="34" t="str">
        <f t="shared" si="411"/>
        <v>Bank</v>
      </c>
      <c r="S716" s="34" t="str">
        <f t="shared" si="412"/>
        <v>Kas</v>
      </c>
      <c r="T716" s="34" t="str">
        <f t="shared" si="413"/>
        <v/>
      </c>
      <c r="U716" s="34" t="str">
        <f>IF(AND(L716=1,bp_kode=T716,T716&lt;&gt;""),COUNTIF($T$8:T716,T716),"")</f>
        <v/>
      </c>
      <c r="V716" s="34" t="str">
        <f t="shared" si="414"/>
        <v/>
      </c>
      <c r="W716" s="34" t="str">
        <f t="shared" si="415"/>
        <v/>
      </c>
      <c r="X716" s="34" t="str">
        <f>IF(B716="","",COUNTIF($C$8:C716,C716)&amp;C716)</f>
        <v>0</v>
      </c>
    </row>
    <row r="717" spans="2:24" ht="23.1" customHeight="1">
      <c r="B717" s="31">
        <v>44834</v>
      </c>
      <c r="C717" s="9"/>
      <c r="D717" s="9" t="s">
        <v>573</v>
      </c>
      <c r="E717" s="7"/>
      <c r="F717" s="7"/>
      <c r="G717" s="7"/>
      <c r="H717" s="7" t="s">
        <v>577</v>
      </c>
      <c r="I717" s="7" t="s">
        <v>559</v>
      </c>
      <c r="J717" s="39">
        <v>81681900</v>
      </c>
      <c r="L717" s="16">
        <f t="shared" si="406"/>
        <v>1</v>
      </c>
      <c r="M717" s="16" t="str">
        <f t="shared" si="407"/>
        <v>September</v>
      </c>
      <c r="N717" s="16" t="str">
        <f t="shared" si="408"/>
        <v/>
      </c>
      <c r="O717" s="16" t="str">
        <f>IF(N717="","",COUNTIF($N$8:N717,N717))</f>
        <v/>
      </c>
      <c r="P717" s="34" t="str">
        <f t="shared" si="409"/>
        <v>InAkun Piutang</v>
      </c>
      <c r="Q717" s="34" t="str">
        <f t="shared" si="410"/>
        <v>inSeptemberAkun Piutang</v>
      </c>
      <c r="R717" s="34" t="str">
        <f t="shared" si="411"/>
        <v>Bank</v>
      </c>
      <c r="S717" s="34" t="str">
        <f t="shared" si="412"/>
        <v>Akun Piutang</v>
      </c>
      <c r="T717" s="34">
        <f t="shared" si="413"/>
        <v>0</v>
      </c>
      <c r="U717" s="34" t="str">
        <f>IF(AND(L717=1,bp_kode=T717,T717&lt;&gt;""),COUNTIF($T$8:T717,T717),"")</f>
        <v/>
      </c>
      <c r="V717" s="34" t="str">
        <f t="shared" si="414"/>
        <v/>
      </c>
      <c r="W717" s="34" t="str">
        <f t="shared" si="415"/>
        <v/>
      </c>
      <c r="X717" s="34" t="str">
        <f>IF(B717="","",COUNTIF($C$8:C717,C717)&amp;C717)</f>
        <v>0</v>
      </c>
    </row>
    <row r="718" spans="2:24" ht="23.1" customHeight="1">
      <c r="B718" s="31">
        <v>44834</v>
      </c>
      <c r="C718" s="9"/>
      <c r="D718" s="9" t="s">
        <v>729</v>
      </c>
      <c r="E718" s="7"/>
      <c r="F718" s="7"/>
      <c r="G718" s="7"/>
      <c r="H718" s="7" t="s">
        <v>579</v>
      </c>
      <c r="I718" s="7" t="s">
        <v>569</v>
      </c>
      <c r="J718" s="39">
        <v>202780.72</v>
      </c>
      <c r="L718" s="16">
        <f t="shared" ref="L718:L766" si="456">IF(AND(B718&gt;=awal,B718&lt;=akhir,B718&lt;&gt;""),1,IF(AND(B718&lt;&gt;"",B718&lt;awal),2,""))</f>
        <v>1</v>
      </c>
      <c r="M718" s="16" t="str">
        <f t="shared" ref="M718:M766" si="457">IF(B718="","",TEXT(B718,"mmmm"))</f>
        <v>September</v>
      </c>
      <c r="N718" s="16" t="str">
        <f t="shared" ref="N718:N766" si="458">IF(AND(L718=1,H718=bb_akun),"Awe",IF(AND(L718=1,I718=bb_akun),"Awe",""))</f>
        <v/>
      </c>
      <c r="O718" s="16" t="str">
        <f>IF(N718="","",COUNTIF($N$8:N718,N718))</f>
        <v/>
      </c>
      <c r="P718" s="34" t="str">
        <f t="shared" ref="P718:P766" si="459">IFERROR(IF(OR(INDEX(akun_type,MATCH(H718,akun_kb,0))="Kas",INDEX(akun_type,MATCH(H718,akun_kb,0))="Bank"),"In"&amp;INDEX(akun_type,MATCH(I718,akun_kb,0)),IF(OR(INDEX(akun_type,MATCH(I718,akun_kb,0))="Kas",INDEX(akun_type,MATCH(I718,akun_kb,0))="Bank"),"out"&amp;INDEX(akun_type,MATCH(H718,akun_kb,0)),"")),"")</f>
        <v>InPendapatan Lainnya</v>
      </c>
      <c r="Q718" s="34" t="str">
        <f t="shared" ref="Q718:Q766" si="460">IFERROR(IF(OR(INDEX(akun_type,MATCH(H718,akun_kb,0))="Kas",INDEX(akun_type,MATCH(H718,akun_kb,0))="Bank"),"in"&amp;TEXT(B718,"mmmm")&amp;INDEX(akun_type,MATCH(I718,akun_kb,0)),IF(OR(INDEX(akun_type,MATCH(I718,akun_kb,0))="Kas",INDEX(akun_type,MATCH(I718,akun_kb,0))="Bank"),"out"&amp;TEXT(B718,"mmmm")&amp;INDEX(akun_type,MATCH(H718,akun_kb,0)),"")),"")</f>
        <v>inSeptemberPendapatan Lainnya</v>
      </c>
      <c r="R718" s="34" t="str">
        <f t="shared" ref="R718:R766" si="461">IFERROR(INDEX(akun_type,MATCH(H718,akun_kb,0)),"")</f>
        <v>Bank</v>
      </c>
      <c r="S718" s="34" t="str">
        <f t="shared" ref="S718:S766" si="462">IFERROR(INDEX(akun_type,MATCH(I718,akun_kb,0)),"")</f>
        <v>Pendapatan Lainnya</v>
      </c>
      <c r="T718" s="34" t="str">
        <f t="shared" ref="T718:T766" si="463">IF(AND(L718=1,OR(R718="Akun Piutang",R718="akun hutang",S718="akun piutang",S718="akun hutang")),E718,"")</f>
        <v/>
      </c>
      <c r="U718" s="34" t="str">
        <f>IF(AND(L718=1,bp_kode=T718,T718&lt;&gt;""),COUNTIF($T$8:T718,T718),"")</f>
        <v/>
      </c>
      <c r="V718" s="34" t="str">
        <f t="shared" ref="V718:V766" si="464">IF(OR(R718="Pendapatan",R718="Pendapatan Lainnya",R718="Beban",R718="Harga Pokok Penjualan",R718="Beban Lainnya"),"db"&amp;F718,IF(OR(S718="Pendapatan",S718="Pendapatan Lainnya",S718="Beban",S718="Harga Pokok Penjualan",S718="Beban Lainnya"),"kr"&amp;F718,""))</f>
        <v>kr</v>
      </c>
      <c r="W718" s="34" t="str">
        <f t="shared" ref="W718:W766" si="465">IF(OR(R718="Pendapatan",R718="Pendapatan Lainnya",R718="Beban",R718="Harga Pokok Penjualan",R718="Beban Lainnya"),"db"&amp;G718,IF(OR(S718="Pendapatan",S718="Pendapatan Lainnya",S718="Beban",S718="Harga Pokok Penjualan",S718="Beban Lainnya"),"kr"&amp;G718,""))</f>
        <v>kr</v>
      </c>
      <c r="X718" s="34" t="str">
        <f>IF(B718="","",COUNTIF($C$8:C718,C718)&amp;C718)</f>
        <v>0</v>
      </c>
    </row>
    <row r="719" spans="2:24" ht="23.1" customHeight="1">
      <c r="B719" s="31">
        <v>44834</v>
      </c>
      <c r="C719" s="9"/>
      <c r="D719" s="9" t="s">
        <v>689</v>
      </c>
      <c r="E719" s="7"/>
      <c r="F719" s="7"/>
      <c r="G719" s="7"/>
      <c r="H719" s="7" t="s">
        <v>640</v>
      </c>
      <c r="I719" s="7" t="s">
        <v>579</v>
      </c>
      <c r="J719" s="39">
        <v>25000</v>
      </c>
      <c r="L719" s="16">
        <f t="shared" si="456"/>
        <v>1</v>
      </c>
      <c r="M719" s="16" t="str">
        <f t="shared" si="457"/>
        <v>September</v>
      </c>
      <c r="N719" s="16" t="str">
        <f t="shared" si="458"/>
        <v/>
      </c>
      <c r="O719" s="16" t="str">
        <f>IF(N719="","",COUNTIF($N$8:N719,N719))</f>
        <v/>
      </c>
      <c r="P719" s="34" t="str">
        <f t="shared" si="459"/>
        <v>outBeban Lainnya</v>
      </c>
      <c r="Q719" s="34" t="str">
        <f t="shared" si="460"/>
        <v>outSeptemberBeban Lainnya</v>
      </c>
      <c r="R719" s="34" t="str">
        <f t="shared" si="461"/>
        <v>Beban Lainnya</v>
      </c>
      <c r="S719" s="34" t="str">
        <f t="shared" si="462"/>
        <v>Bank</v>
      </c>
      <c r="T719" s="34" t="str">
        <f t="shared" si="463"/>
        <v/>
      </c>
      <c r="U719" s="34" t="str">
        <f>IF(AND(L719=1,bp_kode=T719,T719&lt;&gt;""),COUNTIF($T$8:T719,T719),"")</f>
        <v/>
      </c>
      <c r="V719" s="34" t="str">
        <f t="shared" si="464"/>
        <v>db</v>
      </c>
      <c r="W719" s="34" t="str">
        <f t="shared" si="465"/>
        <v>db</v>
      </c>
      <c r="X719" s="34" t="str">
        <f>IF(B719="","",COUNTIF($C$8:C719,C719)&amp;C719)</f>
        <v>0</v>
      </c>
    </row>
    <row r="720" spans="2:24" ht="23.1" customHeight="1">
      <c r="B720" s="31">
        <v>44834</v>
      </c>
      <c r="C720" s="9"/>
      <c r="D720" s="9" t="s">
        <v>573</v>
      </c>
      <c r="E720" s="7"/>
      <c r="F720" s="7"/>
      <c r="G720" s="7"/>
      <c r="H720" s="7" t="s">
        <v>579</v>
      </c>
      <c r="I720" s="7" t="s">
        <v>559</v>
      </c>
      <c r="J720" s="39">
        <v>1772100</v>
      </c>
      <c r="L720" s="16">
        <f t="shared" si="456"/>
        <v>1</v>
      </c>
      <c r="M720" s="16" t="str">
        <f t="shared" si="457"/>
        <v>September</v>
      </c>
      <c r="N720" s="16" t="str">
        <f t="shared" si="458"/>
        <v/>
      </c>
      <c r="O720" s="16" t="str">
        <f>IF(N720="","",COUNTIF($N$8:N720,N720))</f>
        <v/>
      </c>
      <c r="P720" s="34" t="str">
        <f t="shared" si="459"/>
        <v>InAkun Piutang</v>
      </c>
      <c r="Q720" s="34" t="str">
        <f t="shared" si="460"/>
        <v>inSeptemberAkun Piutang</v>
      </c>
      <c r="R720" s="34" t="str">
        <f t="shared" si="461"/>
        <v>Bank</v>
      </c>
      <c r="S720" s="34" t="str">
        <f t="shared" si="462"/>
        <v>Akun Piutang</v>
      </c>
      <c r="T720" s="34">
        <f t="shared" si="463"/>
        <v>0</v>
      </c>
      <c r="U720" s="34" t="str">
        <f>IF(AND(L720=1,bp_kode=T720,T720&lt;&gt;""),COUNTIF($T$8:T720,T720),"")</f>
        <v/>
      </c>
      <c r="V720" s="34" t="str">
        <f t="shared" si="464"/>
        <v/>
      </c>
      <c r="W720" s="34" t="str">
        <f t="shared" si="465"/>
        <v/>
      </c>
      <c r="X720" s="34" t="str">
        <f>IF(B720="","",COUNTIF($C$8:C720,C720)&amp;C720)</f>
        <v>0</v>
      </c>
    </row>
    <row r="721" spans="2:24" ht="23.1" customHeight="1">
      <c r="B721" s="31">
        <v>44834</v>
      </c>
      <c r="C721" s="9"/>
      <c r="D721" s="9" t="s">
        <v>581</v>
      </c>
      <c r="E721" s="7"/>
      <c r="F721" s="7"/>
      <c r="G721" s="7"/>
      <c r="H721" s="7" t="s">
        <v>582</v>
      </c>
      <c r="I721" s="7" t="s">
        <v>579</v>
      </c>
      <c r="J721" s="39">
        <v>390991709</v>
      </c>
      <c r="L721" s="16">
        <f t="shared" si="456"/>
        <v>1</v>
      </c>
      <c r="M721" s="16" t="str">
        <f t="shared" si="457"/>
        <v>September</v>
      </c>
      <c r="N721" s="16" t="str">
        <f t="shared" si="458"/>
        <v/>
      </c>
      <c r="O721" s="16" t="str">
        <f>IF(N721="","",COUNTIF($N$8:N721,N721))</f>
        <v/>
      </c>
      <c r="P721" s="34" t="str">
        <f t="shared" si="459"/>
        <v>InBank</v>
      </c>
      <c r="Q721" s="34" t="str">
        <f t="shared" si="460"/>
        <v>inSeptemberBank</v>
      </c>
      <c r="R721" s="34" t="str">
        <f t="shared" si="461"/>
        <v>Kas</v>
      </c>
      <c r="S721" s="34" t="str">
        <f t="shared" si="462"/>
        <v>Bank</v>
      </c>
      <c r="T721" s="34" t="str">
        <f t="shared" si="463"/>
        <v/>
      </c>
      <c r="U721" s="34" t="str">
        <f>IF(AND(L721=1,bp_kode=T721,T721&lt;&gt;""),COUNTIF($T$8:T721,T721),"")</f>
        <v/>
      </c>
      <c r="V721" s="34" t="str">
        <f t="shared" si="464"/>
        <v/>
      </c>
      <c r="W721" s="34" t="str">
        <f t="shared" si="465"/>
        <v/>
      </c>
      <c r="X721" s="34" t="str">
        <f>IF(B721="","",COUNTIF($C$8:C721,C721)&amp;C721)</f>
        <v>0</v>
      </c>
    </row>
    <row r="722" spans="2:24" ht="23.1" customHeight="1">
      <c r="B722" s="31">
        <v>44834</v>
      </c>
      <c r="C722" s="9"/>
      <c r="D722" s="9" t="s">
        <v>584</v>
      </c>
      <c r="E722" s="7"/>
      <c r="F722" s="7"/>
      <c r="G722" s="7"/>
      <c r="H722" s="7" t="s">
        <v>583</v>
      </c>
      <c r="I722" s="7" t="s">
        <v>561</v>
      </c>
      <c r="J722" s="39">
        <v>28000000</v>
      </c>
      <c r="L722" s="16">
        <f t="shared" si="456"/>
        <v>1</v>
      </c>
      <c r="M722" s="16" t="str">
        <f t="shared" si="457"/>
        <v>September</v>
      </c>
      <c r="N722" s="16" t="str">
        <f t="shared" si="458"/>
        <v/>
      </c>
      <c r="O722" s="16" t="str">
        <f>IF(N722="","",COUNTIF($N$8:N722,N722))</f>
        <v/>
      </c>
      <c r="P722" s="34" t="str">
        <f t="shared" si="459"/>
        <v>InAkun Piutang</v>
      </c>
      <c r="Q722" s="34" t="str">
        <f t="shared" si="460"/>
        <v>inSeptemberAkun Piutang</v>
      </c>
      <c r="R722" s="34" t="str">
        <f t="shared" si="461"/>
        <v>Bank</v>
      </c>
      <c r="S722" s="34" t="str">
        <f t="shared" si="462"/>
        <v>Akun Piutang</v>
      </c>
      <c r="T722" s="34">
        <f t="shared" si="463"/>
        <v>0</v>
      </c>
      <c r="U722" s="34" t="str">
        <f>IF(AND(L722=1,bp_kode=T722,T722&lt;&gt;""),COUNTIF($T$8:T722,T722),"")</f>
        <v/>
      </c>
      <c r="V722" s="34" t="str">
        <f t="shared" si="464"/>
        <v/>
      </c>
      <c r="W722" s="34" t="str">
        <f t="shared" si="465"/>
        <v/>
      </c>
      <c r="X722" s="34" t="str">
        <f>IF(B722="","",COUNTIF($C$8:C722,C722)&amp;C722)</f>
        <v>0</v>
      </c>
    </row>
    <row r="723" spans="2:24" ht="23.1" customHeight="1">
      <c r="B723" s="31">
        <v>44834</v>
      </c>
      <c r="C723" s="9"/>
      <c r="D723" s="9" t="s">
        <v>730</v>
      </c>
      <c r="E723" s="7"/>
      <c r="F723" s="7"/>
      <c r="G723" s="7"/>
      <c r="H723" s="7" t="s">
        <v>583</v>
      </c>
      <c r="I723" s="7" t="s">
        <v>569</v>
      </c>
      <c r="J723" s="39">
        <v>1994366.53</v>
      </c>
      <c r="L723" s="16">
        <f t="shared" si="456"/>
        <v>1</v>
      </c>
      <c r="M723" s="16" t="str">
        <f t="shared" si="457"/>
        <v>September</v>
      </c>
      <c r="N723" s="16" t="str">
        <f t="shared" si="458"/>
        <v/>
      </c>
      <c r="O723" s="16" t="str">
        <f>IF(N723="","",COUNTIF($N$8:N723,N723))</f>
        <v/>
      </c>
      <c r="P723" s="34" t="str">
        <f t="shared" si="459"/>
        <v>InPendapatan Lainnya</v>
      </c>
      <c r="Q723" s="34" t="str">
        <f t="shared" si="460"/>
        <v>inSeptemberPendapatan Lainnya</v>
      </c>
      <c r="R723" s="34" t="str">
        <f t="shared" si="461"/>
        <v>Bank</v>
      </c>
      <c r="S723" s="34" t="str">
        <f t="shared" si="462"/>
        <v>Pendapatan Lainnya</v>
      </c>
      <c r="T723" s="34" t="str">
        <f t="shared" si="463"/>
        <v/>
      </c>
      <c r="U723" s="34" t="str">
        <f>IF(AND(L723=1,bp_kode=T723,T723&lt;&gt;""),COUNTIF($T$8:T723,T723),"")</f>
        <v/>
      </c>
      <c r="V723" s="34" t="str">
        <f t="shared" si="464"/>
        <v>kr</v>
      </c>
      <c r="W723" s="34" t="str">
        <f t="shared" si="465"/>
        <v>kr</v>
      </c>
      <c r="X723" s="34" t="str">
        <f>IF(B723="","",COUNTIF($C$8:C723,C723)&amp;C723)</f>
        <v>0</v>
      </c>
    </row>
    <row r="724" spans="2:24" ht="23.1" customHeight="1">
      <c r="B724" s="31">
        <v>44834</v>
      </c>
      <c r="C724" s="9"/>
      <c r="D724" s="9" t="s">
        <v>570</v>
      </c>
      <c r="E724" s="7"/>
      <c r="F724" s="7"/>
      <c r="G724" s="7"/>
      <c r="H724" s="7" t="s">
        <v>571</v>
      </c>
      <c r="I724" s="7" t="s">
        <v>583</v>
      </c>
      <c r="J724" s="39">
        <v>398873.1</v>
      </c>
      <c r="L724" s="16">
        <f t="shared" si="456"/>
        <v>1</v>
      </c>
      <c r="M724" s="16" t="str">
        <f t="shared" si="457"/>
        <v>September</v>
      </c>
      <c r="N724" s="16" t="str">
        <f t="shared" si="458"/>
        <v/>
      </c>
      <c r="O724" s="16" t="str">
        <f>IF(N724="","",COUNTIF($N$8:N724,N724))</f>
        <v/>
      </c>
      <c r="P724" s="34" t="str">
        <f t="shared" si="459"/>
        <v>outBeban Lainnya</v>
      </c>
      <c r="Q724" s="34" t="str">
        <f t="shared" si="460"/>
        <v>outSeptemberBeban Lainnya</v>
      </c>
      <c r="R724" s="34" t="str">
        <f t="shared" si="461"/>
        <v>Beban Lainnya</v>
      </c>
      <c r="S724" s="34" t="str">
        <f t="shared" si="462"/>
        <v>Bank</v>
      </c>
      <c r="T724" s="34" t="str">
        <f t="shared" si="463"/>
        <v/>
      </c>
      <c r="U724" s="34" t="str">
        <f>IF(AND(L724=1,bp_kode=T724,T724&lt;&gt;""),COUNTIF($T$8:T724,T724),"")</f>
        <v/>
      </c>
      <c r="V724" s="34" t="str">
        <f t="shared" si="464"/>
        <v>db</v>
      </c>
      <c r="W724" s="34" t="str">
        <f t="shared" si="465"/>
        <v>db</v>
      </c>
      <c r="X724" s="34" t="str">
        <f>IF(B724="","",COUNTIF($C$8:C724,C724)&amp;C724)</f>
        <v>0</v>
      </c>
    </row>
    <row r="725" spans="2:24" ht="23.1" customHeight="1">
      <c r="B725" s="31">
        <v>44834</v>
      </c>
      <c r="C725" s="9"/>
      <c r="D725" s="9" t="s">
        <v>685</v>
      </c>
      <c r="E725" s="7"/>
      <c r="F725" s="7"/>
      <c r="G725" s="7"/>
      <c r="H725" s="7" t="s">
        <v>640</v>
      </c>
      <c r="I725" s="7" t="s">
        <v>583</v>
      </c>
      <c r="J725" s="39">
        <v>25000</v>
      </c>
      <c r="L725" s="16">
        <f t="shared" si="456"/>
        <v>1</v>
      </c>
      <c r="M725" s="16" t="str">
        <f t="shared" si="457"/>
        <v>September</v>
      </c>
      <c r="N725" s="16" t="str">
        <f t="shared" si="458"/>
        <v/>
      </c>
      <c r="O725" s="16" t="str">
        <f>IF(N725="","",COUNTIF($N$8:N725,N725))</f>
        <v/>
      </c>
      <c r="P725" s="34" t="str">
        <f t="shared" si="459"/>
        <v>outBeban Lainnya</v>
      </c>
      <c r="Q725" s="34" t="str">
        <f t="shared" si="460"/>
        <v>outSeptemberBeban Lainnya</v>
      </c>
      <c r="R725" s="34" t="str">
        <f t="shared" si="461"/>
        <v>Beban Lainnya</v>
      </c>
      <c r="S725" s="34" t="str">
        <f t="shared" si="462"/>
        <v>Bank</v>
      </c>
      <c r="T725" s="34" t="str">
        <f t="shared" si="463"/>
        <v/>
      </c>
      <c r="U725" s="34" t="str">
        <f>IF(AND(L725=1,bp_kode=T725,T725&lt;&gt;""),COUNTIF($T$8:T725,T725),"")</f>
        <v/>
      </c>
      <c r="V725" s="34" t="str">
        <f t="shared" si="464"/>
        <v>db</v>
      </c>
      <c r="W725" s="34" t="str">
        <f t="shared" si="465"/>
        <v>db</v>
      </c>
      <c r="X725" s="34" t="str">
        <f>IF(B725="","",COUNTIF($C$8:C725,C725)&amp;C725)</f>
        <v>0</v>
      </c>
    </row>
    <row r="726" spans="2:24" ht="23.1" customHeight="1">
      <c r="B726" s="31">
        <v>44834</v>
      </c>
      <c r="C726" s="9"/>
      <c r="D726" s="9" t="s">
        <v>771</v>
      </c>
      <c r="E726" s="7"/>
      <c r="F726" s="7"/>
      <c r="G726" s="7"/>
      <c r="H726" s="7" t="s">
        <v>582</v>
      </c>
      <c r="I726" s="7" t="s">
        <v>583</v>
      </c>
      <c r="J726" s="39">
        <v>864193000</v>
      </c>
      <c r="L726" s="16">
        <f t="shared" si="456"/>
        <v>1</v>
      </c>
      <c r="M726" s="16" t="str">
        <f t="shared" ref="M726:M728" si="466">IF(B726="","",TEXT(B726,"mmmm"))</f>
        <v>September</v>
      </c>
      <c r="N726" s="16" t="str">
        <f t="shared" ref="N726:N728" si="467">IF(AND(L726=1,H726=bb_akun),"Awe",IF(AND(L726=1,I726=bb_akun),"Awe",""))</f>
        <v/>
      </c>
      <c r="O726" s="16" t="str">
        <f>IF(N726="","",COUNTIF($N$8:N726,N726))</f>
        <v/>
      </c>
      <c r="P726" s="34" t="str">
        <f t="shared" ref="P726:P728" si="468">IFERROR(IF(OR(INDEX(akun_type,MATCH(H726,akun_kb,0))="Kas",INDEX(akun_type,MATCH(H726,akun_kb,0))="Bank"),"In"&amp;INDEX(akun_type,MATCH(I726,akun_kb,0)),IF(OR(INDEX(akun_type,MATCH(I726,akun_kb,0))="Kas",INDEX(akun_type,MATCH(I726,akun_kb,0))="Bank"),"out"&amp;INDEX(akun_type,MATCH(H726,akun_kb,0)),"")),"")</f>
        <v>InBank</v>
      </c>
      <c r="Q726" s="34" t="str">
        <f t="shared" ref="Q726:Q728" si="469">IFERROR(IF(OR(INDEX(akun_type,MATCH(H726,akun_kb,0))="Kas",INDEX(akun_type,MATCH(H726,akun_kb,0))="Bank"),"in"&amp;TEXT(B726,"mmmm")&amp;INDEX(akun_type,MATCH(I726,akun_kb,0)),IF(OR(INDEX(akun_type,MATCH(I726,akun_kb,0))="Kas",INDEX(akun_type,MATCH(I726,akun_kb,0))="Bank"),"out"&amp;TEXT(B726,"mmmm")&amp;INDEX(akun_type,MATCH(H726,akun_kb,0)),"")),"")</f>
        <v>inSeptemberBank</v>
      </c>
      <c r="R726" s="34" t="str">
        <f t="shared" ref="R726:R728" si="470">IFERROR(INDEX(akun_type,MATCH(H726,akun_kb,0)),"")</f>
        <v>Kas</v>
      </c>
      <c r="S726" s="34" t="str">
        <f t="shared" ref="S726:S728" si="471">IFERROR(INDEX(akun_type,MATCH(I726,akun_kb,0)),"")</f>
        <v>Bank</v>
      </c>
      <c r="T726" s="34" t="str">
        <f t="shared" ref="T726:T728" si="472">IF(AND(L726=1,OR(R726="Akun Piutang",R726="akun hutang",S726="akun piutang",S726="akun hutang")),E726,"")</f>
        <v/>
      </c>
      <c r="U726" s="34" t="str">
        <f>IF(AND(L726=1,bp_kode=T726,T726&lt;&gt;""),COUNTIF($T$8:T726,T726),"")</f>
        <v/>
      </c>
      <c r="V726" s="34" t="str">
        <f t="shared" ref="V726:V728" si="473">IF(OR(R726="Pendapatan",R726="Pendapatan Lainnya",R726="Beban",R726="Harga Pokok Penjualan",R726="Beban Lainnya"),"db"&amp;F726,IF(OR(S726="Pendapatan",S726="Pendapatan Lainnya",S726="Beban",S726="Harga Pokok Penjualan",S726="Beban Lainnya"),"kr"&amp;F726,""))</f>
        <v/>
      </c>
      <c r="W726" s="34" t="str">
        <f t="shared" ref="W726:W728" si="474">IF(OR(R726="Pendapatan",R726="Pendapatan Lainnya",R726="Beban",R726="Harga Pokok Penjualan",R726="Beban Lainnya"),"db"&amp;G726,IF(OR(S726="Pendapatan",S726="Pendapatan Lainnya",S726="Beban",S726="Harga Pokok Penjualan",S726="Beban Lainnya"),"kr"&amp;G726,""))</f>
        <v/>
      </c>
      <c r="X726" s="34" t="str">
        <f>IF(B726="","",COUNTIF($C$8:C726,C726)&amp;C726)</f>
        <v>0</v>
      </c>
    </row>
    <row r="727" spans="2:24" ht="23.1" customHeight="1">
      <c r="B727" s="31">
        <v>44834</v>
      </c>
      <c r="C727" s="9"/>
      <c r="D727" s="9" t="s">
        <v>570</v>
      </c>
      <c r="E727" s="7"/>
      <c r="F727" s="7"/>
      <c r="G727" s="7"/>
      <c r="H727" s="7" t="s">
        <v>571</v>
      </c>
      <c r="I727" s="7" t="s">
        <v>586</v>
      </c>
      <c r="J727" s="39">
        <v>549414</v>
      </c>
      <c r="L727" s="16">
        <f t="shared" si="456"/>
        <v>1</v>
      </c>
      <c r="M727" s="16" t="str">
        <f t="shared" si="466"/>
        <v>September</v>
      </c>
      <c r="N727" s="16" t="str">
        <f t="shared" si="467"/>
        <v/>
      </c>
      <c r="O727" s="16" t="str">
        <f>IF(N727="","",COUNTIF($N$8:N727,N727))</f>
        <v/>
      </c>
      <c r="P727" s="34" t="str">
        <f t="shared" si="468"/>
        <v>outBeban Lainnya</v>
      </c>
      <c r="Q727" s="34" t="str">
        <f t="shared" si="469"/>
        <v>outSeptemberBeban Lainnya</v>
      </c>
      <c r="R727" s="34" t="str">
        <f t="shared" si="470"/>
        <v>Beban Lainnya</v>
      </c>
      <c r="S727" s="34" t="str">
        <f t="shared" si="471"/>
        <v>Bank</v>
      </c>
      <c r="T727" s="34" t="str">
        <f t="shared" si="472"/>
        <v/>
      </c>
      <c r="U727" s="34" t="str">
        <f>IF(AND(L727=1,bp_kode=T727,T727&lt;&gt;""),COUNTIF($T$8:T727,T727),"")</f>
        <v/>
      </c>
      <c r="V727" s="34" t="str">
        <f t="shared" si="473"/>
        <v>db</v>
      </c>
      <c r="W727" s="34" t="str">
        <f t="shared" si="474"/>
        <v>db</v>
      </c>
      <c r="X727" s="34" t="str">
        <f>IF(B727="","",COUNTIF($C$8:C727,C727)&amp;C727)</f>
        <v>0</v>
      </c>
    </row>
    <row r="728" spans="2:24" ht="23.1" customHeight="1">
      <c r="B728" s="31">
        <v>44834</v>
      </c>
      <c r="C728" s="9"/>
      <c r="D728" s="9" t="s">
        <v>572</v>
      </c>
      <c r="E728" s="7"/>
      <c r="F728" s="7"/>
      <c r="G728" s="7"/>
      <c r="H728" s="7" t="s">
        <v>586</v>
      </c>
      <c r="I728" s="7" t="s">
        <v>569</v>
      </c>
      <c r="J728" s="39">
        <v>2747155</v>
      </c>
      <c r="L728" s="16">
        <f t="shared" si="456"/>
        <v>1</v>
      </c>
      <c r="M728" s="16" t="str">
        <f t="shared" si="466"/>
        <v>September</v>
      </c>
      <c r="N728" s="16" t="str">
        <f t="shared" si="467"/>
        <v/>
      </c>
      <c r="O728" s="16" t="str">
        <f>IF(N728="","",COUNTIF($N$8:N728,N728))</f>
        <v/>
      </c>
      <c r="P728" s="34" t="str">
        <f t="shared" si="468"/>
        <v>InPendapatan Lainnya</v>
      </c>
      <c r="Q728" s="34" t="str">
        <f t="shared" si="469"/>
        <v>inSeptemberPendapatan Lainnya</v>
      </c>
      <c r="R728" s="34" t="str">
        <f t="shared" si="470"/>
        <v>Bank</v>
      </c>
      <c r="S728" s="34" t="str">
        <f t="shared" si="471"/>
        <v>Pendapatan Lainnya</v>
      </c>
      <c r="T728" s="34" t="str">
        <f t="shared" si="472"/>
        <v/>
      </c>
      <c r="U728" s="34" t="str">
        <f>IF(AND(L728=1,bp_kode=T728,T728&lt;&gt;""),COUNTIF($T$8:T728,T728),"")</f>
        <v/>
      </c>
      <c r="V728" s="34" t="str">
        <f t="shared" si="473"/>
        <v>kr</v>
      </c>
      <c r="W728" s="34" t="str">
        <f t="shared" si="474"/>
        <v>kr</v>
      </c>
      <c r="X728" s="34" t="str">
        <f>IF(B728="","",COUNTIF($C$8:C728,C728)&amp;C728)</f>
        <v>0</v>
      </c>
    </row>
    <row r="729" spans="2:24" ht="23.1" customHeight="1">
      <c r="B729" s="31">
        <v>44834</v>
      </c>
      <c r="C729" s="9"/>
      <c r="D729" s="9" t="s">
        <v>572</v>
      </c>
      <c r="E729" s="7"/>
      <c r="F729" s="7"/>
      <c r="G729" s="7"/>
      <c r="H729" s="7" t="s">
        <v>640</v>
      </c>
      <c r="I729" s="7" t="s">
        <v>586</v>
      </c>
      <c r="J729" s="39">
        <v>36500</v>
      </c>
      <c r="L729" s="16">
        <f t="shared" si="456"/>
        <v>1</v>
      </c>
      <c r="M729" s="16" t="str">
        <f t="shared" si="457"/>
        <v>September</v>
      </c>
      <c r="N729" s="16" t="str">
        <f t="shared" si="458"/>
        <v/>
      </c>
      <c r="O729" s="16" t="str">
        <f>IF(N729="","",COUNTIF($N$8:N729,N729))</f>
        <v/>
      </c>
      <c r="P729" s="34" t="str">
        <f t="shared" si="459"/>
        <v>outBeban Lainnya</v>
      </c>
      <c r="Q729" s="34" t="str">
        <f t="shared" si="460"/>
        <v>outSeptemberBeban Lainnya</v>
      </c>
      <c r="R729" s="34" t="str">
        <f t="shared" si="461"/>
        <v>Beban Lainnya</v>
      </c>
      <c r="S729" s="34" t="str">
        <f t="shared" si="462"/>
        <v>Bank</v>
      </c>
      <c r="T729" s="34" t="str">
        <f t="shared" si="463"/>
        <v/>
      </c>
      <c r="U729" s="34" t="str">
        <f>IF(AND(L729=1,bp_kode=T729,T729&lt;&gt;""),COUNTIF($T$8:T729,T729),"")</f>
        <v/>
      </c>
      <c r="V729" s="34" t="str">
        <f t="shared" si="464"/>
        <v>db</v>
      </c>
      <c r="W729" s="34" t="str">
        <f t="shared" si="465"/>
        <v>db</v>
      </c>
      <c r="X729" s="34" t="str">
        <f>IF(B729="","",COUNTIF($C$8:C729,C729)&amp;C729)</f>
        <v>0</v>
      </c>
    </row>
    <row r="730" spans="2:24" ht="23.1" customHeight="1">
      <c r="B730" s="31">
        <v>44834</v>
      </c>
      <c r="C730" s="9"/>
      <c r="D730" s="9" t="s">
        <v>573</v>
      </c>
      <c r="E730" s="7"/>
      <c r="F730" s="7"/>
      <c r="G730" s="7"/>
      <c r="H730" s="7" t="s">
        <v>586</v>
      </c>
      <c r="I730" s="7" t="s">
        <v>559</v>
      </c>
      <c r="J730" s="39">
        <v>15000000</v>
      </c>
      <c r="L730" s="16">
        <f t="shared" si="456"/>
        <v>1</v>
      </c>
      <c r="M730" s="16" t="str">
        <f t="shared" si="457"/>
        <v>September</v>
      </c>
      <c r="N730" s="16" t="str">
        <f t="shared" si="458"/>
        <v/>
      </c>
      <c r="O730" s="16" t="str">
        <f>IF(N730="","",COUNTIF($N$8:N730,N730))</f>
        <v/>
      </c>
      <c r="P730" s="34" t="str">
        <f t="shared" si="459"/>
        <v>InAkun Piutang</v>
      </c>
      <c r="Q730" s="34" t="str">
        <f t="shared" si="460"/>
        <v>inSeptemberAkun Piutang</v>
      </c>
      <c r="R730" s="34" t="str">
        <f t="shared" si="461"/>
        <v>Bank</v>
      </c>
      <c r="S730" s="34" t="str">
        <f t="shared" si="462"/>
        <v>Akun Piutang</v>
      </c>
      <c r="T730" s="34">
        <f t="shared" si="463"/>
        <v>0</v>
      </c>
      <c r="U730" s="34" t="str">
        <f>IF(AND(L730=1,bp_kode=T730,T730&lt;&gt;""),COUNTIF($T$8:T730,T730),"")</f>
        <v/>
      </c>
      <c r="V730" s="34" t="str">
        <f t="shared" si="464"/>
        <v/>
      </c>
      <c r="W730" s="34" t="str">
        <f t="shared" si="465"/>
        <v/>
      </c>
      <c r="X730" s="34" t="str">
        <f>IF(B730="","",COUNTIF($C$8:C730,C730)&amp;C730)</f>
        <v>0</v>
      </c>
    </row>
    <row r="731" spans="2:24" ht="23.1" customHeight="1">
      <c r="B731" s="31">
        <v>44834</v>
      </c>
      <c r="C731" s="9"/>
      <c r="D731" s="9" t="s">
        <v>581</v>
      </c>
      <c r="E731" s="7"/>
      <c r="F731" s="7"/>
      <c r="G731" s="7"/>
      <c r="H731" s="7" t="s">
        <v>582</v>
      </c>
      <c r="I731" s="7" t="s">
        <v>586</v>
      </c>
      <c r="J731" s="39">
        <v>178804400</v>
      </c>
      <c r="L731" s="16">
        <f t="shared" ref="L731" si="475">IF(AND(B731&gt;=awal,B731&lt;=akhir,B731&lt;&gt;""),1,IF(AND(B731&lt;&gt;"",B731&lt;awal),2,""))</f>
        <v>1</v>
      </c>
      <c r="M731" s="16" t="str">
        <f t="shared" ref="M731" si="476">IF(B731="","",TEXT(B731,"mmmm"))</f>
        <v>September</v>
      </c>
      <c r="N731" s="16" t="str">
        <f t="shared" ref="N731" si="477">IF(AND(L731=1,H731=bb_akun),"Awe",IF(AND(L731=1,I731=bb_akun),"Awe",""))</f>
        <v/>
      </c>
      <c r="O731" s="16" t="str">
        <f>IF(N731="","",COUNTIF($N$8:N731,N731))</f>
        <v/>
      </c>
      <c r="P731" s="34" t="str">
        <f t="shared" ref="P731" si="478">IFERROR(IF(OR(INDEX(akun_type,MATCH(H731,akun_kb,0))="Kas",INDEX(akun_type,MATCH(H731,akun_kb,0))="Bank"),"In"&amp;INDEX(akun_type,MATCH(I731,akun_kb,0)),IF(OR(INDEX(akun_type,MATCH(I731,akun_kb,0))="Kas",INDEX(akun_type,MATCH(I731,akun_kb,0))="Bank"),"out"&amp;INDEX(akun_type,MATCH(H731,akun_kb,0)),"")),"")</f>
        <v>InBank</v>
      </c>
      <c r="Q731" s="34" t="str">
        <f t="shared" ref="Q731" si="479">IFERROR(IF(OR(INDEX(akun_type,MATCH(H731,akun_kb,0))="Kas",INDEX(akun_type,MATCH(H731,akun_kb,0))="Bank"),"in"&amp;TEXT(B731,"mmmm")&amp;INDEX(akun_type,MATCH(I731,akun_kb,0)),IF(OR(INDEX(akun_type,MATCH(I731,akun_kb,0))="Kas",INDEX(akun_type,MATCH(I731,akun_kb,0))="Bank"),"out"&amp;TEXT(B731,"mmmm")&amp;INDEX(akun_type,MATCH(H731,akun_kb,0)),"")),"")</f>
        <v>inSeptemberBank</v>
      </c>
      <c r="R731" s="34" t="str">
        <f t="shared" ref="R731" si="480">IFERROR(INDEX(akun_type,MATCH(H731,akun_kb,0)),"")</f>
        <v>Kas</v>
      </c>
      <c r="S731" s="34" t="str">
        <f t="shared" ref="S731" si="481">IFERROR(INDEX(akun_type,MATCH(I731,akun_kb,0)),"")</f>
        <v>Bank</v>
      </c>
      <c r="T731" s="34" t="str">
        <f t="shared" ref="T731" si="482">IF(AND(L731=1,OR(R731="Akun Piutang",R731="akun hutang",S731="akun piutang",S731="akun hutang")),E731,"")</f>
        <v/>
      </c>
      <c r="U731" s="34" t="str">
        <f>IF(AND(L731=1,bp_kode=T731,T731&lt;&gt;""),COUNTIF($T$8:T731,T731),"")</f>
        <v/>
      </c>
      <c r="V731" s="34" t="str">
        <f t="shared" ref="V731" si="483">IF(OR(R731="Pendapatan",R731="Pendapatan Lainnya",R731="Beban",R731="Harga Pokok Penjualan",R731="Beban Lainnya"),"db"&amp;F731,IF(OR(S731="Pendapatan",S731="Pendapatan Lainnya",S731="Beban",S731="Harga Pokok Penjualan",S731="Beban Lainnya"),"kr"&amp;F731,""))</f>
        <v/>
      </c>
      <c r="W731" s="34" t="str">
        <f t="shared" ref="W731" si="484">IF(OR(R731="Pendapatan",R731="Pendapatan Lainnya",R731="Beban",R731="Harga Pokok Penjualan",R731="Beban Lainnya"),"db"&amp;G731,IF(OR(S731="Pendapatan",S731="Pendapatan Lainnya",S731="Beban",S731="Harga Pokok Penjualan",S731="Beban Lainnya"),"kr"&amp;G731,""))</f>
        <v/>
      </c>
      <c r="X731" s="34" t="str">
        <f>IF(B731="","",COUNTIF($C$8:C731,C731)&amp;C731)</f>
        <v>0</v>
      </c>
    </row>
    <row r="732" spans="2:24" ht="23.1" customHeight="1">
      <c r="B732" s="31">
        <v>44834</v>
      </c>
      <c r="C732" s="9"/>
      <c r="D732" s="9" t="s">
        <v>552</v>
      </c>
      <c r="E732" s="7"/>
      <c r="F732" s="7"/>
      <c r="G732" s="7"/>
      <c r="H732" s="7" t="s">
        <v>554</v>
      </c>
      <c r="I732" s="7" t="s">
        <v>587</v>
      </c>
      <c r="J732" s="39">
        <v>28601000</v>
      </c>
      <c r="L732" s="16">
        <f t="shared" si="456"/>
        <v>1</v>
      </c>
      <c r="M732" s="16" t="str">
        <f t="shared" si="457"/>
        <v>September</v>
      </c>
      <c r="N732" s="16" t="str">
        <f t="shared" si="458"/>
        <v/>
      </c>
      <c r="O732" s="16" t="str">
        <f>IF(N732="","",COUNTIF($N$8:N732,N732))</f>
        <v/>
      </c>
      <c r="P732" s="34" t="str">
        <f t="shared" si="459"/>
        <v>InAkun Piutang</v>
      </c>
      <c r="Q732" s="34" t="str">
        <f t="shared" si="460"/>
        <v>inSeptemberAkun Piutang</v>
      </c>
      <c r="R732" s="34" t="str">
        <f t="shared" si="461"/>
        <v>Kas</v>
      </c>
      <c r="S732" s="34" t="str">
        <f t="shared" si="462"/>
        <v>Akun Piutang</v>
      </c>
      <c r="T732" s="34">
        <f t="shared" si="463"/>
        <v>0</v>
      </c>
      <c r="U732" s="34" t="str">
        <f>IF(AND(L732=1,bp_kode=T732,T732&lt;&gt;""),COUNTIF($T$8:T732,T732),"")</f>
        <v/>
      </c>
      <c r="V732" s="34" t="str">
        <f t="shared" si="464"/>
        <v/>
      </c>
      <c r="W732" s="34" t="str">
        <f t="shared" si="465"/>
        <v/>
      </c>
      <c r="X732" s="34" t="str">
        <f>IF(B732="","",COUNTIF($C$8:C732,C732)&amp;C732)</f>
        <v>0</v>
      </c>
    </row>
    <row r="733" spans="2:24" ht="23.1" customHeight="1">
      <c r="B733" s="31">
        <v>44834</v>
      </c>
      <c r="C733" s="9"/>
      <c r="D733" s="9" t="s">
        <v>589</v>
      </c>
      <c r="E733" s="7"/>
      <c r="F733" s="7"/>
      <c r="G733" s="7"/>
      <c r="H733" s="7" t="s">
        <v>554</v>
      </c>
      <c r="I733" s="7" t="s">
        <v>551</v>
      </c>
      <c r="J733" s="39">
        <v>641037000</v>
      </c>
      <c r="L733" s="16">
        <f t="shared" si="456"/>
        <v>1</v>
      </c>
      <c r="M733" s="16" t="str">
        <f t="shared" si="457"/>
        <v>September</v>
      </c>
      <c r="N733" s="16" t="str">
        <f t="shared" si="458"/>
        <v/>
      </c>
      <c r="O733" s="16" t="str">
        <f>IF(N733="","",COUNTIF($N$8:N733,N733))</f>
        <v/>
      </c>
      <c r="P733" s="34" t="str">
        <f t="shared" si="459"/>
        <v>InAkun Piutang</v>
      </c>
      <c r="Q733" s="34" t="str">
        <f t="shared" si="460"/>
        <v>inSeptemberAkun Piutang</v>
      </c>
      <c r="R733" s="34" t="str">
        <f t="shared" si="461"/>
        <v>Kas</v>
      </c>
      <c r="S733" s="34" t="str">
        <f t="shared" si="462"/>
        <v>Akun Piutang</v>
      </c>
      <c r="T733" s="34">
        <f t="shared" si="463"/>
        <v>0</v>
      </c>
      <c r="U733" s="34" t="str">
        <f>IF(AND(L733=1,bp_kode=T733,T733&lt;&gt;""),COUNTIF($T$8:T733,T733),"")</f>
        <v/>
      </c>
      <c r="V733" s="34" t="str">
        <f t="shared" si="464"/>
        <v/>
      </c>
      <c r="W733" s="34" t="str">
        <f t="shared" si="465"/>
        <v/>
      </c>
      <c r="X733" s="34" t="str">
        <f>IF(B733="","",COUNTIF($C$8:C733,C733)&amp;C733)</f>
        <v>0</v>
      </c>
    </row>
    <row r="734" spans="2:24" ht="23.1" customHeight="1">
      <c r="B734" s="31">
        <v>44834</v>
      </c>
      <c r="C734" s="9"/>
      <c r="D734" s="9" t="s">
        <v>573</v>
      </c>
      <c r="E734" s="7"/>
      <c r="F734" s="7"/>
      <c r="G734" s="7"/>
      <c r="H734" s="7" t="s">
        <v>554</v>
      </c>
      <c r="I734" s="7" t="s">
        <v>559</v>
      </c>
      <c r="J734" s="39">
        <v>286416000</v>
      </c>
      <c r="L734" s="16">
        <f t="shared" si="456"/>
        <v>1</v>
      </c>
      <c r="M734" s="16" t="str">
        <f t="shared" si="457"/>
        <v>September</v>
      </c>
      <c r="N734" s="16" t="str">
        <f t="shared" si="458"/>
        <v/>
      </c>
      <c r="O734" s="16" t="str">
        <f>IF(N734="","",COUNTIF($N$8:N734,N734))</f>
        <v/>
      </c>
      <c r="P734" s="34" t="str">
        <f t="shared" si="459"/>
        <v>InAkun Piutang</v>
      </c>
      <c r="Q734" s="34" t="str">
        <f t="shared" si="460"/>
        <v>inSeptemberAkun Piutang</v>
      </c>
      <c r="R734" s="34" t="str">
        <f t="shared" si="461"/>
        <v>Kas</v>
      </c>
      <c r="S734" s="34" t="str">
        <f t="shared" si="462"/>
        <v>Akun Piutang</v>
      </c>
      <c r="T734" s="34">
        <f t="shared" si="463"/>
        <v>0</v>
      </c>
      <c r="U734" s="34" t="str">
        <f>IF(AND(L734=1,bp_kode=T734,T734&lt;&gt;""),COUNTIF($T$8:T734,T734),"")</f>
        <v/>
      </c>
      <c r="V734" s="34" t="str">
        <f t="shared" si="464"/>
        <v/>
      </c>
      <c r="W734" s="34" t="str">
        <f t="shared" si="465"/>
        <v/>
      </c>
      <c r="X734" s="34" t="str">
        <f>IF(B734="","",COUNTIF($C$8:C734,C734)&amp;C734)</f>
        <v>0</v>
      </c>
    </row>
    <row r="735" spans="2:24" ht="23.1" customHeight="1">
      <c r="B735" s="31">
        <v>44834</v>
      </c>
      <c r="C735" s="9"/>
      <c r="D735" s="9" t="s">
        <v>728</v>
      </c>
      <c r="E735" s="7"/>
      <c r="F735" s="7"/>
      <c r="G735" s="7"/>
      <c r="H735" s="7" t="s">
        <v>554</v>
      </c>
      <c r="I735" s="7" t="s">
        <v>561</v>
      </c>
      <c r="J735" s="39">
        <v>16476000</v>
      </c>
      <c r="L735" s="16">
        <f t="shared" si="456"/>
        <v>1</v>
      </c>
      <c r="M735" s="16" t="str">
        <f t="shared" si="457"/>
        <v>September</v>
      </c>
      <c r="N735" s="16" t="str">
        <f t="shared" si="458"/>
        <v/>
      </c>
      <c r="O735" s="16" t="str">
        <f>IF(N735="","",COUNTIF($N$8:N735,N735))</f>
        <v/>
      </c>
      <c r="P735" s="34" t="str">
        <f t="shared" si="459"/>
        <v>InAkun Piutang</v>
      </c>
      <c r="Q735" s="34" t="str">
        <f t="shared" si="460"/>
        <v>inSeptemberAkun Piutang</v>
      </c>
      <c r="R735" s="34" t="str">
        <f t="shared" si="461"/>
        <v>Kas</v>
      </c>
      <c r="S735" s="34" t="str">
        <f t="shared" si="462"/>
        <v>Akun Piutang</v>
      </c>
      <c r="T735" s="34">
        <f t="shared" si="463"/>
        <v>0</v>
      </c>
      <c r="U735" s="34" t="str">
        <f>IF(AND(L735=1,bp_kode=T735,T735&lt;&gt;""),COUNTIF($T$8:T735,T735),"")</f>
        <v/>
      </c>
      <c r="V735" s="34" t="str">
        <f t="shared" si="464"/>
        <v/>
      </c>
      <c r="W735" s="34" t="str">
        <f t="shared" si="465"/>
        <v/>
      </c>
      <c r="X735" s="34" t="str">
        <f>IF(B735="","",COUNTIF($C$8:C735,C735)&amp;C735)</f>
        <v>0</v>
      </c>
    </row>
    <row r="736" spans="2:24" ht="23.1" customHeight="1">
      <c r="B736" s="31">
        <v>44834</v>
      </c>
      <c r="C736" s="9"/>
      <c r="D736" s="9" t="s">
        <v>729</v>
      </c>
      <c r="E736" s="7"/>
      <c r="F736" s="7"/>
      <c r="G736" s="7"/>
      <c r="H736" s="7" t="s">
        <v>592</v>
      </c>
      <c r="I736" s="7" t="s">
        <v>569</v>
      </c>
      <c r="J736" s="39">
        <v>17243</v>
      </c>
      <c r="L736" s="16">
        <f t="shared" si="456"/>
        <v>1</v>
      </c>
      <c r="M736" s="16" t="str">
        <f t="shared" si="457"/>
        <v>September</v>
      </c>
      <c r="N736" s="16" t="str">
        <f t="shared" si="458"/>
        <v/>
      </c>
      <c r="O736" s="16" t="str">
        <f>IF(N736="","",COUNTIF($N$8:N736,N736))</f>
        <v/>
      </c>
      <c r="P736" s="34" t="str">
        <f t="shared" si="459"/>
        <v>InPendapatan Lainnya</v>
      </c>
      <c r="Q736" s="34" t="str">
        <f t="shared" si="460"/>
        <v>inSeptemberPendapatan Lainnya</v>
      </c>
      <c r="R736" s="34" t="str">
        <f t="shared" si="461"/>
        <v>Bank</v>
      </c>
      <c r="S736" s="34" t="str">
        <f t="shared" si="462"/>
        <v>Pendapatan Lainnya</v>
      </c>
      <c r="T736" s="34" t="str">
        <f t="shared" si="463"/>
        <v/>
      </c>
      <c r="U736" s="34" t="str">
        <f>IF(AND(L736=1,bp_kode=T736,T736&lt;&gt;""),COUNTIF($T$8:T736,T736),"")</f>
        <v/>
      </c>
      <c r="V736" s="34" t="str">
        <f t="shared" si="464"/>
        <v>kr</v>
      </c>
      <c r="W736" s="34" t="str">
        <f t="shared" si="465"/>
        <v>kr</v>
      </c>
      <c r="X736" s="34" t="str">
        <f>IF(B736="","",COUNTIF($C$8:C736,C736)&amp;C736)</f>
        <v>0</v>
      </c>
    </row>
    <row r="737" spans="2:24" ht="23.1" customHeight="1">
      <c r="B737" s="31">
        <v>44834</v>
      </c>
      <c r="C737" s="9"/>
      <c r="D737" s="9" t="s">
        <v>570</v>
      </c>
      <c r="E737" s="7"/>
      <c r="F737" s="7"/>
      <c r="G737" s="7"/>
      <c r="H737" s="7" t="s">
        <v>571</v>
      </c>
      <c r="I737" s="7" t="s">
        <v>592</v>
      </c>
      <c r="J737" s="39">
        <v>3449</v>
      </c>
      <c r="L737" s="16">
        <f t="shared" si="456"/>
        <v>1</v>
      </c>
      <c r="M737" s="16" t="str">
        <f t="shared" si="457"/>
        <v>September</v>
      </c>
      <c r="N737" s="16" t="str">
        <f t="shared" si="458"/>
        <v/>
      </c>
      <c r="O737" s="16" t="str">
        <f>IF(N737="","",COUNTIF($N$8:N737,N737))</f>
        <v/>
      </c>
      <c r="P737" s="34" t="str">
        <f t="shared" si="459"/>
        <v>outBeban Lainnya</v>
      </c>
      <c r="Q737" s="34" t="str">
        <f t="shared" si="460"/>
        <v>outSeptemberBeban Lainnya</v>
      </c>
      <c r="R737" s="34" t="str">
        <f t="shared" si="461"/>
        <v>Beban Lainnya</v>
      </c>
      <c r="S737" s="34" t="str">
        <f t="shared" si="462"/>
        <v>Bank</v>
      </c>
      <c r="T737" s="34" t="str">
        <f t="shared" si="463"/>
        <v/>
      </c>
      <c r="U737" s="34" t="str">
        <f>IF(AND(L737=1,bp_kode=T737,T737&lt;&gt;""),COUNTIF($T$8:T737,T737),"")</f>
        <v/>
      </c>
      <c r="V737" s="34" t="str">
        <f t="shared" si="464"/>
        <v>db</v>
      </c>
      <c r="W737" s="34" t="str">
        <f t="shared" si="465"/>
        <v>db</v>
      </c>
      <c r="X737" s="34" t="str">
        <f>IF(B737="","",COUNTIF($C$8:C737,C737)&amp;C737)</f>
        <v>0</v>
      </c>
    </row>
    <row r="738" spans="2:24" ht="23.1" customHeight="1">
      <c r="B738" s="31">
        <v>44834</v>
      </c>
      <c r="C738" s="9"/>
      <c r="D738" s="9" t="s">
        <v>572</v>
      </c>
      <c r="E738" s="7"/>
      <c r="F738" s="7"/>
      <c r="G738" s="7"/>
      <c r="H738" s="7" t="s">
        <v>640</v>
      </c>
      <c r="I738" s="7" t="s">
        <v>592</v>
      </c>
      <c r="J738" s="39">
        <v>25000</v>
      </c>
      <c r="L738" s="16">
        <f t="shared" si="456"/>
        <v>1</v>
      </c>
      <c r="M738" s="16" t="str">
        <f t="shared" si="457"/>
        <v>September</v>
      </c>
      <c r="N738" s="16" t="str">
        <f t="shared" si="458"/>
        <v/>
      </c>
      <c r="O738" s="16" t="str">
        <f>IF(N738="","",COUNTIF($N$8:N738,N738))</f>
        <v/>
      </c>
      <c r="P738" s="34" t="str">
        <f t="shared" si="459"/>
        <v>outBeban Lainnya</v>
      </c>
      <c r="Q738" s="34" t="str">
        <f t="shared" si="460"/>
        <v>outSeptemberBeban Lainnya</v>
      </c>
      <c r="R738" s="34" t="str">
        <f t="shared" si="461"/>
        <v>Beban Lainnya</v>
      </c>
      <c r="S738" s="34" t="str">
        <f t="shared" si="462"/>
        <v>Bank</v>
      </c>
      <c r="T738" s="34" t="str">
        <f t="shared" si="463"/>
        <v/>
      </c>
      <c r="U738" s="34" t="str">
        <f>IF(AND(L738=1,bp_kode=T738,T738&lt;&gt;""),COUNTIF($T$8:T738,T738),"")</f>
        <v/>
      </c>
      <c r="V738" s="34" t="str">
        <f t="shared" si="464"/>
        <v>db</v>
      </c>
      <c r="W738" s="34" t="str">
        <f t="shared" si="465"/>
        <v>db</v>
      </c>
      <c r="X738" s="34" t="str">
        <f>IF(B738="","",COUNTIF($C$8:C738,C738)&amp;C738)</f>
        <v>0</v>
      </c>
    </row>
    <row r="739" spans="2:24" ht="23.1" customHeight="1">
      <c r="B739" s="31">
        <v>44834</v>
      </c>
      <c r="C739" s="9"/>
      <c r="D739" s="9" t="s">
        <v>573</v>
      </c>
      <c r="E739" s="7"/>
      <c r="F739" s="7"/>
      <c r="G739" s="7"/>
      <c r="H739" s="7" t="s">
        <v>592</v>
      </c>
      <c r="I739" s="7" t="s">
        <v>559</v>
      </c>
      <c r="J739" s="39">
        <v>600000</v>
      </c>
      <c r="L739" s="16">
        <f t="shared" si="456"/>
        <v>1</v>
      </c>
      <c r="M739" s="16" t="str">
        <f t="shared" si="457"/>
        <v>September</v>
      </c>
      <c r="N739" s="16" t="str">
        <f t="shared" si="458"/>
        <v/>
      </c>
      <c r="O739" s="16" t="str">
        <f>IF(N739="","",COUNTIF($N$8:N739,N739))</f>
        <v/>
      </c>
      <c r="P739" s="34" t="str">
        <f t="shared" si="459"/>
        <v>InAkun Piutang</v>
      </c>
      <c r="Q739" s="34" t="str">
        <f t="shared" si="460"/>
        <v>inSeptemberAkun Piutang</v>
      </c>
      <c r="R739" s="34" t="str">
        <f t="shared" si="461"/>
        <v>Bank</v>
      </c>
      <c r="S739" s="34" t="str">
        <f t="shared" si="462"/>
        <v>Akun Piutang</v>
      </c>
      <c r="T739" s="34">
        <f t="shared" si="463"/>
        <v>0</v>
      </c>
      <c r="U739" s="34" t="str">
        <f>IF(AND(L739=1,bp_kode=T739,T739&lt;&gt;""),COUNTIF($T$8:T739,T739),"")</f>
        <v/>
      </c>
      <c r="V739" s="34" t="str">
        <f t="shared" si="464"/>
        <v/>
      </c>
      <c r="W739" s="34" t="str">
        <f t="shared" si="465"/>
        <v/>
      </c>
      <c r="X739" s="34" t="str">
        <f>IF(B739="","",COUNTIF($C$8:C739,C739)&amp;C739)</f>
        <v>0</v>
      </c>
    </row>
    <row r="740" spans="2:24" ht="23.1" customHeight="1">
      <c r="B740" s="31">
        <v>44834</v>
      </c>
      <c r="C740" s="9"/>
      <c r="D740" s="9" t="s">
        <v>729</v>
      </c>
      <c r="E740" s="7"/>
      <c r="F740" s="7"/>
      <c r="G740" s="7"/>
      <c r="H740" s="7" t="s">
        <v>593</v>
      </c>
      <c r="I740" s="7" t="s">
        <v>569</v>
      </c>
      <c r="J740" s="39">
        <v>8133</v>
      </c>
      <c r="L740" s="16">
        <f t="shared" ref="L740" si="485">IF(AND(B740&gt;=awal,B740&lt;=akhir,B740&lt;&gt;""),1,IF(AND(B740&lt;&gt;"",B740&lt;awal),2,""))</f>
        <v>1</v>
      </c>
      <c r="M740" s="16" t="str">
        <f t="shared" ref="M740" si="486">IF(B740="","",TEXT(B740,"mmmm"))</f>
        <v>September</v>
      </c>
      <c r="N740" s="16" t="str">
        <f t="shared" ref="N740" si="487">IF(AND(L740=1,H740=bb_akun),"Awe",IF(AND(L740=1,I740=bb_akun),"Awe",""))</f>
        <v/>
      </c>
      <c r="O740" s="16" t="str">
        <f>IF(N740="","",COUNTIF($N$8:N740,N740))</f>
        <v/>
      </c>
      <c r="P740" s="34" t="str">
        <f t="shared" ref="P740" si="488">IFERROR(IF(OR(INDEX(akun_type,MATCH(H740,akun_kb,0))="Kas",INDEX(akun_type,MATCH(H740,akun_kb,0))="Bank"),"In"&amp;INDEX(akun_type,MATCH(I740,akun_kb,0)),IF(OR(INDEX(akun_type,MATCH(I740,akun_kb,0))="Kas",INDEX(akun_type,MATCH(I740,akun_kb,0))="Bank"),"out"&amp;INDEX(akun_type,MATCH(H740,akun_kb,0)),"")),"")</f>
        <v>InPendapatan Lainnya</v>
      </c>
      <c r="Q740" s="34" t="str">
        <f t="shared" ref="Q740" si="489">IFERROR(IF(OR(INDEX(akun_type,MATCH(H740,akun_kb,0))="Kas",INDEX(akun_type,MATCH(H740,akun_kb,0))="Bank"),"in"&amp;TEXT(B740,"mmmm")&amp;INDEX(akun_type,MATCH(I740,akun_kb,0)),IF(OR(INDEX(akun_type,MATCH(I740,akun_kb,0))="Kas",INDEX(akun_type,MATCH(I740,akun_kb,0))="Bank"),"out"&amp;TEXT(B740,"mmmm")&amp;INDEX(akun_type,MATCH(H740,akun_kb,0)),"")),"")</f>
        <v>inSeptemberPendapatan Lainnya</v>
      </c>
      <c r="R740" s="34" t="str">
        <f t="shared" ref="R740" si="490">IFERROR(INDEX(akun_type,MATCH(H740,akun_kb,0)),"")</f>
        <v>Bank</v>
      </c>
      <c r="S740" s="34" t="str">
        <f t="shared" ref="S740" si="491">IFERROR(INDEX(akun_type,MATCH(I740,akun_kb,0)),"")</f>
        <v>Pendapatan Lainnya</v>
      </c>
      <c r="T740" s="34" t="str">
        <f t="shared" ref="T740" si="492">IF(AND(L740=1,OR(R740="Akun Piutang",R740="akun hutang",S740="akun piutang",S740="akun hutang")),E740,"")</f>
        <v/>
      </c>
      <c r="U740" s="34" t="str">
        <f>IF(AND(L740=1,bp_kode=T740,T740&lt;&gt;""),COUNTIF($T$8:T740,T740),"")</f>
        <v/>
      </c>
      <c r="V740" s="34" t="str">
        <f t="shared" ref="V740" si="493">IF(OR(R740="Pendapatan",R740="Pendapatan Lainnya",R740="Beban",R740="Harga Pokok Penjualan",R740="Beban Lainnya"),"db"&amp;F740,IF(OR(S740="Pendapatan",S740="Pendapatan Lainnya",S740="Beban",S740="Harga Pokok Penjualan",S740="Beban Lainnya"),"kr"&amp;F740,""))</f>
        <v>kr</v>
      </c>
      <c r="W740" s="34" t="str">
        <f t="shared" ref="W740" si="494">IF(OR(R740="Pendapatan",R740="Pendapatan Lainnya",R740="Beban",R740="Harga Pokok Penjualan",R740="Beban Lainnya"),"db"&amp;G740,IF(OR(S740="Pendapatan",S740="Pendapatan Lainnya",S740="Beban",S740="Harga Pokok Penjualan",S740="Beban Lainnya"),"kr"&amp;G740,""))</f>
        <v>kr</v>
      </c>
      <c r="X740" s="34" t="str">
        <f>IF(B740="","",COUNTIF($C$8:C740,C740)&amp;C740)</f>
        <v>0</v>
      </c>
    </row>
    <row r="741" spans="2:24" ht="23.1" customHeight="1">
      <c r="B741" s="31">
        <v>44834</v>
      </c>
      <c r="C741" s="9"/>
      <c r="D741" s="9" t="s">
        <v>572</v>
      </c>
      <c r="E741" s="7"/>
      <c r="F741" s="7"/>
      <c r="G741" s="7"/>
      <c r="H741" s="7" t="s">
        <v>640</v>
      </c>
      <c r="I741" s="7" t="s">
        <v>593</v>
      </c>
      <c r="J741" s="39">
        <v>36500</v>
      </c>
      <c r="L741" s="16">
        <f t="shared" si="456"/>
        <v>1</v>
      </c>
      <c r="M741" s="16" t="str">
        <f t="shared" si="457"/>
        <v>September</v>
      </c>
      <c r="N741" s="16" t="str">
        <f t="shared" si="458"/>
        <v/>
      </c>
      <c r="O741" s="16" t="str">
        <f>IF(N741="","",COUNTIF($N$8:N741,N741))</f>
        <v/>
      </c>
      <c r="P741" s="34" t="str">
        <f t="shared" si="459"/>
        <v>outBeban Lainnya</v>
      </c>
      <c r="Q741" s="34" t="str">
        <f t="shared" si="460"/>
        <v>outSeptemberBeban Lainnya</v>
      </c>
      <c r="R741" s="34" t="str">
        <f t="shared" si="461"/>
        <v>Beban Lainnya</v>
      </c>
      <c r="S741" s="34" t="str">
        <f t="shared" si="462"/>
        <v>Bank</v>
      </c>
      <c r="T741" s="34" t="str">
        <f t="shared" si="463"/>
        <v/>
      </c>
      <c r="U741" s="34" t="str">
        <f>IF(AND(L741=1,bp_kode=T741,T741&lt;&gt;""),COUNTIF($T$8:T741,T741),"")</f>
        <v/>
      </c>
      <c r="V741" s="34" t="str">
        <f t="shared" si="464"/>
        <v>db</v>
      </c>
      <c r="W741" s="34" t="str">
        <f t="shared" si="465"/>
        <v>db</v>
      </c>
      <c r="X741" s="34" t="str">
        <f>IF(B741="","",COUNTIF($C$8:C741,C741)&amp;C741)</f>
        <v>0</v>
      </c>
    </row>
    <row r="742" spans="2:24" ht="23.1" customHeight="1">
      <c r="B742" s="31">
        <v>44834</v>
      </c>
      <c r="C742" s="9"/>
      <c r="D742" s="9" t="s">
        <v>570</v>
      </c>
      <c r="E742" s="7"/>
      <c r="F742" s="7"/>
      <c r="G742" s="7"/>
      <c r="H742" s="7" t="s">
        <v>571</v>
      </c>
      <c r="I742" s="7" t="s">
        <v>593</v>
      </c>
      <c r="J742" s="39">
        <v>1601</v>
      </c>
      <c r="L742" s="16">
        <f t="shared" ref="L742" si="495">IF(AND(B742&gt;=awal,B742&lt;=akhir,B742&lt;&gt;""),1,IF(AND(B742&lt;&gt;"",B742&lt;awal),2,""))</f>
        <v>1</v>
      </c>
      <c r="M742" s="16" t="str">
        <f t="shared" ref="M742" si="496">IF(B742="","",TEXT(B742,"mmmm"))</f>
        <v>September</v>
      </c>
      <c r="N742" s="16" t="str">
        <f t="shared" ref="N742" si="497">IF(AND(L742=1,H742=bb_akun),"Awe",IF(AND(L742=1,I742=bb_akun),"Awe",""))</f>
        <v/>
      </c>
      <c r="O742" s="16" t="str">
        <f>IF(N742="","",COUNTIF($N$8:N742,N742))</f>
        <v/>
      </c>
      <c r="P742" s="34" t="str">
        <f t="shared" ref="P742" si="498">IFERROR(IF(OR(INDEX(akun_type,MATCH(H742,akun_kb,0))="Kas",INDEX(akun_type,MATCH(H742,akun_kb,0))="Bank"),"In"&amp;INDEX(akun_type,MATCH(I742,akun_kb,0)),IF(OR(INDEX(akun_type,MATCH(I742,akun_kb,0))="Kas",INDEX(akun_type,MATCH(I742,akun_kb,0))="Bank"),"out"&amp;INDEX(akun_type,MATCH(H742,akun_kb,0)),"")),"")</f>
        <v>outBeban Lainnya</v>
      </c>
      <c r="Q742" s="34" t="str">
        <f t="shared" ref="Q742" si="499">IFERROR(IF(OR(INDEX(akun_type,MATCH(H742,akun_kb,0))="Kas",INDEX(akun_type,MATCH(H742,akun_kb,0))="Bank"),"in"&amp;TEXT(B742,"mmmm")&amp;INDEX(akun_type,MATCH(I742,akun_kb,0)),IF(OR(INDEX(akun_type,MATCH(I742,akun_kb,0))="Kas",INDEX(akun_type,MATCH(I742,akun_kb,0))="Bank"),"out"&amp;TEXT(B742,"mmmm")&amp;INDEX(akun_type,MATCH(H742,akun_kb,0)),"")),"")</f>
        <v>outSeptemberBeban Lainnya</v>
      </c>
      <c r="R742" s="34" t="str">
        <f t="shared" ref="R742" si="500">IFERROR(INDEX(akun_type,MATCH(H742,akun_kb,0)),"")</f>
        <v>Beban Lainnya</v>
      </c>
      <c r="S742" s="34" t="str">
        <f t="shared" ref="S742" si="501">IFERROR(INDEX(akun_type,MATCH(I742,akun_kb,0)),"")</f>
        <v>Bank</v>
      </c>
      <c r="T742" s="34" t="str">
        <f t="shared" ref="T742" si="502">IF(AND(L742=1,OR(R742="Akun Piutang",R742="akun hutang",S742="akun piutang",S742="akun hutang")),E742,"")</f>
        <v/>
      </c>
      <c r="U742" s="34" t="str">
        <f>IF(AND(L742=1,bp_kode=T742,T742&lt;&gt;""),COUNTIF($T$8:T742,T742),"")</f>
        <v/>
      </c>
      <c r="V742" s="34" t="str">
        <f t="shared" ref="V742" si="503">IF(OR(R742="Pendapatan",R742="Pendapatan Lainnya",R742="Beban",R742="Harga Pokok Penjualan",R742="Beban Lainnya"),"db"&amp;F742,IF(OR(S742="Pendapatan",S742="Pendapatan Lainnya",S742="Beban",S742="Harga Pokok Penjualan",S742="Beban Lainnya"),"kr"&amp;F742,""))</f>
        <v>db</v>
      </c>
      <c r="W742" s="34" t="str">
        <f t="shared" ref="W742" si="504">IF(OR(R742="Pendapatan",R742="Pendapatan Lainnya",R742="Beban",R742="Harga Pokok Penjualan",R742="Beban Lainnya"),"db"&amp;G742,IF(OR(S742="Pendapatan",S742="Pendapatan Lainnya",S742="Beban",S742="Harga Pokok Penjualan",S742="Beban Lainnya"),"kr"&amp;G742,""))</f>
        <v>db</v>
      </c>
      <c r="X742" s="34" t="str">
        <f>IF(B742="","",COUNTIF($C$8:C742,C742)&amp;C742)</f>
        <v>0</v>
      </c>
    </row>
    <row r="743" spans="2:24" ht="23.1" customHeight="1">
      <c r="B743" s="31">
        <v>44834</v>
      </c>
      <c r="C743" s="9"/>
      <c r="D743" s="9" t="s">
        <v>595</v>
      </c>
      <c r="E743" s="7"/>
      <c r="F743" s="7"/>
      <c r="G743" s="7"/>
      <c r="H743" s="7" t="s">
        <v>594</v>
      </c>
      <c r="I743" s="7" t="s">
        <v>582</v>
      </c>
      <c r="J743" s="39">
        <v>27311034</v>
      </c>
      <c r="L743" s="16">
        <f t="shared" si="456"/>
        <v>1</v>
      </c>
      <c r="M743" s="16" t="str">
        <f t="shared" si="457"/>
        <v>September</v>
      </c>
      <c r="N743" s="16" t="str">
        <f t="shared" si="458"/>
        <v/>
      </c>
      <c r="O743" s="16" t="str">
        <f>IF(N743="","",COUNTIF($N$8:N743,N743))</f>
        <v/>
      </c>
      <c r="P743" s="34" t="str">
        <f t="shared" si="459"/>
        <v>outAktiva Lancar Lainnya</v>
      </c>
      <c r="Q743" s="34" t="str">
        <f t="shared" si="460"/>
        <v>outSeptemberAktiva Lancar Lainnya</v>
      </c>
      <c r="R743" s="34" t="str">
        <f t="shared" si="461"/>
        <v>Aktiva Lancar Lainnya</v>
      </c>
      <c r="S743" s="34" t="str">
        <f t="shared" si="462"/>
        <v>Kas</v>
      </c>
      <c r="T743" s="34" t="str">
        <f t="shared" si="463"/>
        <v/>
      </c>
      <c r="U743" s="34" t="str">
        <f>IF(AND(L743=1,bp_kode=T743,T743&lt;&gt;""),COUNTIF($T$8:T743,T743),"")</f>
        <v/>
      </c>
      <c r="V743" s="34" t="str">
        <f t="shared" si="464"/>
        <v/>
      </c>
      <c r="W743" s="34" t="str">
        <f t="shared" si="465"/>
        <v/>
      </c>
      <c r="X743" s="34" t="str">
        <f>IF(B743="","",COUNTIF($C$8:C743,C743)&amp;C743)</f>
        <v>0</v>
      </c>
    </row>
    <row r="744" spans="2:24" ht="23.1" customHeight="1">
      <c r="B744" s="31">
        <v>44834</v>
      </c>
      <c r="C744" s="9"/>
      <c r="D744" s="9" t="s">
        <v>772</v>
      </c>
      <c r="E744" s="7"/>
      <c r="F744" s="7"/>
      <c r="G744" s="7"/>
      <c r="H744" s="7" t="s">
        <v>712</v>
      </c>
      <c r="I744" s="7" t="s">
        <v>582</v>
      </c>
      <c r="J744" s="39">
        <v>18998000</v>
      </c>
      <c r="L744" s="16">
        <f t="shared" ref="L744" si="505">IF(AND(B744&gt;=awal,B744&lt;=akhir,B744&lt;&gt;""),1,IF(AND(B744&lt;&gt;"",B744&lt;awal),2,""))</f>
        <v>1</v>
      </c>
      <c r="M744" s="16" t="str">
        <f t="shared" ref="M744" si="506">IF(B744="","",TEXT(B744,"mmmm"))</f>
        <v>September</v>
      </c>
      <c r="N744" s="16" t="str">
        <f t="shared" ref="N744" si="507">IF(AND(L744=1,H744=bb_akun),"Awe",IF(AND(L744=1,I744=bb_akun),"Awe",""))</f>
        <v/>
      </c>
      <c r="O744" s="16" t="str">
        <f>IF(N744="","",COUNTIF($N$8:N744,N744))</f>
        <v/>
      </c>
      <c r="P744" s="34" t="str">
        <f t="shared" ref="P744" si="508">IFERROR(IF(OR(INDEX(akun_type,MATCH(H744,akun_kb,0))="Kas",INDEX(akun_type,MATCH(H744,akun_kb,0))="Bank"),"In"&amp;INDEX(akun_type,MATCH(I744,akun_kb,0)),IF(OR(INDEX(akun_type,MATCH(I744,akun_kb,0))="Kas",INDEX(akun_type,MATCH(I744,akun_kb,0))="Bank"),"out"&amp;INDEX(akun_type,MATCH(H744,akun_kb,0)),"")),"")</f>
        <v>outAktiva Tetap</v>
      </c>
      <c r="Q744" s="34" t="str">
        <f t="shared" ref="Q744" si="509">IFERROR(IF(OR(INDEX(akun_type,MATCH(H744,akun_kb,0))="Kas",INDEX(akun_type,MATCH(H744,akun_kb,0))="Bank"),"in"&amp;TEXT(B744,"mmmm")&amp;INDEX(akun_type,MATCH(I744,akun_kb,0)),IF(OR(INDEX(akun_type,MATCH(I744,akun_kb,0))="Kas",INDEX(akun_type,MATCH(I744,akun_kb,0))="Bank"),"out"&amp;TEXT(B744,"mmmm")&amp;INDEX(akun_type,MATCH(H744,akun_kb,0)),"")),"")</f>
        <v>outSeptemberAktiva Tetap</v>
      </c>
      <c r="R744" s="34" t="str">
        <f t="shared" ref="R744" si="510">IFERROR(INDEX(akun_type,MATCH(H744,akun_kb,0)),"")</f>
        <v>Aktiva Tetap</v>
      </c>
      <c r="S744" s="34" t="str">
        <f t="shared" ref="S744" si="511">IFERROR(INDEX(akun_type,MATCH(I744,akun_kb,0)),"")</f>
        <v>Kas</v>
      </c>
      <c r="T744" s="34" t="str">
        <f t="shared" ref="T744" si="512">IF(AND(L744=1,OR(R744="Akun Piutang",R744="akun hutang",S744="akun piutang",S744="akun hutang")),E744,"")</f>
        <v/>
      </c>
      <c r="U744" s="34" t="str">
        <f>IF(AND(L744=1,bp_kode=T744,T744&lt;&gt;""),COUNTIF($T$8:T744,T744),"")</f>
        <v/>
      </c>
      <c r="V744" s="34" t="str">
        <f t="shared" ref="V744" si="513">IF(OR(R744="Pendapatan",R744="Pendapatan Lainnya",R744="Beban",R744="Harga Pokok Penjualan",R744="Beban Lainnya"),"db"&amp;F744,IF(OR(S744="Pendapatan",S744="Pendapatan Lainnya",S744="Beban",S744="Harga Pokok Penjualan",S744="Beban Lainnya"),"kr"&amp;F744,""))</f>
        <v/>
      </c>
      <c r="W744" s="34" t="str">
        <f t="shared" ref="W744" si="514">IF(OR(R744="Pendapatan",R744="Pendapatan Lainnya",R744="Beban",R744="Harga Pokok Penjualan",R744="Beban Lainnya"),"db"&amp;G744,IF(OR(S744="Pendapatan",S744="Pendapatan Lainnya",S744="Beban",S744="Harga Pokok Penjualan",S744="Beban Lainnya"),"kr"&amp;G744,""))</f>
        <v/>
      </c>
      <c r="X744" s="34" t="str">
        <f>IF(B744="","",COUNTIF($C$8:C744,C744)&amp;C744)</f>
        <v>0</v>
      </c>
    </row>
    <row r="745" spans="2:24" ht="23.1" customHeight="1">
      <c r="B745" s="31">
        <v>44834</v>
      </c>
      <c r="C745" s="9"/>
      <c r="D745" s="9" t="s">
        <v>598</v>
      </c>
      <c r="E745" s="7"/>
      <c r="F745" s="7"/>
      <c r="G745" s="7"/>
      <c r="H745" s="7" t="s">
        <v>599</v>
      </c>
      <c r="I745" s="7" t="s">
        <v>582</v>
      </c>
      <c r="J745" s="39">
        <v>5050000</v>
      </c>
      <c r="L745" s="16">
        <f t="shared" si="456"/>
        <v>1</v>
      </c>
      <c r="M745" s="16" t="str">
        <f t="shared" si="457"/>
        <v>September</v>
      </c>
      <c r="N745" s="16" t="str">
        <f t="shared" si="458"/>
        <v/>
      </c>
      <c r="O745" s="16" t="str">
        <f>IF(N745="","",COUNTIF($N$8:N745,N745))</f>
        <v/>
      </c>
      <c r="P745" s="34" t="str">
        <f t="shared" si="459"/>
        <v>outAkun Hutang</v>
      </c>
      <c r="Q745" s="34" t="str">
        <f t="shared" si="460"/>
        <v>outSeptemberAkun Hutang</v>
      </c>
      <c r="R745" s="34" t="str">
        <f t="shared" si="461"/>
        <v>Akun Hutang</v>
      </c>
      <c r="S745" s="34" t="str">
        <f t="shared" si="462"/>
        <v>Kas</v>
      </c>
      <c r="T745" s="34">
        <f t="shared" si="463"/>
        <v>0</v>
      </c>
      <c r="U745" s="34" t="str">
        <f>IF(AND(L745=1,bp_kode=T745,T745&lt;&gt;""),COUNTIF($T$8:T745,T745),"")</f>
        <v/>
      </c>
      <c r="V745" s="34" t="str">
        <f t="shared" si="464"/>
        <v/>
      </c>
      <c r="W745" s="34" t="str">
        <f t="shared" si="465"/>
        <v/>
      </c>
      <c r="X745" s="34" t="str">
        <f>IF(B745="","",COUNTIF($C$8:C745,C745)&amp;C745)</f>
        <v>0</v>
      </c>
    </row>
    <row r="746" spans="2:24" ht="23.1" customHeight="1">
      <c r="B746" s="31">
        <v>44834</v>
      </c>
      <c r="C746" s="9"/>
      <c r="D746" s="9" t="s">
        <v>773</v>
      </c>
      <c r="E746" s="7"/>
      <c r="F746" s="7"/>
      <c r="G746" s="7"/>
      <c r="H746" s="7" t="s">
        <v>700</v>
      </c>
      <c r="I746" s="7" t="s">
        <v>582</v>
      </c>
      <c r="J746" s="39">
        <v>100000000</v>
      </c>
      <c r="L746" s="16">
        <f t="shared" si="456"/>
        <v>1</v>
      </c>
      <c r="M746" s="16" t="str">
        <f t="shared" si="457"/>
        <v>September</v>
      </c>
      <c r="N746" s="16" t="str">
        <f t="shared" si="458"/>
        <v/>
      </c>
      <c r="O746" s="16" t="str">
        <f>IF(N746="","",COUNTIF($N$8:N746,N746))</f>
        <v/>
      </c>
      <c r="P746" s="34" t="str">
        <f t="shared" si="459"/>
        <v>outAkun Hutang</v>
      </c>
      <c r="Q746" s="34" t="str">
        <f t="shared" si="460"/>
        <v>outSeptemberAkun Hutang</v>
      </c>
      <c r="R746" s="34" t="str">
        <f t="shared" si="461"/>
        <v>Akun Hutang</v>
      </c>
      <c r="S746" s="34" t="str">
        <f t="shared" si="462"/>
        <v>Kas</v>
      </c>
      <c r="T746" s="34">
        <f t="shared" si="463"/>
        <v>0</v>
      </c>
      <c r="U746" s="34" t="str">
        <f>IF(AND(L746=1,bp_kode=T746,T746&lt;&gt;""),COUNTIF($T$8:T746,T746),"")</f>
        <v/>
      </c>
      <c r="V746" s="34" t="str">
        <f t="shared" si="464"/>
        <v/>
      </c>
      <c r="W746" s="34" t="str">
        <f t="shared" si="465"/>
        <v/>
      </c>
      <c r="X746" s="34" t="str">
        <f>IF(B746="","",COUNTIF($C$8:C746,C746)&amp;C746)</f>
        <v>0</v>
      </c>
    </row>
    <row r="747" spans="2:24" ht="23.1" customHeight="1">
      <c r="B747" s="31">
        <v>44834</v>
      </c>
      <c r="C747" s="9"/>
      <c r="D747" s="9" t="s">
        <v>775</v>
      </c>
      <c r="E747" s="7"/>
      <c r="F747" s="7"/>
      <c r="G747" s="7"/>
      <c r="H747" s="7" t="s">
        <v>774</v>
      </c>
      <c r="I747" s="7" t="s">
        <v>582</v>
      </c>
      <c r="J747" s="39">
        <v>180000</v>
      </c>
      <c r="L747" s="16">
        <f t="shared" si="456"/>
        <v>1</v>
      </c>
      <c r="M747" s="16" t="str">
        <f t="shared" si="457"/>
        <v>September</v>
      </c>
      <c r="N747" s="16" t="str">
        <f t="shared" si="458"/>
        <v/>
      </c>
      <c r="O747" s="16" t="str">
        <f>IF(N747="","",COUNTIF($N$8:N747,N747))</f>
        <v/>
      </c>
      <c r="P747" s="34" t="str">
        <f t="shared" si="459"/>
        <v>outHarga Pokok Penjualan</v>
      </c>
      <c r="Q747" s="34" t="str">
        <f t="shared" si="460"/>
        <v>outSeptemberHarga Pokok Penjualan</v>
      </c>
      <c r="R747" s="34" t="str">
        <f t="shared" si="461"/>
        <v>Harga Pokok Penjualan</v>
      </c>
      <c r="S747" s="34" t="str">
        <f t="shared" si="462"/>
        <v>Kas</v>
      </c>
      <c r="T747" s="34" t="str">
        <f t="shared" si="463"/>
        <v/>
      </c>
      <c r="U747" s="34" t="str">
        <f>IF(AND(L747=1,bp_kode=T747,T747&lt;&gt;""),COUNTIF($T$8:T747,T747),"")</f>
        <v/>
      </c>
      <c r="V747" s="34" t="str">
        <f t="shared" si="464"/>
        <v>db</v>
      </c>
      <c r="W747" s="34" t="str">
        <f t="shared" si="465"/>
        <v>db</v>
      </c>
      <c r="X747" s="34" t="str">
        <f>IF(B747="","",COUNTIF($C$8:C747,C747)&amp;C747)</f>
        <v>0</v>
      </c>
    </row>
    <row r="748" spans="2:24" ht="23.1" customHeight="1">
      <c r="B748" s="31">
        <v>44834</v>
      </c>
      <c r="C748" s="9"/>
      <c r="D748" s="9" t="s">
        <v>605</v>
      </c>
      <c r="E748" s="7"/>
      <c r="F748" s="7"/>
      <c r="G748" s="7"/>
      <c r="H748" s="7" t="s">
        <v>603</v>
      </c>
      <c r="I748" s="7" t="s">
        <v>582</v>
      </c>
      <c r="J748" s="39">
        <v>8001250</v>
      </c>
      <c r="L748" s="16">
        <f t="shared" si="456"/>
        <v>1</v>
      </c>
      <c r="M748" s="16" t="str">
        <f t="shared" si="457"/>
        <v>September</v>
      </c>
      <c r="N748" s="16" t="str">
        <f t="shared" si="458"/>
        <v/>
      </c>
      <c r="O748" s="16" t="str">
        <f>IF(N748="","",COUNTIF($N$8:N748,N748))</f>
        <v/>
      </c>
      <c r="P748" s="34" t="str">
        <f t="shared" si="459"/>
        <v>outHarga Pokok Penjualan</v>
      </c>
      <c r="Q748" s="34" t="str">
        <f t="shared" si="460"/>
        <v>outSeptemberHarga Pokok Penjualan</v>
      </c>
      <c r="R748" s="34" t="str">
        <f t="shared" si="461"/>
        <v>Harga Pokok Penjualan</v>
      </c>
      <c r="S748" s="34" t="str">
        <f t="shared" si="462"/>
        <v>Kas</v>
      </c>
      <c r="T748" s="34" t="str">
        <f t="shared" si="463"/>
        <v/>
      </c>
      <c r="U748" s="34" t="str">
        <f>IF(AND(L748=1,bp_kode=T748,T748&lt;&gt;""),COUNTIF($T$8:T748,T748),"")</f>
        <v/>
      </c>
      <c r="V748" s="34" t="str">
        <f t="shared" si="464"/>
        <v>db</v>
      </c>
      <c r="W748" s="34" t="str">
        <f t="shared" si="465"/>
        <v>db</v>
      </c>
      <c r="X748" s="34" t="str">
        <f>IF(B748="","",COUNTIF($C$8:C748,C748)&amp;C748)</f>
        <v>0</v>
      </c>
    </row>
    <row r="749" spans="2:24" ht="23.1" customHeight="1">
      <c r="B749" s="31">
        <v>44834</v>
      </c>
      <c r="C749" s="9"/>
      <c r="D749" s="9" t="s">
        <v>609</v>
      </c>
      <c r="E749" s="7"/>
      <c r="F749" s="7"/>
      <c r="G749" s="7"/>
      <c r="H749" s="7" t="s">
        <v>606</v>
      </c>
      <c r="I749" s="7" t="s">
        <v>582</v>
      </c>
      <c r="J749" s="39">
        <v>4000000</v>
      </c>
      <c r="L749" s="16">
        <f t="shared" si="456"/>
        <v>1</v>
      </c>
      <c r="M749" s="16" t="str">
        <f t="shared" si="457"/>
        <v>September</v>
      </c>
      <c r="N749" s="16" t="str">
        <f t="shared" si="458"/>
        <v/>
      </c>
      <c r="O749" s="16" t="str">
        <f>IF(N749="","",COUNTIF($N$8:N749,N749))</f>
        <v/>
      </c>
      <c r="P749" s="34" t="str">
        <f t="shared" si="459"/>
        <v>outHarga Pokok Penjualan</v>
      </c>
      <c r="Q749" s="34" t="str">
        <f t="shared" si="460"/>
        <v>outSeptemberHarga Pokok Penjualan</v>
      </c>
      <c r="R749" s="34" t="str">
        <f t="shared" si="461"/>
        <v>Harga Pokok Penjualan</v>
      </c>
      <c r="S749" s="34" t="str">
        <f t="shared" si="462"/>
        <v>Kas</v>
      </c>
      <c r="T749" s="34" t="str">
        <f t="shared" si="463"/>
        <v/>
      </c>
      <c r="U749" s="34" t="str">
        <f>IF(AND(L749=1,bp_kode=T749,T749&lt;&gt;""),COUNTIF($T$8:T749,T749),"")</f>
        <v/>
      </c>
      <c r="V749" s="34" t="str">
        <f t="shared" si="464"/>
        <v>db</v>
      </c>
      <c r="W749" s="34" t="str">
        <f t="shared" si="465"/>
        <v>db</v>
      </c>
      <c r="X749" s="34" t="str">
        <f>IF(B749="","",COUNTIF($C$8:C749,C749)&amp;C749)</f>
        <v>0</v>
      </c>
    </row>
    <row r="750" spans="2:24" ht="23.1" customHeight="1">
      <c r="B750" s="31">
        <v>44834</v>
      </c>
      <c r="C750" s="9"/>
      <c r="D750" s="9" t="s">
        <v>610</v>
      </c>
      <c r="E750" s="7"/>
      <c r="F750" s="7"/>
      <c r="G750" s="7"/>
      <c r="H750" s="7" t="s">
        <v>607</v>
      </c>
      <c r="I750" s="7" t="s">
        <v>582</v>
      </c>
      <c r="J750" s="39">
        <v>1687000</v>
      </c>
      <c r="L750" s="16">
        <f t="shared" si="456"/>
        <v>1</v>
      </c>
      <c r="M750" s="16" t="str">
        <f t="shared" si="457"/>
        <v>September</v>
      </c>
      <c r="N750" s="16" t="str">
        <f t="shared" si="458"/>
        <v/>
      </c>
      <c r="O750" s="16" t="str">
        <f>IF(N750="","",COUNTIF($N$8:N750,N750))</f>
        <v/>
      </c>
      <c r="P750" s="34" t="str">
        <f t="shared" si="459"/>
        <v>outHarga Pokok Penjualan</v>
      </c>
      <c r="Q750" s="34" t="str">
        <f t="shared" si="460"/>
        <v>outSeptemberHarga Pokok Penjualan</v>
      </c>
      <c r="R750" s="34" t="str">
        <f t="shared" si="461"/>
        <v>Harga Pokok Penjualan</v>
      </c>
      <c r="S750" s="34" t="str">
        <f t="shared" si="462"/>
        <v>Kas</v>
      </c>
      <c r="T750" s="34" t="str">
        <f t="shared" si="463"/>
        <v/>
      </c>
      <c r="U750" s="34" t="str">
        <f>IF(AND(L750=1,bp_kode=T750,T750&lt;&gt;""),COUNTIF($T$8:T750,T750),"")</f>
        <v/>
      </c>
      <c r="V750" s="34" t="str">
        <f t="shared" si="464"/>
        <v>db</v>
      </c>
      <c r="W750" s="34" t="str">
        <f t="shared" si="465"/>
        <v>db</v>
      </c>
      <c r="X750" s="34" t="str">
        <f>IF(B750="","",COUNTIF($C$8:C750,C750)&amp;C750)</f>
        <v>0</v>
      </c>
    </row>
    <row r="751" spans="2:24" ht="23.1" customHeight="1">
      <c r="B751" s="31">
        <v>44834</v>
      </c>
      <c r="C751" s="9"/>
      <c r="D751" s="9" t="s">
        <v>760</v>
      </c>
      <c r="E751" s="7"/>
      <c r="F751" s="7"/>
      <c r="G751" s="7"/>
      <c r="H751" s="7" t="s">
        <v>758</v>
      </c>
      <c r="I751" s="7" t="s">
        <v>582</v>
      </c>
      <c r="J751" s="39">
        <v>10429250</v>
      </c>
      <c r="L751" s="16">
        <f t="shared" si="456"/>
        <v>1</v>
      </c>
      <c r="M751" s="16" t="str">
        <f t="shared" si="457"/>
        <v>September</v>
      </c>
      <c r="N751" s="16" t="str">
        <f t="shared" si="458"/>
        <v/>
      </c>
      <c r="O751" s="16" t="str">
        <f>IF(N751="","",COUNTIF($N$8:N751,N751))</f>
        <v/>
      </c>
      <c r="P751" s="34" t="str">
        <f t="shared" si="459"/>
        <v>outHarga Pokok Penjualan</v>
      </c>
      <c r="Q751" s="34" t="str">
        <f t="shared" si="460"/>
        <v>outSeptemberHarga Pokok Penjualan</v>
      </c>
      <c r="R751" s="34" t="str">
        <f t="shared" si="461"/>
        <v>Harga Pokok Penjualan</v>
      </c>
      <c r="S751" s="34" t="str">
        <f t="shared" si="462"/>
        <v>Kas</v>
      </c>
      <c r="T751" s="34" t="str">
        <f t="shared" si="463"/>
        <v/>
      </c>
      <c r="U751" s="34" t="str">
        <f>IF(AND(L751=1,bp_kode=T751,T751&lt;&gt;""),COUNTIF($T$8:T751,T751),"")</f>
        <v/>
      </c>
      <c r="V751" s="34" t="str">
        <f t="shared" si="464"/>
        <v>db</v>
      </c>
      <c r="W751" s="34" t="str">
        <f t="shared" si="465"/>
        <v>db</v>
      </c>
      <c r="X751" s="34" t="str">
        <f>IF(B751="","",COUNTIF($C$8:C751,C751)&amp;C751)</f>
        <v>0</v>
      </c>
    </row>
    <row r="752" spans="2:24" ht="23.1" customHeight="1">
      <c r="B752" s="31">
        <v>44834</v>
      </c>
      <c r="C752" s="9"/>
      <c r="D752" s="9" t="s">
        <v>762</v>
      </c>
      <c r="E752" s="7"/>
      <c r="F752" s="7"/>
      <c r="G752" s="7"/>
      <c r="H752" s="7" t="s">
        <v>761</v>
      </c>
      <c r="I752" s="7" t="s">
        <v>582</v>
      </c>
      <c r="J752" s="39">
        <v>11827500</v>
      </c>
      <c r="L752" s="16">
        <f t="shared" si="456"/>
        <v>1</v>
      </c>
      <c r="M752" s="16" t="str">
        <f t="shared" si="457"/>
        <v>September</v>
      </c>
      <c r="N752" s="16" t="str">
        <f t="shared" si="458"/>
        <v/>
      </c>
      <c r="O752" s="16" t="str">
        <f>IF(N752="","",COUNTIF($N$8:N752,N752))</f>
        <v/>
      </c>
      <c r="P752" s="34" t="str">
        <f t="shared" si="459"/>
        <v>outHarga Pokok Penjualan</v>
      </c>
      <c r="Q752" s="34" t="str">
        <f t="shared" si="460"/>
        <v>outSeptemberHarga Pokok Penjualan</v>
      </c>
      <c r="R752" s="34" t="str">
        <f t="shared" si="461"/>
        <v>Harga Pokok Penjualan</v>
      </c>
      <c r="S752" s="34" t="str">
        <f t="shared" si="462"/>
        <v>Kas</v>
      </c>
      <c r="T752" s="34" t="str">
        <f t="shared" si="463"/>
        <v/>
      </c>
      <c r="U752" s="34" t="str">
        <f>IF(AND(L752=1,bp_kode=T752,T752&lt;&gt;""),COUNTIF($T$8:T752,T752),"")</f>
        <v/>
      </c>
      <c r="V752" s="34" t="str">
        <f t="shared" si="464"/>
        <v>db</v>
      </c>
      <c r="W752" s="34" t="str">
        <f t="shared" si="465"/>
        <v>db</v>
      </c>
      <c r="X752" s="34" t="str">
        <f>IF(B752="","",COUNTIF($C$8:C752,C752)&amp;C752)</f>
        <v>0</v>
      </c>
    </row>
    <row r="753" spans="2:24" ht="23.1" customHeight="1">
      <c r="B753" s="31">
        <v>44834</v>
      </c>
      <c r="C753" s="9"/>
      <c r="D753" s="9" t="s">
        <v>776</v>
      </c>
      <c r="E753" s="7"/>
      <c r="F753" s="7"/>
      <c r="G753" s="7"/>
      <c r="H753" s="7" t="s">
        <v>759</v>
      </c>
      <c r="I753" s="7" t="s">
        <v>582</v>
      </c>
      <c r="J753" s="39">
        <v>11318303</v>
      </c>
      <c r="L753" s="16">
        <f t="shared" ref="L753" si="515">IF(AND(B753&gt;=awal,B753&lt;=akhir,B753&lt;&gt;""),1,IF(AND(B753&lt;&gt;"",B753&lt;awal),2,""))</f>
        <v>1</v>
      </c>
      <c r="M753" s="16" t="str">
        <f t="shared" ref="M753" si="516">IF(B753="","",TEXT(B753,"mmmm"))</f>
        <v>September</v>
      </c>
      <c r="N753" s="16" t="str">
        <f t="shared" ref="N753" si="517">IF(AND(L753=1,H753=bb_akun),"Awe",IF(AND(L753=1,I753=bb_akun),"Awe",""))</f>
        <v/>
      </c>
      <c r="O753" s="16" t="str">
        <f>IF(N753="","",COUNTIF($N$8:N753,N753))</f>
        <v/>
      </c>
      <c r="P753" s="34" t="str">
        <f t="shared" ref="P753" si="518">IFERROR(IF(OR(INDEX(akun_type,MATCH(H753,akun_kb,0))="Kas",INDEX(akun_type,MATCH(H753,akun_kb,0))="Bank"),"In"&amp;INDEX(akun_type,MATCH(I753,akun_kb,0)),IF(OR(INDEX(akun_type,MATCH(I753,akun_kb,0))="Kas",INDEX(akun_type,MATCH(I753,akun_kb,0))="Bank"),"out"&amp;INDEX(akun_type,MATCH(H753,akun_kb,0)),"")),"")</f>
        <v>outHarga Pokok Penjualan</v>
      </c>
      <c r="Q753" s="34" t="str">
        <f t="shared" ref="Q753" si="519">IFERROR(IF(OR(INDEX(akun_type,MATCH(H753,akun_kb,0))="Kas",INDEX(akun_type,MATCH(H753,akun_kb,0))="Bank"),"in"&amp;TEXT(B753,"mmmm")&amp;INDEX(akun_type,MATCH(I753,akun_kb,0)),IF(OR(INDEX(akun_type,MATCH(I753,akun_kb,0))="Kas",INDEX(akun_type,MATCH(I753,akun_kb,0))="Bank"),"out"&amp;TEXT(B753,"mmmm")&amp;INDEX(akun_type,MATCH(H753,akun_kb,0)),"")),"")</f>
        <v>outSeptemberHarga Pokok Penjualan</v>
      </c>
      <c r="R753" s="34" t="str">
        <f t="shared" ref="R753" si="520">IFERROR(INDEX(akun_type,MATCH(H753,akun_kb,0)),"")</f>
        <v>Harga Pokok Penjualan</v>
      </c>
      <c r="S753" s="34" t="str">
        <f t="shared" ref="S753" si="521">IFERROR(INDEX(akun_type,MATCH(I753,akun_kb,0)),"")</f>
        <v>Kas</v>
      </c>
      <c r="T753" s="34" t="str">
        <f t="shared" ref="T753" si="522">IF(AND(L753=1,OR(R753="Akun Piutang",R753="akun hutang",S753="akun piutang",S753="akun hutang")),E753,"")</f>
        <v/>
      </c>
      <c r="U753" s="34" t="str">
        <f>IF(AND(L753=1,bp_kode=T753,T753&lt;&gt;""),COUNTIF($T$8:T753,T753),"")</f>
        <v/>
      </c>
      <c r="V753" s="34" t="str">
        <f t="shared" ref="V753" si="523">IF(OR(R753="Pendapatan",R753="Pendapatan Lainnya",R753="Beban",R753="Harga Pokok Penjualan",R753="Beban Lainnya"),"db"&amp;F753,IF(OR(S753="Pendapatan",S753="Pendapatan Lainnya",S753="Beban",S753="Harga Pokok Penjualan",S753="Beban Lainnya"),"kr"&amp;F753,""))</f>
        <v>db</v>
      </c>
      <c r="W753" s="34" t="str">
        <f t="shared" ref="W753" si="524">IF(OR(R753="Pendapatan",R753="Pendapatan Lainnya",R753="Beban",R753="Harga Pokok Penjualan",R753="Beban Lainnya"),"db"&amp;G753,IF(OR(S753="Pendapatan",S753="Pendapatan Lainnya",S753="Beban",S753="Harga Pokok Penjualan",S753="Beban Lainnya"),"kr"&amp;G753,""))</f>
        <v>db</v>
      </c>
      <c r="X753" s="34" t="str">
        <f>IF(B753="","",COUNTIF($C$8:C753,C753)&amp;C753)</f>
        <v>0</v>
      </c>
    </row>
    <row r="754" spans="2:24" ht="23.1" customHeight="1">
      <c r="B754" s="31">
        <v>44834</v>
      </c>
      <c r="C754" s="9"/>
      <c r="D754" s="9" t="s">
        <v>696</v>
      </c>
      <c r="E754" s="7"/>
      <c r="F754" s="7"/>
      <c r="G754" s="7"/>
      <c r="H754" s="7" t="s">
        <v>695</v>
      </c>
      <c r="I754" s="7" t="s">
        <v>582</v>
      </c>
      <c r="J754" s="39">
        <v>5372000</v>
      </c>
      <c r="L754" s="16">
        <f t="shared" si="456"/>
        <v>1</v>
      </c>
      <c r="M754" s="16" t="str">
        <f t="shared" si="457"/>
        <v>September</v>
      </c>
      <c r="N754" s="16" t="str">
        <f t="shared" si="458"/>
        <v>Awe</v>
      </c>
      <c r="O754" s="16">
        <f>IF(N754="","",COUNTIF($N$8:N754,N754))</f>
        <v>10</v>
      </c>
      <c r="P754" s="34" t="str">
        <f t="shared" si="459"/>
        <v>outHarga Pokok Penjualan</v>
      </c>
      <c r="Q754" s="34" t="str">
        <f t="shared" si="460"/>
        <v>outSeptemberHarga Pokok Penjualan</v>
      </c>
      <c r="R754" s="34" t="str">
        <f t="shared" si="461"/>
        <v>Harga Pokok Penjualan</v>
      </c>
      <c r="S754" s="34" t="str">
        <f t="shared" si="462"/>
        <v>Kas</v>
      </c>
      <c r="T754" s="34" t="str">
        <f t="shared" si="463"/>
        <v/>
      </c>
      <c r="U754" s="34" t="str">
        <f>IF(AND(L754=1,bp_kode=T754,T754&lt;&gt;""),COUNTIF($T$8:T754,T754),"")</f>
        <v/>
      </c>
      <c r="V754" s="34" t="str">
        <f t="shared" si="464"/>
        <v>db</v>
      </c>
      <c r="W754" s="34" t="str">
        <f t="shared" si="465"/>
        <v>db</v>
      </c>
      <c r="X754" s="34" t="str">
        <f>IF(B754="","",COUNTIF($C$8:C754,C754)&amp;C754)</f>
        <v>0</v>
      </c>
    </row>
    <row r="755" spans="2:24" ht="23.1" customHeight="1">
      <c r="B755" s="31">
        <v>44834</v>
      </c>
      <c r="C755" s="9"/>
      <c r="D755" s="9" t="s">
        <v>612</v>
      </c>
      <c r="E755" s="7"/>
      <c r="F755" s="7"/>
      <c r="G755" s="7"/>
      <c r="H755" s="7" t="s">
        <v>613</v>
      </c>
      <c r="I755" s="7" t="s">
        <v>582</v>
      </c>
      <c r="J755" s="39">
        <v>10298000</v>
      </c>
      <c r="L755" s="16">
        <f t="shared" si="456"/>
        <v>1</v>
      </c>
      <c r="M755" s="16" t="str">
        <f t="shared" si="457"/>
        <v>September</v>
      </c>
      <c r="N755" s="16" t="str">
        <f t="shared" si="458"/>
        <v/>
      </c>
      <c r="O755" s="16" t="str">
        <f>IF(N755="","",COUNTIF($N$8:N755,N755))</f>
        <v/>
      </c>
      <c r="P755" s="34" t="str">
        <f t="shared" si="459"/>
        <v>outHarga Pokok Penjualan</v>
      </c>
      <c r="Q755" s="34" t="str">
        <f t="shared" si="460"/>
        <v>outSeptemberHarga Pokok Penjualan</v>
      </c>
      <c r="R755" s="34" t="str">
        <f t="shared" si="461"/>
        <v>Harga Pokok Penjualan</v>
      </c>
      <c r="S755" s="34" t="str">
        <f t="shared" si="462"/>
        <v>Kas</v>
      </c>
      <c r="T755" s="34" t="str">
        <f t="shared" si="463"/>
        <v/>
      </c>
      <c r="U755" s="34" t="str">
        <f>IF(AND(L755=1,bp_kode=T755,T755&lt;&gt;""),COUNTIF($T$8:T755,T755),"")</f>
        <v/>
      </c>
      <c r="V755" s="34" t="str">
        <f t="shared" si="464"/>
        <v>db</v>
      </c>
      <c r="W755" s="34" t="str">
        <f t="shared" si="465"/>
        <v>db</v>
      </c>
      <c r="X755" s="34" t="str">
        <f>IF(B755="","",COUNTIF($C$8:C755,C755)&amp;C755)</f>
        <v>0</v>
      </c>
    </row>
    <row r="756" spans="2:24" ht="23.1" customHeight="1">
      <c r="B756" s="31">
        <v>44834</v>
      </c>
      <c r="C756" s="9"/>
      <c r="D756" s="9" t="s">
        <v>621</v>
      </c>
      <c r="E756" s="7"/>
      <c r="F756" s="7"/>
      <c r="G756" s="7"/>
      <c r="H756" s="7" t="s">
        <v>614</v>
      </c>
      <c r="I756" s="7" t="s">
        <v>582</v>
      </c>
      <c r="J756" s="39">
        <v>40699000</v>
      </c>
      <c r="L756" s="16">
        <f t="shared" si="456"/>
        <v>1</v>
      </c>
      <c r="M756" s="16" t="str">
        <f t="shared" si="457"/>
        <v>September</v>
      </c>
      <c r="N756" s="16" t="str">
        <f t="shared" si="458"/>
        <v/>
      </c>
      <c r="O756" s="16" t="str">
        <f>IF(N756="","",COUNTIF($N$8:N756,N756))</f>
        <v/>
      </c>
      <c r="P756" s="34" t="str">
        <f t="shared" si="459"/>
        <v>outBeban</v>
      </c>
      <c r="Q756" s="34" t="str">
        <f t="shared" si="460"/>
        <v>outSeptemberBeban</v>
      </c>
      <c r="R756" s="34" t="str">
        <f t="shared" si="461"/>
        <v>Beban</v>
      </c>
      <c r="S756" s="34" t="str">
        <f t="shared" si="462"/>
        <v>Kas</v>
      </c>
      <c r="T756" s="34" t="str">
        <f t="shared" si="463"/>
        <v/>
      </c>
      <c r="U756" s="34" t="str">
        <f>IF(AND(L756=1,bp_kode=T756,T756&lt;&gt;""),COUNTIF($T$8:T756,T756),"")</f>
        <v/>
      </c>
      <c r="V756" s="34" t="str">
        <f t="shared" si="464"/>
        <v>db</v>
      </c>
      <c r="W756" s="34" t="str">
        <f t="shared" si="465"/>
        <v>db</v>
      </c>
      <c r="X756" s="34" t="str">
        <f>IF(B756="","",COUNTIF($C$8:C756,C756)&amp;C756)</f>
        <v>0</v>
      </c>
    </row>
    <row r="757" spans="2:24" ht="23.1" customHeight="1">
      <c r="B757" s="31">
        <v>44834</v>
      </c>
      <c r="C757" s="9"/>
      <c r="D757" s="9" t="s">
        <v>624</v>
      </c>
      <c r="E757" s="7"/>
      <c r="F757" s="7"/>
      <c r="G757" s="7"/>
      <c r="H757" s="7" t="s">
        <v>617</v>
      </c>
      <c r="I757" s="7" t="s">
        <v>582</v>
      </c>
      <c r="J757" s="39">
        <v>98576200</v>
      </c>
      <c r="L757" s="16">
        <f t="shared" si="456"/>
        <v>1</v>
      </c>
      <c r="M757" s="16" t="str">
        <f t="shared" si="457"/>
        <v>September</v>
      </c>
      <c r="N757" s="16" t="str">
        <f t="shared" si="458"/>
        <v/>
      </c>
      <c r="O757" s="16" t="str">
        <f>IF(N757="","",COUNTIF($N$8:N757,N757))</f>
        <v/>
      </c>
      <c r="P757" s="34" t="str">
        <f t="shared" si="459"/>
        <v>outBeban</v>
      </c>
      <c r="Q757" s="34" t="str">
        <f t="shared" si="460"/>
        <v>outSeptemberBeban</v>
      </c>
      <c r="R757" s="34" t="str">
        <f t="shared" si="461"/>
        <v>Beban</v>
      </c>
      <c r="S757" s="34" t="str">
        <f t="shared" si="462"/>
        <v>Kas</v>
      </c>
      <c r="T757" s="34" t="str">
        <f t="shared" si="463"/>
        <v/>
      </c>
      <c r="U757" s="34" t="str">
        <f>IF(AND(L757=1,bp_kode=T757,T757&lt;&gt;""),COUNTIF($T$8:T757,T757),"")</f>
        <v/>
      </c>
      <c r="V757" s="34" t="str">
        <f t="shared" si="464"/>
        <v>db</v>
      </c>
      <c r="W757" s="34" t="str">
        <f t="shared" si="465"/>
        <v>db</v>
      </c>
      <c r="X757" s="34" t="str">
        <f>IF(B757="","",COUNTIF($C$8:C757,C757)&amp;C757)</f>
        <v>0</v>
      </c>
    </row>
    <row r="758" spans="2:24" ht="23.1" customHeight="1">
      <c r="B758" s="31">
        <v>44834</v>
      </c>
      <c r="C758" s="9"/>
      <c r="D758" s="9" t="s">
        <v>625</v>
      </c>
      <c r="E758" s="7"/>
      <c r="F758" s="7"/>
      <c r="G758" s="7"/>
      <c r="H758" s="7" t="s">
        <v>618</v>
      </c>
      <c r="I758" s="7" t="s">
        <v>582</v>
      </c>
      <c r="J758" s="39">
        <v>218695761</v>
      </c>
      <c r="L758" s="16">
        <f t="shared" si="456"/>
        <v>1</v>
      </c>
      <c r="M758" s="16" t="str">
        <f t="shared" si="457"/>
        <v>September</v>
      </c>
      <c r="N758" s="16" t="str">
        <f t="shared" si="458"/>
        <v/>
      </c>
      <c r="O758" s="16" t="str">
        <f>IF(N758="","",COUNTIF($N$8:N758,N758))</f>
        <v/>
      </c>
      <c r="P758" s="34" t="str">
        <f t="shared" si="459"/>
        <v>outBeban</v>
      </c>
      <c r="Q758" s="34" t="str">
        <f t="shared" si="460"/>
        <v>outSeptemberBeban</v>
      </c>
      <c r="R758" s="34" t="str">
        <f t="shared" si="461"/>
        <v>Beban</v>
      </c>
      <c r="S758" s="34" t="str">
        <f t="shared" si="462"/>
        <v>Kas</v>
      </c>
      <c r="T758" s="34" t="str">
        <f t="shared" si="463"/>
        <v/>
      </c>
      <c r="U758" s="34" t="str">
        <f>IF(AND(L758=1,bp_kode=T758,T758&lt;&gt;""),COUNTIF($T$8:T758,T758),"")</f>
        <v/>
      </c>
      <c r="V758" s="34" t="str">
        <f t="shared" si="464"/>
        <v>db</v>
      </c>
      <c r="W758" s="34" t="str">
        <f t="shared" si="465"/>
        <v>db</v>
      </c>
      <c r="X758" s="34" t="str">
        <f>IF(B758="","",COUNTIF($C$8:C758,C758)&amp;C758)</f>
        <v>0</v>
      </c>
    </row>
    <row r="759" spans="2:24" ht="23.1" customHeight="1">
      <c r="B759" s="31">
        <v>44834</v>
      </c>
      <c r="C759" s="9"/>
      <c r="D759" s="9" t="s">
        <v>626</v>
      </c>
      <c r="E759" s="7"/>
      <c r="F759" s="7"/>
      <c r="G759" s="7"/>
      <c r="H759" s="7" t="s">
        <v>619</v>
      </c>
      <c r="I759" s="7" t="s">
        <v>582</v>
      </c>
      <c r="J759" s="39">
        <v>218555064</v>
      </c>
      <c r="L759" s="16">
        <f t="shared" si="456"/>
        <v>1</v>
      </c>
      <c r="M759" s="16" t="str">
        <f t="shared" si="457"/>
        <v>September</v>
      </c>
      <c r="N759" s="16" t="str">
        <f t="shared" si="458"/>
        <v/>
      </c>
      <c r="O759" s="16" t="str">
        <f>IF(N759="","",COUNTIF($N$8:N759,N759))</f>
        <v/>
      </c>
      <c r="P759" s="34" t="str">
        <f t="shared" si="459"/>
        <v>outBeban</v>
      </c>
      <c r="Q759" s="34" t="str">
        <f t="shared" si="460"/>
        <v>outSeptemberBeban</v>
      </c>
      <c r="R759" s="34" t="str">
        <f t="shared" si="461"/>
        <v>Beban</v>
      </c>
      <c r="S759" s="34" t="str">
        <f t="shared" si="462"/>
        <v>Kas</v>
      </c>
      <c r="T759" s="34" t="str">
        <f t="shared" si="463"/>
        <v/>
      </c>
      <c r="U759" s="34" t="str">
        <f>IF(AND(L759=1,bp_kode=T759,T759&lt;&gt;""),COUNTIF($T$8:T759,T759),"")</f>
        <v/>
      </c>
      <c r="V759" s="34" t="str">
        <f t="shared" si="464"/>
        <v>db</v>
      </c>
      <c r="W759" s="34" t="str">
        <f t="shared" si="465"/>
        <v>db</v>
      </c>
      <c r="X759" s="34" t="str">
        <f>IF(B759="","",COUNTIF($C$8:C759,C759)&amp;C759)</f>
        <v>0</v>
      </c>
    </row>
    <row r="760" spans="2:24" ht="23.1" customHeight="1">
      <c r="B760" s="31">
        <v>44834</v>
      </c>
      <c r="C760" s="9"/>
      <c r="D760" s="9" t="s">
        <v>627</v>
      </c>
      <c r="E760" s="7"/>
      <c r="F760" s="7"/>
      <c r="G760" s="7"/>
      <c r="H760" s="7" t="s">
        <v>620</v>
      </c>
      <c r="I760" s="7" t="s">
        <v>582</v>
      </c>
      <c r="J760" s="39">
        <v>32714838</v>
      </c>
      <c r="L760" s="16">
        <f t="shared" si="456"/>
        <v>1</v>
      </c>
      <c r="M760" s="16" t="str">
        <f t="shared" si="457"/>
        <v>September</v>
      </c>
      <c r="N760" s="16" t="str">
        <f t="shared" si="458"/>
        <v/>
      </c>
      <c r="O760" s="16" t="str">
        <f>IF(N760="","",COUNTIF($N$8:N760,N760))</f>
        <v/>
      </c>
      <c r="P760" s="34" t="str">
        <f t="shared" si="459"/>
        <v>outBeban</v>
      </c>
      <c r="Q760" s="34" t="str">
        <f t="shared" si="460"/>
        <v>outSeptemberBeban</v>
      </c>
      <c r="R760" s="34" t="str">
        <f t="shared" si="461"/>
        <v>Beban</v>
      </c>
      <c r="S760" s="34" t="str">
        <f t="shared" si="462"/>
        <v>Kas</v>
      </c>
      <c r="T760" s="34" t="str">
        <f t="shared" si="463"/>
        <v/>
      </c>
      <c r="U760" s="34" t="str">
        <f>IF(AND(L760=1,bp_kode=T760,T760&lt;&gt;""),COUNTIF($T$8:T760,T760),"")</f>
        <v/>
      </c>
      <c r="V760" s="34" t="str">
        <f t="shared" si="464"/>
        <v>db</v>
      </c>
      <c r="W760" s="34" t="str">
        <f t="shared" si="465"/>
        <v>db</v>
      </c>
      <c r="X760" s="34" t="str">
        <f>IF(B760="","",COUNTIF($C$8:C760,C760)&amp;C760)</f>
        <v>0</v>
      </c>
    </row>
    <row r="761" spans="2:24" ht="23.1" customHeight="1">
      <c r="B761" s="31">
        <v>44834</v>
      </c>
      <c r="C761" s="9"/>
      <c r="D761" s="9" t="s">
        <v>780</v>
      </c>
      <c r="E761" s="7"/>
      <c r="F761" s="7"/>
      <c r="G761" s="7"/>
      <c r="H761" s="7" t="s">
        <v>778</v>
      </c>
      <c r="I761" s="7" t="s">
        <v>582</v>
      </c>
      <c r="J761" s="39">
        <v>2500000</v>
      </c>
      <c r="L761" s="16">
        <f t="shared" ref="L761" si="525">IF(AND(B761&gt;=awal,B761&lt;=akhir,B761&lt;&gt;""),1,IF(AND(B761&lt;&gt;"",B761&lt;awal),2,""))</f>
        <v>1</v>
      </c>
      <c r="M761" s="16" t="str">
        <f t="shared" ref="M761" si="526">IF(B761="","",TEXT(B761,"mmmm"))</f>
        <v>September</v>
      </c>
      <c r="N761" s="16" t="str">
        <f t="shared" ref="N761" si="527">IF(AND(L761=1,H761=bb_akun),"Awe",IF(AND(L761=1,I761=bb_akun),"Awe",""))</f>
        <v/>
      </c>
      <c r="O761" s="16" t="str">
        <f>IF(N761="","",COUNTIF($N$8:N761,N761))</f>
        <v/>
      </c>
      <c r="P761" s="34" t="str">
        <f t="shared" ref="P761" si="528">IFERROR(IF(OR(INDEX(akun_type,MATCH(H761,akun_kb,0))="Kas",INDEX(akun_type,MATCH(H761,akun_kb,0))="Bank"),"In"&amp;INDEX(akun_type,MATCH(I761,akun_kb,0)),IF(OR(INDEX(akun_type,MATCH(I761,akun_kb,0))="Kas",INDEX(akun_type,MATCH(I761,akun_kb,0))="Bank"),"out"&amp;INDEX(akun_type,MATCH(H761,akun_kb,0)),"")),"")</f>
        <v>outBeban</v>
      </c>
      <c r="Q761" s="34" t="str">
        <f t="shared" ref="Q761" si="529">IFERROR(IF(OR(INDEX(akun_type,MATCH(H761,akun_kb,0))="Kas",INDEX(akun_type,MATCH(H761,akun_kb,0))="Bank"),"in"&amp;TEXT(B761,"mmmm")&amp;INDEX(akun_type,MATCH(I761,akun_kb,0)),IF(OR(INDEX(akun_type,MATCH(I761,akun_kb,0))="Kas",INDEX(akun_type,MATCH(I761,akun_kb,0))="Bank"),"out"&amp;TEXT(B761,"mmmm")&amp;INDEX(akun_type,MATCH(H761,akun_kb,0)),"")),"")</f>
        <v>outSeptemberBeban</v>
      </c>
      <c r="R761" s="34" t="str">
        <f t="shared" ref="R761" si="530">IFERROR(INDEX(akun_type,MATCH(H761,akun_kb,0)),"")</f>
        <v>Beban</v>
      </c>
      <c r="S761" s="34" t="str">
        <f t="shared" ref="S761" si="531">IFERROR(INDEX(akun_type,MATCH(I761,akun_kb,0)),"")</f>
        <v>Kas</v>
      </c>
      <c r="T761" s="34" t="str">
        <f t="shared" ref="T761" si="532">IF(AND(L761=1,OR(R761="Akun Piutang",R761="akun hutang",S761="akun piutang",S761="akun hutang")),E761,"")</f>
        <v/>
      </c>
      <c r="U761" s="34" t="str">
        <f>IF(AND(L761=1,bp_kode=T761,T761&lt;&gt;""),COUNTIF($T$8:T761,T761),"")</f>
        <v/>
      </c>
      <c r="V761" s="34" t="str">
        <f t="shared" ref="V761" si="533">IF(OR(R761="Pendapatan",R761="Pendapatan Lainnya",R761="Beban",R761="Harga Pokok Penjualan",R761="Beban Lainnya"),"db"&amp;F761,IF(OR(S761="Pendapatan",S761="Pendapatan Lainnya",S761="Beban",S761="Harga Pokok Penjualan",S761="Beban Lainnya"),"kr"&amp;F761,""))</f>
        <v>db</v>
      </c>
      <c r="W761" s="34" t="str">
        <f t="shared" ref="W761" si="534">IF(OR(R761="Pendapatan",R761="Pendapatan Lainnya",R761="Beban",R761="Harga Pokok Penjualan",R761="Beban Lainnya"),"db"&amp;G761,IF(OR(S761="Pendapatan",S761="Pendapatan Lainnya",S761="Beban",S761="Harga Pokok Penjualan",S761="Beban Lainnya"),"kr"&amp;G761,""))</f>
        <v>db</v>
      </c>
      <c r="X761" s="34" t="str">
        <f>IF(B761="","",COUNTIF($C$8:C761,C761)&amp;C761)</f>
        <v>0</v>
      </c>
    </row>
    <row r="762" spans="2:24" ht="23.1" customHeight="1">
      <c r="B762" s="31">
        <v>44834</v>
      </c>
      <c r="C762" s="9"/>
      <c r="D762" s="9" t="s">
        <v>764</v>
      </c>
      <c r="E762" s="7"/>
      <c r="F762" s="7"/>
      <c r="G762" s="7"/>
      <c r="H762" s="7" t="s">
        <v>763</v>
      </c>
      <c r="I762" s="7" t="s">
        <v>582</v>
      </c>
      <c r="J762" s="39">
        <v>7654500</v>
      </c>
      <c r="L762" s="16">
        <f t="shared" si="456"/>
        <v>1</v>
      </c>
      <c r="M762" s="16" t="str">
        <f t="shared" si="457"/>
        <v>September</v>
      </c>
      <c r="N762" s="16" t="str">
        <f t="shared" si="458"/>
        <v/>
      </c>
      <c r="O762" s="16" t="str">
        <f>IF(N762="","",COUNTIF($N$8:N762,N762))</f>
        <v/>
      </c>
      <c r="P762" s="34" t="str">
        <f t="shared" si="459"/>
        <v>outBeban</v>
      </c>
      <c r="Q762" s="34" t="str">
        <f t="shared" si="460"/>
        <v>outSeptemberBeban</v>
      </c>
      <c r="R762" s="34" t="str">
        <f t="shared" si="461"/>
        <v>Beban</v>
      </c>
      <c r="S762" s="34" t="str">
        <f t="shared" si="462"/>
        <v>Kas</v>
      </c>
      <c r="T762" s="34" t="str">
        <f t="shared" si="463"/>
        <v/>
      </c>
      <c r="U762" s="34" t="str">
        <f>IF(AND(L762=1,bp_kode=T762,T762&lt;&gt;""),COUNTIF($T$8:T762,T762),"")</f>
        <v/>
      </c>
      <c r="V762" s="34" t="str">
        <f t="shared" si="464"/>
        <v>db</v>
      </c>
      <c r="W762" s="34" t="str">
        <f t="shared" si="465"/>
        <v>db</v>
      </c>
      <c r="X762" s="34" t="str">
        <f>IF(B762="","",COUNTIF($C$8:C762,C762)&amp;C762)</f>
        <v>0</v>
      </c>
    </row>
    <row r="763" spans="2:24" ht="23.1" customHeight="1">
      <c r="B763" s="31">
        <v>44834</v>
      </c>
      <c r="C763" s="9"/>
      <c r="D763" s="9" t="s">
        <v>766</v>
      </c>
      <c r="E763" s="7"/>
      <c r="F763" s="7"/>
      <c r="G763" s="7"/>
      <c r="H763" s="7" t="s">
        <v>765</v>
      </c>
      <c r="I763" s="7" t="s">
        <v>582</v>
      </c>
      <c r="J763" s="39">
        <v>69003340</v>
      </c>
      <c r="L763" s="16">
        <f t="shared" si="456"/>
        <v>1</v>
      </c>
      <c r="M763" s="16" t="str">
        <f t="shared" si="457"/>
        <v>September</v>
      </c>
      <c r="N763" s="16" t="str">
        <f t="shared" si="458"/>
        <v/>
      </c>
      <c r="O763" s="16" t="str">
        <f>IF(N763="","",COUNTIF($N$8:N763,N763))</f>
        <v/>
      </c>
      <c r="P763" s="34" t="str">
        <f t="shared" si="459"/>
        <v>outBeban</v>
      </c>
      <c r="Q763" s="34" t="str">
        <f t="shared" si="460"/>
        <v>outSeptemberBeban</v>
      </c>
      <c r="R763" s="34" t="str">
        <f t="shared" si="461"/>
        <v>Beban</v>
      </c>
      <c r="S763" s="34" t="str">
        <f t="shared" si="462"/>
        <v>Kas</v>
      </c>
      <c r="T763" s="34" t="str">
        <f t="shared" si="463"/>
        <v/>
      </c>
      <c r="U763" s="34" t="str">
        <f>IF(AND(L763=1,bp_kode=T763,T763&lt;&gt;""),COUNTIF($T$8:T763,T763),"")</f>
        <v/>
      </c>
      <c r="V763" s="34" t="str">
        <f t="shared" si="464"/>
        <v>db</v>
      </c>
      <c r="W763" s="34" t="str">
        <f t="shared" si="465"/>
        <v>db</v>
      </c>
      <c r="X763" s="34" t="str">
        <f>IF(B763="","",COUNTIF($C$8:C763,C763)&amp;C763)</f>
        <v>0</v>
      </c>
    </row>
    <row r="764" spans="2:24" ht="23.1" customHeight="1">
      <c r="B764" s="31">
        <v>44834</v>
      </c>
      <c r="C764" s="9"/>
      <c r="D764" s="9" t="s">
        <v>644</v>
      </c>
      <c r="E764" s="7"/>
      <c r="F764" s="7"/>
      <c r="G764" s="7"/>
      <c r="H764" s="7" t="s">
        <v>628</v>
      </c>
      <c r="I764" s="7" t="s">
        <v>582</v>
      </c>
      <c r="J764" s="39">
        <v>21900000</v>
      </c>
      <c r="L764" s="16">
        <f t="shared" si="456"/>
        <v>1</v>
      </c>
      <c r="M764" s="16" t="str">
        <f t="shared" si="457"/>
        <v>September</v>
      </c>
      <c r="N764" s="16" t="str">
        <f t="shared" si="458"/>
        <v/>
      </c>
      <c r="O764" s="16" t="str">
        <f>IF(N764="","",COUNTIF($N$8:N764,N764))</f>
        <v/>
      </c>
      <c r="P764" s="34" t="str">
        <f t="shared" si="459"/>
        <v>outBeban</v>
      </c>
      <c r="Q764" s="34" t="str">
        <f t="shared" si="460"/>
        <v>outSeptemberBeban</v>
      </c>
      <c r="R764" s="34" t="str">
        <f t="shared" si="461"/>
        <v>Beban</v>
      </c>
      <c r="S764" s="34" t="str">
        <f t="shared" si="462"/>
        <v>Kas</v>
      </c>
      <c r="T764" s="34" t="str">
        <f t="shared" si="463"/>
        <v/>
      </c>
      <c r="U764" s="34" t="str">
        <f>IF(AND(L764=1,bp_kode=T764,T764&lt;&gt;""),COUNTIF($T$8:T764,T764),"")</f>
        <v/>
      </c>
      <c r="V764" s="34" t="str">
        <f t="shared" si="464"/>
        <v>db</v>
      </c>
      <c r="W764" s="34" t="str">
        <f t="shared" si="465"/>
        <v>db</v>
      </c>
      <c r="X764" s="34" t="str">
        <f>IF(B764="","",COUNTIF($C$8:C764,C764)&amp;C764)</f>
        <v>0</v>
      </c>
    </row>
    <row r="765" spans="2:24" ht="23.1" customHeight="1">
      <c r="B765" s="31">
        <v>44834</v>
      </c>
      <c r="C765" s="9"/>
      <c r="D765" s="9" t="s">
        <v>693</v>
      </c>
      <c r="E765" s="7"/>
      <c r="F765" s="7"/>
      <c r="G765" s="7"/>
      <c r="H765" s="7" t="s">
        <v>694</v>
      </c>
      <c r="I765" s="7" t="s">
        <v>582</v>
      </c>
      <c r="J765" s="39">
        <v>1000000</v>
      </c>
      <c r="L765" s="16">
        <f t="shared" si="456"/>
        <v>1</v>
      </c>
      <c r="M765" s="16" t="str">
        <f t="shared" si="457"/>
        <v>September</v>
      </c>
      <c r="N765" s="16" t="str">
        <f t="shared" si="458"/>
        <v/>
      </c>
      <c r="O765" s="16" t="str">
        <f>IF(N765="","",COUNTIF($N$8:N765,N765))</f>
        <v/>
      </c>
      <c r="P765" s="34" t="str">
        <f t="shared" si="459"/>
        <v>outBeban</v>
      </c>
      <c r="Q765" s="34" t="str">
        <f t="shared" si="460"/>
        <v>outSeptemberBeban</v>
      </c>
      <c r="R765" s="34" t="str">
        <f t="shared" si="461"/>
        <v>Beban</v>
      </c>
      <c r="S765" s="34" t="str">
        <f t="shared" si="462"/>
        <v>Kas</v>
      </c>
      <c r="T765" s="34" t="str">
        <f t="shared" si="463"/>
        <v/>
      </c>
      <c r="U765" s="34" t="str">
        <f>IF(AND(L765=1,bp_kode=T765,T765&lt;&gt;""),COUNTIF($T$8:T765,T765),"")</f>
        <v/>
      </c>
      <c r="V765" s="34" t="str">
        <f t="shared" si="464"/>
        <v>db</v>
      </c>
      <c r="W765" s="34" t="str">
        <f t="shared" si="465"/>
        <v>db</v>
      </c>
      <c r="X765" s="34" t="str">
        <f>IF(B765="","",COUNTIF($C$8:C765,C765)&amp;C765)</f>
        <v>0</v>
      </c>
    </row>
    <row r="766" spans="2:24" ht="23.1" customHeight="1">
      <c r="B766" s="31">
        <v>44834</v>
      </c>
      <c r="C766" s="9"/>
      <c r="D766" s="9" t="s">
        <v>645</v>
      </c>
      <c r="E766" s="7"/>
      <c r="F766" s="7"/>
      <c r="G766" s="7"/>
      <c r="H766" s="7" t="s">
        <v>629</v>
      </c>
      <c r="I766" s="7" t="s">
        <v>582</v>
      </c>
      <c r="J766" s="39">
        <v>4285000</v>
      </c>
      <c r="L766" s="16">
        <f t="shared" si="456"/>
        <v>1</v>
      </c>
      <c r="M766" s="16" t="str">
        <f t="shared" si="457"/>
        <v>September</v>
      </c>
      <c r="N766" s="16" t="str">
        <f t="shared" si="458"/>
        <v/>
      </c>
      <c r="O766" s="16" t="str">
        <f>IF(N766="","",COUNTIF($N$8:N766,N766))</f>
        <v/>
      </c>
      <c r="P766" s="34" t="str">
        <f t="shared" si="459"/>
        <v>outBeban</v>
      </c>
      <c r="Q766" s="34" t="str">
        <f t="shared" si="460"/>
        <v>outSeptemberBeban</v>
      </c>
      <c r="R766" s="34" t="str">
        <f t="shared" si="461"/>
        <v>Beban</v>
      </c>
      <c r="S766" s="34" t="str">
        <f t="shared" si="462"/>
        <v>Kas</v>
      </c>
      <c r="T766" s="34" t="str">
        <f t="shared" si="463"/>
        <v/>
      </c>
      <c r="U766" s="34" t="str">
        <f>IF(AND(L766=1,bp_kode=T766,T766&lt;&gt;""),COUNTIF($T$8:T766,T766),"")</f>
        <v/>
      </c>
      <c r="V766" s="34" t="str">
        <f t="shared" si="464"/>
        <v>db</v>
      </c>
      <c r="W766" s="34" t="str">
        <f t="shared" si="465"/>
        <v>db</v>
      </c>
      <c r="X766" s="34" t="str">
        <f>IF(B766="","",COUNTIF($C$8:C766,C766)&amp;C766)</f>
        <v>0</v>
      </c>
    </row>
    <row r="767" spans="2:24" ht="23.1" customHeight="1">
      <c r="B767" s="31">
        <v>44834</v>
      </c>
      <c r="C767" s="9"/>
      <c r="D767" s="9" t="s">
        <v>646</v>
      </c>
      <c r="E767" s="7"/>
      <c r="F767" s="7"/>
      <c r="G767" s="7"/>
      <c r="H767" s="7" t="s">
        <v>630</v>
      </c>
      <c r="I767" s="7" t="s">
        <v>582</v>
      </c>
      <c r="J767" s="39">
        <v>5156000</v>
      </c>
      <c r="L767" s="16">
        <f t="shared" ref="L767:L2104" si="535">IF(AND(B767&gt;=awal,B767&lt;=akhir,B767&lt;&gt;""),1,IF(AND(B767&lt;&gt;"",B767&lt;awal),2,""))</f>
        <v>1</v>
      </c>
      <c r="M767" s="16" t="str">
        <f t="shared" ref="M767:M2104" si="536">IF(B767="","",TEXT(B767,"mmmm"))</f>
        <v>September</v>
      </c>
      <c r="N767" s="16" t="str">
        <f t="shared" ref="N767:N2104" si="537">IF(AND(L767=1,H767=bb_akun),"Awe",IF(AND(L767=1,I767=bb_akun),"Awe",""))</f>
        <v/>
      </c>
      <c r="O767" s="16" t="str">
        <f>IF(N767="","",COUNTIF($N$8:N767,N767))</f>
        <v/>
      </c>
      <c r="P767" s="34" t="str">
        <f t="shared" ref="P767:P2104" si="538">IFERROR(IF(OR(INDEX(akun_type,MATCH(H767,akun_kb,0))="Kas",INDEX(akun_type,MATCH(H767,akun_kb,0))="Bank"),"In"&amp;INDEX(akun_type,MATCH(I767,akun_kb,0)),IF(OR(INDEX(akun_type,MATCH(I767,akun_kb,0))="Kas",INDEX(akun_type,MATCH(I767,akun_kb,0))="Bank"),"out"&amp;INDEX(akun_type,MATCH(H767,akun_kb,0)),"")),"")</f>
        <v>outBeban</v>
      </c>
      <c r="Q767" s="34" t="str">
        <f t="shared" ref="Q767:Q2104" si="539">IFERROR(IF(OR(INDEX(akun_type,MATCH(H767,akun_kb,0))="Kas",INDEX(akun_type,MATCH(H767,akun_kb,0))="Bank"),"in"&amp;TEXT(B767,"mmmm")&amp;INDEX(akun_type,MATCH(I767,akun_kb,0)),IF(OR(INDEX(akun_type,MATCH(I767,akun_kb,0))="Kas",INDEX(akun_type,MATCH(I767,akun_kb,0))="Bank"),"out"&amp;TEXT(B767,"mmmm")&amp;INDEX(akun_type,MATCH(H767,akun_kb,0)),"")),"")</f>
        <v>outSeptemberBeban</v>
      </c>
      <c r="R767" s="34" t="str">
        <f t="shared" ref="R767:R2104" si="540">IFERROR(INDEX(akun_type,MATCH(H767,akun_kb,0)),"")</f>
        <v>Beban</v>
      </c>
      <c r="S767" s="34" t="str">
        <f t="shared" ref="S767:S2104" si="541">IFERROR(INDEX(akun_type,MATCH(I767,akun_kb,0)),"")</f>
        <v>Kas</v>
      </c>
      <c r="T767" s="34" t="str">
        <f t="shared" ref="T767:T2104" si="542">IF(AND(L767=1,OR(R767="Akun Piutang",R767="akun hutang",S767="akun piutang",S767="akun hutang")),E767,"")</f>
        <v/>
      </c>
      <c r="U767" s="34" t="str">
        <f>IF(AND(L767=1,bp_kode=T767,T767&lt;&gt;""),COUNTIF($T$8:T767,T767),"")</f>
        <v/>
      </c>
      <c r="V767" s="34" t="str">
        <f t="shared" ref="V767:V2104" si="543">IF(OR(R767="Pendapatan",R767="Pendapatan Lainnya",R767="Beban",R767="Harga Pokok Penjualan",R767="Beban Lainnya"),"db"&amp;F767,IF(OR(S767="Pendapatan",S767="Pendapatan Lainnya",S767="Beban",S767="Harga Pokok Penjualan",S767="Beban Lainnya"),"kr"&amp;F767,""))</f>
        <v>db</v>
      </c>
      <c r="W767" s="34" t="str">
        <f t="shared" ref="W767:W2104" si="544">IF(OR(R767="Pendapatan",R767="Pendapatan Lainnya",R767="Beban",R767="Harga Pokok Penjualan",R767="Beban Lainnya"),"db"&amp;G767,IF(OR(S767="Pendapatan",S767="Pendapatan Lainnya",S767="Beban",S767="Harga Pokok Penjualan",S767="Beban Lainnya"),"kr"&amp;G767,""))</f>
        <v>db</v>
      </c>
      <c r="X767" s="34" t="str">
        <f>IF(B767="","",COUNTIF($C$8:C767,C767)&amp;C767)</f>
        <v>0</v>
      </c>
    </row>
    <row r="768" spans="2:24" ht="23.1" customHeight="1">
      <c r="B768" s="31">
        <v>44834</v>
      </c>
      <c r="C768" s="9"/>
      <c r="D768" s="9" t="s">
        <v>647</v>
      </c>
      <c r="E768" s="7"/>
      <c r="F768" s="7"/>
      <c r="G768" s="7"/>
      <c r="H768" s="7" t="s">
        <v>631</v>
      </c>
      <c r="I768" s="7" t="s">
        <v>582</v>
      </c>
      <c r="J768" s="39">
        <v>350000</v>
      </c>
      <c r="L768" s="16">
        <f t="shared" si="535"/>
        <v>1</v>
      </c>
      <c r="M768" s="16" t="str">
        <f t="shared" si="536"/>
        <v>September</v>
      </c>
      <c r="N768" s="16" t="str">
        <f t="shared" si="537"/>
        <v/>
      </c>
      <c r="O768" s="16" t="str">
        <f>IF(N768="","",COUNTIF($N$8:N768,N768))</f>
        <v/>
      </c>
      <c r="P768" s="34" t="str">
        <f t="shared" si="538"/>
        <v>outBeban</v>
      </c>
      <c r="Q768" s="34" t="str">
        <f t="shared" si="539"/>
        <v>outSeptemberBeban</v>
      </c>
      <c r="R768" s="34" t="str">
        <f t="shared" si="540"/>
        <v>Beban</v>
      </c>
      <c r="S768" s="34" t="str">
        <f t="shared" si="541"/>
        <v>Kas</v>
      </c>
      <c r="T768" s="34" t="str">
        <f t="shared" si="542"/>
        <v/>
      </c>
      <c r="U768" s="34" t="str">
        <f>IF(AND(L768=1,bp_kode=T768,T768&lt;&gt;""),COUNTIF($T$8:T768,T768),"")</f>
        <v/>
      </c>
      <c r="V768" s="34" t="str">
        <f t="shared" si="543"/>
        <v>db</v>
      </c>
      <c r="W768" s="34" t="str">
        <f t="shared" si="544"/>
        <v>db</v>
      </c>
      <c r="X768" s="34" t="str">
        <f>IF(B768="","",COUNTIF($C$8:C768,C768)&amp;C768)</f>
        <v>0</v>
      </c>
    </row>
    <row r="769" spans="2:24" ht="23.1" customHeight="1">
      <c r="B769" s="31">
        <v>44834</v>
      </c>
      <c r="C769" s="9"/>
      <c r="D769" s="9" t="s">
        <v>781</v>
      </c>
      <c r="E769" s="7"/>
      <c r="F769" s="7"/>
      <c r="G769" s="7"/>
      <c r="H769" s="7" t="s">
        <v>782</v>
      </c>
      <c r="I769" s="7" t="s">
        <v>582</v>
      </c>
      <c r="J769" s="39">
        <v>14963564</v>
      </c>
      <c r="L769" s="16">
        <f t="shared" ref="L769" si="545">IF(AND(B769&gt;=awal,B769&lt;=akhir,B769&lt;&gt;""),1,IF(AND(B769&lt;&gt;"",B769&lt;awal),2,""))</f>
        <v>1</v>
      </c>
      <c r="M769" s="16" t="str">
        <f t="shared" ref="M769" si="546">IF(B769="","",TEXT(B769,"mmmm"))</f>
        <v>September</v>
      </c>
      <c r="N769" s="16" t="str">
        <f t="shared" ref="N769" si="547">IF(AND(L769=1,H769=bb_akun),"Awe",IF(AND(L769=1,I769=bb_akun),"Awe",""))</f>
        <v/>
      </c>
      <c r="O769" s="16" t="str">
        <f>IF(N769="","",COUNTIF($N$8:N769,N769))</f>
        <v/>
      </c>
      <c r="P769" s="34" t="str">
        <f t="shared" ref="P769" si="548">IFERROR(IF(OR(INDEX(akun_type,MATCH(H769,akun_kb,0))="Kas",INDEX(akun_type,MATCH(H769,akun_kb,0))="Bank"),"In"&amp;INDEX(akun_type,MATCH(I769,akun_kb,0)),IF(OR(INDEX(akun_type,MATCH(I769,akun_kb,0))="Kas",INDEX(akun_type,MATCH(I769,akun_kb,0))="Bank"),"out"&amp;INDEX(akun_type,MATCH(H769,akun_kb,0)),"")),"")</f>
        <v>outBeban</v>
      </c>
      <c r="Q769" s="34" t="str">
        <f t="shared" ref="Q769" si="549">IFERROR(IF(OR(INDEX(akun_type,MATCH(H769,akun_kb,0))="Kas",INDEX(akun_type,MATCH(H769,akun_kb,0))="Bank"),"in"&amp;TEXT(B769,"mmmm")&amp;INDEX(akun_type,MATCH(I769,akun_kb,0)),IF(OR(INDEX(akun_type,MATCH(I769,akun_kb,0))="Kas",INDEX(akun_type,MATCH(I769,akun_kb,0))="Bank"),"out"&amp;TEXT(B769,"mmmm")&amp;INDEX(akun_type,MATCH(H769,akun_kb,0)),"")),"")</f>
        <v>outSeptemberBeban</v>
      </c>
      <c r="R769" s="34" t="str">
        <f t="shared" ref="R769" si="550">IFERROR(INDEX(akun_type,MATCH(H769,akun_kb,0)),"")</f>
        <v>Beban</v>
      </c>
      <c r="S769" s="34" t="str">
        <f t="shared" ref="S769" si="551">IFERROR(INDEX(akun_type,MATCH(I769,akun_kb,0)),"")</f>
        <v>Kas</v>
      </c>
      <c r="T769" s="34" t="str">
        <f t="shared" ref="T769" si="552">IF(AND(L769=1,OR(R769="Akun Piutang",R769="akun hutang",S769="akun piutang",S769="akun hutang")),E769,"")</f>
        <v/>
      </c>
      <c r="U769" s="34" t="str">
        <f>IF(AND(L769=1,bp_kode=T769,T769&lt;&gt;""),COUNTIF($T$8:T769,T769),"")</f>
        <v/>
      </c>
      <c r="V769" s="34" t="str">
        <f t="shared" ref="V769" si="553">IF(OR(R769="Pendapatan",R769="Pendapatan Lainnya",R769="Beban",R769="Harga Pokok Penjualan",R769="Beban Lainnya"),"db"&amp;F769,IF(OR(S769="Pendapatan",S769="Pendapatan Lainnya",S769="Beban",S769="Harga Pokok Penjualan",S769="Beban Lainnya"),"kr"&amp;F769,""))</f>
        <v>db</v>
      </c>
      <c r="W769" s="34" t="str">
        <f t="shared" ref="W769" si="554">IF(OR(R769="Pendapatan",R769="Pendapatan Lainnya",R769="Beban",R769="Harga Pokok Penjualan",R769="Beban Lainnya"),"db"&amp;G769,IF(OR(S769="Pendapatan",S769="Pendapatan Lainnya",S769="Beban",S769="Harga Pokok Penjualan",S769="Beban Lainnya"),"kr"&amp;G769,""))</f>
        <v>db</v>
      </c>
      <c r="X769" s="34" t="str">
        <f>IF(B769="","",COUNTIF($C$8:C769,C769)&amp;C769)</f>
        <v>0</v>
      </c>
    </row>
    <row r="770" spans="2:24" ht="23.1" customHeight="1">
      <c r="B770" s="31">
        <v>44834</v>
      </c>
      <c r="C770" s="9"/>
      <c r="D770" s="9" t="s">
        <v>648</v>
      </c>
      <c r="E770" s="7"/>
      <c r="F770" s="7"/>
      <c r="G770" s="7"/>
      <c r="H770" s="7" t="s">
        <v>632</v>
      </c>
      <c r="I770" s="7" t="s">
        <v>582</v>
      </c>
      <c r="J770" s="39">
        <v>625000</v>
      </c>
      <c r="L770" s="16">
        <f t="shared" si="535"/>
        <v>1</v>
      </c>
      <c r="M770" s="16" t="str">
        <f t="shared" si="536"/>
        <v>September</v>
      </c>
      <c r="N770" s="16" t="str">
        <f t="shared" si="537"/>
        <v/>
      </c>
      <c r="O770" s="16" t="str">
        <f>IF(N770="","",COUNTIF($N$8:N770,N770))</f>
        <v/>
      </c>
      <c r="P770" s="34" t="str">
        <f t="shared" si="538"/>
        <v>outBeban</v>
      </c>
      <c r="Q770" s="34" t="str">
        <f t="shared" si="539"/>
        <v>outSeptemberBeban</v>
      </c>
      <c r="R770" s="34" t="str">
        <f t="shared" si="540"/>
        <v>Beban</v>
      </c>
      <c r="S770" s="34" t="str">
        <f t="shared" si="541"/>
        <v>Kas</v>
      </c>
      <c r="T770" s="34" t="str">
        <f t="shared" si="542"/>
        <v/>
      </c>
      <c r="U770" s="34" t="str">
        <f>IF(AND(L770=1,bp_kode=T770,T770&lt;&gt;""),COUNTIF($T$8:T770,T770),"")</f>
        <v/>
      </c>
      <c r="V770" s="34" t="str">
        <f t="shared" si="543"/>
        <v>db</v>
      </c>
      <c r="W770" s="34" t="str">
        <f t="shared" si="544"/>
        <v>db</v>
      </c>
      <c r="X770" s="34" t="str">
        <f>IF(B770="","",COUNTIF($C$8:C770,C770)&amp;C770)</f>
        <v>0</v>
      </c>
    </row>
    <row r="771" spans="2:24" ht="23.1" customHeight="1">
      <c r="B771" s="31">
        <v>44834</v>
      </c>
      <c r="C771" s="9"/>
      <c r="D771" s="9" t="s">
        <v>649</v>
      </c>
      <c r="E771" s="7"/>
      <c r="F771" s="7"/>
      <c r="G771" s="7"/>
      <c r="H771" s="7" t="s">
        <v>633</v>
      </c>
      <c r="I771" s="7" t="s">
        <v>582</v>
      </c>
      <c r="J771" s="39">
        <v>2019314</v>
      </c>
      <c r="L771" s="16">
        <f t="shared" si="535"/>
        <v>1</v>
      </c>
      <c r="M771" s="16" t="str">
        <f t="shared" si="536"/>
        <v>September</v>
      </c>
      <c r="N771" s="16" t="str">
        <f t="shared" si="537"/>
        <v/>
      </c>
      <c r="O771" s="16" t="str">
        <f>IF(N771="","",COUNTIF($N$8:N771,N771))</f>
        <v/>
      </c>
      <c r="P771" s="34" t="str">
        <f t="shared" si="538"/>
        <v>outBeban</v>
      </c>
      <c r="Q771" s="34" t="str">
        <f t="shared" si="539"/>
        <v>outSeptemberBeban</v>
      </c>
      <c r="R771" s="34" t="str">
        <f t="shared" si="540"/>
        <v>Beban</v>
      </c>
      <c r="S771" s="34" t="str">
        <f t="shared" si="541"/>
        <v>Kas</v>
      </c>
      <c r="T771" s="34" t="str">
        <f t="shared" si="542"/>
        <v/>
      </c>
      <c r="U771" s="34" t="str">
        <f>IF(AND(L771=1,bp_kode=T771,T771&lt;&gt;""),COUNTIF($T$8:T771,T771),"")</f>
        <v/>
      </c>
      <c r="V771" s="34" t="str">
        <f t="shared" si="543"/>
        <v>db</v>
      </c>
      <c r="W771" s="34" t="str">
        <f t="shared" si="544"/>
        <v>db</v>
      </c>
      <c r="X771" s="34" t="str">
        <f>IF(B771="","",COUNTIF($C$8:C771,C771)&amp;C771)</f>
        <v>0</v>
      </c>
    </row>
    <row r="772" spans="2:24" ht="23.1" customHeight="1">
      <c r="B772" s="31">
        <v>44834</v>
      </c>
      <c r="C772" s="9"/>
      <c r="D772" s="9" t="s">
        <v>650</v>
      </c>
      <c r="E772" s="7"/>
      <c r="F772" s="7"/>
      <c r="G772" s="7"/>
      <c r="H772" s="7" t="s">
        <v>634</v>
      </c>
      <c r="I772" s="7" t="s">
        <v>582</v>
      </c>
      <c r="J772" s="39">
        <v>6304261</v>
      </c>
      <c r="L772" s="16">
        <f t="shared" si="535"/>
        <v>1</v>
      </c>
      <c r="M772" s="16" t="str">
        <f t="shared" si="536"/>
        <v>September</v>
      </c>
      <c r="N772" s="16" t="str">
        <f t="shared" si="537"/>
        <v/>
      </c>
      <c r="O772" s="16" t="str">
        <f>IF(N772="","",COUNTIF($N$8:N772,N772))</f>
        <v/>
      </c>
      <c r="P772" s="34" t="str">
        <f t="shared" si="538"/>
        <v>outBeban</v>
      </c>
      <c r="Q772" s="34" t="str">
        <f t="shared" si="539"/>
        <v>outSeptemberBeban</v>
      </c>
      <c r="R772" s="34" t="str">
        <f t="shared" si="540"/>
        <v>Beban</v>
      </c>
      <c r="S772" s="34" t="str">
        <f t="shared" si="541"/>
        <v>Kas</v>
      </c>
      <c r="T772" s="34" t="str">
        <f t="shared" si="542"/>
        <v/>
      </c>
      <c r="U772" s="34" t="str">
        <f>IF(AND(L772=1,bp_kode=T772,T772&lt;&gt;""),COUNTIF($T$8:T772,T772),"")</f>
        <v/>
      </c>
      <c r="V772" s="34" t="str">
        <f t="shared" si="543"/>
        <v>db</v>
      </c>
      <c r="W772" s="34" t="str">
        <f t="shared" si="544"/>
        <v>db</v>
      </c>
      <c r="X772" s="34" t="str">
        <f>IF(B772="","",COUNTIF($C$8:C772,C772)&amp;C772)</f>
        <v>0</v>
      </c>
    </row>
    <row r="773" spans="2:24" ht="23.1" customHeight="1">
      <c r="B773" s="31">
        <v>44834</v>
      </c>
      <c r="C773" s="9"/>
      <c r="D773" s="9" t="s">
        <v>651</v>
      </c>
      <c r="E773" s="7"/>
      <c r="F773" s="7"/>
      <c r="G773" s="7"/>
      <c r="H773" s="7" t="s">
        <v>635</v>
      </c>
      <c r="I773" s="7" t="s">
        <v>582</v>
      </c>
      <c r="J773" s="39">
        <v>3391500</v>
      </c>
      <c r="L773" s="16">
        <f t="shared" si="535"/>
        <v>1</v>
      </c>
      <c r="M773" s="16" t="str">
        <f t="shared" si="536"/>
        <v>September</v>
      </c>
      <c r="N773" s="16" t="str">
        <f t="shared" si="537"/>
        <v/>
      </c>
      <c r="O773" s="16" t="str">
        <f>IF(N773="","",COUNTIF($N$8:N773,N773))</f>
        <v/>
      </c>
      <c r="P773" s="34" t="str">
        <f t="shared" si="538"/>
        <v>outBeban</v>
      </c>
      <c r="Q773" s="34" t="str">
        <f t="shared" si="539"/>
        <v>outSeptemberBeban</v>
      </c>
      <c r="R773" s="34" t="str">
        <f t="shared" si="540"/>
        <v>Beban</v>
      </c>
      <c r="S773" s="34" t="str">
        <f t="shared" si="541"/>
        <v>Kas</v>
      </c>
      <c r="T773" s="34" t="str">
        <f t="shared" si="542"/>
        <v/>
      </c>
      <c r="U773" s="34" t="str">
        <f>IF(AND(L773=1,bp_kode=T773,T773&lt;&gt;""),COUNTIF($T$8:T773,T773),"")</f>
        <v/>
      </c>
      <c r="V773" s="34" t="str">
        <f t="shared" si="543"/>
        <v>db</v>
      </c>
      <c r="W773" s="34" t="str">
        <f t="shared" si="544"/>
        <v>db</v>
      </c>
      <c r="X773" s="34" t="str">
        <f>IF(B773="","",COUNTIF($C$8:C773,C773)&amp;C773)</f>
        <v>0</v>
      </c>
    </row>
    <row r="774" spans="2:24" ht="23.1" customHeight="1">
      <c r="B774" s="31">
        <v>44834</v>
      </c>
      <c r="C774" s="9"/>
      <c r="D774" s="9" t="s">
        <v>652</v>
      </c>
      <c r="E774" s="7"/>
      <c r="F774" s="7"/>
      <c r="G774" s="7"/>
      <c r="H774" s="7" t="s">
        <v>636</v>
      </c>
      <c r="I774" s="7" t="s">
        <v>582</v>
      </c>
      <c r="J774" s="39">
        <v>10899612</v>
      </c>
      <c r="L774" s="16">
        <f t="shared" si="535"/>
        <v>1</v>
      </c>
      <c r="M774" s="16" t="str">
        <f t="shared" ref="M774:M2098" si="555">IF(B774="","",TEXT(B774,"mmmm"))</f>
        <v>September</v>
      </c>
      <c r="N774" s="16" t="str">
        <f t="shared" si="537"/>
        <v/>
      </c>
      <c r="O774" s="16" t="str">
        <f>IF(N774="","",COUNTIF($N$8:N774,N774))</f>
        <v/>
      </c>
      <c r="P774" s="34" t="str">
        <f t="shared" si="538"/>
        <v>outBeban</v>
      </c>
      <c r="Q774" s="34" t="str">
        <f t="shared" si="539"/>
        <v>outSeptemberBeban</v>
      </c>
      <c r="R774" s="34" t="str">
        <f t="shared" ref="R774:R2098" si="556">IFERROR(INDEX(akun_type,MATCH(H774,akun_kb,0)),"")</f>
        <v>Beban</v>
      </c>
      <c r="S774" s="34" t="str">
        <f t="shared" ref="S774:S2098" si="557">IFERROR(INDEX(akun_type,MATCH(I774,akun_kb,0)),"")</f>
        <v>Kas</v>
      </c>
      <c r="T774" s="34" t="str">
        <f t="shared" ref="T774:T2098" si="558">IF(AND(L774=1,OR(R774="Akun Piutang",R774="akun hutang",S774="akun piutang",S774="akun hutang")),E774,"")</f>
        <v/>
      </c>
      <c r="U774" s="34" t="str">
        <f>IF(AND(L774=1,bp_kode=T774,T774&lt;&gt;""),COUNTIF($T$8:T774,T774),"")</f>
        <v/>
      </c>
      <c r="V774" s="34" t="str">
        <f t="shared" ref="V774:V2098" si="559">IF(OR(R774="Pendapatan",R774="Pendapatan Lainnya",R774="Beban",R774="Harga Pokok Penjualan",R774="Beban Lainnya"),"db"&amp;F774,IF(OR(S774="Pendapatan",S774="Pendapatan Lainnya",S774="Beban",S774="Harga Pokok Penjualan",S774="Beban Lainnya"),"kr"&amp;F774,""))</f>
        <v>db</v>
      </c>
      <c r="W774" s="34" t="str">
        <f t="shared" ref="W774:W2098" si="560">IF(OR(R774="Pendapatan",R774="Pendapatan Lainnya",R774="Beban",R774="Harga Pokok Penjualan",R774="Beban Lainnya"),"db"&amp;G774,IF(OR(S774="Pendapatan",S774="Pendapatan Lainnya",S774="Beban",S774="Harga Pokok Penjualan",S774="Beban Lainnya"),"kr"&amp;G774,""))</f>
        <v>db</v>
      </c>
      <c r="X774" s="34" t="str">
        <f>IF(B774="","",COUNTIF($C$8:C774,C774)&amp;C774)</f>
        <v>0</v>
      </c>
    </row>
    <row r="775" spans="2:24" ht="23.1" customHeight="1">
      <c r="B775" s="31">
        <v>44834</v>
      </c>
      <c r="C775" s="9"/>
      <c r="D775" s="9" t="s">
        <v>653</v>
      </c>
      <c r="E775" s="7"/>
      <c r="F775" s="7"/>
      <c r="G775" s="7"/>
      <c r="H775" s="7" t="s">
        <v>637</v>
      </c>
      <c r="I775" s="7" t="s">
        <v>582</v>
      </c>
      <c r="J775" s="39">
        <v>8839200</v>
      </c>
      <c r="L775" s="16">
        <f t="shared" si="535"/>
        <v>1</v>
      </c>
      <c r="M775" s="16" t="str">
        <f t="shared" si="555"/>
        <v>September</v>
      </c>
      <c r="N775" s="16" t="str">
        <f t="shared" si="537"/>
        <v/>
      </c>
      <c r="O775" s="16" t="str">
        <f>IF(N775="","",COUNTIF($N$8:N775,N775))</f>
        <v/>
      </c>
      <c r="P775" s="34" t="str">
        <f t="shared" si="538"/>
        <v>outBeban</v>
      </c>
      <c r="Q775" s="34" t="str">
        <f t="shared" si="539"/>
        <v>outSeptemberBeban</v>
      </c>
      <c r="R775" s="34" t="str">
        <f t="shared" si="556"/>
        <v>Beban</v>
      </c>
      <c r="S775" s="34" t="str">
        <f t="shared" si="557"/>
        <v>Kas</v>
      </c>
      <c r="T775" s="34" t="str">
        <f t="shared" si="558"/>
        <v/>
      </c>
      <c r="U775" s="34" t="str">
        <f>IF(AND(L775=1,bp_kode=T775,T775&lt;&gt;""),COUNTIF($T$8:T775,T775),"")</f>
        <v/>
      </c>
      <c r="V775" s="34" t="str">
        <f t="shared" si="559"/>
        <v>db</v>
      </c>
      <c r="W775" s="34" t="str">
        <f t="shared" si="560"/>
        <v>db</v>
      </c>
      <c r="X775" s="34" t="str">
        <f>IF(B775="","",COUNTIF($C$8:C775,C775)&amp;C775)</f>
        <v>0</v>
      </c>
    </row>
    <row r="776" spans="2:24" ht="23.1" customHeight="1">
      <c r="B776" s="31">
        <v>44834</v>
      </c>
      <c r="C776" s="9"/>
      <c r="D776" s="9" t="s">
        <v>750</v>
      </c>
      <c r="E776" s="7"/>
      <c r="F776" s="7"/>
      <c r="G776" s="7"/>
      <c r="H776" s="7" t="s">
        <v>856</v>
      </c>
      <c r="I776" s="7" t="s">
        <v>582</v>
      </c>
      <c r="J776" s="39">
        <v>126859459</v>
      </c>
      <c r="L776" s="16">
        <f t="shared" si="535"/>
        <v>1</v>
      </c>
      <c r="M776" s="16" t="str">
        <f t="shared" si="555"/>
        <v>September</v>
      </c>
      <c r="N776" s="16" t="str">
        <f t="shared" si="537"/>
        <v/>
      </c>
      <c r="O776" s="16" t="str">
        <f>IF(N776="","",COUNTIF($N$8:N776,N776))</f>
        <v/>
      </c>
      <c r="P776" s="34" t="str">
        <f t="shared" si="538"/>
        <v>outBeban</v>
      </c>
      <c r="Q776" s="34" t="str">
        <f t="shared" si="539"/>
        <v>outSeptemberBeban</v>
      </c>
      <c r="R776" s="34" t="str">
        <f t="shared" si="556"/>
        <v>Beban</v>
      </c>
      <c r="S776" s="34" t="str">
        <f t="shared" si="557"/>
        <v>Kas</v>
      </c>
      <c r="T776" s="34" t="str">
        <f t="shared" si="558"/>
        <v/>
      </c>
      <c r="U776" s="34" t="str">
        <f>IF(AND(L776=1,bp_kode=T776,T776&lt;&gt;""),COUNTIF($T$8:T776,T776),"")</f>
        <v/>
      </c>
      <c r="V776" s="34" t="str">
        <f t="shared" si="559"/>
        <v>db</v>
      </c>
      <c r="W776" s="34" t="str">
        <f t="shared" si="560"/>
        <v>db</v>
      </c>
      <c r="X776" s="34" t="str">
        <f>IF(B776="","",COUNTIF($C$8:C776,C776)&amp;C776)</f>
        <v>0</v>
      </c>
    </row>
    <row r="777" spans="2:24" ht="23.1" customHeight="1">
      <c r="B777" s="31">
        <v>44834</v>
      </c>
      <c r="C777" s="9"/>
      <c r="D777" s="9" t="s">
        <v>655</v>
      </c>
      <c r="E777" s="7"/>
      <c r="F777" s="7"/>
      <c r="G777" s="7"/>
      <c r="H777" s="7" t="s">
        <v>786</v>
      </c>
      <c r="I777" s="7" t="s">
        <v>582</v>
      </c>
      <c r="J777" s="39">
        <v>203530675</v>
      </c>
      <c r="L777" s="16">
        <f t="shared" si="535"/>
        <v>1</v>
      </c>
      <c r="M777" s="16" t="str">
        <f t="shared" si="555"/>
        <v>September</v>
      </c>
      <c r="N777" s="16" t="str">
        <f t="shared" si="537"/>
        <v/>
      </c>
      <c r="O777" s="16" t="str">
        <f>IF(N777="","",COUNTIF($N$8:N777,N777))</f>
        <v/>
      </c>
      <c r="P777" s="34" t="str">
        <f t="shared" si="538"/>
        <v>outBeban</v>
      </c>
      <c r="Q777" s="34" t="str">
        <f t="shared" si="539"/>
        <v>outSeptemberBeban</v>
      </c>
      <c r="R777" s="34" t="str">
        <f t="shared" si="556"/>
        <v>Beban</v>
      </c>
      <c r="S777" s="34" t="str">
        <f t="shared" si="557"/>
        <v>Kas</v>
      </c>
      <c r="T777" s="34" t="str">
        <f t="shared" si="558"/>
        <v/>
      </c>
      <c r="U777" s="34" t="str">
        <f>IF(AND(L777=1,bp_kode=T777,T777&lt;&gt;""),COUNTIF($T$8:T777,T777),"")</f>
        <v/>
      </c>
      <c r="V777" s="34" t="str">
        <f t="shared" si="559"/>
        <v>db</v>
      </c>
      <c r="W777" s="34" t="str">
        <f t="shared" si="560"/>
        <v>db</v>
      </c>
      <c r="X777" s="34" t="str">
        <f>IF(B777="","",COUNTIF($C$8:C777,C777)&amp;C777)</f>
        <v>0</v>
      </c>
    </row>
    <row r="778" spans="2:24" ht="23.1" customHeight="1">
      <c r="B778" s="31">
        <v>44834</v>
      </c>
      <c r="C778" s="9"/>
      <c r="D778" s="9" t="s">
        <v>720</v>
      </c>
      <c r="E778" s="7"/>
      <c r="F778" s="7"/>
      <c r="G778" s="7"/>
      <c r="H778" s="7" t="s">
        <v>719</v>
      </c>
      <c r="I778" s="7" t="s">
        <v>582</v>
      </c>
      <c r="J778" s="39">
        <v>400000</v>
      </c>
      <c r="L778" s="16">
        <f t="shared" si="535"/>
        <v>1</v>
      </c>
      <c r="M778" s="16" t="str">
        <f t="shared" si="555"/>
        <v>September</v>
      </c>
      <c r="N778" s="16" t="str">
        <f t="shared" si="537"/>
        <v/>
      </c>
      <c r="O778" s="16" t="str">
        <f>IF(N778="","",COUNTIF($N$8:N778,N778))</f>
        <v/>
      </c>
      <c r="P778" s="34" t="str">
        <f t="shared" si="538"/>
        <v>outBeban</v>
      </c>
      <c r="Q778" s="34" t="str">
        <f t="shared" si="539"/>
        <v>outSeptemberBeban</v>
      </c>
      <c r="R778" s="34" t="str">
        <f t="shared" si="556"/>
        <v>Beban</v>
      </c>
      <c r="S778" s="34" t="str">
        <f t="shared" si="557"/>
        <v>Kas</v>
      </c>
      <c r="T778" s="34" t="str">
        <f t="shared" si="558"/>
        <v/>
      </c>
      <c r="U778" s="34" t="str">
        <f>IF(AND(L778=1,bp_kode=T778,T778&lt;&gt;""),COUNTIF($T$8:T778,T778),"")</f>
        <v/>
      </c>
      <c r="V778" s="34" t="str">
        <f t="shared" si="559"/>
        <v>db</v>
      </c>
      <c r="W778" s="34" t="str">
        <f t="shared" si="560"/>
        <v>db</v>
      </c>
      <c r="X778" s="34" t="str">
        <f>IF(B778="","",COUNTIF($C$8:C778,C778)&amp;C778)</f>
        <v>0</v>
      </c>
    </row>
    <row r="779" spans="2:24" ht="23.1" customHeight="1">
      <c r="B779" s="31">
        <v>44834</v>
      </c>
      <c r="C779" s="9"/>
      <c r="D779" s="9" t="s">
        <v>768</v>
      </c>
      <c r="E779" s="7"/>
      <c r="F779" s="7"/>
      <c r="G779" s="7"/>
      <c r="H779" s="7" t="s">
        <v>767</v>
      </c>
      <c r="I779" s="7" t="s">
        <v>582</v>
      </c>
      <c r="J779" s="39">
        <v>23596000</v>
      </c>
      <c r="L779" s="16">
        <f t="shared" si="535"/>
        <v>1</v>
      </c>
      <c r="M779" s="16" t="str">
        <f t="shared" si="555"/>
        <v>September</v>
      </c>
      <c r="N779" s="16" t="str">
        <f t="shared" si="537"/>
        <v/>
      </c>
      <c r="O779" s="16" t="str">
        <f>IF(N779="","",COUNTIF($N$8:N779,N779))</f>
        <v/>
      </c>
      <c r="P779" s="34" t="str">
        <f t="shared" si="538"/>
        <v>outBeban</v>
      </c>
      <c r="Q779" s="34" t="str">
        <f t="shared" si="539"/>
        <v>outSeptemberBeban</v>
      </c>
      <c r="R779" s="34" t="str">
        <f t="shared" si="556"/>
        <v>Beban</v>
      </c>
      <c r="S779" s="34" t="str">
        <f t="shared" si="557"/>
        <v>Kas</v>
      </c>
      <c r="T779" s="34" t="str">
        <f t="shared" si="558"/>
        <v/>
      </c>
      <c r="U779" s="34" t="str">
        <f>IF(AND(L779=1,bp_kode=T779,T779&lt;&gt;""),COUNTIF($T$8:T779,T779),"")</f>
        <v/>
      </c>
      <c r="V779" s="34" t="str">
        <f t="shared" si="559"/>
        <v>db</v>
      </c>
      <c r="W779" s="34" t="str">
        <f t="shared" si="560"/>
        <v>db</v>
      </c>
      <c r="X779" s="34" t="str">
        <f>IF(B779="","",COUNTIF($C$8:C779,C779)&amp;C779)</f>
        <v>0</v>
      </c>
    </row>
    <row r="780" spans="2:24" ht="23.1" customHeight="1">
      <c r="B780" s="31">
        <v>44834</v>
      </c>
      <c r="C780" s="9"/>
      <c r="D780" s="9" t="s">
        <v>663</v>
      </c>
      <c r="E780" s="7"/>
      <c r="F780" s="7"/>
      <c r="G780" s="7"/>
      <c r="H780" s="7" t="s">
        <v>658</v>
      </c>
      <c r="I780" s="7" t="s">
        <v>671</v>
      </c>
      <c r="J780" s="39">
        <v>2806459</v>
      </c>
      <c r="L780" s="16">
        <f t="shared" si="535"/>
        <v>1</v>
      </c>
      <c r="M780" s="16" t="str">
        <f t="shared" si="555"/>
        <v>September</v>
      </c>
      <c r="N780" s="16" t="str">
        <f t="shared" si="537"/>
        <v/>
      </c>
      <c r="O780" s="16" t="str">
        <f>IF(N780="","",COUNTIF($N$8:N780,N780))</f>
        <v/>
      </c>
      <c r="P780" s="34" t="str">
        <f t="shared" si="538"/>
        <v/>
      </c>
      <c r="Q780" s="34" t="str">
        <f t="shared" si="539"/>
        <v/>
      </c>
      <c r="R780" s="34" t="str">
        <f t="shared" si="556"/>
        <v>Beban</v>
      </c>
      <c r="S780" s="34" t="str">
        <f t="shared" si="557"/>
        <v>Depresiasi &amp; Amortisasi</v>
      </c>
      <c r="T780" s="34" t="str">
        <f t="shared" si="558"/>
        <v/>
      </c>
      <c r="U780" s="34" t="str">
        <f>IF(AND(L780=1,bp_kode=T780,T780&lt;&gt;""),COUNTIF($T$8:T780,T780),"")</f>
        <v/>
      </c>
      <c r="V780" s="34" t="str">
        <f t="shared" si="559"/>
        <v>db</v>
      </c>
      <c r="W780" s="34" t="str">
        <f t="shared" si="560"/>
        <v>db</v>
      </c>
      <c r="X780" s="34" t="str">
        <f>IF(B780="","",COUNTIF($C$8:C780,C780)&amp;C780)</f>
        <v>0</v>
      </c>
    </row>
    <row r="781" spans="2:24" ht="23.1" customHeight="1">
      <c r="B781" s="31">
        <v>44834</v>
      </c>
      <c r="C781" s="9"/>
      <c r="D781" s="9" t="s">
        <v>664</v>
      </c>
      <c r="E781" s="7"/>
      <c r="F781" s="7"/>
      <c r="G781" s="7"/>
      <c r="H781" s="7" t="s">
        <v>660</v>
      </c>
      <c r="I781" s="7" t="s">
        <v>659</v>
      </c>
      <c r="J781" s="39">
        <v>29031950</v>
      </c>
      <c r="L781" s="16">
        <f t="shared" si="535"/>
        <v>1</v>
      </c>
      <c r="M781" s="16" t="str">
        <f t="shared" si="555"/>
        <v>September</v>
      </c>
      <c r="N781" s="16" t="str">
        <f t="shared" si="537"/>
        <v/>
      </c>
      <c r="O781" s="16" t="str">
        <f>IF(N781="","",COUNTIF($N$8:N781,N781))</f>
        <v/>
      </c>
      <c r="P781" s="34" t="str">
        <f t="shared" si="538"/>
        <v/>
      </c>
      <c r="Q781" s="34" t="str">
        <f t="shared" si="539"/>
        <v/>
      </c>
      <c r="R781" s="34" t="str">
        <f t="shared" si="556"/>
        <v>Beban</v>
      </c>
      <c r="S781" s="34" t="str">
        <f t="shared" si="557"/>
        <v>Depresiasi &amp; Amortisasi</v>
      </c>
      <c r="T781" s="34" t="str">
        <f t="shared" si="558"/>
        <v/>
      </c>
      <c r="U781" s="34" t="str">
        <f>IF(AND(L781=1,bp_kode=T781,T781&lt;&gt;""),COUNTIF($T$8:T781,T781),"")</f>
        <v/>
      </c>
      <c r="V781" s="34" t="str">
        <f t="shared" si="559"/>
        <v>db</v>
      </c>
      <c r="W781" s="34" t="str">
        <f t="shared" si="560"/>
        <v>db</v>
      </c>
      <c r="X781" s="34" t="str">
        <f>IF(B781="","",COUNTIF($C$8:C781,C781)&amp;C781)</f>
        <v>0</v>
      </c>
    </row>
    <row r="782" spans="2:24" ht="23.1" customHeight="1">
      <c r="B782" s="31">
        <v>44834</v>
      </c>
      <c r="C782" s="9"/>
      <c r="D782" s="9" t="s">
        <v>665</v>
      </c>
      <c r="E782" s="7"/>
      <c r="F782" s="7"/>
      <c r="G782" s="7"/>
      <c r="H782" s="7" t="s">
        <v>661</v>
      </c>
      <c r="I782" s="7" t="s">
        <v>672</v>
      </c>
      <c r="J782" s="39">
        <v>41666</v>
      </c>
      <c r="L782" s="16">
        <f t="shared" si="535"/>
        <v>1</v>
      </c>
      <c r="M782" s="16" t="str">
        <f t="shared" si="555"/>
        <v>September</v>
      </c>
      <c r="N782" s="16" t="str">
        <f t="shared" si="537"/>
        <v/>
      </c>
      <c r="O782" s="16" t="str">
        <f>IF(N782="","",COUNTIF($N$8:N782,N782))</f>
        <v/>
      </c>
      <c r="P782" s="34" t="str">
        <f t="shared" si="538"/>
        <v/>
      </c>
      <c r="Q782" s="34" t="str">
        <f t="shared" si="539"/>
        <v/>
      </c>
      <c r="R782" s="34" t="str">
        <f t="shared" si="556"/>
        <v>Beban</v>
      </c>
      <c r="S782" s="34" t="str">
        <f t="shared" si="557"/>
        <v>Depresiasi &amp; Amortisasi</v>
      </c>
      <c r="T782" s="34" t="str">
        <f t="shared" si="558"/>
        <v/>
      </c>
      <c r="U782" s="34" t="str">
        <f>IF(AND(L782=1,bp_kode=T782,T782&lt;&gt;""),COUNTIF($T$8:T782,T782),"")</f>
        <v/>
      </c>
      <c r="V782" s="34" t="str">
        <f t="shared" si="559"/>
        <v>db</v>
      </c>
      <c r="W782" s="34" t="str">
        <f t="shared" si="560"/>
        <v>db</v>
      </c>
      <c r="X782" s="34" t="str">
        <f>IF(B782="","",COUNTIF($C$8:C782,C782)&amp;C782)</f>
        <v>0</v>
      </c>
    </row>
    <row r="783" spans="2:24" ht="23.1" customHeight="1">
      <c r="B783" s="31">
        <v>44834</v>
      </c>
      <c r="C783" s="9"/>
      <c r="D783" s="9" t="s">
        <v>666</v>
      </c>
      <c r="E783" s="7"/>
      <c r="F783" s="7"/>
      <c r="G783" s="7"/>
      <c r="H783" s="7" t="s">
        <v>662</v>
      </c>
      <c r="I783" s="7" t="s">
        <v>673</v>
      </c>
      <c r="J783" s="39">
        <v>5654493</v>
      </c>
      <c r="L783" s="16">
        <f t="shared" si="535"/>
        <v>1</v>
      </c>
      <c r="M783" s="16" t="str">
        <f t="shared" si="555"/>
        <v>September</v>
      </c>
      <c r="N783" s="16" t="str">
        <f t="shared" si="537"/>
        <v/>
      </c>
      <c r="O783" s="16" t="str">
        <f>IF(N783="","",COUNTIF($N$8:N783,N783))</f>
        <v/>
      </c>
      <c r="P783" s="34" t="str">
        <f t="shared" si="538"/>
        <v/>
      </c>
      <c r="Q783" s="34" t="str">
        <f t="shared" si="539"/>
        <v/>
      </c>
      <c r="R783" s="34" t="str">
        <f t="shared" si="556"/>
        <v>Beban</v>
      </c>
      <c r="S783" s="34" t="str">
        <f t="shared" si="557"/>
        <v>Depresiasi &amp; Amortisasi</v>
      </c>
      <c r="T783" s="34" t="str">
        <f t="shared" si="558"/>
        <v/>
      </c>
      <c r="U783" s="34" t="str">
        <f>IF(AND(L783=1,bp_kode=T783,T783&lt;&gt;""),COUNTIF($T$8:T783,T783),"")</f>
        <v/>
      </c>
      <c r="V783" s="34" t="str">
        <f t="shared" si="559"/>
        <v>db</v>
      </c>
      <c r="W783" s="34" t="str">
        <f t="shared" si="560"/>
        <v>db</v>
      </c>
      <c r="X783" s="34" t="str">
        <f>IF(B783="","",COUNTIF($C$8:C783,C783)&amp;C783)</f>
        <v>0</v>
      </c>
    </row>
    <row r="784" spans="2:24" ht="23.1" customHeight="1">
      <c r="B784" s="31">
        <v>44834</v>
      </c>
      <c r="C784" s="9"/>
      <c r="D784" s="9" t="s">
        <v>669</v>
      </c>
      <c r="E784" s="7"/>
      <c r="F784" s="7"/>
      <c r="G784" s="7"/>
      <c r="H784" s="7" t="s">
        <v>667</v>
      </c>
      <c r="I784" s="7" t="s">
        <v>674</v>
      </c>
      <c r="J784" s="39">
        <v>17325229</v>
      </c>
      <c r="L784" s="16">
        <f t="shared" si="535"/>
        <v>1</v>
      </c>
      <c r="M784" s="16" t="str">
        <f t="shared" si="555"/>
        <v>September</v>
      </c>
      <c r="N784" s="16" t="str">
        <f t="shared" si="537"/>
        <v/>
      </c>
      <c r="O784" s="16" t="str">
        <f>IF(N784="","",COUNTIF($N$8:N784,N784))</f>
        <v/>
      </c>
      <c r="P784" s="34" t="str">
        <f t="shared" si="538"/>
        <v/>
      </c>
      <c r="Q784" s="34" t="str">
        <f t="shared" si="539"/>
        <v/>
      </c>
      <c r="R784" s="34" t="str">
        <f t="shared" si="556"/>
        <v>Beban</v>
      </c>
      <c r="S784" s="34" t="str">
        <f t="shared" si="557"/>
        <v>Depresiasi &amp; Amortisasi</v>
      </c>
      <c r="T784" s="34" t="str">
        <f t="shared" si="558"/>
        <v/>
      </c>
      <c r="U784" s="34" t="str">
        <f>IF(AND(L784=1,bp_kode=T784,T784&lt;&gt;""),COUNTIF($T$8:T784,T784),"")</f>
        <v/>
      </c>
      <c r="V784" s="34" t="str">
        <f t="shared" si="559"/>
        <v>db</v>
      </c>
      <c r="W784" s="34" t="str">
        <f t="shared" si="560"/>
        <v>db</v>
      </c>
      <c r="X784" s="34" t="str">
        <f>IF(B784="","",COUNTIF($C$8:C784,C784)&amp;C784)</f>
        <v>0</v>
      </c>
    </row>
    <row r="785" spans="2:24" ht="23.1" customHeight="1">
      <c r="B785" s="31">
        <v>44834</v>
      </c>
      <c r="C785" s="9"/>
      <c r="D785" s="9" t="s">
        <v>670</v>
      </c>
      <c r="E785" s="7"/>
      <c r="F785" s="7"/>
      <c r="G785" s="7"/>
      <c r="H785" s="7" t="s">
        <v>668</v>
      </c>
      <c r="I785" s="7" t="s">
        <v>675</v>
      </c>
      <c r="J785" s="39">
        <v>5265000</v>
      </c>
      <c r="L785" s="16">
        <f t="shared" si="535"/>
        <v>1</v>
      </c>
      <c r="M785" s="16" t="str">
        <f t="shared" si="555"/>
        <v>September</v>
      </c>
      <c r="N785" s="16" t="str">
        <f t="shared" si="537"/>
        <v/>
      </c>
      <c r="O785" s="16" t="str">
        <f>IF(N785="","",COUNTIF($N$8:N785,N785))</f>
        <v/>
      </c>
      <c r="P785" s="34" t="str">
        <f t="shared" si="538"/>
        <v/>
      </c>
      <c r="Q785" s="34" t="str">
        <f t="shared" si="539"/>
        <v/>
      </c>
      <c r="R785" s="34" t="str">
        <f t="shared" si="556"/>
        <v>Beban</v>
      </c>
      <c r="S785" s="34" t="str">
        <f t="shared" si="557"/>
        <v>Depresiasi &amp; Amortisasi</v>
      </c>
      <c r="T785" s="34" t="str">
        <f t="shared" si="558"/>
        <v/>
      </c>
      <c r="U785" s="34" t="str">
        <f>IF(AND(L785=1,bp_kode=T785,T785&lt;&gt;""),COUNTIF($T$8:T785,T785),"")</f>
        <v/>
      </c>
      <c r="V785" s="34" t="str">
        <f t="shared" si="559"/>
        <v>db</v>
      </c>
      <c r="W785" s="34" t="str">
        <f t="shared" si="560"/>
        <v>db</v>
      </c>
      <c r="X785" s="34" t="str">
        <f>IF(B785="","",COUNTIF($C$8:C785,C785)&amp;C785)</f>
        <v>0</v>
      </c>
    </row>
    <row r="786" spans="2:24" ht="23.1" customHeight="1">
      <c r="B786" s="31">
        <v>44834</v>
      </c>
      <c r="C786" s="9"/>
      <c r="D786" s="9" t="s">
        <v>670</v>
      </c>
      <c r="E786" s="7"/>
      <c r="F786" s="7"/>
      <c r="G786" s="7"/>
      <c r="H786" s="7" t="s">
        <v>668</v>
      </c>
      <c r="I786" s="7" t="s">
        <v>675</v>
      </c>
      <c r="J786" s="39">
        <v>186666.66666666666</v>
      </c>
      <c r="L786" s="16">
        <f t="shared" si="535"/>
        <v>1</v>
      </c>
      <c r="M786" s="16" t="str">
        <f t="shared" si="555"/>
        <v>September</v>
      </c>
      <c r="N786" s="16" t="str">
        <f t="shared" si="537"/>
        <v/>
      </c>
      <c r="O786" s="16" t="str">
        <f>IF(N786="","",COUNTIF($N$8:N786,N786))</f>
        <v/>
      </c>
      <c r="P786" s="34" t="str">
        <f t="shared" si="538"/>
        <v/>
      </c>
      <c r="Q786" s="34" t="str">
        <f t="shared" si="539"/>
        <v/>
      </c>
      <c r="R786" s="34" t="str">
        <f t="shared" si="556"/>
        <v>Beban</v>
      </c>
      <c r="S786" s="34" t="str">
        <f t="shared" si="557"/>
        <v>Depresiasi &amp; Amortisasi</v>
      </c>
      <c r="T786" s="34" t="str">
        <f t="shared" si="558"/>
        <v/>
      </c>
      <c r="U786" s="34" t="str">
        <f>IF(AND(L786=1,bp_kode=T786,T786&lt;&gt;""),COUNTIF($T$8:T786,T786),"")</f>
        <v/>
      </c>
      <c r="V786" s="34" t="str">
        <f t="shared" si="559"/>
        <v>db</v>
      </c>
      <c r="W786" s="34" t="str">
        <f t="shared" si="560"/>
        <v>db</v>
      </c>
      <c r="X786" s="34" t="str">
        <f>IF(B786="","",COUNTIF($C$8:C786,C786)&amp;C786)</f>
        <v>0</v>
      </c>
    </row>
    <row r="787" spans="2:24" s="362" customFormat="1" ht="23.1" customHeight="1">
      <c r="B787" s="358">
        <v>44834</v>
      </c>
      <c r="C787" s="359"/>
      <c r="D787" s="359" t="s">
        <v>666</v>
      </c>
      <c r="E787" s="360"/>
      <c r="F787" s="360"/>
      <c r="G787" s="360"/>
      <c r="H787" s="360" t="s">
        <v>662</v>
      </c>
      <c r="I787" s="360" t="s">
        <v>673</v>
      </c>
      <c r="J787" s="361">
        <v>383297</v>
      </c>
      <c r="L787" s="363">
        <f t="shared" si="535"/>
        <v>1</v>
      </c>
      <c r="M787" s="363" t="str">
        <f t="shared" si="555"/>
        <v>September</v>
      </c>
      <c r="N787" s="363" t="str">
        <f t="shared" si="537"/>
        <v/>
      </c>
      <c r="O787" s="363" t="str">
        <f>IF(N787="","",COUNTIF($N$8:N787,N787))</f>
        <v/>
      </c>
      <c r="P787" s="364" t="str">
        <f t="shared" si="538"/>
        <v/>
      </c>
      <c r="Q787" s="364" t="str">
        <f t="shared" si="539"/>
        <v/>
      </c>
      <c r="R787" s="364" t="str">
        <f t="shared" si="556"/>
        <v>Beban</v>
      </c>
      <c r="S787" s="364" t="str">
        <f t="shared" si="557"/>
        <v>Depresiasi &amp; Amortisasi</v>
      </c>
      <c r="T787" s="364" t="str">
        <f t="shared" si="558"/>
        <v/>
      </c>
      <c r="U787" s="364" t="str">
        <f>IF(AND(L787=1,bp_kode=T787,T787&lt;&gt;""),COUNTIF($T$8:T787,T787),"")</f>
        <v/>
      </c>
      <c r="V787" s="364" t="str">
        <f t="shared" si="559"/>
        <v>db</v>
      </c>
      <c r="W787" s="364" t="str">
        <f t="shared" si="560"/>
        <v>db</v>
      </c>
      <c r="X787" s="364" t="str">
        <f>IF(B787="","",COUNTIF($C$8:C787,C787)&amp;C787)</f>
        <v>0</v>
      </c>
    </row>
    <row r="788" spans="2:24" s="362" customFormat="1" ht="23.1" customHeight="1">
      <c r="B788" s="358">
        <v>44834</v>
      </c>
      <c r="C788" s="359"/>
      <c r="D788" s="359" t="s">
        <v>787</v>
      </c>
      <c r="E788" s="360"/>
      <c r="F788" s="360"/>
      <c r="G788" s="360"/>
      <c r="H788" s="360" t="s">
        <v>577</v>
      </c>
      <c r="I788" s="360" t="s">
        <v>684</v>
      </c>
      <c r="J788" s="361">
        <v>47342466</v>
      </c>
      <c r="L788" s="363">
        <f t="shared" si="535"/>
        <v>1</v>
      </c>
      <c r="M788" s="363" t="str">
        <f t="shared" si="555"/>
        <v>September</v>
      </c>
      <c r="N788" s="363" t="str">
        <f t="shared" si="537"/>
        <v/>
      </c>
      <c r="O788" s="363" t="str">
        <f>IF(N788="","",COUNTIF($N$8:N788,N788))</f>
        <v/>
      </c>
      <c r="P788" s="364" t="str">
        <f t="shared" si="538"/>
        <v>InPendapatan Lainnya</v>
      </c>
      <c r="Q788" s="364" t="str">
        <f t="shared" si="539"/>
        <v>inSeptemberPendapatan Lainnya</v>
      </c>
      <c r="R788" s="364" t="str">
        <f t="shared" si="556"/>
        <v>Bank</v>
      </c>
      <c r="S788" s="364" t="str">
        <f t="shared" si="557"/>
        <v>Pendapatan Lainnya</v>
      </c>
      <c r="T788" s="364" t="str">
        <f t="shared" si="558"/>
        <v/>
      </c>
      <c r="U788" s="364" t="str">
        <f>IF(AND(L788=1,bp_kode=T788,T788&lt;&gt;""),COUNTIF($T$8:T788,T788),"")</f>
        <v/>
      </c>
      <c r="V788" s="364" t="str">
        <f t="shared" si="559"/>
        <v>kr</v>
      </c>
      <c r="W788" s="364" t="str">
        <f t="shared" si="560"/>
        <v>kr</v>
      </c>
      <c r="X788" s="364" t="str">
        <f>IF(B788="","",COUNTIF($C$8:C788,C788)&amp;C788)</f>
        <v>0</v>
      </c>
    </row>
    <row r="789" spans="2:24" s="362" customFormat="1" ht="23.1" customHeight="1">
      <c r="B789" s="358">
        <v>44834</v>
      </c>
      <c r="C789" s="359"/>
      <c r="D789" s="359" t="s">
        <v>742</v>
      </c>
      <c r="E789" s="360"/>
      <c r="F789" s="360"/>
      <c r="G789" s="360"/>
      <c r="H789" s="360" t="s">
        <v>640</v>
      </c>
      <c r="I789" s="360" t="s">
        <v>582</v>
      </c>
      <c r="J789" s="361">
        <v>10000</v>
      </c>
      <c r="L789" s="363">
        <f t="shared" si="535"/>
        <v>1</v>
      </c>
      <c r="M789" s="363" t="str">
        <f t="shared" si="555"/>
        <v>September</v>
      </c>
      <c r="N789" s="363" t="str">
        <f t="shared" si="537"/>
        <v/>
      </c>
      <c r="O789" s="363" t="str">
        <f>IF(N789="","",COUNTIF($N$8:N789,N789))</f>
        <v/>
      </c>
      <c r="P789" s="364" t="str">
        <f t="shared" si="538"/>
        <v>outBeban Lainnya</v>
      </c>
      <c r="Q789" s="364" t="str">
        <f t="shared" si="539"/>
        <v>outSeptemberBeban Lainnya</v>
      </c>
      <c r="R789" s="364" t="str">
        <f t="shared" si="556"/>
        <v>Beban Lainnya</v>
      </c>
      <c r="S789" s="364" t="str">
        <f t="shared" si="557"/>
        <v>Kas</v>
      </c>
      <c r="T789" s="364" t="str">
        <f t="shared" si="558"/>
        <v/>
      </c>
      <c r="U789" s="364" t="str">
        <f>IF(AND(L789=1,bp_kode=T789,T789&lt;&gt;""),COUNTIF($T$8:T789,T789),"")</f>
        <v/>
      </c>
      <c r="V789" s="364" t="str">
        <f t="shared" si="559"/>
        <v>db</v>
      </c>
      <c r="W789" s="364" t="str">
        <f t="shared" si="560"/>
        <v>db</v>
      </c>
      <c r="X789" s="364" t="str">
        <f>IF(B789="","",COUNTIF($C$8:C789,C789)&amp;C789)</f>
        <v>0</v>
      </c>
    </row>
    <row r="790" spans="2:24" ht="23.1" customHeight="1">
      <c r="B790" s="31">
        <v>44835</v>
      </c>
      <c r="C790" s="9"/>
      <c r="D790" s="9" t="s">
        <v>804</v>
      </c>
      <c r="E790" s="7"/>
      <c r="F790" s="7"/>
      <c r="G790" s="7"/>
      <c r="H790" s="7" t="s">
        <v>788</v>
      </c>
      <c r="I790" s="360" t="s">
        <v>582</v>
      </c>
      <c r="J790" s="39">
        <v>1000000</v>
      </c>
      <c r="L790" s="16">
        <f t="shared" ref="L790" si="561">IF(AND(B790&gt;=awal,B790&lt;=akhir,B790&lt;&gt;""),1,IF(AND(B790&lt;&gt;"",B790&lt;awal),2,""))</f>
        <v>1</v>
      </c>
      <c r="M790" s="16" t="str">
        <f t="shared" ref="M790" si="562">IF(B790="","",TEXT(B790,"mmmm"))</f>
        <v>October</v>
      </c>
      <c r="N790" s="16" t="str">
        <f t="shared" ref="N790" si="563">IF(AND(L790=1,H790=bb_akun),"Awe",IF(AND(L790=1,I790=bb_akun),"Awe",""))</f>
        <v/>
      </c>
      <c r="O790" s="16" t="str">
        <f>IF(N790="","",COUNTIF($N$8:N790,N790))</f>
        <v/>
      </c>
      <c r="P790" s="34" t="str">
        <f t="shared" ref="P790" si="564">IFERROR(IF(OR(INDEX(akun_type,MATCH(H790,akun_kb,0))="Kas",INDEX(akun_type,MATCH(H790,akun_kb,0))="Bank"),"In"&amp;INDEX(akun_type,MATCH(I790,akun_kb,0)),IF(OR(INDEX(akun_type,MATCH(I790,akun_kb,0))="Kas",INDEX(akun_type,MATCH(I790,akun_kb,0))="Bank"),"out"&amp;INDEX(akun_type,MATCH(H790,akun_kb,0)),"")),"")</f>
        <v>InKas</v>
      </c>
      <c r="Q790" s="34" t="str">
        <f t="shared" ref="Q790" si="565">IFERROR(IF(OR(INDEX(akun_type,MATCH(H790,akun_kb,0))="Kas",INDEX(akun_type,MATCH(H790,akun_kb,0))="Bank"),"in"&amp;TEXT(B790,"mmmm")&amp;INDEX(akun_type,MATCH(I790,akun_kb,0)),IF(OR(INDEX(akun_type,MATCH(I790,akun_kb,0))="Kas",INDEX(akun_type,MATCH(I790,akun_kb,0))="Bank"),"out"&amp;TEXT(B790,"mmmm")&amp;INDEX(akun_type,MATCH(H790,akun_kb,0)),"")),"")</f>
        <v>inOctoberKas</v>
      </c>
      <c r="R790" s="34" t="str">
        <f t="shared" ref="R790" si="566">IFERROR(INDEX(akun_type,MATCH(H790,akun_kb,0)),"")</f>
        <v>Bank</v>
      </c>
      <c r="S790" s="34" t="str">
        <f t="shared" ref="S790" si="567">IFERROR(INDEX(akun_type,MATCH(I790,akun_kb,0)),"")</f>
        <v>Kas</v>
      </c>
      <c r="T790" s="34" t="str">
        <f t="shared" ref="T790" si="568">IF(AND(L790=1,OR(R790="Akun Piutang",R790="akun hutang",S790="akun piutang",S790="akun hutang")),E790,"")</f>
        <v/>
      </c>
      <c r="U790" s="34" t="str">
        <f>IF(AND(L790=1,bp_kode=T790,T790&lt;&gt;""),COUNTIF($T$8:T790,T790),"")</f>
        <v/>
      </c>
      <c r="V790" s="34" t="str">
        <f t="shared" ref="V790" si="569">IF(OR(R790="Pendapatan",R790="Pendapatan Lainnya",R790="Beban",R790="Harga Pokok Penjualan",R790="Beban Lainnya"),"db"&amp;F790,IF(OR(S790="Pendapatan",S790="Pendapatan Lainnya",S790="Beban",S790="Harga Pokok Penjualan",S790="Beban Lainnya"),"kr"&amp;F790,""))</f>
        <v/>
      </c>
      <c r="W790" s="34" t="str">
        <f t="shared" ref="W790" si="570">IF(OR(R790="Pendapatan",R790="Pendapatan Lainnya",R790="Beban",R790="Harga Pokok Penjualan",R790="Beban Lainnya"),"db"&amp;G790,IF(OR(S790="Pendapatan",S790="Pendapatan Lainnya",S790="Beban",S790="Harga Pokok Penjualan",S790="Beban Lainnya"),"kr"&amp;G790,""))</f>
        <v/>
      </c>
      <c r="X790" s="34" t="str">
        <f>IF(B790="","",COUNTIF($C$8:C790,C790)&amp;C790)</f>
        <v>0</v>
      </c>
    </row>
    <row r="791" spans="2:24" ht="23.1" customHeight="1">
      <c r="B791" s="31">
        <v>44835</v>
      </c>
      <c r="C791" s="9"/>
      <c r="D791" s="9" t="s">
        <v>805</v>
      </c>
      <c r="E791" s="7"/>
      <c r="F791" s="7"/>
      <c r="G791" s="7"/>
      <c r="H791" s="360" t="s">
        <v>640</v>
      </c>
      <c r="I791" s="7" t="s">
        <v>788</v>
      </c>
      <c r="J791" s="39">
        <v>29955.02</v>
      </c>
      <c r="L791" s="16">
        <f t="shared" ref="L791" si="571">IF(AND(B791&gt;=awal,B791&lt;=akhir,B791&lt;&gt;""),1,IF(AND(B791&lt;&gt;"",B791&lt;awal),2,""))</f>
        <v>1</v>
      </c>
      <c r="M791" s="16" t="str">
        <f t="shared" ref="M791" si="572">IF(B791="","",TEXT(B791,"mmmm"))</f>
        <v>October</v>
      </c>
      <c r="N791" s="16" t="str">
        <f t="shared" ref="N791" si="573">IF(AND(L791=1,H791=bb_akun),"Awe",IF(AND(L791=1,I791=bb_akun),"Awe",""))</f>
        <v/>
      </c>
      <c r="O791" s="16" t="str">
        <f>IF(N791="","",COUNTIF($N$8:N791,N791))</f>
        <v/>
      </c>
      <c r="P791" s="34" t="str">
        <f t="shared" ref="P791" si="574">IFERROR(IF(OR(INDEX(akun_type,MATCH(H791,akun_kb,0))="Kas",INDEX(akun_type,MATCH(H791,akun_kb,0))="Bank"),"In"&amp;INDEX(akun_type,MATCH(I791,akun_kb,0)),IF(OR(INDEX(akun_type,MATCH(I791,akun_kb,0))="Kas",INDEX(akun_type,MATCH(I791,akun_kb,0))="Bank"),"out"&amp;INDEX(akun_type,MATCH(H791,akun_kb,0)),"")),"")</f>
        <v>outBeban Lainnya</v>
      </c>
      <c r="Q791" s="34" t="str">
        <f t="shared" ref="Q791" si="575">IFERROR(IF(OR(INDEX(akun_type,MATCH(H791,akun_kb,0))="Kas",INDEX(akun_type,MATCH(H791,akun_kb,0))="Bank"),"in"&amp;TEXT(B791,"mmmm")&amp;INDEX(akun_type,MATCH(I791,akun_kb,0)),IF(OR(INDEX(akun_type,MATCH(I791,akun_kb,0))="Kas",INDEX(akun_type,MATCH(I791,akun_kb,0))="Bank"),"out"&amp;TEXT(B791,"mmmm")&amp;INDEX(akun_type,MATCH(H791,akun_kb,0)),"")),"")</f>
        <v>outOctoberBeban Lainnya</v>
      </c>
      <c r="R791" s="34" t="str">
        <f t="shared" ref="R791" si="576">IFERROR(INDEX(akun_type,MATCH(H791,akun_kb,0)),"")</f>
        <v>Beban Lainnya</v>
      </c>
      <c r="S791" s="34" t="str">
        <f t="shared" ref="S791" si="577">IFERROR(INDEX(akun_type,MATCH(I791,akun_kb,0)),"")</f>
        <v>Bank</v>
      </c>
      <c r="T791" s="34" t="str">
        <f t="shared" ref="T791" si="578">IF(AND(L791=1,OR(R791="Akun Piutang",R791="akun hutang",S791="akun piutang",S791="akun hutang")),E791,"")</f>
        <v/>
      </c>
      <c r="U791" s="34" t="str">
        <f>IF(AND(L791=1,bp_kode=T791,T791&lt;&gt;""),COUNTIF($T$8:T791,T791),"")</f>
        <v/>
      </c>
      <c r="V791" s="34" t="str">
        <f t="shared" ref="V791" si="579">IF(OR(R791="Pendapatan",R791="Pendapatan Lainnya",R791="Beban",R791="Harga Pokok Penjualan",R791="Beban Lainnya"),"db"&amp;F791,IF(OR(S791="Pendapatan",S791="Pendapatan Lainnya",S791="Beban",S791="Harga Pokok Penjualan",S791="Beban Lainnya"),"kr"&amp;F791,""))</f>
        <v>db</v>
      </c>
      <c r="W791" s="34" t="str">
        <f t="shared" ref="W791" si="580">IF(OR(R791="Pendapatan",R791="Pendapatan Lainnya",R791="Beban",R791="Harga Pokok Penjualan",R791="Beban Lainnya"),"db"&amp;G791,IF(OR(S791="Pendapatan",S791="Pendapatan Lainnya",S791="Beban",S791="Harga Pokok Penjualan",S791="Beban Lainnya"),"kr"&amp;G791,""))</f>
        <v>db</v>
      </c>
      <c r="X791" s="34" t="str">
        <f>IF(B791="","",COUNTIF($C$8:C791,C791)&amp;C791)</f>
        <v>0</v>
      </c>
    </row>
    <row r="792" spans="2:24" ht="23.1" customHeight="1">
      <c r="B792" s="31">
        <v>44865</v>
      </c>
      <c r="C792" s="9"/>
      <c r="D792" s="9" t="s">
        <v>550</v>
      </c>
      <c r="E792" s="7"/>
      <c r="F792" s="7"/>
      <c r="G792" s="7"/>
      <c r="H792" s="7" t="s">
        <v>551</v>
      </c>
      <c r="I792" s="7" t="s">
        <v>503</v>
      </c>
      <c r="J792" s="39">
        <v>764217500</v>
      </c>
      <c r="L792" s="16">
        <f t="shared" si="535"/>
        <v>1</v>
      </c>
      <c r="M792" s="16" t="str">
        <f t="shared" si="555"/>
        <v>October</v>
      </c>
      <c r="N792" s="16" t="str">
        <f t="shared" si="537"/>
        <v/>
      </c>
      <c r="O792" s="16" t="str">
        <f>IF(N792="","",COUNTIF($N$8:N792,N792))</f>
        <v/>
      </c>
      <c r="P792" s="34" t="str">
        <f t="shared" si="538"/>
        <v/>
      </c>
      <c r="Q792" s="34" t="str">
        <f t="shared" si="539"/>
        <v/>
      </c>
      <c r="R792" s="34" t="str">
        <f t="shared" si="556"/>
        <v>Akun Piutang</v>
      </c>
      <c r="S792" s="34" t="str">
        <f t="shared" si="557"/>
        <v>Pendapatan</v>
      </c>
      <c r="T792" s="34">
        <f t="shared" si="558"/>
        <v>0</v>
      </c>
      <c r="U792" s="34" t="str">
        <f>IF(AND(L792=1,bp_kode=T792,T792&lt;&gt;""),COUNTIF($T$8:T792,T792),"")</f>
        <v/>
      </c>
      <c r="V792" s="34" t="str">
        <f t="shared" si="559"/>
        <v>kr</v>
      </c>
      <c r="W792" s="34" t="str">
        <f t="shared" si="560"/>
        <v>kr</v>
      </c>
      <c r="X792" s="34" t="str">
        <f>IF(B792="","",COUNTIF($C$8:C792,C792)&amp;C792)</f>
        <v>0</v>
      </c>
    </row>
    <row r="793" spans="2:24" ht="23.1" customHeight="1">
      <c r="B793" s="31">
        <v>44865</v>
      </c>
      <c r="C793" s="9"/>
      <c r="D793" s="9" t="s">
        <v>552</v>
      </c>
      <c r="E793" s="7"/>
      <c r="F793" s="7"/>
      <c r="G793" s="7"/>
      <c r="H793" s="7" t="s">
        <v>587</v>
      </c>
      <c r="I793" s="7" t="s">
        <v>553</v>
      </c>
      <c r="J793" s="39">
        <v>7177000</v>
      </c>
      <c r="L793" s="16">
        <f t="shared" si="535"/>
        <v>1</v>
      </c>
      <c r="M793" s="16" t="str">
        <f t="shared" si="555"/>
        <v>October</v>
      </c>
      <c r="N793" s="16" t="str">
        <f t="shared" si="537"/>
        <v/>
      </c>
      <c r="O793" s="16" t="str">
        <f>IF(N793="","",COUNTIF($N$8:N793,N793))</f>
        <v/>
      </c>
      <c r="P793" s="34" t="str">
        <f t="shared" si="538"/>
        <v/>
      </c>
      <c r="Q793" s="34" t="str">
        <f t="shared" si="539"/>
        <v/>
      </c>
      <c r="R793" s="34" t="str">
        <f t="shared" si="556"/>
        <v>Akun Piutang</v>
      </c>
      <c r="S793" s="34" t="str">
        <f t="shared" si="557"/>
        <v>Pendapatan</v>
      </c>
      <c r="T793" s="34">
        <f t="shared" si="558"/>
        <v>0</v>
      </c>
      <c r="U793" s="34" t="str">
        <f>IF(AND(L793=1,bp_kode=T793,T793&lt;&gt;""),COUNTIF($T$8:T793,T793),"")</f>
        <v/>
      </c>
      <c r="V793" s="34" t="str">
        <f t="shared" si="559"/>
        <v>kr</v>
      </c>
      <c r="W793" s="34" t="str">
        <f t="shared" si="560"/>
        <v>kr</v>
      </c>
      <c r="X793" s="34" t="str">
        <f>IF(B793="","",COUNTIF($C$8:C793,C793)&amp;C793)</f>
        <v>0</v>
      </c>
    </row>
    <row r="794" spans="2:24" ht="23.1" customHeight="1">
      <c r="B794" s="31">
        <v>44865</v>
      </c>
      <c r="C794" s="9"/>
      <c r="D794" s="9" t="s">
        <v>555</v>
      </c>
      <c r="E794" s="7"/>
      <c r="F794" s="7"/>
      <c r="G794" s="7"/>
      <c r="H794" s="7" t="s">
        <v>557</v>
      </c>
      <c r="I794" s="7" t="s">
        <v>556</v>
      </c>
      <c r="J794" s="39">
        <v>232825000</v>
      </c>
      <c r="L794" s="16">
        <f t="shared" si="535"/>
        <v>1</v>
      </c>
      <c r="M794" s="16" t="str">
        <f t="shared" si="555"/>
        <v>October</v>
      </c>
      <c r="N794" s="16" t="str">
        <f t="shared" si="537"/>
        <v/>
      </c>
      <c r="O794" s="16" t="str">
        <f>IF(N794="","",COUNTIF($N$8:N794,N794))</f>
        <v/>
      </c>
      <c r="P794" s="34" t="str">
        <f t="shared" si="538"/>
        <v/>
      </c>
      <c r="Q794" s="34" t="str">
        <f t="shared" si="539"/>
        <v/>
      </c>
      <c r="R794" s="34" t="str">
        <f t="shared" si="556"/>
        <v>Akun Piutang</v>
      </c>
      <c r="S794" s="34" t="str">
        <f t="shared" si="557"/>
        <v>Pendapatan</v>
      </c>
      <c r="T794" s="34">
        <f t="shared" si="558"/>
        <v>0</v>
      </c>
      <c r="U794" s="34" t="str">
        <f>IF(AND(L794=1,bp_kode=T794,T794&lt;&gt;""),COUNTIF($T$8:T794,T794),"")</f>
        <v/>
      </c>
      <c r="V794" s="34" t="str">
        <f t="shared" si="559"/>
        <v>kr</v>
      </c>
      <c r="W794" s="34" t="str">
        <f t="shared" si="560"/>
        <v>kr</v>
      </c>
      <c r="X794" s="34" t="str">
        <f>IF(B794="","",COUNTIF($C$8:C794,C794)&amp;C794)</f>
        <v>0</v>
      </c>
    </row>
    <row r="795" spans="2:24" ht="23.1" customHeight="1">
      <c r="B795" s="31">
        <v>44865</v>
      </c>
      <c r="C795" s="9"/>
      <c r="D795" s="9" t="s">
        <v>558</v>
      </c>
      <c r="E795" s="7"/>
      <c r="F795" s="7"/>
      <c r="G795" s="7"/>
      <c r="H795" s="7" t="s">
        <v>559</v>
      </c>
      <c r="I795" s="7" t="s">
        <v>560</v>
      </c>
      <c r="J795" s="39">
        <v>401441000</v>
      </c>
      <c r="L795" s="16">
        <f t="shared" si="535"/>
        <v>1</v>
      </c>
      <c r="M795" s="16" t="str">
        <f t="shared" si="555"/>
        <v>October</v>
      </c>
      <c r="N795" s="16" t="str">
        <f t="shared" si="537"/>
        <v/>
      </c>
      <c r="O795" s="16" t="str">
        <f>IF(N795="","",COUNTIF($N$8:N795,N795))</f>
        <v/>
      </c>
      <c r="P795" s="34" t="str">
        <f t="shared" si="538"/>
        <v/>
      </c>
      <c r="Q795" s="34" t="str">
        <f t="shared" si="539"/>
        <v/>
      </c>
      <c r="R795" s="34" t="str">
        <f t="shared" si="556"/>
        <v>Akun Piutang</v>
      </c>
      <c r="S795" s="34" t="str">
        <f t="shared" si="557"/>
        <v>Pendapatan</v>
      </c>
      <c r="T795" s="34">
        <f t="shared" si="558"/>
        <v>0</v>
      </c>
      <c r="U795" s="34" t="str">
        <f>IF(AND(L795=1,bp_kode=T795,T795&lt;&gt;""),COUNTIF($T$8:T795,T795),"")</f>
        <v/>
      </c>
      <c r="V795" s="34" t="str">
        <f t="shared" si="559"/>
        <v>kr</v>
      </c>
      <c r="W795" s="34" t="str">
        <f t="shared" si="560"/>
        <v>kr</v>
      </c>
      <c r="X795" s="34" t="str">
        <f>IF(B795="","",COUNTIF($C$8:C795,C795)&amp;C795)</f>
        <v>0</v>
      </c>
    </row>
    <row r="796" spans="2:24" ht="23.1" customHeight="1">
      <c r="B796" s="31">
        <v>44865</v>
      </c>
      <c r="C796" s="9"/>
      <c r="D796" s="9" t="s">
        <v>562</v>
      </c>
      <c r="E796" s="7"/>
      <c r="F796" s="7"/>
      <c r="G796" s="7"/>
      <c r="H796" s="7" t="s">
        <v>561</v>
      </c>
      <c r="I796" s="7" t="s">
        <v>504</v>
      </c>
      <c r="J796" s="39">
        <v>42743000</v>
      </c>
      <c r="L796" s="16">
        <f t="shared" si="535"/>
        <v>1</v>
      </c>
      <c r="M796" s="16" t="str">
        <f t="shared" si="555"/>
        <v>October</v>
      </c>
      <c r="N796" s="16" t="str">
        <f t="shared" si="537"/>
        <v/>
      </c>
      <c r="O796" s="16" t="str">
        <f>IF(N796="","",COUNTIF($N$8:N796,N796))</f>
        <v/>
      </c>
      <c r="P796" s="34" t="str">
        <f t="shared" si="538"/>
        <v/>
      </c>
      <c r="Q796" s="34" t="str">
        <f t="shared" si="539"/>
        <v/>
      </c>
      <c r="R796" s="34" t="str">
        <f t="shared" si="556"/>
        <v>Akun Piutang</v>
      </c>
      <c r="S796" s="34" t="str">
        <f t="shared" si="557"/>
        <v>Pendapatan</v>
      </c>
      <c r="T796" s="34">
        <f t="shared" si="558"/>
        <v>0</v>
      </c>
      <c r="U796" s="34" t="str">
        <f>IF(AND(L796=1,bp_kode=T796,T796&lt;&gt;""),COUNTIF($T$8:T796,T796),"")</f>
        <v/>
      </c>
      <c r="V796" s="34" t="str">
        <f t="shared" si="559"/>
        <v>kr</v>
      </c>
      <c r="W796" s="34" t="str">
        <f t="shared" si="560"/>
        <v>kr</v>
      </c>
      <c r="X796" s="34" t="str">
        <f>IF(B796="","",COUNTIF($C$8:C796,C796)&amp;C796)</f>
        <v>0</v>
      </c>
    </row>
    <row r="797" spans="2:24" ht="23.1" customHeight="1">
      <c r="B797" s="31">
        <v>44865</v>
      </c>
      <c r="C797" s="9"/>
      <c r="D797" s="9" t="s">
        <v>562</v>
      </c>
      <c r="E797" s="7"/>
      <c r="F797" s="7"/>
      <c r="G797" s="7"/>
      <c r="H797" s="7" t="s">
        <v>727</v>
      </c>
      <c r="I797" s="7" t="s">
        <v>504</v>
      </c>
      <c r="J797" s="39">
        <v>3500000</v>
      </c>
      <c r="L797" s="16">
        <f t="shared" si="535"/>
        <v>1</v>
      </c>
      <c r="M797" s="16" t="str">
        <f t="shared" si="555"/>
        <v>October</v>
      </c>
      <c r="N797" s="16" t="str">
        <f t="shared" si="537"/>
        <v/>
      </c>
      <c r="O797" s="16" t="str">
        <f>IF(N797="","",COUNTIF($N$8:N797,N797))</f>
        <v/>
      </c>
      <c r="P797" s="34" t="str">
        <f t="shared" si="538"/>
        <v/>
      </c>
      <c r="Q797" s="34" t="str">
        <f t="shared" si="539"/>
        <v/>
      </c>
      <c r="R797" s="34" t="str">
        <f t="shared" si="556"/>
        <v>Akun Piutang</v>
      </c>
      <c r="S797" s="34" t="str">
        <f t="shared" si="557"/>
        <v>Pendapatan</v>
      </c>
      <c r="T797" s="34">
        <f t="shared" si="558"/>
        <v>0</v>
      </c>
      <c r="U797" s="34" t="str">
        <f>IF(AND(L797=1,bp_kode=T797,T797&lt;&gt;""),COUNTIF($T$8:T797,T797),"")</f>
        <v/>
      </c>
      <c r="V797" s="34" t="str">
        <f t="shared" si="559"/>
        <v>kr</v>
      </c>
      <c r="W797" s="34" t="str">
        <f t="shared" si="560"/>
        <v>kr</v>
      </c>
      <c r="X797" s="34" t="str">
        <f>IF(B797="","",COUNTIF($C$8:C797,C797)&amp;C797)</f>
        <v>0</v>
      </c>
    </row>
    <row r="798" spans="2:24" ht="23.1" customHeight="1">
      <c r="B798" s="31">
        <v>44865</v>
      </c>
      <c r="C798" s="9"/>
      <c r="D798" s="9" t="s">
        <v>563</v>
      </c>
      <c r="E798" s="7"/>
      <c r="F798" s="7"/>
      <c r="G798" s="7"/>
      <c r="H798" s="7" t="s">
        <v>565</v>
      </c>
      <c r="I798" s="7" t="s">
        <v>551</v>
      </c>
      <c r="J798" s="39">
        <v>114757000</v>
      </c>
      <c r="L798" s="16">
        <f t="shared" si="535"/>
        <v>1</v>
      </c>
      <c r="M798" s="16" t="str">
        <f t="shared" si="555"/>
        <v>October</v>
      </c>
      <c r="N798" s="16" t="str">
        <f t="shared" si="537"/>
        <v/>
      </c>
      <c r="O798" s="16" t="str">
        <f>IF(N798="","",COUNTIF($N$8:N798,N798))</f>
        <v/>
      </c>
      <c r="P798" s="34" t="str">
        <f t="shared" si="538"/>
        <v/>
      </c>
      <c r="Q798" s="34" t="str">
        <f t="shared" si="539"/>
        <v/>
      </c>
      <c r="R798" s="34" t="str">
        <f t="shared" si="556"/>
        <v>Pendapatan</v>
      </c>
      <c r="S798" s="34" t="str">
        <f t="shared" si="557"/>
        <v>Akun Piutang</v>
      </c>
      <c r="T798" s="34">
        <f t="shared" si="558"/>
        <v>0</v>
      </c>
      <c r="U798" s="34" t="str">
        <f>IF(AND(L798=1,bp_kode=T798,T798&lt;&gt;""),COUNTIF($T$8:T798,T798),"")</f>
        <v/>
      </c>
      <c r="V798" s="34" t="str">
        <f t="shared" si="559"/>
        <v>db</v>
      </c>
      <c r="W798" s="34" t="str">
        <f t="shared" si="560"/>
        <v>db</v>
      </c>
      <c r="X798" s="34" t="str">
        <f>IF(B798="","",COUNTIF($C$8:C798,C798)&amp;C798)</f>
        <v>0</v>
      </c>
    </row>
    <row r="799" spans="2:24" ht="23.1" customHeight="1">
      <c r="B799" s="31">
        <v>44865</v>
      </c>
      <c r="C799" s="9"/>
      <c r="D799" s="9" t="s">
        <v>564</v>
      </c>
      <c r="E799" s="7"/>
      <c r="F799" s="7"/>
      <c r="G799" s="7"/>
      <c r="H799" s="7" t="s">
        <v>566</v>
      </c>
      <c r="I799" s="7" t="s">
        <v>559</v>
      </c>
      <c r="J799" s="39">
        <v>1819700</v>
      </c>
      <c r="L799" s="16">
        <f t="shared" si="535"/>
        <v>1</v>
      </c>
      <c r="M799" s="16" t="str">
        <f t="shared" si="555"/>
        <v>October</v>
      </c>
      <c r="N799" s="16" t="str">
        <f t="shared" si="537"/>
        <v/>
      </c>
      <c r="O799" s="16" t="str">
        <f>IF(N799="","",COUNTIF($N$8:N799,N799))</f>
        <v/>
      </c>
      <c r="P799" s="34" t="str">
        <f t="shared" si="538"/>
        <v/>
      </c>
      <c r="Q799" s="34" t="str">
        <f t="shared" si="539"/>
        <v/>
      </c>
      <c r="R799" s="34" t="str">
        <f t="shared" si="556"/>
        <v>Pendapatan</v>
      </c>
      <c r="S799" s="34" t="str">
        <f t="shared" si="557"/>
        <v>Akun Piutang</v>
      </c>
      <c r="T799" s="34">
        <f t="shared" si="558"/>
        <v>0</v>
      </c>
      <c r="U799" s="34" t="str">
        <f>IF(AND(L799=1,bp_kode=T799,T799&lt;&gt;""),COUNTIF($T$8:T799,T799),"")</f>
        <v/>
      </c>
      <c r="V799" s="34" t="str">
        <f t="shared" si="559"/>
        <v>db</v>
      </c>
      <c r="W799" s="34" t="str">
        <f t="shared" si="560"/>
        <v>db</v>
      </c>
      <c r="X799" s="34" t="str">
        <f>IF(B799="","",COUNTIF($C$8:C799,C799)&amp;C799)</f>
        <v>0</v>
      </c>
    </row>
    <row r="800" spans="2:24" ht="23.1" customHeight="1">
      <c r="B800" s="31">
        <v>44865</v>
      </c>
      <c r="C800" s="9"/>
      <c r="D800" s="9" t="s">
        <v>555</v>
      </c>
      <c r="E800" s="7"/>
      <c r="F800" s="7"/>
      <c r="G800" s="7"/>
      <c r="H800" s="7" t="s">
        <v>554</v>
      </c>
      <c r="I800" s="7" t="s">
        <v>557</v>
      </c>
      <c r="J800" s="39">
        <v>233000000</v>
      </c>
      <c r="L800" s="16">
        <f t="shared" si="535"/>
        <v>1</v>
      </c>
      <c r="M800" s="16" t="str">
        <f t="shared" si="555"/>
        <v>October</v>
      </c>
      <c r="N800" s="16" t="str">
        <f t="shared" si="537"/>
        <v/>
      </c>
      <c r="O800" s="16" t="str">
        <f>IF(N800="","",COUNTIF($N$8:N800,N800))</f>
        <v/>
      </c>
      <c r="P800" s="34" t="str">
        <f t="shared" si="538"/>
        <v>InAkun Piutang</v>
      </c>
      <c r="Q800" s="34" t="str">
        <f t="shared" si="539"/>
        <v>inOctoberAkun Piutang</v>
      </c>
      <c r="R800" s="34" t="str">
        <f t="shared" si="556"/>
        <v>Kas</v>
      </c>
      <c r="S800" s="34" t="str">
        <f t="shared" si="557"/>
        <v>Akun Piutang</v>
      </c>
      <c r="T800" s="34">
        <f t="shared" si="558"/>
        <v>0</v>
      </c>
      <c r="U800" s="34" t="str">
        <f>IF(AND(L800=1,bp_kode=T800,T800&lt;&gt;""),COUNTIF($T$8:T800,T800),"")</f>
        <v/>
      </c>
      <c r="V800" s="34" t="str">
        <f t="shared" si="559"/>
        <v/>
      </c>
      <c r="W800" s="34" t="str">
        <f t="shared" si="560"/>
        <v/>
      </c>
      <c r="X800" s="34" t="str">
        <f>IF(B800="","",COUNTIF($C$8:C800,C800)&amp;C800)</f>
        <v>0</v>
      </c>
    </row>
    <row r="801" spans="2:24" ht="23.1" customHeight="1">
      <c r="B801" s="31">
        <v>44865</v>
      </c>
      <c r="C801" s="9"/>
      <c r="D801" s="9" t="s">
        <v>803</v>
      </c>
      <c r="E801" s="7"/>
      <c r="F801" s="7"/>
      <c r="G801" s="7"/>
      <c r="H801" s="7" t="s">
        <v>788</v>
      </c>
      <c r="I801" s="7" t="s">
        <v>568</v>
      </c>
      <c r="J801" s="39">
        <v>412690723.39999998</v>
      </c>
      <c r="L801" s="16">
        <f t="shared" si="535"/>
        <v>1</v>
      </c>
      <c r="M801" s="16" t="str">
        <f t="shared" si="555"/>
        <v>October</v>
      </c>
      <c r="N801" s="16" t="str">
        <f t="shared" si="537"/>
        <v/>
      </c>
      <c r="O801" s="16" t="str">
        <f>IF(N801="","",COUNTIF($N$8:N801,N801))</f>
        <v/>
      </c>
      <c r="P801" s="34" t="str">
        <f t="shared" si="538"/>
        <v>InBank</v>
      </c>
      <c r="Q801" s="34" t="str">
        <f t="shared" si="539"/>
        <v>inOctoberBank</v>
      </c>
      <c r="R801" s="34" t="str">
        <f t="shared" si="556"/>
        <v>Bank</v>
      </c>
      <c r="S801" s="34" t="str">
        <f t="shared" si="557"/>
        <v>Bank</v>
      </c>
      <c r="T801" s="34" t="str">
        <f t="shared" si="558"/>
        <v/>
      </c>
      <c r="U801" s="34" t="str">
        <f>IF(AND(L801=1,bp_kode=T801,T801&lt;&gt;""),COUNTIF($T$8:T801,T801),"")</f>
        <v/>
      </c>
      <c r="V801" s="34" t="str">
        <f t="shared" si="559"/>
        <v/>
      </c>
      <c r="W801" s="34" t="str">
        <f t="shared" si="560"/>
        <v/>
      </c>
      <c r="X801" s="34" t="str">
        <f>IF(B801="","",COUNTIF($C$8:C801,C801)&amp;C801)</f>
        <v>0</v>
      </c>
    </row>
    <row r="802" spans="2:24" ht="23.1" customHeight="1">
      <c r="B802" s="31">
        <v>44865</v>
      </c>
      <c r="C802" s="9"/>
      <c r="D802" s="9" t="s">
        <v>572</v>
      </c>
      <c r="E802" s="7"/>
      <c r="F802" s="7"/>
      <c r="G802" s="7"/>
      <c r="H802" s="7" t="s">
        <v>640</v>
      </c>
      <c r="I802" s="7" t="s">
        <v>568</v>
      </c>
      <c r="J802" s="39">
        <v>779</v>
      </c>
      <c r="L802" s="16">
        <f t="shared" si="535"/>
        <v>1</v>
      </c>
      <c r="M802" s="16" t="str">
        <f t="shared" si="555"/>
        <v>October</v>
      </c>
      <c r="N802" s="16" t="str">
        <f t="shared" si="537"/>
        <v/>
      </c>
      <c r="O802" s="16" t="str">
        <f>IF(N802="","",COUNTIF($N$8:N802,N802))</f>
        <v/>
      </c>
      <c r="P802" s="34" t="str">
        <f t="shared" si="538"/>
        <v>outBeban Lainnya</v>
      </c>
      <c r="Q802" s="34" t="str">
        <f t="shared" si="539"/>
        <v>outOctoberBeban Lainnya</v>
      </c>
      <c r="R802" s="34" t="str">
        <f t="shared" si="556"/>
        <v>Beban Lainnya</v>
      </c>
      <c r="S802" s="34" t="str">
        <f t="shared" si="557"/>
        <v>Bank</v>
      </c>
      <c r="T802" s="34" t="str">
        <f t="shared" si="558"/>
        <v/>
      </c>
      <c r="U802" s="34" t="str">
        <f>IF(AND(L802=1,bp_kode=T802,T802&lt;&gt;""),COUNTIF($T$8:T802,T802),"")</f>
        <v/>
      </c>
      <c r="V802" s="34" t="str">
        <f t="shared" si="559"/>
        <v>db</v>
      </c>
      <c r="W802" s="34" t="str">
        <f t="shared" si="560"/>
        <v>db</v>
      </c>
      <c r="X802" s="34" t="str">
        <f>IF(B802="","",COUNTIF($C$8:C802,C802)&amp;C802)</f>
        <v>0</v>
      </c>
    </row>
    <row r="803" spans="2:24" ht="23.1" customHeight="1">
      <c r="B803" s="31">
        <v>44865</v>
      </c>
      <c r="C803" s="9"/>
      <c r="D803" s="9" t="s">
        <v>730</v>
      </c>
      <c r="E803" s="7"/>
      <c r="F803" s="7"/>
      <c r="G803" s="7"/>
      <c r="H803" s="7" t="s">
        <v>575</v>
      </c>
      <c r="I803" s="7" t="s">
        <v>569</v>
      </c>
      <c r="J803" s="39">
        <v>1153</v>
      </c>
      <c r="L803" s="16">
        <f t="shared" si="535"/>
        <v>1</v>
      </c>
      <c r="M803" s="16" t="str">
        <f t="shared" si="555"/>
        <v>October</v>
      </c>
      <c r="N803" s="16" t="str">
        <f t="shared" si="537"/>
        <v/>
      </c>
      <c r="O803" s="16" t="str">
        <f>IF(N803="","",COUNTIF($N$8:N803,N803))</f>
        <v/>
      </c>
      <c r="P803" s="34" t="str">
        <f t="shared" si="538"/>
        <v>InPendapatan Lainnya</v>
      </c>
      <c r="Q803" s="34" t="str">
        <f t="shared" si="539"/>
        <v>inOctoberPendapatan Lainnya</v>
      </c>
      <c r="R803" s="34" t="str">
        <f t="shared" si="556"/>
        <v>Bank</v>
      </c>
      <c r="S803" s="34" t="str">
        <f t="shared" si="557"/>
        <v>Pendapatan Lainnya</v>
      </c>
      <c r="T803" s="34" t="str">
        <f t="shared" si="558"/>
        <v/>
      </c>
      <c r="U803" s="34" t="str">
        <f>IF(AND(L803=1,bp_kode=T803,T803&lt;&gt;""),COUNTIF($T$8:T803,T803),"")</f>
        <v/>
      </c>
      <c r="V803" s="34" t="str">
        <f t="shared" si="559"/>
        <v>kr</v>
      </c>
      <c r="W803" s="34" t="str">
        <f t="shared" si="560"/>
        <v>kr</v>
      </c>
      <c r="X803" s="34" t="str">
        <f>IF(B803="","",COUNTIF($C$8:C803,C803)&amp;C803)</f>
        <v>0</v>
      </c>
    </row>
    <row r="804" spans="2:24" ht="23.1" customHeight="1">
      <c r="B804" s="31">
        <v>44865</v>
      </c>
      <c r="C804" s="9"/>
      <c r="D804" s="9" t="s">
        <v>574</v>
      </c>
      <c r="E804" s="7"/>
      <c r="F804" s="7"/>
      <c r="G804" s="7"/>
      <c r="H804" s="7" t="s">
        <v>640</v>
      </c>
      <c r="I804" s="7" t="s">
        <v>575</v>
      </c>
      <c r="J804" s="39">
        <v>36500</v>
      </c>
      <c r="L804" s="16">
        <f t="shared" si="535"/>
        <v>1</v>
      </c>
      <c r="M804" s="16" t="str">
        <f t="shared" si="555"/>
        <v>October</v>
      </c>
      <c r="N804" s="16" t="str">
        <f t="shared" si="537"/>
        <v/>
      </c>
      <c r="O804" s="16" t="str">
        <f>IF(N804="","",COUNTIF($N$8:N804,N804))</f>
        <v/>
      </c>
      <c r="P804" s="34" t="str">
        <f t="shared" si="538"/>
        <v>outBeban Lainnya</v>
      </c>
      <c r="Q804" s="34" t="str">
        <f t="shared" si="539"/>
        <v>outOctoberBeban Lainnya</v>
      </c>
      <c r="R804" s="34" t="str">
        <f t="shared" si="556"/>
        <v>Beban Lainnya</v>
      </c>
      <c r="S804" s="34" t="str">
        <f t="shared" si="557"/>
        <v>Bank</v>
      </c>
      <c r="T804" s="34" t="str">
        <f t="shared" si="558"/>
        <v/>
      </c>
      <c r="U804" s="34" t="str">
        <f>IF(AND(L804=1,bp_kode=T804,T804&lt;&gt;""),COUNTIF($T$8:T804,T804),"")</f>
        <v/>
      </c>
      <c r="V804" s="34" t="str">
        <f t="shared" si="559"/>
        <v>db</v>
      </c>
      <c r="W804" s="34" t="str">
        <f t="shared" si="560"/>
        <v>db</v>
      </c>
      <c r="X804" s="34" t="str">
        <f>IF(B804="","",COUNTIF($C$8:C804,C804)&amp;C804)</f>
        <v>0</v>
      </c>
    </row>
    <row r="805" spans="2:24" ht="23.1" customHeight="1">
      <c r="B805" s="31">
        <v>44865</v>
      </c>
      <c r="C805" s="9"/>
      <c r="D805" s="9" t="s">
        <v>730</v>
      </c>
      <c r="E805" s="7"/>
      <c r="F805" s="7"/>
      <c r="G805" s="7"/>
      <c r="H805" s="7" t="s">
        <v>577</v>
      </c>
      <c r="I805" s="7" t="s">
        <v>569</v>
      </c>
      <c r="J805" s="39">
        <v>3653116.55</v>
      </c>
      <c r="L805" s="16">
        <f t="shared" si="535"/>
        <v>1</v>
      </c>
      <c r="M805" s="16" t="str">
        <f t="shared" si="555"/>
        <v>October</v>
      </c>
      <c r="N805" s="16" t="str">
        <f t="shared" si="537"/>
        <v/>
      </c>
      <c r="O805" s="16" t="str">
        <f>IF(N805="","",COUNTIF($N$8:N805,N805))</f>
        <v/>
      </c>
      <c r="P805" s="34" t="str">
        <f t="shared" si="538"/>
        <v>InPendapatan Lainnya</v>
      </c>
      <c r="Q805" s="34" t="str">
        <f t="shared" si="539"/>
        <v>inOctoberPendapatan Lainnya</v>
      </c>
      <c r="R805" s="34" t="str">
        <f t="shared" si="556"/>
        <v>Bank</v>
      </c>
      <c r="S805" s="34" t="str">
        <f t="shared" si="557"/>
        <v>Pendapatan Lainnya</v>
      </c>
      <c r="T805" s="34" t="str">
        <f t="shared" si="558"/>
        <v/>
      </c>
      <c r="U805" s="34" t="str">
        <f>IF(AND(L805=1,bp_kode=T805,T805&lt;&gt;""),COUNTIF($T$8:T805,T805),"")</f>
        <v/>
      </c>
      <c r="V805" s="34" t="str">
        <f t="shared" si="559"/>
        <v>kr</v>
      </c>
      <c r="W805" s="34" t="str">
        <f t="shared" si="560"/>
        <v>kr</v>
      </c>
      <c r="X805" s="34" t="str">
        <f>IF(B805="","",COUNTIF($C$8:C805,C805)&amp;C805)</f>
        <v>0</v>
      </c>
    </row>
    <row r="806" spans="2:24" ht="23.1" customHeight="1">
      <c r="B806" s="31">
        <v>44865</v>
      </c>
      <c r="C806" s="9"/>
      <c r="D806" s="9" t="s">
        <v>570</v>
      </c>
      <c r="E806" s="7"/>
      <c r="F806" s="7"/>
      <c r="G806" s="7"/>
      <c r="H806" s="7" t="s">
        <v>571</v>
      </c>
      <c r="I806" s="7" t="s">
        <v>577</v>
      </c>
      <c r="J806" s="39">
        <v>730623.33</v>
      </c>
      <c r="L806" s="16">
        <f t="shared" si="535"/>
        <v>1</v>
      </c>
      <c r="M806" s="16" t="str">
        <f t="shared" si="555"/>
        <v>October</v>
      </c>
      <c r="N806" s="16" t="str">
        <f t="shared" si="537"/>
        <v/>
      </c>
      <c r="O806" s="16" t="str">
        <f>IF(N806="","",COUNTIF($N$8:N806,N806))</f>
        <v/>
      </c>
      <c r="P806" s="34" t="str">
        <f t="shared" si="538"/>
        <v>outBeban Lainnya</v>
      </c>
      <c r="Q806" s="34" t="str">
        <f t="shared" si="539"/>
        <v>outOctoberBeban Lainnya</v>
      </c>
      <c r="R806" s="34" t="str">
        <f t="shared" si="556"/>
        <v>Beban Lainnya</v>
      </c>
      <c r="S806" s="34" t="str">
        <f t="shared" si="557"/>
        <v>Bank</v>
      </c>
      <c r="T806" s="34" t="str">
        <f t="shared" si="558"/>
        <v/>
      </c>
      <c r="U806" s="34" t="str">
        <f>IF(AND(L806=1,bp_kode=T806,T806&lt;&gt;""),COUNTIF($T$8:T806,T806),"")</f>
        <v/>
      </c>
      <c r="V806" s="34" t="str">
        <f t="shared" si="559"/>
        <v>db</v>
      </c>
      <c r="W806" s="34" t="str">
        <f t="shared" si="560"/>
        <v>db</v>
      </c>
      <c r="X806" s="34" t="str">
        <f>IF(B806="","",COUNTIF($C$8:C806,C806)&amp;C806)</f>
        <v>0</v>
      </c>
    </row>
    <row r="807" spans="2:24" ht="23.1" customHeight="1">
      <c r="B807" s="31">
        <v>44865</v>
      </c>
      <c r="C807" s="9"/>
      <c r="D807" s="9" t="s">
        <v>572</v>
      </c>
      <c r="E807" s="7"/>
      <c r="F807" s="7"/>
      <c r="G807" s="7"/>
      <c r="H807" s="7" t="s">
        <v>640</v>
      </c>
      <c r="I807" s="7" t="s">
        <v>577</v>
      </c>
      <c r="J807" s="39">
        <v>25000</v>
      </c>
      <c r="L807" s="16">
        <f t="shared" si="535"/>
        <v>1</v>
      </c>
      <c r="M807" s="16" t="str">
        <f t="shared" si="555"/>
        <v>October</v>
      </c>
      <c r="N807" s="16" t="str">
        <f t="shared" si="537"/>
        <v/>
      </c>
      <c r="O807" s="16" t="str">
        <f>IF(N807="","",COUNTIF($N$8:N807,N807))</f>
        <v/>
      </c>
      <c r="P807" s="34" t="str">
        <f t="shared" si="538"/>
        <v>outBeban Lainnya</v>
      </c>
      <c r="Q807" s="34" t="str">
        <f t="shared" si="539"/>
        <v>outOctoberBeban Lainnya</v>
      </c>
      <c r="R807" s="34" t="str">
        <f t="shared" si="556"/>
        <v>Beban Lainnya</v>
      </c>
      <c r="S807" s="34" t="str">
        <f t="shared" si="557"/>
        <v>Bank</v>
      </c>
      <c r="T807" s="34" t="str">
        <f t="shared" si="558"/>
        <v/>
      </c>
      <c r="U807" s="34" t="str">
        <f>IF(AND(L807=1,bp_kode=T807,T807&lt;&gt;""),COUNTIF($T$8:T807,T807),"")</f>
        <v/>
      </c>
      <c r="V807" s="34" t="str">
        <f t="shared" si="559"/>
        <v>db</v>
      </c>
      <c r="W807" s="34" t="str">
        <f t="shared" si="560"/>
        <v>db</v>
      </c>
      <c r="X807" s="34" t="str">
        <f>IF(B807="","",COUNTIF($C$8:C807,C807)&amp;C807)</f>
        <v>0</v>
      </c>
    </row>
    <row r="808" spans="2:24" ht="23.1" customHeight="1">
      <c r="B808" s="31">
        <v>44865</v>
      </c>
      <c r="C808" s="9"/>
      <c r="D808" s="9" t="s">
        <v>578</v>
      </c>
      <c r="E808" s="7"/>
      <c r="F808" s="7"/>
      <c r="G808" s="7"/>
      <c r="H808" s="7" t="s">
        <v>640</v>
      </c>
      <c r="I808" s="7" t="s">
        <v>577</v>
      </c>
      <c r="J808" s="39">
        <v>10000</v>
      </c>
      <c r="L808" s="16">
        <f t="shared" si="535"/>
        <v>1</v>
      </c>
      <c r="M808" s="16" t="str">
        <f t="shared" si="555"/>
        <v>October</v>
      </c>
      <c r="N808" s="16" t="str">
        <f t="shared" si="537"/>
        <v/>
      </c>
      <c r="O808" s="16" t="str">
        <f>IF(N808="","",COUNTIF($N$8:N808,N808))</f>
        <v/>
      </c>
      <c r="P808" s="34" t="str">
        <f t="shared" si="538"/>
        <v>outBeban Lainnya</v>
      </c>
      <c r="Q808" s="34" t="str">
        <f t="shared" si="539"/>
        <v>outOctoberBeban Lainnya</v>
      </c>
      <c r="R808" s="34" t="str">
        <f t="shared" si="556"/>
        <v>Beban Lainnya</v>
      </c>
      <c r="S808" s="34" t="str">
        <f t="shared" si="557"/>
        <v>Bank</v>
      </c>
      <c r="T808" s="34" t="str">
        <f t="shared" si="558"/>
        <v/>
      </c>
      <c r="U808" s="34" t="str">
        <f>IF(AND(L808=1,bp_kode=T808,T808&lt;&gt;""),COUNTIF($T$8:T808,T808),"")</f>
        <v/>
      </c>
      <c r="V808" s="34" t="str">
        <f t="shared" si="559"/>
        <v>db</v>
      </c>
      <c r="W808" s="34" t="str">
        <f t="shared" si="560"/>
        <v>db</v>
      </c>
      <c r="X808" s="34" t="str">
        <f>IF(B808="","",COUNTIF($C$8:C808,C808)&amp;C808)</f>
        <v>0</v>
      </c>
    </row>
    <row r="809" spans="2:24" ht="23.1" customHeight="1">
      <c r="B809" s="31">
        <v>44865</v>
      </c>
      <c r="C809" s="9"/>
      <c r="D809" s="9" t="s">
        <v>807</v>
      </c>
      <c r="E809" s="7"/>
      <c r="F809" s="7"/>
      <c r="G809" s="7"/>
      <c r="H809" s="7" t="s">
        <v>577</v>
      </c>
      <c r="I809" s="7" t="s">
        <v>554</v>
      </c>
      <c r="J809" s="39">
        <v>1146688500</v>
      </c>
      <c r="L809" s="16">
        <f t="shared" si="535"/>
        <v>1</v>
      </c>
      <c r="M809" s="16" t="str">
        <f t="shared" si="555"/>
        <v>October</v>
      </c>
      <c r="N809" s="16" t="str">
        <f t="shared" si="537"/>
        <v/>
      </c>
      <c r="O809" s="16" t="str">
        <f>IF(N809="","",COUNTIF($N$8:N809,N809))</f>
        <v/>
      </c>
      <c r="P809" s="34" t="str">
        <f t="shared" si="538"/>
        <v>InKas</v>
      </c>
      <c r="Q809" s="34" t="str">
        <f t="shared" si="539"/>
        <v>inOctoberKas</v>
      </c>
      <c r="R809" s="34" t="str">
        <f t="shared" si="556"/>
        <v>Bank</v>
      </c>
      <c r="S809" s="34" t="str">
        <f t="shared" si="557"/>
        <v>Kas</v>
      </c>
      <c r="T809" s="34" t="str">
        <f t="shared" si="558"/>
        <v/>
      </c>
      <c r="U809" s="34" t="str">
        <f>IF(AND(L809=1,bp_kode=T809,T809&lt;&gt;""),COUNTIF($T$8:T809,T809),"")</f>
        <v/>
      </c>
      <c r="V809" s="34" t="str">
        <f t="shared" si="559"/>
        <v/>
      </c>
      <c r="W809" s="34" t="str">
        <f t="shared" si="560"/>
        <v/>
      </c>
      <c r="X809" s="34" t="str">
        <f>IF(B809="","",COUNTIF($C$8:C809,C809)&amp;C809)</f>
        <v>0</v>
      </c>
    </row>
    <row r="810" spans="2:24" ht="23.1" customHeight="1">
      <c r="B810" s="31">
        <v>44865</v>
      </c>
      <c r="C810" s="9"/>
      <c r="D810" s="9" t="s">
        <v>573</v>
      </c>
      <c r="E810" s="7"/>
      <c r="F810" s="7"/>
      <c r="G810" s="7"/>
      <c r="H810" s="7" t="s">
        <v>577</v>
      </c>
      <c r="I810" s="7" t="s">
        <v>559</v>
      </c>
      <c r="J810" s="39">
        <v>134620300</v>
      </c>
      <c r="L810" s="16">
        <f t="shared" si="535"/>
        <v>1</v>
      </c>
      <c r="M810" s="16" t="str">
        <f t="shared" si="555"/>
        <v>October</v>
      </c>
      <c r="N810" s="16" t="str">
        <f t="shared" si="537"/>
        <v/>
      </c>
      <c r="O810" s="16" t="str">
        <f>IF(N810="","",COUNTIF($N$8:N810,N810))</f>
        <v/>
      </c>
      <c r="P810" s="34" t="str">
        <f t="shared" si="538"/>
        <v>InAkun Piutang</v>
      </c>
      <c r="Q810" s="34" t="str">
        <f t="shared" si="539"/>
        <v>inOctoberAkun Piutang</v>
      </c>
      <c r="R810" s="34" t="str">
        <f t="shared" si="556"/>
        <v>Bank</v>
      </c>
      <c r="S810" s="34" t="str">
        <f t="shared" si="557"/>
        <v>Akun Piutang</v>
      </c>
      <c r="T810" s="34">
        <f t="shared" si="558"/>
        <v>0</v>
      </c>
      <c r="U810" s="34" t="str">
        <f>IF(AND(L810=1,bp_kode=T810,T810&lt;&gt;""),COUNTIF($T$8:T810,T810),"")</f>
        <v/>
      </c>
      <c r="V810" s="34" t="str">
        <f t="shared" si="559"/>
        <v/>
      </c>
      <c r="W810" s="34" t="str">
        <f t="shared" si="560"/>
        <v/>
      </c>
      <c r="X810" s="34" t="str">
        <f>IF(B810="","",COUNTIF($C$8:C810,C810)&amp;C810)</f>
        <v>0</v>
      </c>
    </row>
    <row r="811" spans="2:24" ht="23.1" customHeight="1">
      <c r="B811" s="31">
        <v>44865</v>
      </c>
      <c r="C811" s="9"/>
      <c r="D811" s="9" t="s">
        <v>588</v>
      </c>
      <c r="E811" s="7"/>
      <c r="F811" s="7"/>
      <c r="G811" s="7"/>
      <c r="H811" s="7" t="s">
        <v>577</v>
      </c>
      <c r="I811" s="7" t="s">
        <v>561</v>
      </c>
      <c r="J811" s="39">
        <v>21000000</v>
      </c>
      <c r="L811" s="16">
        <f t="shared" ref="L811" si="581">IF(AND(B811&gt;=awal,B811&lt;=akhir,B811&lt;&gt;""),1,IF(AND(B811&lt;&gt;"",B811&lt;awal),2,""))</f>
        <v>1</v>
      </c>
      <c r="M811" s="16" t="str">
        <f t="shared" ref="M811" si="582">IF(B811="","",TEXT(B811,"mmmm"))</f>
        <v>October</v>
      </c>
      <c r="N811" s="16" t="str">
        <f t="shared" ref="N811" si="583">IF(AND(L811=1,H811=bb_akun),"Awe",IF(AND(L811=1,I811=bb_akun),"Awe",""))</f>
        <v/>
      </c>
      <c r="O811" s="16" t="str">
        <f>IF(N811="","",COUNTIF($N$8:N811,N811))</f>
        <v/>
      </c>
      <c r="P811" s="34" t="str">
        <f t="shared" ref="P811" si="584">IFERROR(IF(OR(INDEX(akun_type,MATCH(H811,akun_kb,0))="Kas",INDEX(akun_type,MATCH(H811,akun_kb,0))="Bank"),"In"&amp;INDEX(akun_type,MATCH(I811,akun_kb,0)),IF(OR(INDEX(akun_type,MATCH(I811,akun_kb,0))="Kas",INDEX(akun_type,MATCH(I811,akun_kb,0))="Bank"),"out"&amp;INDEX(akun_type,MATCH(H811,akun_kb,0)),"")),"")</f>
        <v>InAkun Piutang</v>
      </c>
      <c r="Q811" s="34" t="str">
        <f t="shared" ref="Q811" si="585">IFERROR(IF(OR(INDEX(akun_type,MATCH(H811,akun_kb,0))="Kas",INDEX(akun_type,MATCH(H811,akun_kb,0))="Bank"),"in"&amp;TEXT(B811,"mmmm")&amp;INDEX(akun_type,MATCH(I811,akun_kb,0)),IF(OR(INDEX(akun_type,MATCH(I811,akun_kb,0))="Kas",INDEX(akun_type,MATCH(I811,akun_kb,0))="Bank"),"out"&amp;TEXT(B811,"mmmm")&amp;INDEX(akun_type,MATCH(H811,akun_kb,0)),"")),"")</f>
        <v>inOctoberAkun Piutang</v>
      </c>
      <c r="R811" s="34" t="str">
        <f t="shared" ref="R811" si="586">IFERROR(INDEX(akun_type,MATCH(H811,akun_kb,0)),"")</f>
        <v>Bank</v>
      </c>
      <c r="S811" s="34" t="str">
        <f t="shared" ref="S811" si="587">IFERROR(INDEX(akun_type,MATCH(I811,akun_kb,0)),"")</f>
        <v>Akun Piutang</v>
      </c>
      <c r="T811" s="34">
        <f t="shared" ref="T811" si="588">IF(AND(L811=1,OR(R811="Akun Piutang",R811="akun hutang",S811="akun piutang",S811="akun hutang")),E811,"")</f>
        <v>0</v>
      </c>
      <c r="U811" s="34" t="str">
        <f>IF(AND(L811=1,bp_kode=T811,T811&lt;&gt;""),COUNTIF($T$8:T811,T811),"")</f>
        <v/>
      </c>
      <c r="V811" s="34" t="str">
        <f t="shared" ref="V811" si="589">IF(OR(R811="Pendapatan",R811="Pendapatan Lainnya",R811="Beban",R811="Harga Pokok Penjualan",R811="Beban Lainnya"),"db"&amp;F811,IF(OR(S811="Pendapatan",S811="Pendapatan Lainnya",S811="Beban",S811="Harga Pokok Penjualan",S811="Beban Lainnya"),"kr"&amp;F811,""))</f>
        <v/>
      </c>
      <c r="W811" s="34" t="str">
        <f t="shared" ref="W811" si="590">IF(OR(R811="Pendapatan",R811="Pendapatan Lainnya",R811="Beban",R811="Harga Pokok Penjualan",R811="Beban Lainnya"),"db"&amp;G811,IF(OR(S811="Pendapatan",S811="Pendapatan Lainnya",S811="Beban",S811="Harga Pokok Penjualan",S811="Beban Lainnya"),"kr"&amp;G811,""))</f>
        <v/>
      </c>
      <c r="X811" s="34" t="str">
        <f>IF(B811="","",COUNTIF($C$8:C811,C811)&amp;C811)</f>
        <v>0</v>
      </c>
    </row>
    <row r="812" spans="2:24" ht="23.1" customHeight="1">
      <c r="B812" s="31">
        <v>44865</v>
      </c>
      <c r="C812" s="9"/>
      <c r="D812" s="9" t="s">
        <v>793</v>
      </c>
      <c r="E812" s="7"/>
      <c r="F812" s="7"/>
      <c r="G812" s="7"/>
      <c r="H812" s="7" t="s">
        <v>582</v>
      </c>
      <c r="I812" s="7" t="s">
        <v>577</v>
      </c>
      <c r="J812" s="39">
        <v>313514941</v>
      </c>
      <c r="L812" s="16">
        <f t="shared" ref="L812:L816" si="591">IF(AND(B812&gt;=awal,B812&lt;=akhir,B812&lt;&gt;""),1,IF(AND(B812&lt;&gt;"",B812&lt;awal),2,""))</f>
        <v>1</v>
      </c>
      <c r="M812" s="16" t="str">
        <f t="shared" ref="M812:M816" si="592">IF(B812="","",TEXT(B812,"mmmm"))</f>
        <v>October</v>
      </c>
      <c r="N812" s="16" t="str">
        <f t="shared" ref="N812:N816" si="593">IF(AND(L812=1,H812=bb_akun),"Awe",IF(AND(L812=1,I812=bb_akun),"Awe",""))</f>
        <v/>
      </c>
      <c r="O812" s="16" t="str">
        <f>IF(N812="","",COUNTIF($N$8:N812,N812))</f>
        <v/>
      </c>
      <c r="P812" s="34" t="str">
        <f t="shared" ref="P812:P816" si="594">IFERROR(IF(OR(INDEX(akun_type,MATCH(H812,akun_kb,0))="Kas",INDEX(akun_type,MATCH(H812,akun_kb,0))="Bank"),"In"&amp;INDEX(akun_type,MATCH(I812,akun_kb,0)),IF(OR(INDEX(akun_type,MATCH(I812,akun_kb,0))="Kas",INDEX(akun_type,MATCH(I812,akun_kb,0))="Bank"),"out"&amp;INDEX(akun_type,MATCH(H812,akun_kb,0)),"")),"")</f>
        <v>InBank</v>
      </c>
      <c r="Q812" s="34" t="str">
        <f t="shared" ref="Q812:Q816" si="595">IFERROR(IF(OR(INDEX(akun_type,MATCH(H812,akun_kb,0))="Kas",INDEX(akun_type,MATCH(H812,akun_kb,0))="Bank"),"in"&amp;TEXT(B812,"mmmm")&amp;INDEX(akun_type,MATCH(I812,akun_kb,0)),IF(OR(INDEX(akun_type,MATCH(I812,akun_kb,0))="Kas",INDEX(akun_type,MATCH(I812,akun_kb,0))="Bank"),"out"&amp;TEXT(B812,"mmmm")&amp;INDEX(akun_type,MATCH(H812,akun_kb,0)),"")),"")</f>
        <v>inOctoberBank</v>
      </c>
      <c r="R812" s="34" t="str">
        <f t="shared" ref="R812:R816" si="596">IFERROR(INDEX(akun_type,MATCH(H812,akun_kb,0)),"")</f>
        <v>Kas</v>
      </c>
      <c r="S812" s="34" t="str">
        <f t="shared" ref="S812:S816" si="597">IFERROR(INDEX(akun_type,MATCH(I812,akun_kb,0)),"")</f>
        <v>Bank</v>
      </c>
      <c r="T812" s="34" t="str">
        <f t="shared" ref="T812:T816" si="598">IF(AND(L812=1,OR(R812="Akun Piutang",R812="akun hutang",S812="akun piutang",S812="akun hutang")),E812,"")</f>
        <v/>
      </c>
      <c r="U812" s="34" t="str">
        <f>IF(AND(L812=1,bp_kode=T812,T812&lt;&gt;""),COUNTIF($T$8:T812,T812),"")</f>
        <v/>
      </c>
      <c r="V812" s="34" t="str">
        <f t="shared" ref="V812:V816" si="599">IF(OR(R812="Pendapatan",R812="Pendapatan Lainnya",R812="Beban",R812="Harga Pokok Penjualan",R812="Beban Lainnya"),"db"&amp;F812,IF(OR(S812="Pendapatan",S812="Pendapatan Lainnya",S812="Beban",S812="Harga Pokok Penjualan",S812="Beban Lainnya"),"kr"&amp;F812,""))</f>
        <v/>
      </c>
      <c r="W812" s="34" t="str">
        <f t="shared" ref="W812:W816" si="600">IF(OR(R812="Pendapatan",R812="Pendapatan Lainnya",R812="Beban",R812="Harga Pokok Penjualan",R812="Beban Lainnya"),"db"&amp;G812,IF(OR(S812="Pendapatan",S812="Pendapatan Lainnya",S812="Beban",S812="Harga Pokok Penjualan",S812="Beban Lainnya"),"kr"&amp;G812,""))</f>
        <v/>
      </c>
      <c r="X812" s="34" t="str">
        <f>IF(B812="","",COUNTIF($C$8:C812,C812)&amp;C812)</f>
        <v>0</v>
      </c>
    </row>
    <row r="813" spans="2:24" ht="23.1" customHeight="1">
      <c r="B813" s="31">
        <v>44865</v>
      </c>
      <c r="C813" s="9"/>
      <c r="D813" s="9" t="s">
        <v>588</v>
      </c>
      <c r="E813" s="7"/>
      <c r="F813" s="7"/>
      <c r="G813" s="7"/>
      <c r="H813" s="7" t="s">
        <v>808</v>
      </c>
      <c r="I813" s="7" t="s">
        <v>554</v>
      </c>
      <c r="J813" s="39">
        <v>1817000</v>
      </c>
      <c r="L813" s="16">
        <f t="shared" si="591"/>
        <v>1</v>
      </c>
      <c r="M813" s="16" t="str">
        <f t="shared" si="592"/>
        <v>October</v>
      </c>
      <c r="N813" s="16" t="str">
        <f t="shared" si="593"/>
        <v/>
      </c>
      <c r="O813" s="16" t="str">
        <f>IF(N813="","",COUNTIF($N$8:N813,N813))</f>
        <v/>
      </c>
      <c r="P813" s="34" t="str">
        <f t="shared" si="594"/>
        <v>InKas</v>
      </c>
      <c r="Q813" s="34" t="str">
        <f t="shared" si="595"/>
        <v>inOctoberKas</v>
      </c>
      <c r="R813" s="34" t="str">
        <f t="shared" si="596"/>
        <v>Bank</v>
      </c>
      <c r="S813" s="34" t="str">
        <f t="shared" si="597"/>
        <v>Kas</v>
      </c>
      <c r="T813" s="34" t="str">
        <f t="shared" si="598"/>
        <v/>
      </c>
      <c r="U813" s="34" t="str">
        <f>IF(AND(L813=1,bp_kode=T813,T813&lt;&gt;""),COUNTIF($T$8:T813,T813),"")</f>
        <v/>
      </c>
      <c r="V813" s="34" t="str">
        <f t="shared" si="599"/>
        <v/>
      </c>
      <c r="W813" s="34" t="str">
        <f t="shared" si="600"/>
        <v/>
      </c>
      <c r="X813" s="34" t="str">
        <f>IF(B813="","",COUNTIF($C$8:C813,C813)&amp;C813)</f>
        <v>0</v>
      </c>
    </row>
    <row r="814" spans="2:24" ht="23.1" customHeight="1">
      <c r="B814" s="31">
        <v>44865</v>
      </c>
      <c r="C814" s="9"/>
      <c r="D814" s="9" t="s">
        <v>809</v>
      </c>
      <c r="E814" s="7"/>
      <c r="F814" s="7"/>
      <c r="G814" s="7"/>
      <c r="H814" s="7" t="s">
        <v>640</v>
      </c>
      <c r="I814" s="7" t="s">
        <v>808</v>
      </c>
      <c r="J814" s="39">
        <v>25000</v>
      </c>
      <c r="L814" s="16">
        <f t="shared" si="591"/>
        <v>1</v>
      </c>
      <c r="M814" s="16" t="str">
        <f t="shared" si="592"/>
        <v>October</v>
      </c>
      <c r="N814" s="16" t="str">
        <f t="shared" si="593"/>
        <v/>
      </c>
      <c r="O814" s="16" t="str">
        <f>IF(N814="","",COUNTIF($N$8:N814,N814))</f>
        <v/>
      </c>
      <c r="P814" s="34" t="str">
        <f t="shared" si="594"/>
        <v>outBeban Lainnya</v>
      </c>
      <c r="Q814" s="34" t="str">
        <f t="shared" si="595"/>
        <v>outOctoberBeban Lainnya</v>
      </c>
      <c r="R814" s="34" t="str">
        <f t="shared" si="596"/>
        <v>Beban Lainnya</v>
      </c>
      <c r="S814" s="34" t="str">
        <f t="shared" si="597"/>
        <v>Bank</v>
      </c>
      <c r="T814" s="34" t="str">
        <f t="shared" si="598"/>
        <v/>
      </c>
      <c r="U814" s="34" t="str">
        <f>IF(AND(L814=1,bp_kode=T814,T814&lt;&gt;""),COUNTIF($T$8:T814,T814),"")</f>
        <v/>
      </c>
      <c r="V814" s="34" t="str">
        <f t="shared" si="599"/>
        <v>db</v>
      </c>
      <c r="W814" s="34" t="str">
        <f t="shared" si="600"/>
        <v>db</v>
      </c>
      <c r="X814" s="34" t="str">
        <f>IF(B814="","",COUNTIF($C$8:C814,C814)&amp;C814)</f>
        <v>0</v>
      </c>
    </row>
    <row r="815" spans="2:24" ht="23.1" customHeight="1">
      <c r="B815" s="31">
        <v>44865</v>
      </c>
      <c r="C815" s="9"/>
      <c r="D815" s="9" t="s">
        <v>810</v>
      </c>
      <c r="E815" s="7"/>
      <c r="F815" s="7"/>
      <c r="G815" s="7"/>
      <c r="H815" s="7" t="s">
        <v>640</v>
      </c>
      <c r="I815" s="7" t="s">
        <v>808</v>
      </c>
      <c r="J815" s="39">
        <v>50000</v>
      </c>
      <c r="L815" s="16">
        <f t="shared" si="591"/>
        <v>1</v>
      </c>
      <c r="M815" s="16" t="str">
        <f t="shared" si="592"/>
        <v>October</v>
      </c>
      <c r="N815" s="16" t="str">
        <f t="shared" si="593"/>
        <v/>
      </c>
      <c r="O815" s="16" t="str">
        <f>IF(N815="","",COUNTIF($N$8:N815,N815))</f>
        <v/>
      </c>
      <c r="P815" s="34" t="str">
        <f t="shared" si="594"/>
        <v>outBeban Lainnya</v>
      </c>
      <c r="Q815" s="34" t="str">
        <f t="shared" si="595"/>
        <v>outOctoberBeban Lainnya</v>
      </c>
      <c r="R815" s="34" t="str">
        <f t="shared" si="596"/>
        <v>Beban Lainnya</v>
      </c>
      <c r="S815" s="34" t="str">
        <f t="shared" si="597"/>
        <v>Bank</v>
      </c>
      <c r="T815" s="34" t="str">
        <f t="shared" si="598"/>
        <v/>
      </c>
      <c r="U815" s="34" t="str">
        <f>IF(AND(L815=1,bp_kode=T815,T815&lt;&gt;""),COUNTIF($T$8:T815,T815),"")</f>
        <v/>
      </c>
      <c r="V815" s="34" t="str">
        <f t="shared" si="599"/>
        <v>db</v>
      </c>
      <c r="W815" s="34" t="str">
        <f t="shared" si="600"/>
        <v>db</v>
      </c>
      <c r="X815" s="34" t="str">
        <f>IF(B815="","",COUNTIF($C$8:C815,C815)&amp;C815)</f>
        <v>0</v>
      </c>
    </row>
    <row r="816" spans="2:24" ht="23.1" customHeight="1">
      <c r="B816" s="31">
        <v>44865</v>
      </c>
      <c r="C816" s="9"/>
      <c r="D816" s="9" t="s">
        <v>578</v>
      </c>
      <c r="E816" s="7"/>
      <c r="F816" s="7"/>
      <c r="G816" s="7"/>
      <c r="H816" s="7" t="s">
        <v>640</v>
      </c>
      <c r="I816" s="7" t="s">
        <v>808</v>
      </c>
      <c r="J816" s="39">
        <v>500000</v>
      </c>
      <c r="L816" s="16">
        <f t="shared" si="591"/>
        <v>1</v>
      </c>
      <c r="M816" s="16" t="str">
        <f t="shared" si="592"/>
        <v>October</v>
      </c>
      <c r="N816" s="16" t="str">
        <f t="shared" si="593"/>
        <v/>
      </c>
      <c r="O816" s="16" t="str">
        <f>IF(N816="","",COUNTIF($N$8:N816,N816))</f>
        <v/>
      </c>
      <c r="P816" s="34" t="str">
        <f t="shared" si="594"/>
        <v>outBeban Lainnya</v>
      </c>
      <c r="Q816" s="34" t="str">
        <f t="shared" si="595"/>
        <v>outOctoberBeban Lainnya</v>
      </c>
      <c r="R816" s="34" t="str">
        <f t="shared" si="596"/>
        <v>Beban Lainnya</v>
      </c>
      <c r="S816" s="34" t="str">
        <f t="shared" si="597"/>
        <v>Bank</v>
      </c>
      <c r="T816" s="34" t="str">
        <f t="shared" si="598"/>
        <v/>
      </c>
      <c r="U816" s="34" t="str">
        <f>IF(AND(L816=1,bp_kode=T816,T816&lt;&gt;""),COUNTIF($T$8:T816,T816),"")</f>
        <v/>
      </c>
      <c r="V816" s="34" t="str">
        <f t="shared" si="599"/>
        <v>db</v>
      </c>
      <c r="W816" s="34" t="str">
        <f t="shared" si="600"/>
        <v>db</v>
      </c>
      <c r="X816" s="34" t="str">
        <f>IF(B816="","",COUNTIF($C$8:C816,C816)&amp;C816)</f>
        <v>0</v>
      </c>
    </row>
    <row r="817" spans="2:24" ht="23.1" customHeight="1">
      <c r="B817" s="31">
        <v>44865</v>
      </c>
      <c r="C817" s="9"/>
      <c r="D817" s="9" t="s">
        <v>809</v>
      </c>
      <c r="E817" s="7"/>
      <c r="F817" s="7"/>
      <c r="G817" s="7"/>
      <c r="H817" s="7" t="s">
        <v>640</v>
      </c>
      <c r="I817" s="7" t="s">
        <v>808</v>
      </c>
      <c r="J817" s="39">
        <v>25000</v>
      </c>
      <c r="L817" s="16">
        <f t="shared" ref="L817" si="601">IF(AND(B817&gt;=awal,B817&lt;=akhir,B817&lt;&gt;""),1,IF(AND(B817&lt;&gt;"",B817&lt;awal),2,""))</f>
        <v>1</v>
      </c>
      <c r="M817" s="16" t="str">
        <f t="shared" ref="M817" si="602">IF(B817="","",TEXT(B817,"mmmm"))</f>
        <v>October</v>
      </c>
      <c r="N817" s="16" t="str">
        <f t="shared" ref="N817" si="603">IF(AND(L817=1,H817=bb_akun),"Awe",IF(AND(L817=1,I817=bb_akun),"Awe",""))</f>
        <v/>
      </c>
      <c r="O817" s="16" t="str">
        <f>IF(N817="","",COUNTIF($N$8:N817,N817))</f>
        <v/>
      </c>
      <c r="P817" s="34" t="str">
        <f t="shared" ref="P817" si="604">IFERROR(IF(OR(INDEX(akun_type,MATCH(H817,akun_kb,0))="Kas",INDEX(akun_type,MATCH(H817,akun_kb,0))="Bank"),"In"&amp;INDEX(akun_type,MATCH(I817,akun_kb,0)),IF(OR(INDEX(akun_type,MATCH(I817,akun_kb,0))="Kas",INDEX(akun_type,MATCH(I817,akun_kb,0))="Bank"),"out"&amp;INDEX(akun_type,MATCH(H817,akun_kb,0)),"")),"")</f>
        <v>outBeban Lainnya</v>
      </c>
      <c r="Q817" s="34" t="str">
        <f t="shared" ref="Q817" si="605">IFERROR(IF(OR(INDEX(akun_type,MATCH(H817,akun_kb,0))="Kas",INDEX(akun_type,MATCH(H817,akun_kb,0))="Bank"),"in"&amp;TEXT(B817,"mmmm")&amp;INDEX(akun_type,MATCH(I817,akun_kb,0)),IF(OR(INDEX(akun_type,MATCH(I817,akun_kb,0))="Kas",INDEX(akun_type,MATCH(I817,akun_kb,0))="Bank"),"out"&amp;TEXT(B817,"mmmm")&amp;INDEX(akun_type,MATCH(H817,akun_kb,0)),"")),"")</f>
        <v>outOctoberBeban Lainnya</v>
      </c>
      <c r="R817" s="34" t="str">
        <f t="shared" ref="R817" si="606">IFERROR(INDEX(akun_type,MATCH(H817,akun_kb,0)),"")</f>
        <v>Beban Lainnya</v>
      </c>
      <c r="S817" s="34" t="str">
        <f t="shared" ref="S817" si="607">IFERROR(INDEX(akun_type,MATCH(I817,akun_kb,0)),"")</f>
        <v>Bank</v>
      </c>
      <c r="T817" s="34" t="str">
        <f t="shared" ref="T817" si="608">IF(AND(L817=1,OR(R817="Akun Piutang",R817="akun hutang",S817="akun piutang",S817="akun hutang")),E817,"")</f>
        <v/>
      </c>
      <c r="U817" s="34" t="str">
        <f>IF(AND(L817=1,bp_kode=T817,T817&lt;&gt;""),COUNTIF($T$8:T817,T817),"")</f>
        <v/>
      </c>
      <c r="V817" s="34" t="str">
        <f t="shared" ref="V817" si="609">IF(OR(R817="Pendapatan",R817="Pendapatan Lainnya",R817="Beban",R817="Harga Pokok Penjualan",R817="Beban Lainnya"),"db"&amp;F817,IF(OR(S817="Pendapatan",S817="Pendapatan Lainnya",S817="Beban",S817="Harga Pokok Penjualan",S817="Beban Lainnya"),"kr"&amp;F817,""))</f>
        <v>db</v>
      </c>
      <c r="W817" s="34" t="str">
        <f t="shared" ref="W817" si="610">IF(OR(R817="Pendapatan",R817="Pendapatan Lainnya",R817="Beban",R817="Harga Pokok Penjualan",R817="Beban Lainnya"),"db"&amp;G817,IF(OR(S817="Pendapatan",S817="Pendapatan Lainnya",S817="Beban",S817="Harga Pokok Penjualan",S817="Beban Lainnya"),"kr"&amp;G817,""))</f>
        <v>db</v>
      </c>
      <c r="X817" s="34" t="str">
        <f>IF(B817="","",COUNTIF($C$8:C817,C817)&amp;C817)</f>
        <v>0</v>
      </c>
    </row>
    <row r="818" spans="2:24" ht="23.1" customHeight="1">
      <c r="B818" s="31">
        <v>44865</v>
      </c>
      <c r="C818" s="9"/>
      <c r="D818" s="9" t="s">
        <v>806</v>
      </c>
      <c r="E818" s="7"/>
      <c r="F818" s="7"/>
      <c r="G818" s="7"/>
      <c r="H818" s="7" t="s">
        <v>788</v>
      </c>
      <c r="I818" s="7" t="s">
        <v>579</v>
      </c>
      <c r="J818" s="39">
        <v>191060951.75999999</v>
      </c>
      <c r="L818" s="16">
        <f t="shared" si="535"/>
        <v>1</v>
      </c>
      <c r="M818" s="16" t="str">
        <f t="shared" si="555"/>
        <v>October</v>
      </c>
      <c r="N818" s="16" t="str">
        <f t="shared" si="537"/>
        <v/>
      </c>
      <c r="O818" s="16" t="str">
        <f>IF(N818="","",COUNTIF($N$8:N818,N818))</f>
        <v/>
      </c>
      <c r="P818" s="34" t="str">
        <f t="shared" si="538"/>
        <v>InBank</v>
      </c>
      <c r="Q818" s="34" t="str">
        <f t="shared" si="539"/>
        <v>inOctoberBank</v>
      </c>
      <c r="R818" s="34" t="str">
        <f t="shared" si="556"/>
        <v>Bank</v>
      </c>
      <c r="S818" s="34" t="str">
        <f t="shared" si="557"/>
        <v>Bank</v>
      </c>
      <c r="T818" s="34" t="str">
        <f t="shared" si="558"/>
        <v/>
      </c>
      <c r="U818" s="34" t="str">
        <f>IF(AND(L818=1,bp_kode=T818,T818&lt;&gt;""),COUNTIF($T$8:T818,T818),"")</f>
        <v/>
      </c>
      <c r="V818" s="34" t="str">
        <f t="shared" si="559"/>
        <v/>
      </c>
      <c r="W818" s="34" t="str">
        <f t="shared" si="560"/>
        <v/>
      </c>
      <c r="X818" s="34" t="str">
        <f>IF(B818="","",COUNTIF($C$8:C818,C818)&amp;C818)</f>
        <v>0</v>
      </c>
    </row>
    <row r="819" spans="2:24" ht="23.1" customHeight="1">
      <c r="B819" s="31">
        <v>44865</v>
      </c>
      <c r="C819" s="9"/>
      <c r="D819" s="9" t="s">
        <v>689</v>
      </c>
      <c r="E819" s="7"/>
      <c r="F819" s="7"/>
      <c r="G819" s="7"/>
      <c r="H819" s="7" t="s">
        <v>640</v>
      </c>
      <c r="I819" s="7" t="s">
        <v>579</v>
      </c>
      <c r="J819" s="39">
        <v>100000</v>
      </c>
      <c r="L819" s="16">
        <f t="shared" si="535"/>
        <v>1</v>
      </c>
      <c r="M819" s="16" t="str">
        <f t="shared" si="555"/>
        <v>October</v>
      </c>
      <c r="N819" s="16" t="str">
        <f t="shared" si="537"/>
        <v/>
      </c>
      <c r="O819" s="16" t="str">
        <f>IF(N819="","",COUNTIF($N$8:N819,N819))</f>
        <v/>
      </c>
      <c r="P819" s="34" t="str">
        <f t="shared" si="538"/>
        <v>outBeban Lainnya</v>
      </c>
      <c r="Q819" s="34" t="str">
        <f t="shared" si="539"/>
        <v>outOctoberBeban Lainnya</v>
      </c>
      <c r="R819" s="34" t="str">
        <f t="shared" si="556"/>
        <v>Beban Lainnya</v>
      </c>
      <c r="S819" s="34" t="str">
        <f t="shared" si="557"/>
        <v>Bank</v>
      </c>
      <c r="T819" s="34" t="str">
        <f t="shared" si="558"/>
        <v/>
      </c>
      <c r="U819" s="34" t="str">
        <f>IF(AND(L819=1,bp_kode=T819,T819&lt;&gt;""),COUNTIF($T$8:T819,T819),"")</f>
        <v/>
      </c>
      <c r="V819" s="34" t="str">
        <f t="shared" si="559"/>
        <v>db</v>
      </c>
      <c r="W819" s="34" t="str">
        <f t="shared" si="560"/>
        <v>db</v>
      </c>
      <c r="X819" s="34" t="str">
        <f>IF(B819="","",COUNTIF($C$8:C819,C819)&amp;C819)</f>
        <v>0</v>
      </c>
    </row>
    <row r="820" spans="2:24" ht="23.1" customHeight="1">
      <c r="B820" s="31">
        <v>44865</v>
      </c>
      <c r="C820" s="9"/>
      <c r="D820" s="9" t="s">
        <v>689</v>
      </c>
      <c r="E820" s="7"/>
      <c r="F820" s="7"/>
      <c r="G820" s="7"/>
      <c r="H820" s="7" t="s">
        <v>640</v>
      </c>
      <c r="I820" s="7" t="s">
        <v>579</v>
      </c>
      <c r="J820" s="39">
        <v>2900</v>
      </c>
      <c r="L820" s="16">
        <f t="shared" ref="L820" si="611">IF(AND(B820&gt;=awal,B820&lt;=akhir,B820&lt;&gt;""),1,IF(AND(B820&lt;&gt;"",B820&lt;awal),2,""))</f>
        <v>1</v>
      </c>
      <c r="M820" s="16" t="str">
        <f t="shared" ref="M820" si="612">IF(B820="","",TEXT(B820,"mmmm"))</f>
        <v>October</v>
      </c>
      <c r="N820" s="16" t="str">
        <f t="shared" ref="N820" si="613">IF(AND(L820=1,H820=bb_akun),"Awe",IF(AND(L820=1,I820=bb_akun),"Awe",""))</f>
        <v/>
      </c>
      <c r="O820" s="16" t="str">
        <f>IF(N820="","",COUNTIF($N$8:N820,N820))</f>
        <v/>
      </c>
      <c r="P820" s="34" t="str">
        <f t="shared" ref="P820" si="614">IFERROR(IF(OR(INDEX(akun_type,MATCH(H820,akun_kb,0))="Kas",INDEX(akun_type,MATCH(H820,akun_kb,0))="Bank"),"In"&amp;INDEX(akun_type,MATCH(I820,akun_kb,0)),IF(OR(INDEX(akun_type,MATCH(I820,akun_kb,0))="Kas",INDEX(akun_type,MATCH(I820,akun_kb,0))="Bank"),"out"&amp;INDEX(akun_type,MATCH(H820,akun_kb,0)),"")),"")</f>
        <v>outBeban Lainnya</v>
      </c>
      <c r="Q820" s="34" t="str">
        <f t="shared" ref="Q820" si="615">IFERROR(IF(OR(INDEX(akun_type,MATCH(H820,akun_kb,0))="Kas",INDEX(akun_type,MATCH(H820,akun_kb,0))="Bank"),"in"&amp;TEXT(B820,"mmmm")&amp;INDEX(akun_type,MATCH(I820,akun_kb,0)),IF(OR(INDEX(akun_type,MATCH(I820,akun_kb,0))="Kas",INDEX(akun_type,MATCH(I820,akun_kb,0))="Bank"),"out"&amp;TEXT(B820,"mmmm")&amp;INDEX(akun_type,MATCH(H820,akun_kb,0)),"")),"")</f>
        <v>outOctoberBeban Lainnya</v>
      </c>
      <c r="R820" s="34" t="str">
        <f t="shared" ref="R820" si="616">IFERROR(INDEX(akun_type,MATCH(H820,akun_kb,0)),"")</f>
        <v>Beban Lainnya</v>
      </c>
      <c r="S820" s="34" t="str">
        <f t="shared" ref="S820" si="617">IFERROR(INDEX(akun_type,MATCH(I820,akun_kb,0)),"")</f>
        <v>Bank</v>
      </c>
      <c r="T820" s="34" t="str">
        <f t="shared" ref="T820" si="618">IF(AND(L820=1,OR(R820="Akun Piutang",R820="akun hutang",S820="akun piutang",S820="akun hutang")),E820,"")</f>
        <v/>
      </c>
      <c r="U820" s="34" t="str">
        <f>IF(AND(L820=1,bp_kode=T820,T820&lt;&gt;""),COUNTIF($T$8:T820,T820),"")</f>
        <v/>
      </c>
      <c r="V820" s="34" t="str">
        <f t="shared" ref="V820" si="619">IF(OR(R820="Pendapatan",R820="Pendapatan Lainnya",R820="Beban",R820="Harga Pokok Penjualan",R820="Beban Lainnya"),"db"&amp;F820,IF(OR(S820="Pendapatan",S820="Pendapatan Lainnya",S820="Beban",S820="Harga Pokok Penjualan",S820="Beban Lainnya"),"kr"&amp;F820,""))</f>
        <v>db</v>
      </c>
      <c r="W820" s="34" t="str">
        <f t="shared" ref="W820" si="620">IF(OR(R820="Pendapatan",R820="Pendapatan Lainnya",R820="Beban",R820="Harga Pokok Penjualan",R820="Beban Lainnya"),"db"&amp;G820,IF(OR(S820="Pendapatan",S820="Pendapatan Lainnya",S820="Beban",S820="Harga Pokok Penjualan",S820="Beban Lainnya"),"kr"&amp;G820,""))</f>
        <v>db</v>
      </c>
      <c r="X820" s="34" t="str">
        <f>IF(B820="","",COUNTIF($C$8:C820,C820)&amp;C820)</f>
        <v>0</v>
      </c>
    </row>
    <row r="821" spans="2:24" ht="23.1" customHeight="1">
      <c r="B821" s="31">
        <v>44865</v>
      </c>
      <c r="C821" s="9"/>
      <c r="D821" s="9" t="s">
        <v>573</v>
      </c>
      <c r="E821" s="7"/>
      <c r="F821" s="7"/>
      <c r="G821" s="7"/>
      <c r="H821" s="7" t="s">
        <v>579</v>
      </c>
      <c r="I821" s="7" t="s">
        <v>559</v>
      </c>
      <c r="J821" s="39">
        <v>500000</v>
      </c>
      <c r="L821" s="16">
        <f t="shared" si="535"/>
        <v>1</v>
      </c>
      <c r="M821" s="16" t="str">
        <f t="shared" si="555"/>
        <v>October</v>
      </c>
      <c r="N821" s="16" t="str">
        <f t="shared" si="537"/>
        <v/>
      </c>
      <c r="O821" s="16" t="str">
        <f>IF(N821="","",COUNTIF($N$8:N821,N821))</f>
        <v/>
      </c>
      <c r="P821" s="34" t="str">
        <f t="shared" si="538"/>
        <v>InAkun Piutang</v>
      </c>
      <c r="Q821" s="34" t="str">
        <f t="shared" si="539"/>
        <v>inOctoberAkun Piutang</v>
      </c>
      <c r="R821" s="34" t="str">
        <f t="shared" si="556"/>
        <v>Bank</v>
      </c>
      <c r="S821" s="34" t="str">
        <f t="shared" si="557"/>
        <v>Akun Piutang</v>
      </c>
      <c r="T821" s="34">
        <f t="shared" si="558"/>
        <v>0</v>
      </c>
      <c r="U821" s="34" t="str">
        <f>IF(AND(L821=1,bp_kode=T821,T821&lt;&gt;""),COUNTIF($T$8:T821,T821),"")</f>
        <v/>
      </c>
      <c r="V821" s="34" t="str">
        <f t="shared" si="559"/>
        <v/>
      </c>
      <c r="W821" s="34" t="str">
        <f t="shared" si="560"/>
        <v/>
      </c>
      <c r="X821" s="34" t="str">
        <f>IF(B821="","",COUNTIF($C$8:C821,C821)&amp;C821)</f>
        <v>0</v>
      </c>
    </row>
    <row r="822" spans="2:24" ht="23.1" customHeight="1">
      <c r="B822" s="31">
        <v>44865</v>
      </c>
      <c r="C822" s="9"/>
      <c r="D822" s="9" t="s">
        <v>584</v>
      </c>
      <c r="E822" s="7"/>
      <c r="F822" s="7"/>
      <c r="G822" s="7"/>
      <c r="H822" s="7" t="s">
        <v>583</v>
      </c>
      <c r="I822" s="7" t="s">
        <v>561</v>
      </c>
      <c r="J822" s="39">
        <v>7000000</v>
      </c>
      <c r="L822" s="16">
        <f t="shared" si="535"/>
        <v>1</v>
      </c>
      <c r="M822" s="16" t="str">
        <f t="shared" si="555"/>
        <v>October</v>
      </c>
      <c r="N822" s="16" t="str">
        <f t="shared" si="537"/>
        <v/>
      </c>
      <c r="O822" s="16" t="str">
        <f>IF(N822="","",COUNTIF($N$8:N822,N822))</f>
        <v/>
      </c>
      <c r="P822" s="34" t="str">
        <f t="shared" si="538"/>
        <v>InAkun Piutang</v>
      </c>
      <c r="Q822" s="34" t="str">
        <f t="shared" si="539"/>
        <v>inOctoberAkun Piutang</v>
      </c>
      <c r="R822" s="34" t="str">
        <f t="shared" si="556"/>
        <v>Bank</v>
      </c>
      <c r="S822" s="34" t="str">
        <f t="shared" si="557"/>
        <v>Akun Piutang</v>
      </c>
      <c r="T822" s="34">
        <f t="shared" si="558"/>
        <v>0</v>
      </c>
      <c r="U822" s="34" t="str">
        <f>IF(AND(L822=1,bp_kode=T822,T822&lt;&gt;""),COUNTIF($T$8:T822,T822),"")</f>
        <v/>
      </c>
      <c r="V822" s="34" t="str">
        <f t="shared" si="559"/>
        <v/>
      </c>
      <c r="W822" s="34" t="str">
        <f t="shared" si="560"/>
        <v/>
      </c>
      <c r="X822" s="34" t="str">
        <f>IF(B822="","",COUNTIF($C$8:C822,C822)&amp;C822)</f>
        <v>0</v>
      </c>
    </row>
    <row r="823" spans="2:24" ht="23.1" customHeight="1">
      <c r="B823" s="31">
        <v>44865</v>
      </c>
      <c r="C823" s="9"/>
      <c r="D823" s="9" t="s">
        <v>802</v>
      </c>
      <c r="E823" s="7"/>
      <c r="F823" s="7"/>
      <c r="G823" s="7"/>
      <c r="H823" s="7" t="s">
        <v>583</v>
      </c>
      <c r="I823" s="7" t="s">
        <v>569</v>
      </c>
      <c r="J823" s="39">
        <v>141082.38</v>
      </c>
      <c r="L823" s="16">
        <f t="shared" si="535"/>
        <v>1</v>
      </c>
      <c r="M823" s="16" t="str">
        <f t="shared" si="555"/>
        <v>October</v>
      </c>
      <c r="N823" s="16" t="str">
        <f t="shared" si="537"/>
        <v/>
      </c>
      <c r="O823" s="16" t="str">
        <f>IF(N823="","",COUNTIF($N$8:N823,N823))</f>
        <v/>
      </c>
      <c r="P823" s="34" t="str">
        <f t="shared" si="538"/>
        <v>InPendapatan Lainnya</v>
      </c>
      <c r="Q823" s="34" t="str">
        <f t="shared" si="539"/>
        <v>inOctoberPendapatan Lainnya</v>
      </c>
      <c r="R823" s="34" t="str">
        <f t="shared" si="556"/>
        <v>Bank</v>
      </c>
      <c r="S823" s="34" t="str">
        <f t="shared" si="557"/>
        <v>Pendapatan Lainnya</v>
      </c>
      <c r="T823" s="34" t="str">
        <f t="shared" si="558"/>
        <v/>
      </c>
      <c r="U823" s="34" t="str">
        <f>IF(AND(L823=1,bp_kode=T823,T823&lt;&gt;""),COUNTIF($T$8:T823,T823),"")</f>
        <v/>
      </c>
      <c r="V823" s="34" t="str">
        <f t="shared" si="559"/>
        <v>kr</v>
      </c>
      <c r="W823" s="34" t="str">
        <f t="shared" si="560"/>
        <v>kr</v>
      </c>
      <c r="X823" s="34" t="str">
        <f>IF(B823="","",COUNTIF($C$8:C823,C823)&amp;C823)</f>
        <v>0</v>
      </c>
    </row>
    <row r="824" spans="2:24" ht="23.1" customHeight="1">
      <c r="B824" s="31">
        <v>44865</v>
      </c>
      <c r="C824" s="9"/>
      <c r="D824" s="9" t="s">
        <v>801</v>
      </c>
      <c r="E824" s="7"/>
      <c r="F824" s="7"/>
      <c r="G824" s="7"/>
      <c r="H824" s="7" t="s">
        <v>788</v>
      </c>
      <c r="I824" s="7" t="s">
        <v>583</v>
      </c>
      <c r="J824" s="39">
        <v>539732621.25999999</v>
      </c>
      <c r="L824" s="16">
        <f t="shared" si="535"/>
        <v>1</v>
      </c>
      <c r="M824" s="16" t="str">
        <f t="shared" si="555"/>
        <v>October</v>
      </c>
      <c r="N824" s="16" t="str">
        <f t="shared" si="537"/>
        <v/>
      </c>
      <c r="O824" s="16" t="str">
        <f>IF(N824="","",COUNTIF($N$8:N824,N824))</f>
        <v/>
      </c>
      <c r="P824" s="34" t="str">
        <f t="shared" si="538"/>
        <v>InBank</v>
      </c>
      <c r="Q824" s="34" t="str">
        <f t="shared" si="539"/>
        <v>inOctoberBank</v>
      </c>
      <c r="R824" s="34" t="str">
        <f t="shared" si="556"/>
        <v>Bank</v>
      </c>
      <c r="S824" s="34" t="str">
        <f t="shared" si="557"/>
        <v>Bank</v>
      </c>
      <c r="T824" s="34" t="str">
        <f t="shared" si="558"/>
        <v/>
      </c>
      <c r="U824" s="34" t="str">
        <f>IF(AND(L824=1,bp_kode=T824,T824&lt;&gt;""),COUNTIF($T$8:T824,T824),"")</f>
        <v/>
      </c>
      <c r="V824" s="34" t="str">
        <f t="shared" si="559"/>
        <v/>
      </c>
      <c r="W824" s="34" t="str">
        <f t="shared" si="560"/>
        <v/>
      </c>
      <c r="X824" s="34" t="str">
        <f>IF(B824="","",COUNTIF($C$8:C824,C824)&amp;C824)</f>
        <v>0</v>
      </c>
    </row>
    <row r="825" spans="2:24" ht="23.1" customHeight="1">
      <c r="B825" s="31">
        <v>44865</v>
      </c>
      <c r="C825" s="9"/>
      <c r="D825" s="9" t="s">
        <v>802</v>
      </c>
      <c r="E825" s="7"/>
      <c r="F825" s="7"/>
      <c r="G825" s="7"/>
      <c r="H825" s="7" t="s">
        <v>788</v>
      </c>
      <c r="I825" s="7" t="s">
        <v>569</v>
      </c>
      <c r="J825" s="39">
        <v>286711.13</v>
      </c>
      <c r="L825" s="16">
        <f t="shared" ref="L825:L826" si="621">IF(AND(B825&gt;=awal,B825&lt;=akhir,B825&lt;&gt;""),1,IF(AND(B825&lt;&gt;"",B825&lt;awal),2,""))</f>
        <v>1</v>
      </c>
      <c r="M825" s="16" t="str">
        <f t="shared" ref="M825:M826" si="622">IF(B825="","",TEXT(B825,"mmmm"))</f>
        <v>October</v>
      </c>
      <c r="N825" s="16" t="str">
        <f t="shared" ref="N825:N826" si="623">IF(AND(L825=1,H825=bb_akun),"Awe",IF(AND(L825=1,I825=bb_akun),"Awe",""))</f>
        <v/>
      </c>
      <c r="O825" s="16" t="str">
        <f>IF(N825="","",COUNTIF($N$8:N825,N825))</f>
        <v/>
      </c>
      <c r="P825" s="34" t="str">
        <f t="shared" ref="P825:P826" si="624">IFERROR(IF(OR(INDEX(akun_type,MATCH(H825,akun_kb,0))="Kas",INDEX(akun_type,MATCH(H825,akun_kb,0))="Bank"),"In"&amp;INDEX(akun_type,MATCH(I825,akun_kb,0)),IF(OR(INDEX(akun_type,MATCH(I825,akun_kb,0))="Kas",INDEX(akun_type,MATCH(I825,akun_kb,0))="Bank"),"out"&amp;INDEX(akun_type,MATCH(H825,akun_kb,0)),"")),"")</f>
        <v>InPendapatan Lainnya</v>
      </c>
      <c r="Q825" s="34" t="str">
        <f t="shared" ref="Q825:Q826" si="625">IFERROR(IF(OR(INDEX(akun_type,MATCH(H825,akun_kb,0))="Kas",INDEX(akun_type,MATCH(H825,akun_kb,0))="Bank"),"in"&amp;TEXT(B825,"mmmm")&amp;INDEX(akun_type,MATCH(I825,akun_kb,0)),IF(OR(INDEX(akun_type,MATCH(I825,akun_kb,0))="Kas",INDEX(akun_type,MATCH(I825,akun_kb,0))="Bank"),"out"&amp;TEXT(B825,"mmmm")&amp;INDEX(akun_type,MATCH(H825,akun_kb,0)),"")),"")</f>
        <v>inOctoberPendapatan Lainnya</v>
      </c>
      <c r="R825" s="34" t="str">
        <f t="shared" ref="R825:R826" si="626">IFERROR(INDEX(akun_type,MATCH(H825,akun_kb,0)),"")</f>
        <v>Bank</v>
      </c>
      <c r="S825" s="34" t="str">
        <f t="shared" ref="S825:S826" si="627">IFERROR(INDEX(akun_type,MATCH(I825,akun_kb,0)),"")</f>
        <v>Pendapatan Lainnya</v>
      </c>
      <c r="T825" s="34" t="str">
        <f t="shared" ref="T825:T826" si="628">IF(AND(L825=1,OR(R825="Akun Piutang",R825="akun hutang",S825="akun piutang",S825="akun hutang")),E825,"")</f>
        <v/>
      </c>
      <c r="U825" s="34" t="str">
        <f>IF(AND(L825=1,bp_kode=T825,T825&lt;&gt;""),COUNTIF($T$8:T825,T825),"")</f>
        <v/>
      </c>
      <c r="V825" s="34" t="str">
        <f t="shared" ref="V825:V826" si="629">IF(OR(R825="Pendapatan",R825="Pendapatan Lainnya",R825="Beban",R825="Harga Pokok Penjualan",R825="Beban Lainnya"),"db"&amp;F825,IF(OR(S825="Pendapatan",S825="Pendapatan Lainnya",S825="Beban",S825="Harga Pokok Penjualan",S825="Beban Lainnya"),"kr"&amp;F825,""))</f>
        <v>kr</v>
      </c>
      <c r="W825" s="34" t="str">
        <f t="shared" ref="W825:W826" si="630">IF(OR(R825="Pendapatan",R825="Pendapatan Lainnya",R825="Beban",R825="Harga Pokok Penjualan",R825="Beban Lainnya"),"db"&amp;G825,IF(OR(S825="Pendapatan",S825="Pendapatan Lainnya",S825="Beban",S825="Harga Pokok Penjualan",S825="Beban Lainnya"),"kr"&amp;G825,""))</f>
        <v>kr</v>
      </c>
      <c r="X825" s="34" t="str">
        <f>IF(B825="","",COUNTIF($C$8:C825,C825)&amp;C825)</f>
        <v>0</v>
      </c>
    </row>
    <row r="826" spans="2:24" ht="23.1" customHeight="1">
      <c r="B826" s="31">
        <v>44865</v>
      </c>
      <c r="C826" s="9"/>
      <c r="D826" s="9" t="s">
        <v>570</v>
      </c>
      <c r="E826" s="7"/>
      <c r="F826" s="7"/>
      <c r="G826" s="7"/>
      <c r="H826" s="7" t="s">
        <v>571</v>
      </c>
      <c r="I826" s="7" t="s">
        <v>788</v>
      </c>
      <c r="J826" s="39">
        <v>57342.23</v>
      </c>
      <c r="L826" s="16">
        <f t="shared" si="621"/>
        <v>1</v>
      </c>
      <c r="M826" s="16" t="str">
        <f t="shared" si="622"/>
        <v>October</v>
      </c>
      <c r="N826" s="16" t="str">
        <f t="shared" si="623"/>
        <v/>
      </c>
      <c r="O826" s="16" t="str">
        <f>IF(N826="","",COUNTIF($N$8:N826,N826))</f>
        <v/>
      </c>
      <c r="P826" s="34" t="str">
        <f t="shared" si="624"/>
        <v>outBeban Lainnya</v>
      </c>
      <c r="Q826" s="34" t="str">
        <f t="shared" si="625"/>
        <v>outOctoberBeban Lainnya</v>
      </c>
      <c r="R826" s="34" t="str">
        <f t="shared" si="626"/>
        <v>Beban Lainnya</v>
      </c>
      <c r="S826" s="34" t="str">
        <f t="shared" si="627"/>
        <v>Bank</v>
      </c>
      <c r="T826" s="34" t="str">
        <f t="shared" si="628"/>
        <v/>
      </c>
      <c r="U826" s="34" t="str">
        <f>IF(AND(L826=1,bp_kode=T826,T826&lt;&gt;""),COUNTIF($T$8:T826,T826),"")</f>
        <v/>
      </c>
      <c r="V826" s="34" t="str">
        <f t="shared" si="629"/>
        <v>db</v>
      </c>
      <c r="W826" s="34" t="str">
        <f t="shared" si="630"/>
        <v>db</v>
      </c>
      <c r="X826" s="34" t="str">
        <f>IF(B826="","",COUNTIF($C$8:C826,C826)&amp;C826)</f>
        <v>0</v>
      </c>
    </row>
    <row r="827" spans="2:24" ht="23.1" customHeight="1">
      <c r="B827" s="31">
        <v>44865</v>
      </c>
      <c r="C827" s="9"/>
      <c r="D827" s="9" t="s">
        <v>685</v>
      </c>
      <c r="E827" s="7"/>
      <c r="F827" s="7"/>
      <c r="G827" s="7"/>
      <c r="H827" s="7" t="s">
        <v>640</v>
      </c>
      <c r="I827" s="7" t="s">
        <v>788</v>
      </c>
      <c r="J827" s="39">
        <v>20000</v>
      </c>
      <c r="L827" s="16">
        <f t="shared" si="535"/>
        <v>1</v>
      </c>
      <c r="M827" s="16" t="str">
        <f t="shared" si="555"/>
        <v>October</v>
      </c>
      <c r="N827" s="16" t="str">
        <f t="shared" si="537"/>
        <v/>
      </c>
      <c r="O827" s="16" t="str">
        <f>IF(N827="","",COUNTIF($N$8:N827,N827))</f>
        <v/>
      </c>
      <c r="P827" s="34" t="str">
        <f t="shared" si="538"/>
        <v>outBeban Lainnya</v>
      </c>
      <c r="Q827" s="34" t="str">
        <f t="shared" si="539"/>
        <v>outOctoberBeban Lainnya</v>
      </c>
      <c r="R827" s="34" t="str">
        <f t="shared" si="556"/>
        <v>Beban Lainnya</v>
      </c>
      <c r="S827" s="34" t="str">
        <f t="shared" si="557"/>
        <v>Bank</v>
      </c>
      <c r="T827" s="34" t="str">
        <f t="shared" si="558"/>
        <v/>
      </c>
      <c r="U827" s="34" t="str">
        <f>IF(AND(L827=1,bp_kode=T827,T827&lt;&gt;""),COUNTIF($T$8:T827,T827),"")</f>
        <v/>
      </c>
      <c r="V827" s="34" t="str">
        <f t="shared" si="559"/>
        <v>db</v>
      </c>
      <c r="W827" s="34" t="str">
        <f t="shared" si="560"/>
        <v>db</v>
      </c>
      <c r="X827" s="34" t="str">
        <f>IF(B827="","",COUNTIF($C$8:C827,C827)&amp;C827)</f>
        <v>0</v>
      </c>
    </row>
    <row r="828" spans="2:24" ht="23.1" customHeight="1">
      <c r="B828" s="31">
        <v>44865</v>
      </c>
      <c r="C828" s="9"/>
      <c r="D828" s="9" t="s">
        <v>570</v>
      </c>
      <c r="E828" s="7"/>
      <c r="F828" s="7"/>
      <c r="G828" s="7"/>
      <c r="H828" s="7" t="s">
        <v>571</v>
      </c>
      <c r="I828" s="7" t="s">
        <v>586</v>
      </c>
      <c r="J828" s="39">
        <v>187598</v>
      </c>
      <c r="L828" s="16">
        <f t="shared" si="535"/>
        <v>1</v>
      </c>
      <c r="M828" s="16" t="str">
        <f t="shared" si="555"/>
        <v>October</v>
      </c>
      <c r="N828" s="16" t="str">
        <f t="shared" si="537"/>
        <v/>
      </c>
      <c r="O828" s="16" t="str">
        <f>IF(N828="","",COUNTIF($N$8:N828,N828))</f>
        <v/>
      </c>
      <c r="P828" s="34" t="str">
        <f t="shared" si="538"/>
        <v>outBeban Lainnya</v>
      </c>
      <c r="Q828" s="34" t="str">
        <f t="shared" si="539"/>
        <v>outOctoberBeban Lainnya</v>
      </c>
      <c r="R828" s="34" t="str">
        <f t="shared" si="556"/>
        <v>Beban Lainnya</v>
      </c>
      <c r="S828" s="34" t="str">
        <f t="shared" si="557"/>
        <v>Bank</v>
      </c>
      <c r="T828" s="34" t="str">
        <f t="shared" si="558"/>
        <v/>
      </c>
      <c r="U828" s="34" t="str">
        <f>IF(AND(L828=1,bp_kode=T828,T828&lt;&gt;""),COUNTIF($T$8:T828,T828),"")</f>
        <v/>
      </c>
      <c r="V828" s="34" t="str">
        <f t="shared" si="559"/>
        <v>db</v>
      </c>
      <c r="W828" s="34" t="str">
        <f t="shared" si="560"/>
        <v>db</v>
      </c>
      <c r="X828" s="34" t="str">
        <f>IF(B828="","",COUNTIF($C$8:C828,C828)&amp;C828)</f>
        <v>0</v>
      </c>
    </row>
    <row r="829" spans="2:24" ht="23.1" customHeight="1">
      <c r="B829" s="31">
        <v>44865</v>
      </c>
      <c r="C829" s="9"/>
      <c r="D829" s="9" t="s">
        <v>790</v>
      </c>
      <c r="E829" s="7"/>
      <c r="F829" s="7"/>
      <c r="G829" s="7"/>
      <c r="H829" s="7" t="s">
        <v>586</v>
      </c>
      <c r="I829" s="7" t="s">
        <v>569</v>
      </c>
      <c r="J829" s="39">
        <v>938044</v>
      </c>
      <c r="L829" s="16">
        <f t="shared" si="535"/>
        <v>1</v>
      </c>
      <c r="M829" s="16" t="str">
        <f t="shared" si="555"/>
        <v>October</v>
      </c>
      <c r="N829" s="16" t="str">
        <f t="shared" si="537"/>
        <v/>
      </c>
      <c r="O829" s="16" t="str">
        <f>IF(N829="","",COUNTIF($N$8:N829,N829))</f>
        <v/>
      </c>
      <c r="P829" s="34" t="str">
        <f t="shared" si="538"/>
        <v>InPendapatan Lainnya</v>
      </c>
      <c r="Q829" s="34" t="str">
        <f t="shared" si="539"/>
        <v>inOctoberPendapatan Lainnya</v>
      </c>
      <c r="R829" s="34" t="str">
        <f t="shared" si="556"/>
        <v>Bank</v>
      </c>
      <c r="S829" s="34" t="str">
        <f t="shared" si="557"/>
        <v>Pendapatan Lainnya</v>
      </c>
      <c r="T829" s="34" t="str">
        <f t="shared" si="558"/>
        <v/>
      </c>
      <c r="U829" s="34" t="str">
        <f>IF(AND(L829=1,bp_kode=T829,T829&lt;&gt;""),COUNTIF($T$8:T829,T829),"")</f>
        <v/>
      </c>
      <c r="V829" s="34" t="str">
        <f t="shared" si="559"/>
        <v>kr</v>
      </c>
      <c r="W829" s="34" t="str">
        <f t="shared" si="560"/>
        <v>kr</v>
      </c>
      <c r="X829" s="34" t="str">
        <f>IF(B829="","",COUNTIF($C$8:C829,C829)&amp;C829)</f>
        <v>0</v>
      </c>
    </row>
    <row r="830" spans="2:24" ht="23.1" customHeight="1">
      <c r="B830" s="31">
        <v>44865</v>
      </c>
      <c r="C830" s="9"/>
      <c r="D830" s="9" t="s">
        <v>572</v>
      </c>
      <c r="E830" s="7"/>
      <c r="F830" s="7"/>
      <c r="G830" s="7"/>
      <c r="H830" s="7" t="s">
        <v>640</v>
      </c>
      <c r="I830" s="7" t="s">
        <v>586</v>
      </c>
      <c r="J830" s="39">
        <v>36500</v>
      </c>
      <c r="L830" s="16">
        <f t="shared" si="535"/>
        <v>1</v>
      </c>
      <c r="M830" s="16" t="str">
        <f t="shared" si="555"/>
        <v>October</v>
      </c>
      <c r="N830" s="16" t="str">
        <f t="shared" si="537"/>
        <v/>
      </c>
      <c r="O830" s="16" t="str">
        <f>IF(N830="","",COUNTIF($N$8:N830,N830))</f>
        <v/>
      </c>
      <c r="P830" s="34" t="str">
        <f t="shared" si="538"/>
        <v>outBeban Lainnya</v>
      </c>
      <c r="Q830" s="34" t="str">
        <f t="shared" si="539"/>
        <v>outOctoberBeban Lainnya</v>
      </c>
      <c r="R830" s="34" t="str">
        <f t="shared" si="556"/>
        <v>Beban Lainnya</v>
      </c>
      <c r="S830" s="34" t="str">
        <f t="shared" si="557"/>
        <v>Bank</v>
      </c>
      <c r="T830" s="34" t="str">
        <f t="shared" si="558"/>
        <v/>
      </c>
      <c r="U830" s="34" t="str">
        <f>IF(AND(L830=1,bp_kode=T830,T830&lt;&gt;""),COUNTIF($T$8:T830,T830),"")</f>
        <v/>
      </c>
      <c r="V830" s="34" t="str">
        <f t="shared" si="559"/>
        <v>db</v>
      </c>
      <c r="W830" s="34" t="str">
        <f t="shared" si="560"/>
        <v>db</v>
      </c>
      <c r="X830" s="34" t="str">
        <f>IF(B830="","",COUNTIF($C$8:C830,C830)&amp;C830)</f>
        <v>0</v>
      </c>
    </row>
    <row r="831" spans="2:24" ht="23.1" customHeight="1">
      <c r="B831" s="31">
        <v>44865</v>
      </c>
      <c r="C831" s="9"/>
      <c r="D831" s="9" t="s">
        <v>581</v>
      </c>
      <c r="E831" s="7"/>
      <c r="F831" s="7"/>
      <c r="G831" s="7"/>
      <c r="H831" s="7" t="s">
        <v>582</v>
      </c>
      <c r="I831" s="7" t="s">
        <v>586</v>
      </c>
      <c r="J831" s="39">
        <v>775565963</v>
      </c>
      <c r="L831" s="16">
        <f t="shared" si="535"/>
        <v>1</v>
      </c>
      <c r="M831" s="16" t="str">
        <f t="shared" si="555"/>
        <v>October</v>
      </c>
      <c r="N831" s="16" t="str">
        <f t="shared" si="537"/>
        <v/>
      </c>
      <c r="O831" s="16" t="str">
        <f>IF(N831="","",COUNTIF($N$8:N831,N831))</f>
        <v/>
      </c>
      <c r="P831" s="34" t="str">
        <f t="shared" si="538"/>
        <v>InBank</v>
      </c>
      <c r="Q831" s="34" t="str">
        <f t="shared" si="539"/>
        <v>inOctoberBank</v>
      </c>
      <c r="R831" s="34" t="str">
        <f t="shared" si="556"/>
        <v>Kas</v>
      </c>
      <c r="S831" s="34" t="str">
        <f t="shared" si="557"/>
        <v>Bank</v>
      </c>
      <c r="T831" s="34" t="str">
        <f t="shared" si="558"/>
        <v/>
      </c>
      <c r="U831" s="34" t="str">
        <f>IF(AND(L831=1,bp_kode=T831,T831&lt;&gt;""),COUNTIF($T$8:T831,T831),"")</f>
        <v/>
      </c>
      <c r="V831" s="34" t="str">
        <f t="shared" si="559"/>
        <v/>
      </c>
      <c r="W831" s="34" t="str">
        <f t="shared" si="560"/>
        <v/>
      </c>
      <c r="X831" s="34" t="str">
        <f>IF(B831="","",COUNTIF($C$8:C831,C831)&amp;C831)</f>
        <v>0</v>
      </c>
    </row>
    <row r="832" spans="2:24" ht="23.1" customHeight="1">
      <c r="B832" s="31">
        <v>44865</v>
      </c>
      <c r="C832" s="9"/>
      <c r="D832" s="9" t="s">
        <v>552</v>
      </c>
      <c r="E832" s="7"/>
      <c r="F832" s="7"/>
      <c r="G832" s="7"/>
      <c r="H832" s="7" t="s">
        <v>554</v>
      </c>
      <c r="I832" s="7" t="s">
        <v>587</v>
      </c>
      <c r="J832" s="39">
        <v>6360000</v>
      </c>
      <c r="L832" s="16">
        <f t="shared" si="535"/>
        <v>1</v>
      </c>
      <c r="M832" s="16" t="str">
        <f t="shared" si="555"/>
        <v>October</v>
      </c>
      <c r="N832" s="16" t="str">
        <f t="shared" si="537"/>
        <v/>
      </c>
      <c r="O832" s="16" t="str">
        <f>IF(N832="","",COUNTIF($N$8:N832,N832))</f>
        <v/>
      </c>
      <c r="P832" s="34" t="str">
        <f t="shared" si="538"/>
        <v>InAkun Piutang</v>
      </c>
      <c r="Q832" s="34" t="str">
        <f t="shared" si="539"/>
        <v>inOctoberAkun Piutang</v>
      </c>
      <c r="R832" s="34" t="str">
        <f t="shared" si="556"/>
        <v>Kas</v>
      </c>
      <c r="S832" s="34" t="str">
        <f t="shared" si="557"/>
        <v>Akun Piutang</v>
      </c>
      <c r="T832" s="34">
        <f t="shared" si="558"/>
        <v>0</v>
      </c>
      <c r="U832" s="34" t="str">
        <f>IF(AND(L832=1,bp_kode=T832,T832&lt;&gt;""),COUNTIF($T$8:T832,T832),"")</f>
        <v/>
      </c>
      <c r="V832" s="34" t="str">
        <f t="shared" si="559"/>
        <v/>
      </c>
      <c r="W832" s="34" t="str">
        <f t="shared" si="560"/>
        <v/>
      </c>
      <c r="X832" s="34" t="str">
        <f>IF(B832="","",COUNTIF($C$8:C832,C832)&amp;C832)</f>
        <v>0</v>
      </c>
    </row>
    <row r="833" spans="2:24" ht="23.1" customHeight="1">
      <c r="B833" s="31">
        <v>44865</v>
      </c>
      <c r="C833" s="9"/>
      <c r="D833" s="9" t="s">
        <v>589</v>
      </c>
      <c r="E833" s="7"/>
      <c r="F833" s="7"/>
      <c r="G833" s="7"/>
      <c r="H833" s="7" t="s">
        <v>554</v>
      </c>
      <c r="I833" s="7" t="s">
        <v>551</v>
      </c>
      <c r="J833" s="39">
        <v>649645500</v>
      </c>
      <c r="L833" s="16">
        <f t="shared" si="535"/>
        <v>1</v>
      </c>
      <c r="M833" s="16" t="str">
        <f t="shared" si="555"/>
        <v>October</v>
      </c>
      <c r="N833" s="16" t="str">
        <f t="shared" si="537"/>
        <v/>
      </c>
      <c r="O833" s="16" t="str">
        <f>IF(N833="","",COUNTIF($N$8:N833,N833))</f>
        <v/>
      </c>
      <c r="P833" s="34" t="str">
        <f t="shared" si="538"/>
        <v>InAkun Piutang</v>
      </c>
      <c r="Q833" s="34" t="str">
        <f t="shared" si="539"/>
        <v>inOctoberAkun Piutang</v>
      </c>
      <c r="R833" s="34" t="str">
        <f t="shared" si="556"/>
        <v>Kas</v>
      </c>
      <c r="S833" s="34" t="str">
        <f t="shared" si="557"/>
        <v>Akun Piutang</v>
      </c>
      <c r="T833" s="34">
        <f t="shared" si="558"/>
        <v>0</v>
      </c>
      <c r="U833" s="34" t="str">
        <f>IF(AND(L833=1,bp_kode=T833,T833&lt;&gt;""),COUNTIF($T$8:T833,T833),"")</f>
        <v/>
      </c>
      <c r="V833" s="34" t="str">
        <f t="shared" si="559"/>
        <v/>
      </c>
      <c r="W833" s="34" t="str">
        <f t="shared" si="560"/>
        <v/>
      </c>
      <c r="X833" s="34" t="str">
        <f>IF(B833="","",COUNTIF($C$8:C833,C833)&amp;C833)</f>
        <v>0</v>
      </c>
    </row>
    <row r="834" spans="2:24" ht="23.1" customHeight="1">
      <c r="B834" s="31">
        <v>44865</v>
      </c>
      <c r="C834" s="9"/>
      <c r="D834" s="9" t="s">
        <v>573</v>
      </c>
      <c r="E834" s="7"/>
      <c r="F834" s="7"/>
      <c r="G834" s="7"/>
      <c r="H834" s="7" t="s">
        <v>554</v>
      </c>
      <c r="I834" s="7" t="s">
        <v>559</v>
      </c>
      <c r="J834" s="39">
        <v>289026000</v>
      </c>
      <c r="L834" s="16">
        <f t="shared" si="535"/>
        <v>1</v>
      </c>
      <c r="M834" s="16" t="str">
        <f t="shared" si="555"/>
        <v>October</v>
      </c>
      <c r="N834" s="16" t="str">
        <f t="shared" si="537"/>
        <v/>
      </c>
      <c r="O834" s="16" t="str">
        <f>IF(N834="","",COUNTIF($N$8:N834,N834))</f>
        <v/>
      </c>
      <c r="P834" s="34" t="str">
        <f t="shared" si="538"/>
        <v>InAkun Piutang</v>
      </c>
      <c r="Q834" s="34" t="str">
        <f t="shared" si="539"/>
        <v>inOctoberAkun Piutang</v>
      </c>
      <c r="R834" s="34" t="str">
        <f t="shared" si="556"/>
        <v>Kas</v>
      </c>
      <c r="S834" s="34" t="str">
        <f t="shared" si="557"/>
        <v>Akun Piutang</v>
      </c>
      <c r="T834" s="34">
        <f t="shared" si="558"/>
        <v>0</v>
      </c>
      <c r="U834" s="34" t="str">
        <f>IF(AND(L834=1,bp_kode=T834,T834&lt;&gt;""),COUNTIF($T$8:T834,T834),"")</f>
        <v/>
      </c>
      <c r="V834" s="34" t="str">
        <f t="shared" si="559"/>
        <v/>
      </c>
      <c r="W834" s="34" t="str">
        <f t="shared" si="560"/>
        <v/>
      </c>
      <c r="X834" s="34" t="str">
        <f>IF(B834="","",COUNTIF($C$8:C834,C834)&amp;C834)</f>
        <v>0</v>
      </c>
    </row>
    <row r="835" spans="2:24" ht="23.1" customHeight="1">
      <c r="B835" s="31">
        <v>44865</v>
      </c>
      <c r="C835" s="9"/>
      <c r="D835" s="9" t="s">
        <v>728</v>
      </c>
      <c r="E835" s="7"/>
      <c r="F835" s="7"/>
      <c r="G835" s="7"/>
      <c r="H835" s="7" t="s">
        <v>554</v>
      </c>
      <c r="I835" s="7" t="s">
        <v>561</v>
      </c>
      <c r="J835" s="39">
        <v>14597000</v>
      </c>
      <c r="L835" s="16">
        <f t="shared" si="535"/>
        <v>1</v>
      </c>
      <c r="M835" s="16" t="str">
        <f t="shared" si="555"/>
        <v>October</v>
      </c>
      <c r="N835" s="16" t="str">
        <f t="shared" si="537"/>
        <v/>
      </c>
      <c r="O835" s="16" t="str">
        <f>IF(N835="","",COUNTIF($N$8:N835,N835))</f>
        <v/>
      </c>
      <c r="P835" s="34" t="str">
        <f t="shared" si="538"/>
        <v>InAkun Piutang</v>
      </c>
      <c r="Q835" s="34" t="str">
        <f t="shared" si="539"/>
        <v>inOctoberAkun Piutang</v>
      </c>
      <c r="R835" s="34" t="str">
        <f t="shared" si="556"/>
        <v>Kas</v>
      </c>
      <c r="S835" s="34" t="str">
        <f t="shared" si="557"/>
        <v>Akun Piutang</v>
      </c>
      <c r="T835" s="34">
        <f t="shared" si="558"/>
        <v>0</v>
      </c>
      <c r="U835" s="34" t="str">
        <f>IF(AND(L835=1,bp_kode=T835,T835&lt;&gt;""),COUNTIF($T$8:T835,T835),"")</f>
        <v/>
      </c>
      <c r="V835" s="34" t="str">
        <f t="shared" si="559"/>
        <v/>
      </c>
      <c r="W835" s="34" t="str">
        <f t="shared" si="560"/>
        <v/>
      </c>
      <c r="X835" s="34" t="str">
        <f>IF(B835="","",COUNTIF($C$8:C835,C835)&amp;C835)</f>
        <v>0</v>
      </c>
    </row>
    <row r="836" spans="2:24" ht="23.1" customHeight="1">
      <c r="B836" s="31">
        <v>44865</v>
      </c>
      <c r="C836" s="9"/>
      <c r="D836" s="9" t="s">
        <v>790</v>
      </c>
      <c r="E836" s="7"/>
      <c r="F836" s="7"/>
      <c r="G836" s="7"/>
      <c r="H836" s="7" t="s">
        <v>592</v>
      </c>
      <c r="I836" s="7" t="s">
        <v>569</v>
      </c>
      <c r="J836" s="39">
        <v>7552</v>
      </c>
      <c r="L836" s="16">
        <f t="shared" si="535"/>
        <v>1</v>
      </c>
      <c r="M836" s="16" t="str">
        <f t="shared" si="555"/>
        <v>October</v>
      </c>
      <c r="N836" s="16" t="str">
        <f t="shared" si="537"/>
        <v/>
      </c>
      <c r="O836" s="16" t="str">
        <f>IF(N836="","",COUNTIF($N$8:N836,N836))</f>
        <v/>
      </c>
      <c r="P836" s="34" t="str">
        <f t="shared" si="538"/>
        <v>InPendapatan Lainnya</v>
      </c>
      <c r="Q836" s="34" t="str">
        <f t="shared" si="539"/>
        <v>inOctoberPendapatan Lainnya</v>
      </c>
      <c r="R836" s="34" t="str">
        <f t="shared" si="556"/>
        <v>Bank</v>
      </c>
      <c r="S836" s="34" t="str">
        <f t="shared" si="557"/>
        <v>Pendapatan Lainnya</v>
      </c>
      <c r="T836" s="34" t="str">
        <f t="shared" si="558"/>
        <v/>
      </c>
      <c r="U836" s="34" t="str">
        <f>IF(AND(L836=1,bp_kode=T836,T836&lt;&gt;""),COUNTIF($T$8:T836,T836),"")</f>
        <v/>
      </c>
      <c r="V836" s="34" t="str">
        <f t="shared" si="559"/>
        <v>kr</v>
      </c>
      <c r="W836" s="34" t="str">
        <f t="shared" si="560"/>
        <v>kr</v>
      </c>
      <c r="X836" s="34" t="str">
        <f>IF(B836="","",COUNTIF($C$8:C836,C836)&amp;C836)</f>
        <v>0</v>
      </c>
    </row>
    <row r="837" spans="2:24" ht="23.1" customHeight="1">
      <c r="B837" s="31">
        <v>44865</v>
      </c>
      <c r="C837" s="9"/>
      <c r="D837" s="9" t="s">
        <v>572</v>
      </c>
      <c r="E837" s="7"/>
      <c r="F837" s="7"/>
      <c r="G837" s="7"/>
      <c r="H837" s="7" t="s">
        <v>640</v>
      </c>
      <c r="I837" s="7" t="s">
        <v>592</v>
      </c>
      <c r="J837" s="39">
        <v>4411</v>
      </c>
      <c r="L837" s="16">
        <f t="shared" si="535"/>
        <v>1</v>
      </c>
      <c r="M837" s="16" t="str">
        <f t="shared" si="555"/>
        <v>October</v>
      </c>
      <c r="N837" s="16" t="str">
        <f t="shared" si="537"/>
        <v/>
      </c>
      <c r="O837" s="16" t="str">
        <f>IF(N837="","",COUNTIF($N$8:N837,N837))</f>
        <v/>
      </c>
      <c r="P837" s="34" t="str">
        <f t="shared" si="538"/>
        <v>outBeban Lainnya</v>
      </c>
      <c r="Q837" s="34" t="str">
        <f t="shared" si="539"/>
        <v>outOctoberBeban Lainnya</v>
      </c>
      <c r="R837" s="34" t="str">
        <f t="shared" si="556"/>
        <v>Beban Lainnya</v>
      </c>
      <c r="S837" s="34" t="str">
        <f t="shared" si="557"/>
        <v>Bank</v>
      </c>
      <c r="T837" s="34" t="str">
        <f t="shared" si="558"/>
        <v/>
      </c>
      <c r="U837" s="34" t="str">
        <f>IF(AND(L837=1,bp_kode=T837,T837&lt;&gt;""),COUNTIF($T$8:T837,T837),"")</f>
        <v/>
      </c>
      <c r="V837" s="34" t="str">
        <f t="shared" si="559"/>
        <v>db</v>
      </c>
      <c r="W837" s="34" t="str">
        <f t="shared" si="560"/>
        <v>db</v>
      </c>
      <c r="X837" s="34" t="str">
        <f>IF(B837="","",COUNTIF($C$8:C837,C837)&amp;C837)</f>
        <v>0</v>
      </c>
    </row>
    <row r="838" spans="2:24" ht="23.1" customHeight="1">
      <c r="B838" s="31">
        <v>44865</v>
      </c>
      <c r="C838" s="9"/>
      <c r="D838" s="9" t="s">
        <v>789</v>
      </c>
      <c r="E838" s="7"/>
      <c r="F838" s="7"/>
      <c r="G838" s="7"/>
      <c r="H838" s="7" t="s">
        <v>640</v>
      </c>
      <c r="I838" s="7" t="s">
        <v>592</v>
      </c>
      <c r="J838" s="39">
        <v>25000</v>
      </c>
      <c r="L838" s="16">
        <f t="shared" si="535"/>
        <v>1</v>
      </c>
      <c r="M838" s="16" t="str">
        <f t="shared" si="555"/>
        <v>October</v>
      </c>
      <c r="N838" s="16" t="str">
        <f t="shared" si="537"/>
        <v/>
      </c>
      <c r="O838" s="16" t="str">
        <f>IF(N838="","",COUNTIF($N$8:N838,N838))</f>
        <v/>
      </c>
      <c r="P838" s="34" t="str">
        <f t="shared" si="538"/>
        <v>outBeban Lainnya</v>
      </c>
      <c r="Q838" s="34" t="str">
        <f t="shared" si="539"/>
        <v>outOctoberBeban Lainnya</v>
      </c>
      <c r="R838" s="34" t="str">
        <f t="shared" si="556"/>
        <v>Beban Lainnya</v>
      </c>
      <c r="S838" s="34" t="str">
        <f t="shared" si="557"/>
        <v>Bank</v>
      </c>
      <c r="T838" s="34" t="str">
        <f t="shared" si="558"/>
        <v/>
      </c>
      <c r="U838" s="34" t="str">
        <f>IF(AND(L838=1,bp_kode=T838,T838&lt;&gt;""),COUNTIF($T$8:T838,T838),"")</f>
        <v/>
      </c>
      <c r="V838" s="34" t="str">
        <f t="shared" si="559"/>
        <v>db</v>
      </c>
      <c r="W838" s="34" t="str">
        <f t="shared" si="560"/>
        <v>db</v>
      </c>
      <c r="X838" s="34" t="str">
        <f>IF(B838="","",COUNTIF($C$8:C838,C838)&amp;C838)</f>
        <v>0</v>
      </c>
    </row>
    <row r="839" spans="2:24" ht="23.1" customHeight="1">
      <c r="B839" s="31">
        <v>44865</v>
      </c>
      <c r="C839" s="9"/>
      <c r="D839" s="9" t="s">
        <v>792</v>
      </c>
      <c r="E839" s="7"/>
      <c r="F839" s="7"/>
      <c r="G839" s="7"/>
      <c r="H839" s="7" t="s">
        <v>788</v>
      </c>
      <c r="I839" s="7" t="s">
        <v>592</v>
      </c>
      <c r="J839" s="39">
        <v>47495211</v>
      </c>
      <c r="L839" s="16">
        <f t="shared" ref="L839" si="631">IF(AND(B839&gt;=awal,B839&lt;=akhir,B839&lt;&gt;""),1,IF(AND(B839&lt;&gt;"",B839&lt;awal),2,""))</f>
        <v>1</v>
      </c>
      <c r="M839" s="16" t="str">
        <f t="shared" ref="M839" si="632">IF(B839="","",TEXT(B839,"mmmm"))</f>
        <v>October</v>
      </c>
      <c r="N839" s="16" t="str">
        <f t="shared" ref="N839" si="633">IF(AND(L839=1,H839=bb_akun),"Awe",IF(AND(L839=1,I839=bb_akun),"Awe",""))</f>
        <v/>
      </c>
      <c r="O839" s="16" t="str">
        <f>IF(N839="","",COUNTIF($N$8:N839,N839))</f>
        <v/>
      </c>
      <c r="P839" s="34" t="str">
        <f t="shared" ref="P839" si="634">IFERROR(IF(OR(INDEX(akun_type,MATCH(H839,akun_kb,0))="Kas",INDEX(akun_type,MATCH(H839,akun_kb,0))="Bank"),"In"&amp;INDEX(akun_type,MATCH(I839,akun_kb,0)),IF(OR(INDEX(akun_type,MATCH(I839,akun_kb,0))="Kas",INDEX(akun_type,MATCH(I839,akun_kb,0))="Bank"),"out"&amp;INDEX(akun_type,MATCH(H839,akun_kb,0)),"")),"")</f>
        <v>InBank</v>
      </c>
      <c r="Q839" s="34" t="str">
        <f t="shared" ref="Q839" si="635">IFERROR(IF(OR(INDEX(akun_type,MATCH(H839,akun_kb,0))="Kas",INDEX(akun_type,MATCH(H839,akun_kb,0))="Bank"),"in"&amp;TEXT(B839,"mmmm")&amp;INDEX(akun_type,MATCH(I839,akun_kb,0)),IF(OR(INDEX(akun_type,MATCH(I839,akun_kb,0))="Kas",INDEX(akun_type,MATCH(I839,akun_kb,0))="Bank"),"out"&amp;TEXT(B839,"mmmm")&amp;INDEX(akun_type,MATCH(H839,akun_kb,0)),"")),"")</f>
        <v>inOctoberBank</v>
      </c>
      <c r="R839" s="34" t="str">
        <f t="shared" ref="R839" si="636">IFERROR(INDEX(akun_type,MATCH(H839,akun_kb,0)),"")</f>
        <v>Bank</v>
      </c>
      <c r="S839" s="34" t="str">
        <f t="shared" ref="S839" si="637">IFERROR(INDEX(akun_type,MATCH(I839,akun_kb,0)),"")</f>
        <v>Bank</v>
      </c>
      <c r="T839" s="34" t="str">
        <f t="shared" ref="T839" si="638">IF(AND(L839=1,OR(R839="Akun Piutang",R839="akun hutang",S839="akun piutang",S839="akun hutang")),E839,"")</f>
        <v/>
      </c>
      <c r="U839" s="34" t="str">
        <f>IF(AND(L839=1,bp_kode=T839,T839&lt;&gt;""),COUNTIF($T$8:T839,T839),"")</f>
        <v/>
      </c>
      <c r="V839" s="34" t="str">
        <f t="shared" ref="V839" si="639">IF(OR(R839="Pendapatan",R839="Pendapatan Lainnya",R839="Beban",R839="Harga Pokok Penjualan",R839="Beban Lainnya"),"db"&amp;F839,IF(OR(S839="Pendapatan",S839="Pendapatan Lainnya",S839="Beban",S839="Harga Pokok Penjualan",S839="Beban Lainnya"),"kr"&amp;F839,""))</f>
        <v/>
      </c>
      <c r="W839" s="34" t="str">
        <f t="shared" ref="W839" si="640">IF(OR(R839="Pendapatan",R839="Pendapatan Lainnya",R839="Beban",R839="Harga Pokok Penjualan",R839="Beban Lainnya"),"db"&amp;G839,IF(OR(S839="Pendapatan",S839="Pendapatan Lainnya",S839="Beban",S839="Harga Pokok Penjualan",S839="Beban Lainnya"),"kr"&amp;G839,""))</f>
        <v/>
      </c>
      <c r="X839" s="34" t="str">
        <f>IF(B839="","",COUNTIF($C$8:C839,C839)&amp;C839)</f>
        <v>0</v>
      </c>
    </row>
    <row r="840" spans="2:24" ht="23.1" customHeight="1">
      <c r="B840" s="31">
        <v>44865</v>
      </c>
      <c r="C840" s="9"/>
      <c r="D840" s="9" t="s">
        <v>573</v>
      </c>
      <c r="E840" s="7"/>
      <c r="F840" s="7"/>
      <c r="G840" s="7"/>
      <c r="H840" s="7" t="s">
        <v>592</v>
      </c>
      <c r="I840" s="7" t="s">
        <v>559</v>
      </c>
      <c r="J840" s="39">
        <v>350000</v>
      </c>
      <c r="L840" s="16">
        <f t="shared" si="535"/>
        <v>1</v>
      </c>
      <c r="M840" s="16" t="str">
        <f t="shared" si="555"/>
        <v>October</v>
      </c>
      <c r="N840" s="16" t="str">
        <f t="shared" si="537"/>
        <v/>
      </c>
      <c r="O840" s="16" t="str">
        <f>IF(N840="","",COUNTIF($N$8:N840,N840))</f>
        <v/>
      </c>
      <c r="P840" s="34" t="str">
        <f t="shared" si="538"/>
        <v>InAkun Piutang</v>
      </c>
      <c r="Q840" s="34" t="str">
        <f t="shared" si="539"/>
        <v>inOctoberAkun Piutang</v>
      </c>
      <c r="R840" s="34" t="str">
        <f t="shared" si="556"/>
        <v>Bank</v>
      </c>
      <c r="S840" s="34" t="str">
        <f t="shared" si="557"/>
        <v>Akun Piutang</v>
      </c>
      <c r="T840" s="34">
        <f t="shared" si="558"/>
        <v>0</v>
      </c>
      <c r="U840" s="34" t="str">
        <f>IF(AND(L840=1,bp_kode=T840,T840&lt;&gt;""),COUNTIF($T$8:T840,T840),"")</f>
        <v/>
      </c>
      <c r="V840" s="34" t="str">
        <f t="shared" si="559"/>
        <v/>
      </c>
      <c r="W840" s="34" t="str">
        <f t="shared" si="560"/>
        <v/>
      </c>
      <c r="X840" s="34" t="str">
        <f>IF(B840="","",COUNTIF($C$8:C840,C840)&amp;C840)</f>
        <v>0</v>
      </c>
    </row>
    <row r="841" spans="2:24" ht="23.1" customHeight="1">
      <c r="B841" s="31">
        <v>44865</v>
      </c>
      <c r="C841" s="9"/>
      <c r="D841" s="9" t="s">
        <v>572</v>
      </c>
      <c r="E841" s="7"/>
      <c r="F841" s="7"/>
      <c r="G841" s="7"/>
      <c r="H841" s="7" t="s">
        <v>640</v>
      </c>
      <c r="I841" s="7" t="s">
        <v>593</v>
      </c>
      <c r="J841" s="39">
        <v>148581</v>
      </c>
      <c r="L841" s="16">
        <f t="shared" si="535"/>
        <v>1</v>
      </c>
      <c r="M841" s="16" t="str">
        <f t="shared" si="555"/>
        <v>October</v>
      </c>
      <c r="N841" s="16" t="str">
        <f t="shared" si="537"/>
        <v/>
      </c>
      <c r="O841" s="16" t="str">
        <f>IF(N841="","",COUNTIF($N$8:N841,N841))</f>
        <v/>
      </c>
      <c r="P841" s="34" t="str">
        <f t="shared" si="538"/>
        <v>outBeban Lainnya</v>
      </c>
      <c r="Q841" s="34" t="str">
        <f t="shared" si="539"/>
        <v>outOctoberBeban Lainnya</v>
      </c>
      <c r="R841" s="34" t="str">
        <f t="shared" si="556"/>
        <v>Beban Lainnya</v>
      </c>
      <c r="S841" s="34" t="str">
        <f t="shared" si="557"/>
        <v>Bank</v>
      </c>
      <c r="T841" s="34" t="str">
        <f t="shared" si="558"/>
        <v/>
      </c>
      <c r="U841" s="34" t="str">
        <f>IF(AND(L841=1,bp_kode=T841,T841&lt;&gt;""),COUNTIF($T$8:T841,T841),"")</f>
        <v/>
      </c>
      <c r="V841" s="34" t="str">
        <f t="shared" si="559"/>
        <v>db</v>
      </c>
      <c r="W841" s="34" t="str">
        <f t="shared" si="560"/>
        <v>db</v>
      </c>
      <c r="X841" s="34" t="str">
        <f>IF(B841="","",COUNTIF($C$8:C841,C841)&amp;C841)</f>
        <v>0</v>
      </c>
    </row>
    <row r="842" spans="2:24" ht="23.1" customHeight="1">
      <c r="B842" s="31">
        <v>44865</v>
      </c>
      <c r="C842" s="9"/>
      <c r="D842" s="9" t="s">
        <v>791</v>
      </c>
      <c r="E842" s="7"/>
      <c r="F842" s="7"/>
      <c r="G842" s="7"/>
      <c r="H842" s="7" t="s">
        <v>788</v>
      </c>
      <c r="I842" s="7" t="s">
        <v>593</v>
      </c>
      <c r="J842" s="39">
        <v>3062697</v>
      </c>
      <c r="L842" s="16">
        <f t="shared" si="535"/>
        <v>1</v>
      </c>
      <c r="M842" s="16" t="str">
        <f t="shared" si="555"/>
        <v>October</v>
      </c>
      <c r="N842" s="16" t="str">
        <f t="shared" si="537"/>
        <v/>
      </c>
      <c r="O842" s="16" t="str">
        <f>IF(N842="","",COUNTIF($N$8:N842,N842))</f>
        <v/>
      </c>
      <c r="P842" s="34" t="str">
        <f t="shared" si="538"/>
        <v>InBank</v>
      </c>
      <c r="Q842" s="34" t="str">
        <f t="shared" si="539"/>
        <v>inOctoberBank</v>
      </c>
      <c r="R842" s="34" t="str">
        <f t="shared" si="556"/>
        <v>Bank</v>
      </c>
      <c r="S842" s="34" t="str">
        <f t="shared" si="557"/>
        <v>Bank</v>
      </c>
      <c r="T842" s="34" t="str">
        <f t="shared" si="558"/>
        <v/>
      </c>
      <c r="U842" s="34" t="str">
        <f>IF(AND(L842=1,bp_kode=T842,T842&lt;&gt;""),COUNTIF($T$8:T842,T842),"")</f>
        <v/>
      </c>
      <c r="V842" s="34" t="str">
        <f t="shared" si="559"/>
        <v/>
      </c>
      <c r="W842" s="34" t="str">
        <f t="shared" si="560"/>
        <v/>
      </c>
      <c r="X842" s="34" t="str">
        <f>IF(B842="","",COUNTIF($C$8:C842,C842)&amp;C842)</f>
        <v>0</v>
      </c>
    </row>
    <row r="843" spans="2:24" ht="23.1" customHeight="1">
      <c r="B843" s="31">
        <v>44865</v>
      </c>
      <c r="C843" s="9"/>
      <c r="D843" s="9" t="s">
        <v>595</v>
      </c>
      <c r="E843" s="7"/>
      <c r="F843" s="7"/>
      <c r="G843" s="7"/>
      <c r="H843" s="7" t="s">
        <v>594</v>
      </c>
      <c r="I843" s="7" t="s">
        <v>582</v>
      </c>
      <c r="J843" s="39">
        <v>27311034</v>
      </c>
      <c r="L843" s="16">
        <f t="shared" si="535"/>
        <v>1</v>
      </c>
      <c r="M843" s="16" t="str">
        <f t="shared" si="555"/>
        <v>October</v>
      </c>
      <c r="N843" s="16" t="str">
        <f t="shared" si="537"/>
        <v/>
      </c>
      <c r="O843" s="16" t="str">
        <f>IF(N843="","",COUNTIF($N$8:N843,N843))</f>
        <v/>
      </c>
      <c r="P843" s="34" t="str">
        <f t="shared" si="538"/>
        <v>outAktiva Lancar Lainnya</v>
      </c>
      <c r="Q843" s="34" t="str">
        <f t="shared" si="539"/>
        <v>outOctoberAktiva Lancar Lainnya</v>
      </c>
      <c r="R843" s="34" t="str">
        <f t="shared" si="556"/>
        <v>Aktiva Lancar Lainnya</v>
      </c>
      <c r="S843" s="34" t="str">
        <f t="shared" si="557"/>
        <v>Kas</v>
      </c>
      <c r="T843" s="34" t="str">
        <f t="shared" si="558"/>
        <v/>
      </c>
      <c r="U843" s="34" t="str">
        <f>IF(AND(L843=1,bp_kode=T843,T843&lt;&gt;""),COUNTIF($T$8:T843,T843),"")</f>
        <v/>
      </c>
      <c r="V843" s="34" t="str">
        <f t="shared" si="559"/>
        <v/>
      </c>
      <c r="W843" s="34" t="str">
        <f t="shared" si="560"/>
        <v/>
      </c>
      <c r="X843" s="34" t="str">
        <f>IF(B843="","",COUNTIF($C$8:C843,C843)&amp;C843)</f>
        <v>0</v>
      </c>
    </row>
    <row r="844" spans="2:24" ht="23.1" customHeight="1">
      <c r="B844" s="31">
        <v>44865</v>
      </c>
      <c r="C844" s="9"/>
      <c r="D844" s="9" t="s">
        <v>772</v>
      </c>
      <c r="E844" s="7"/>
      <c r="F844" s="7"/>
      <c r="G844" s="7"/>
      <c r="H844" s="7" t="s">
        <v>712</v>
      </c>
      <c r="I844" s="7" t="s">
        <v>582</v>
      </c>
      <c r="J844" s="39">
        <v>9974100</v>
      </c>
      <c r="L844" s="16">
        <f t="shared" ref="L844" si="641">IF(AND(B844&gt;=awal,B844&lt;=akhir,B844&lt;&gt;""),1,IF(AND(B844&lt;&gt;"",B844&lt;awal),2,""))</f>
        <v>1</v>
      </c>
      <c r="M844" s="16" t="str">
        <f t="shared" ref="M844" si="642">IF(B844="","",TEXT(B844,"mmmm"))</f>
        <v>October</v>
      </c>
      <c r="N844" s="16" t="str">
        <f t="shared" ref="N844" si="643">IF(AND(L844=1,H844=bb_akun),"Awe",IF(AND(L844=1,I844=bb_akun),"Awe",""))</f>
        <v/>
      </c>
      <c r="O844" s="16" t="str">
        <f>IF(N844="","",COUNTIF($N$8:N844,N844))</f>
        <v/>
      </c>
      <c r="P844" s="34" t="str">
        <f t="shared" ref="P844" si="644">IFERROR(IF(OR(INDEX(akun_type,MATCH(H844,akun_kb,0))="Kas",INDEX(akun_type,MATCH(H844,akun_kb,0))="Bank"),"In"&amp;INDEX(akun_type,MATCH(I844,akun_kb,0)),IF(OR(INDEX(akun_type,MATCH(I844,akun_kb,0))="Kas",INDEX(akun_type,MATCH(I844,akun_kb,0))="Bank"),"out"&amp;INDEX(akun_type,MATCH(H844,akun_kb,0)),"")),"")</f>
        <v>outAktiva Tetap</v>
      </c>
      <c r="Q844" s="34" t="str">
        <f t="shared" ref="Q844" si="645">IFERROR(IF(OR(INDEX(akun_type,MATCH(H844,akun_kb,0))="Kas",INDEX(akun_type,MATCH(H844,akun_kb,0))="Bank"),"in"&amp;TEXT(B844,"mmmm")&amp;INDEX(akun_type,MATCH(I844,akun_kb,0)),IF(OR(INDEX(akun_type,MATCH(I844,akun_kb,0))="Kas",INDEX(akun_type,MATCH(I844,akun_kb,0))="Bank"),"out"&amp;TEXT(B844,"mmmm")&amp;INDEX(akun_type,MATCH(H844,akun_kb,0)),"")),"")</f>
        <v>outOctoberAktiva Tetap</v>
      </c>
      <c r="R844" s="34" t="str">
        <f t="shared" ref="R844" si="646">IFERROR(INDEX(akun_type,MATCH(H844,akun_kb,0)),"")</f>
        <v>Aktiva Tetap</v>
      </c>
      <c r="S844" s="34" t="str">
        <f t="shared" ref="S844" si="647">IFERROR(INDEX(akun_type,MATCH(I844,akun_kb,0)),"")</f>
        <v>Kas</v>
      </c>
      <c r="T844" s="34" t="str">
        <f t="shared" ref="T844" si="648">IF(AND(L844=1,OR(R844="Akun Piutang",R844="akun hutang",S844="akun piutang",S844="akun hutang")),E844,"")</f>
        <v/>
      </c>
      <c r="U844" s="34" t="str">
        <f>IF(AND(L844=1,bp_kode=T844,T844&lt;&gt;""),COUNTIF($T$8:T844,T844),"")</f>
        <v/>
      </c>
      <c r="V844" s="34" t="str">
        <f t="shared" ref="V844" si="649">IF(OR(R844="Pendapatan",R844="Pendapatan Lainnya",R844="Beban",R844="Harga Pokok Penjualan",R844="Beban Lainnya"),"db"&amp;F844,IF(OR(S844="Pendapatan",S844="Pendapatan Lainnya",S844="Beban",S844="Harga Pokok Penjualan",S844="Beban Lainnya"),"kr"&amp;F844,""))</f>
        <v/>
      </c>
      <c r="W844" s="34" t="str">
        <f t="shared" ref="W844" si="650">IF(OR(R844="Pendapatan",R844="Pendapatan Lainnya",R844="Beban",R844="Harga Pokok Penjualan",R844="Beban Lainnya"),"db"&amp;G844,IF(OR(S844="Pendapatan",S844="Pendapatan Lainnya",S844="Beban",S844="Harga Pokok Penjualan",S844="Beban Lainnya"),"kr"&amp;G844,""))</f>
        <v/>
      </c>
      <c r="X844" s="34" t="str">
        <f>IF(B844="","",COUNTIF($C$8:C844,C844)&amp;C844)</f>
        <v>0</v>
      </c>
    </row>
    <row r="845" spans="2:24" ht="23.1" customHeight="1">
      <c r="B845" s="31">
        <v>44865</v>
      </c>
      <c r="C845" s="9"/>
      <c r="D845" s="9" t="s">
        <v>772</v>
      </c>
      <c r="E845" s="7"/>
      <c r="F845" s="7"/>
      <c r="G845" s="7"/>
      <c r="H845" s="7" t="s">
        <v>712</v>
      </c>
      <c r="I845" s="7" t="s">
        <v>582</v>
      </c>
      <c r="J845" s="39">
        <v>45167050</v>
      </c>
      <c r="L845" s="16">
        <f t="shared" si="535"/>
        <v>1</v>
      </c>
      <c r="M845" s="16" t="str">
        <f t="shared" si="555"/>
        <v>October</v>
      </c>
      <c r="N845" s="16" t="str">
        <f t="shared" si="537"/>
        <v/>
      </c>
      <c r="O845" s="16" t="str">
        <f>IF(N845="","",COUNTIF($N$8:N845,N845))</f>
        <v/>
      </c>
      <c r="P845" s="34" t="str">
        <f t="shared" si="538"/>
        <v>outAktiva Tetap</v>
      </c>
      <c r="Q845" s="34" t="str">
        <f t="shared" si="539"/>
        <v>outOctoberAktiva Tetap</v>
      </c>
      <c r="R845" s="34" t="str">
        <f t="shared" si="556"/>
        <v>Aktiva Tetap</v>
      </c>
      <c r="S845" s="34" t="str">
        <f t="shared" si="557"/>
        <v>Kas</v>
      </c>
      <c r="T845" s="34" t="str">
        <f t="shared" si="558"/>
        <v/>
      </c>
      <c r="U845" s="34" t="str">
        <f>IF(AND(L845=1,bp_kode=T845,T845&lt;&gt;""),COUNTIF($T$8:T845,T845),"")</f>
        <v/>
      </c>
      <c r="V845" s="34" t="str">
        <f t="shared" si="559"/>
        <v/>
      </c>
      <c r="W845" s="34" t="str">
        <f t="shared" si="560"/>
        <v/>
      </c>
      <c r="X845" s="34" t="str">
        <f>IF(B845="","",COUNTIF($C$8:C845,C845)&amp;C845)</f>
        <v>0</v>
      </c>
    </row>
    <row r="846" spans="2:24" ht="23.1" customHeight="1">
      <c r="B846" s="31">
        <v>44865</v>
      </c>
      <c r="C846" s="9"/>
      <c r="D846" s="9" t="s">
        <v>598</v>
      </c>
      <c r="E846" s="7"/>
      <c r="F846" s="7"/>
      <c r="G846" s="7"/>
      <c r="H846" s="7" t="s">
        <v>599</v>
      </c>
      <c r="I846" s="7" t="s">
        <v>582</v>
      </c>
      <c r="J846" s="39">
        <v>5050000</v>
      </c>
      <c r="L846" s="16">
        <f t="shared" si="535"/>
        <v>1</v>
      </c>
      <c r="M846" s="16" t="str">
        <f t="shared" si="555"/>
        <v>October</v>
      </c>
      <c r="N846" s="16" t="str">
        <f t="shared" si="537"/>
        <v/>
      </c>
      <c r="O846" s="16" t="str">
        <f>IF(N846="","",COUNTIF($N$8:N846,N846))</f>
        <v/>
      </c>
      <c r="P846" s="34" t="str">
        <f t="shared" si="538"/>
        <v>outAkun Hutang</v>
      </c>
      <c r="Q846" s="34" t="str">
        <f t="shared" si="539"/>
        <v>outOctoberAkun Hutang</v>
      </c>
      <c r="R846" s="34" t="str">
        <f t="shared" si="556"/>
        <v>Akun Hutang</v>
      </c>
      <c r="S846" s="34" t="str">
        <f t="shared" si="557"/>
        <v>Kas</v>
      </c>
      <c r="T846" s="34">
        <f t="shared" si="558"/>
        <v>0</v>
      </c>
      <c r="U846" s="34" t="str">
        <f>IF(AND(L846=1,bp_kode=T846,T846&lt;&gt;""),COUNTIF($T$8:T846,T846),"")</f>
        <v/>
      </c>
      <c r="V846" s="34" t="str">
        <f t="shared" si="559"/>
        <v/>
      </c>
      <c r="W846" s="34" t="str">
        <f t="shared" si="560"/>
        <v/>
      </c>
      <c r="X846" s="34" t="str">
        <f>IF(B846="","",COUNTIF($C$8:C846,C846)&amp;C846)</f>
        <v>0</v>
      </c>
    </row>
    <row r="847" spans="2:24" ht="23.1" customHeight="1">
      <c r="B847" s="31">
        <v>44865</v>
      </c>
      <c r="C847" s="9"/>
      <c r="D847" s="9" t="s">
        <v>800</v>
      </c>
      <c r="E847" s="7"/>
      <c r="F847" s="7"/>
      <c r="G847" s="7"/>
      <c r="H847" s="7" t="s">
        <v>705</v>
      </c>
      <c r="I847" s="7" t="s">
        <v>582</v>
      </c>
      <c r="J847" s="39">
        <v>25688950</v>
      </c>
      <c r="L847" s="16">
        <f t="shared" si="535"/>
        <v>1</v>
      </c>
      <c r="M847" s="16" t="str">
        <f t="shared" si="555"/>
        <v>October</v>
      </c>
      <c r="N847" s="16" t="str">
        <f t="shared" si="537"/>
        <v/>
      </c>
      <c r="O847" s="16" t="str">
        <f>IF(N847="","",COUNTIF($N$8:N847,N847))</f>
        <v/>
      </c>
      <c r="P847" s="34" t="str">
        <f t="shared" si="538"/>
        <v>outAkun Hutang</v>
      </c>
      <c r="Q847" s="34" t="str">
        <f t="shared" si="539"/>
        <v>outOctoberAkun Hutang</v>
      </c>
      <c r="R847" s="34" t="str">
        <f t="shared" si="556"/>
        <v>Akun Hutang</v>
      </c>
      <c r="S847" s="34" t="str">
        <f t="shared" si="557"/>
        <v>Kas</v>
      </c>
      <c r="T847" s="34">
        <f t="shared" si="558"/>
        <v>0</v>
      </c>
      <c r="U847" s="34" t="str">
        <f>IF(AND(L847=1,bp_kode=T847,T847&lt;&gt;""),COUNTIF($T$8:T847,T847),"")</f>
        <v/>
      </c>
      <c r="V847" s="34" t="str">
        <f t="shared" si="559"/>
        <v/>
      </c>
      <c r="W847" s="34" t="str">
        <f t="shared" si="560"/>
        <v/>
      </c>
      <c r="X847" s="34" t="str">
        <f>IF(B847="","",COUNTIF($C$8:C847,C847)&amp;C847)</f>
        <v>0</v>
      </c>
    </row>
    <row r="848" spans="2:24" ht="23.1" customHeight="1">
      <c r="B848" s="31">
        <v>44865</v>
      </c>
      <c r="C848" s="9"/>
      <c r="D848" s="9" t="s">
        <v>799</v>
      </c>
      <c r="E848" s="7"/>
      <c r="F848" s="7"/>
      <c r="G848" s="7"/>
      <c r="H848" s="7" t="s">
        <v>704</v>
      </c>
      <c r="I848" s="7" t="s">
        <v>582</v>
      </c>
      <c r="J848" s="39">
        <v>107037290</v>
      </c>
      <c r="L848" s="16">
        <f t="shared" si="535"/>
        <v>1</v>
      </c>
      <c r="M848" s="16" t="str">
        <f t="shared" si="555"/>
        <v>October</v>
      </c>
      <c r="N848" s="16" t="str">
        <f t="shared" si="537"/>
        <v/>
      </c>
      <c r="O848" s="16" t="str">
        <f>IF(N848="","",COUNTIF($N$8:N848,N848))</f>
        <v/>
      </c>
      <c r="P848" s="34" t="str">
        <f t="shared" si="538"/>
        <v>outAkun Hutang</v>
      </c>
      <c r="Q848" s="34" t="str">
        <f t="shared" si="539"/>
        <v>outOctoberAkun Hutang</v>
      </c>
      <c r="R848" s="34" t="str">
        <f t="shared" si="556"/>
        <v>Akun Hutang</v>
      </c>
      <c r="S848" s="34" t="str">
        <f t="shared" si="557"/>
        <v>Kas</v>
      </c>
      <c r="T848" s="34">
        <f t="shared" si="558"/>
        <v>0</v>
      </c>
      <c r="U848" s="34" t="str">
        <f>IF(AND(L848=1,bp_kode=T848,T848&lt;&gt;""),COUNTIF($T$8:T848,T848),"")</f>
        <v/>
      </c>
      <c r="V848" s="34" t="str">
        <f t="shared" si="559"/>
        <v/>
      </c>
      <c r="W848" s="34" t="str">
        <f t="shared" si="560"/>
        <v/>
      </c>
      <c r="X848" s="34" t="str">
        <f>IF(B848="","",COUNTIF($C$8:C848,C848)&amp;C848)</f>
        <v>0</v>
      </c>
    </row>
    <row r="849" spans="2:24" ht="23.1" customHeight="1">
      <c r="B849" s="31">
        <v>44865</v>
      </c>
      <c r="C849" s="9"/>
      <c r="D849" s="9" t="s">
        <v>605</v>
      </c>
      <c r="E849" s="7"/>
      <c r="F849" s="7"/>
      <c r="G849" s="7"/>
      <c r="H849" s="7" t="s">
        <v>603</v>
      </c>
      <c r="I849" s="7" t="s">
        <v>582</v>
      </c>
      <c r="J849" s="39">
        <v>8001250</v>
      </c>
      <c r="L849" s="16">
        <f t="shared" si="535"/>
        <v>1</v>
      </c>
      <c r="M849" s="16" t="str">
        <f t="shared" si="555"/>
        <v>October</v>
      </c>
      <c r="N849" s="16" t="str">
        <f t="shared" si="537"/>
        <v/>
      </c>
      <c r="O849" s="16" t="str">
        <f>IF(N849="","",COUNTIF($N$8:N849,N849))</f>
        <v/>
      </c>
      <c r="P849" s="34" t="str">
        <f t="shared" si="538"/>
        <v>outHarga Pokok Penjualan</v>
      </c>
      <c r="Q849" s="34" t="str">
        <f t="shared" si="539"/>
        <v>outOctoberHarga Pokok Penjualan</v>
      </c>
      <c r="R849" s="34" t="str">
        <f t="shared" si="556"/>
        <v>Harga Pokok Penjualan</v>
      </c>
      <c r="S849" s="34" t="str">
        <f t="shared" si="557"/>
        <v>Kas</v>
      </c>
      <c r="T849" s="34" t="str">
        <f t="shared" si="558"/>
        <v/>
      </c>
      <c r="U849" s="34" t="str">
        <f>IF(AND(L849=1,bp_kode=T849,T849&lt;&gt;""),COUNTIF($T$8:T849,T849),"")</f>
        <v/>
      </c>
      <c r="V849" s="34" t="str">
        <f t="shared" si="559"/>
        <v>db</v>
      </c>
      <c r="W849" s="34" t="str">
        <f t="shared" si="560"/>
        <v>db</v>
      </c>
      <c r="X849" s="34" t="str">
        <f>IF(B849="","",COUNTIF($C$8:C849,C849)&amp;C849)</f>
        <v>0</v>
      </c>
    </row>
    <row r="850" spans="2:24" ht="23.1" customHeight="1">
      <c r="B850" s="31">
        <v>44865</v>
      </c>
      <c r="C850" s="9"/>
      <c r="D850" s="9" t="s">
        <v>609</v>
      </c>
      <c r="E850" s="7"/>
      <c r="F850" s="7"/>
      <c r="G850" s="7"/>
      <c r="H850" s="7" t="s">
        <v>606</v>
      </c>
      <c r="I850" s="7" t="s">
        <v>582</v>
      </c>
      <c r="J850" s="39">
        <v>4000000</v>
      </c>
      <c r="L850" s="16">
        <f t="shared" si="535"/>
        <v>1</v>
      </c>
      <c r="M850" s="16" t="str">
        <f t="shared" si="555"/>
        <v>October</v>
      </c>
      <c r="N850" s="16" t="str">
        <f t="shared" si="537"/>
        <v/>
      </c>
      <c r="O850" s="16" t="str">
        <f>IF(N850="","",COUNTIF($N$8:N850,N850))</f>
        <v/>
      </c>
      <c r="P850" s="34" t="str">
        <f t="shared" si="538"/>
        <v>outHarga Pokok Penjualan</v>
      </c>
      <c r="Q850" s="34" t="str">
        <f t="shared" si="539"/>
        <v>outOctoberHarga Pokok Penjualan</v>
      </c>
      <c r="R850" s="34" t="str">
        <f t="shared" si="556"/>
        <v>Harga Pokok Penjualan</v>
      </c>
      <c r="S850" s="34" t="str">
        <f t="shared" si="557"/>
        <v>Kas</v>
      </c>
      <c r="T850" s="34" t="str">
        <f t="shared" si="558"/>
        <v/>
      </c>
      <c r="U850" s="34" t="str">
        <f>IF(AND(L850=1,bp_kode=T850,T850&lt;&gt;""),COUNTIF($T$8:T850,T850),"")</f>
        <v/>
      </c>
      <c r="V850" s="34" t="str">
        <f t="shared" si="559"/>
        <v>db</v>
      </c>
      <c r="W850" s="34" t="str">
        <f t="shared" si="560"/>
        <v>db</v>
      </c>
      <c r="X850" s="34" t="str">
        <f>IF(B850="","",COUNTIF($C$8:C850,C850)&amp;C850)</f>
        <v>0</v>
      </c>
    </row>
    <row r="851" spans="2:24" ht="23.1" customHeight="1">
      <c r="B851" s="31">
        <v>44865</v>
      </c>
      <c r="C851" s="9"/>
      <c r="D851" s="9" t="s">
        <v>610</v>
      </c>
      <c r="E851" s="7"/>
      <c r="F851" s="7"/>
      <c r="G851" s="7"/>
      <c r="H851" s="7" t="s">
        <v>607</v>
      </c>
      <c r="I851" s="7" t="s">
        <v>582</v>
      </c>
      <c r="J851" s="39">
        <v>6292000</v>
      </c>
      <c r="L851" s="16">
        <f t="shared" si="535"/>
        <v>1</v>
      </c>
      <c r="M851" s="16" t="str">
        <f t="shared" si="555"/>
        <v>October</v>
      </c>
      <c r="N851" s="16" t="str">
        <f t="shared" si="537"/>
        <v/>
      </c>
      <c r="O851" s="16" t="str">
        <f>IF(N851="","",COUNTIF($N$8:N851,N851))</f>
        <v/>
      </c>
      <c r="P851" s="34" t="str">
        <f t="shared" si="538"/>
        <v>outHarga Pokok Penjualan</v>
      </c>
      <c r="Q851" s="34" t="str">
        <f t="shared" si="539"/>
        <v>outOctoberHarga Pokok Penjualan</v>
      </c>
      <c r="R851" s="34" t="str">
        <f t="shared" si="556"/>
        <v>Harga Pokok Penjualan</v>
      </c>
      <c r="S851" s="34" t="str">
        <f t="shared" si="557"/>
        <v>Kas</v>
      </c>
      <c r="T851" s="34" t="str">
        <f t="shared" si="558"/>
        <v/>
      </c>
      <c r="U851" s="34" t="str">
        <f>IF(AND(L851=1,bp_kode=T851,T851&lt;&gt;""),COUNTIF($T$8:T851,T851),"")</f>
        <v/>
      </c>
      <c r="V851" s="34" t="str">
        <f t="shared" si="559"/>
        <v>db</v>
      </c>
      <c r="W851" s="34" t="str">
        <f t="shared" si="560"/>
        <v>db</v>
      </c>
      <c r="X851" s="34" t="str">
        <f>IF(B851="","",COUNTIF($C$8:C851,C851)&amp;C851)</f>
        <v>0</v>
      </c>
    </row>
    <row r="852" spans="2:24" ht="23.1" customHeight="1">
      <c r="B852" s="31">
        <v>44865</v>
      </c>
      <c r="C852" s="9"/>
      <c r="D852" s="9" t="s">
        <v>775</v>
      </c>
      <c r="E852" s="7"/>
      <c r="F852" s="7"/>
      <c r="G852" s="7"/>
      <c r="H852" s="7" t="s">
        <v>774</v>
      </c>
      <c r="I852" s="7" t="s">
        <v>582</v>
      </c>
      <c r="J852" s="39">
        <v>1590000</v>
      </c>
      <c r="L852" s="16">
        <f t="shared" ref="L852" si="651">IF(AND(B852&gt;=awal,B852&lt;=akhir,B852&lt;&gt;""),1,IF(AND(B852&lt;&gt;"",B852&lt;awal),2,""))</f>
        <v>1</v>
      </c>
      <c r="M852" s="16" t="str">
        <f t="shared" ref="M852" si="652">IF(B852="","",TEXT(B852,"mmmm"))</f>
        <v>October</v>
      </c>
      <c r="N852" s="16" t="str">
        <f t="shared" ref="N852" si="653">IF(AND(L852=1,H852=bb_akun),"Awe",IF(AND(L852=1,I852=bb_akun),"Awe",""))</f>
        <v/>
      </c>
      <c r="O852" s="16" t="str">
        <f>IF(N852="","",COUNTIF($N$8:N852,N852))</f>
        <v/>
      </c>
      <c r="P852" s="34" t="str">
        <f t="shared" ref="P852" si="654">IFERROR(IF(OR(INDEX(akun_type,MATCH(H852,akun_kb,0))="Kas",INDEX(akun_type,MATCH(H852,akun_kb,0))="Bank"),"In"&amp;INDEX(akun_type,MATCH(I852,akun_kb,0)),IF(OR(INDEX(akun_type,MATCH(I852,akun_kb,0))="Kas",INDEX(akun_type,MATCH(I852,akun_kb,0))="Bank"),"out"&amp;INDEX(akun_type,MATCH(H852,akun_kb,0)),"")),"")</f>
        <v>outHarga Pokok Penjualan</v>
      </c>
      <c r="Q852" s="34" t="str">
        <f t="shared" ref="Q852" si="655">IFERROR(IF(OR(INDEX(akun_type,MATCH(H852,akun_kb,0))="Kas",INDEX(akun_type,MATCH(H852,akun_kb,0))="Bank"),"in"&amp;TEXT(B852,"mmmm")&amp;INDEX(akun_type,MATCH(I852,akun_kb,0)),IF(OR(INDEX(akun_type,MATCH(I852,akun_kb,0))="Kas",INDEX(akun_type,MATCH(I852,akun_kb,0))="Bank"),"out"&amp;TEXT(B852,"mmmm")&amp;INDEX(akun_type,MATCH(H852,akun_kb,0)),"")),"")</f>
        <v>outOctoberHarga Pokok Penjualan</v>
      </c>
      <c r="R852" s="34" t="str">
        <f t="shared" ref="R852" si="656">IFERROR(INDEX(akun_type,MATCH(H852,akun_kb,0)),"")</f>
        <v>Harga Pokok Penjualan</v>
      </c>
      <c r="S852" s="34" t="str">
        <f t="shared" ref="S852" si="657">IFERROR(INDEX(akun_type,MATCH(I852,akun_kb,0)),"")</f>
        <v>Kas</v>
      </c>
      <c r="T852" s="34" t="str">
        <f t="shared" ref="T852" si="658">IF(AND(L852=1,OR(R852="Akun Piutang",R852="akun hutang",S852="akun piutang",S852="akun hutang")),E852,"")</f>
        <v/>
      </c>
      <c r="U852" s="34" t="str">
        <f>IF(AND(L852=1,bp_kode=T852,T852&lt;&gt;""),COUNTIF($T$8:T852,T852),"")</f>
        <v/>
      </c>
      <c r="V852" s="34" t="str">
        <f t="shared" ref="V852" si="659">IF(OR(R852="Pendapatan",R852="Pendapatan Lainnya",R852="Beban",R852="Harga Pokok Penjualan",R852="Beban Lainnya"),"db"&amp;F852,IF(OR(S852="Pendapatan",S852="Pendapatan Lainnya",S852="Beban",S852="Harga Pokok Penjualan",S852="Beban Lainnya"),"kr"&amp;F852,""))</f>
        <v>db</v>
      </c>
      <c r="W852" s="34" t="str">
        <f t="shared" ref="W852" si="660">IF(OR(R852="Pendapatan",R852="Pendapatan Lainnya",R852="Beban",R852="Harga Pokok Penjualan",R852="Beban Lainnya"),"db"&amp;G852,IF(OR(S852="Pendapatan",S852="Pendapatan Lainnya",S852="Beban",S852="Harga Pokok Penjualan",S852="Beban Lainnya"),"kr"&amp;G852,""))</f>
        <v>db</v>
      </c>
      <c r="X852" s="34" t="str">
        <f>IF(B852="","",COUNTIF($C$8:C852,C852)&amp;C852)</f>
        <v>0</v>
      </c>
    </row>
    <row r="853" spans="2:24" ht="23.1" customHeight="1">
      <c r="B853" s="31">
        <v>44865</v>
      </c>
      <c r="C853" s="9"/>
      <c r="D853" s="9" t="s">
        <v>760</v>
      </c>
      <c r="E853" s="7"/>
      <c r="F853" s="7"/>
      <c r="G853" s="7"/>
      <c r="H853" s="7" t="s">
        <v>758</v>
      </c>
      <c r="I853" s="7" t="s">
        <v>582</v>
      </c>
      <c r="J853" s="39">
        <v>9700300</v>
      </c>
      <c r="L853" s="16">
        <f t="shared" si="535"/>
        <v>1</v>
      </c>
      <c r="M853" s="16" t="str">
        <f t="shared" si="555"/>
        <v>October</v>
      </c>
      <c r="N853" s="16" t="str">
        <f t="shared" si="537"/>
        <v/>
      </c>
      <c r="O853" s="16" t="str">
        <f>IF(N853="","",COUNTIF($N$8:N853,N853))</f>
        <v/>
      </c>
      <c r="P853" s="34" t="str">
        <f t="shared" si="538"/>
        <v>outHarga Pokok Penjualan</v>
      </c>
      <c r="Q853" s="34" t="str">
        <f t="shared" si="539"/>
        <v>outOctoberHarga Pokok Penjualan</v>
      </c>
      <c r="R853" s="34" t="str">
        <f t="shared" si="556"/>
        <v>Harga Pokok Penjualan</v>
      </c>
      <c r="S853" s="34" t="str">
        <f t="shared" si="557"/>
        <v>Kas</v>
      </c>
      <c r="T853" s="34" t="str">
        <f t="shared" si="558"/>
        <v/>
      </c>
      <c r="U853" s="34" t="str">
        <f>IF(AND(L853=1,bp_kode=T853,T853&lt;&gt;""),COUNTIF($T$8:T853,T853),"")</f>
        <v/>
      </c>
      <c r="V853" s="34" t="str">
        <f t="shared" si="559"/>
        <v>db</v>
      </c>
      <c r="W853" s="34" t="str">
        <f t="shared" si="560"/>
        <v>db</v>
      </c>
      <c r="X853" s="34" t="str">
        <f>IF(B853="","",COUNTIF($C$8:C853,C853)&amp;C853)</f>
        <v>0</v>
      </c>
    </row>
    <row r="854" spans="2:24" ht="23.1" customHeight="1">
      <c r="B854" s="31">
        <v>44865</v>
      </c>
      <c r="C854" s="9"/>
      <c r="D854" s="9" t="s">
        <v>762</v>
      </c>
      <c r="E854" s="7"/>
      <c r="F854" s="7"/>
      <c r="G854" s="7"/>
      <c r="H854" s="7" t="s">
        <v>761</v>
      </c>
      <c r="I854" s="7" t="s">
        <v>582</v>
      </c>
      <c r="J854" s="39">
        <v>10147200</v>
      </c>
      <c r="L854" s="16">
        <f t="shared" si="535"/>
        <v>1</v>
      </c>
      <c r="M854" s="16" t="str">
        <f t="shared" si="555"/>
        <v>October</v>
      </c>
      <c r="N854" s="16" t="str">
        <f t="shared" si="537"/>
        <v/>
      </c>
      <c r="O854" s="16" t="str">
        <f>IF(N854="","",COUNTIF($N$8:N854,N854))</f>
        <v/>
      </c>
      <c r="P854" s="34" t="str">
        <f t="shared" si="538"/>
        <v>outHarga Pokok Penjualan</v>
      </c>
      <c r="Q854" s="34" t="str">
        <f t="shared" si="539"/>
        <v>outOctoberHarga Pokok Penjualan</v>
      </c>
      <c r="R854" s="34" t="str">
        <f t="shared" si="556"/>
        <v>Harga Pokok Penjualan</v>
      </c>
      <c r="S854" s="34" t="str">
        <f t="shared" si="557"/>
        <v>Kas</v>
      </c>
      <c r="T854" s="34" t="str">
        <f t="shared" si="558"/>
        <v/>
      </c>
      <c r="U854" s="34" t="str">
        <f>IF(AND(L854=1,bp_kode=T854,T854&lt;&gt;""),COUNTIF($T$8:T854,T854),"")</f>
        <v/>
      </c>
      <c r="V854" s="34" t="str">
        <f t="shared" si="559"/>
        <v>db</v>
      </c>
      <c r="W854" s="34" t="str">
        <f t="shared" si="560"/>
        <v>db</v>
      </c>
      <c r="X854" s="34" t="str">
        <f>IF(B854="","",COUNTIF($C$8:C854,C854)&amp;C854)</f>
        <v>0</v>
      </c>
    </row>
    <row r="855" spans="2:24" ht="23.1" customHeight="1">
      <c r="B855" s="31">
        <v>44865</v>
      </c>
      <c r="C855" s="9"/>
      <c r="D855" s="9" t="s">
        <v>776</v>
      </c>
      <c r="E855" s="7"/>
      <c r="F855" s="7"/>
      <c r="G855" s="7"/>
      <c r="H855" s="7" t="s">
        <v>759</v>
      </c>
      <c r="I855" s="7" t="s">
        <v>582</v>
      </c>
      <c r="J855" s="39">
        <v>10950313</v>
      </c>
      <c r="L855" s="16">
        <f t="shared" si="535"/>
        <v>1</v>
      </c>
      <c r="M855" s="16" t="str">
        <f t="shared" si="555"/>
        <v>October</v>
      </c>
      <c r="N855" s="16" t="str">
        <f t="shared" si="537"/>
        <v/>
      </c>
      <c r="O855" s="16" t="str">
        <f>IF(N855="","",COUNTIF($N$8:N855,N855))</f>
        <v/>
      </c>
      <c r="P855" s="34" t="str">
        <f t="shared" si="538"/>
        <v>outHarga Pokok Penjualan</v>
      </c>
      <c r="Q855" s="34" t="str">
        <f t="shared" si="539"/>
        <v>outOctoberHarga Pokok Penjualan</v>
      </c>
      <c r="R855" s="34" t="str">
        <f t="shared" si="556"/>
        <v>Harga Pokok Penjualan</v>
      </c>
      <c r="S855" s="34" t="str">
        <f t="shared" si="557"/>
        <v>Kas</v>
      </c>
      <c r="T855" s="34" t="str">
        <f t="shared" si="558"/>
        <v/>
      </c>
      <c r="U855" s="34" t="str">
        <f>IF(AND(L855=1,bp_kode=T855,T855&lt;&gt;""),COUNTIF($T$8:T855,T855),"")</f>
        <v/>
      </c>
      <c r="V855" s="34" t="str">
        <f t="shared" si="559"/>
        <v>db</v>
      </c>
      <c r="W855" s="34" t="str">
        <f t="shared" si="560"/>
        <v>db</v>
      </c>
      <c r="X855" s="34" t="str">
        <f>IF(B855="","",COUNTIF($C$8:C855,C855)&amp;C855)</f>
        <v>0</v>
      </c>
    </row>
    <row r="856" spans="2:24" ht="23.1" customHeight="1">
      <c r="B856" s="31">
        <v>44865</v>
      </c>
      <c r="C856" s="9"/>
      <c r="D856" s="9" t="s">
        <v>696</v>
      </c>
      <c r="E856" s="7"/>
      <c r="F856" s="7"/>
      <c r="G856" s="7"/>
      <c r="H856" s="7" t="s">
        <v>695</v>
      </c>
      <c r="I856" s="7" t="s">
        <v>582</v>
      </c>
      <c r="J856" s="39"/>
      <c r="L856" s="16">
        <f t="shared" si="535"/>
        <v>1</v>
      </c>
      <c r="M856" s="16" t="str">
        <f t="shared" si="555"/>
        <v>October</v>
      </c>
      <c r="N856" s="16" t="str">
        <f t="shared" si="537"/>
        <v>Awe</v>
      </c>
      <c r="O856" s="16">
        <f>IF(N856="","",COUNTIF($N$8:N856,N856))</f>
        <v>11</v>
      </c>
      <c r="P856" s="34" t="str">
        <f t="shared" si="538"/>
        <v>outHarga Pokok Penjualan</v>
      </c>
      <c r="Q856" s="34" t="str">
        <f t="shared" si="539"/>
        <v>outOctoberHarga Pokok Penjualan</v>
      </c>
      <c r="R856" s="34" t="str">
        <f t="shared" si="556"/>
        <v>Harga Pokok Penjualan</v>
      </c>
      <c r="S856" s="34" t="str">
        <f t="shared" si="557"/>
        <v>Kas</v>
      </c>
      <c r="T856" s="34" t="str">
        <f t="shared" si="558"/>
        <v/>
      </c>
      <c r="U856" s="34" t="str">
        <f>IF(AND(L856=1,bp_kode=T856,T856&lt;&gt;""),COUNTIF($T$8:T856,T856),"")</f>
        <v/>
      </c>
      <c r="V856" s="34" t="str">
        <f t="shared" si="559"/>
        <v>db</v>
      </c>
      <c r="W856" s="34" t="str">
        <f t="shared" si="560"/>
        <v>db</v>
      </c>
      <c r="X856" s="34" t="str">
        <f>IF(B856="","",COUNTIF($C$8:C856,C856)&amp;C856)</f>
        <v>0</v>
      </c>
    </row>
    <row r="857" spans="2:24" ht="23.1" customHeight="1">
      <c r="B857" s="31">
        <v>44865</v>
      </c>
      <c r="C857" s="9"/>
      <c r="D857" s="9" t="s">
        <v>612</v>
      </c>
      <c r="E857" s="7"/>
      <c r="F857" s="7"/>
      <c r="G857" s="7"/>
      <c r="H857" s="7" t="s">
        <v>613</v>
      </c>
      <c r="I857" s="7" t="s">
        <v>582</v>
      </c>
      <c r="J857" s="39">
        <v>10298000</v>
      </c>
      <c r="L857" s="16">
        <f t="shared" si="535"/>
        <v>1</v>
      </c>
      <c r="M857" s="16" t="str">
        <f t="shared" si="555"/>
        <v>October</v>
      </c>
      <c r="N857" s="16" t="str">
        <f t="shared" si="537"/>
        <v/>
      </c>
      <c r="O857" s="16" t="str">
        <f>IF(N857="","",COUNTIF($N$8:N857,N857))</f>
        <v/>
      </c>
      <c r="P857" s="34" t="str">
        <f t="shared" si="538"/>
        <v>outHarga Pokok Penjualan</v>
      </c>
      <c r="Q857" s="34" t="str">
        <f t="shared" si="539"/>
        <v>outOctoberHarga Pokok Penjualan</v>
      </c>
      <c r="R857" s="34" t="str">
        <f t="shared" si="556"/>
        <v>Harga Pokok Penjualan</v>
      </c>
      <c r="S857" s="34" t="str">
        <f t="shared" si="557"/>
        <v>Kas</v>
      </c>
      <c r="T857" s="34" t="str">
        <f t="shared" si="558"/>
        <v/>
      </c>
      <c r="U857" s="34" t="str">
        <f>IF(AND(L857=1,bp_kode=T857,T857&lt;&gt;""),COUNTIF($T$8:T857,T857),"")</f>
        <v/>
      </c>
      <c r="V857" s="34" t="str">
        <f t="shared" si="559"/>
        <v>db</v>
      </c>
      <c r="W857" s="34" t="str">
        <f t="shared" si="560"/>
        <v>db</v>
      </c>
      <c r="X857" s="34" t="str">
        <f>IF(B857="","",COUNTIF($C$8:C857,C857)&amp;C857)</f>
        <v>0</v>
      </c>
    </row>
    <row r="858" spans="2:24" ht="23.1" customHeight="1">
      <c r="B858" s="31">
        <v>44865</v>
      </c>
      <c r="C858" s="9"/>
      <c r="D858" s="9" t="s">
        <v>621</v>
      </c>
      <c r="E858" s="7"/>
      <c r="F858" s="7"/>
      <c r="G858" s="7"/>
      <c r="H858" s="7" t="s">
        <v>614</v>
      </c>
      <c r="I858" s="7" t="s">
        <v>582</v>
      </c>
      <c r="J858" s="39">
        <v>40699000</v>
      </c>
      <c r="L858" s="16">
        <f t="shared" si="535"/>
        <v>1</v>
      </c>
      <c r="M858" s="16" t="str">
        <f t="shared" si="555"/>
        <v>October</v>
      </c>
      <c r="N858" s="16" t="str">
        <f t="shared" si="537"/>
        <v/>
      </c>
      <c r="O858" s="16" t="str">
        <f>IF(N858="","",COUNTIF($N$8:N858,N858))</f>
        <v/>
      </c>
      <c r="P858" s="34" t="str">
        <f t="shared" si="538"/>
        <v>outBeban</v>
      </c>
      <c r="Q858" s="34" t="str">
        <f t="shared" si="539"/>
        <v>outOctoberBeban</v>
      </c>
      <c r="R858" s="34" t="str">
        <f t="shared" si="556"/>
        <v>Beban</v>
      </c>
      <c r="S858" s="34" t="str">
        <f t="shared" si="557"/>
        <v>Kas</v>
      </c>
      <c r="T858" s="34" t="str">
        <f t="shared" si="558"/>
        <v/>
      </c>
      <c r="U858" s="34" t="str">
        <f>IF(AND(L858=1,bp_kode=T858,T858&lt;&gt;""),COUNTIF($T$8:T858,T858),"")</f>
        <v/>
      </c>
      <c r="V858" s="34" t="str">
        <f t="shared" si="559"/>
        <v>db</v>
      </c>
      <c r="W858" s="34" t="str">
        <f t="shared" si="560"/>
        <v>db</v>
      </c>
      <c r="X858" s="34" t="str">
        <f>IF(B858="","",COUNTIF($C$8:C858,C858)&amp;C858)</f>
        <v>0</v>
      </c>
    </row>
    <row r="859" spans="2:24" ht="23.1" customHeight="1">
      <c r="B859" s="31">
        <v>44865</v>
      </c>
      <c r="C859" s="9"/>
      <c r="D859" s="9" t="s">
        <v>624</v>
      </c>
      <c r="E859" s="7"/>
      <c r="F859" s="7"/>
      <c r="G859" s="7"/>
      <c r="H859" s="7" t="s">
        <v>617</v>
      </c>
      <c r="I859" s="7" t="s">
        <v>582</v>
      </c>
      <c r="J859" s="39">
        <v>98576200</v>
      </c>
      <c r="L859" s="16">
        <f t="shared" si="535"/>
        <v>1</v>
      </c>
      <c r="M859" s="16" t="str">
        <f t="shared" si="555"/>
        <v>October</v>
      </c>
      <c r="N859" s="16" t="str">
        <f t="shared" si="537"/>
        <v/>
      </c>
      <c r="O859" s="16" t="str">
        <f>IF(N859="","",COUNTIF($N$8:N859,N859))</f>
        <v/>
      </c>
      <c r="P859" s="34" t="str">
        <f t="shared" si="538"/>
        <v>outBeban</v>
      </c>
      <c r="Q859" s="34" t="str">
        <f t="shared" si="539"/>
        <v>outOctoberBeban</v>
      </c>
      <c r="R859" s="34" t="str">
        <f t="shared" si="556"/>
        <v>Beban</v>
      </c>
      <c r="S859" s="34" t="str">
        <f t="shared" si="557"/>
        <v>Kas</v>
      </c>
      <c r="T859" s="34" t="str">
        <f t="shared" si="558"/>
        <v/>
      </c>
      <c r="U859" s="34" t="str">
        <f>IF(AND(L859=1,bp_kode=T859,T859&lt;&gt;""),COUNTIF($T$8:T859,T859),"")</f>
        <v/>
      </c>
      <c r="V859" s="34" t="str">
        <f t="shared" si="559"/>
        <v>db</v>
      </c>
      <c r="W859" s="34" t="str">
        <f t="shared" si="560"/>
        <v>db</v>
      </c>
      <c r="X859" s="34" t="str">
        <f>IF(B859="","",COUNTIF($C$8:C859,C859)&amp;C859)</f>
        <v>0</v>
      </c>
    </row>
    <row r="860" spans="2:24" ht="23.1" customHeight="1">
      <c r="B860" s="31">
        <v>44865</v>
      </c>
      <c r="C860" s="9"/>
      <c r="D860" s="9" t="s">
        <v>625</v>
      </c>
      <c r="E860" s="7"/>
      <c r="F860" s="7"/>
      <c r="G860" s="7"/>
      <c r="H860" s="7" t="s">
        <v>618</v>
      </c>
      <c r="I860" s="7" t="s">
        <v>582</v>
      </c>
      <c r="J860" s="39">
        <v>218711771</v>
      </c>
      <c r="L860" s="16">
        <f t="shared" si="535"/>
        <v>1</v>
      </c>
      <c r="M860" s="16" t="str">
        <f t="shared" si="555"/>
        <v>October</v>
      </c>
      <c r="N860" s="16" t="str">
        <f t="shared" si="537"/>
        <v/>
      </c>
      <c r="O860" s="16" t="str">
        <f>IF(N860="","",COUNTIF($N$8:N860,N860))</f>
        <v/>
      </c>
      <c r="P860" s="34" t="str">
        <f t="shared" si="538"/>
        <v>outBeban</v>
      </c>
      <c r="Q860" s="34" t="str">
        <f t="shared" si="539"/>
        <v>outOctoberBeban</v>
      </c>
      <c r="R860" s="34" t="str">
        <f t="shared" si="556"/>
        <v>Beban</v>
      </c>
      <c r="S860" s="34" t="str">
        <f t="shared" si="557"/>
        <v>Kas</v>
      </c>
      <c r="T860" s="34" t="str">
        <f t="shared" si="558"/>
        <v/>
      </c>
      <c r="U860" s="34" t="str">
        <f>IF(AND(L860=1,bp_kode=T860,T860&lt;&gt;""),COUNTIF($T$8:T860,T860),"")</f>
        <v/>
      </c>
      <c r="V860" s="34" t="str">
        <f t="shared" si="559"/>
        <v>db</v>
      </c>
      <c r="W860" s="34" t="str">
        <f t="shared" si="560"/>
        <v>db</v>
      </c>
      <c r="X860" s="34" t="str">
        <f>IF(B860="","",COUNTIF($C$8:C860,C860)&amp;C860)</f>
        <v>0</v>
      </c>
    </row>
    <row r="861" spans="2:24" ht="23.1" customHeight="1">
      <c r="B861" s="31">
        <v>44865</v>
      </c>
      <c r="C861" s="9"/>
      <c r="D861" s="9" t="s">
        <v>626</v>
      </c>
      <c r="E861" s="7"/>
      <c r="F861" s="7"/>
      <c r="G861" s="7"/>
      <c r="H861" s="7" t="s">
        <v>619</v>
      </c>
      <c r="I861" s="7" t="s">
        <v>582</v>
      </c>
      <c r="J861" s="39">
        <v>218555064</v>
      </c>
      <c r="L861" s="16">
        <f t="shared" si="535"/>
        <v>1</v>
      </c>
      <c r="M861" s="16" t="str">
        <f t="shared" si="555"/>
        <v>October</v>
      </c>
      <c r="N861" s="16" t="str">
        <f t="shared" si="537"/>
        <v/>
      </c>
      <c r="O861" s="16" t="str">
        <f>IF(N861="","",COUNTIF($N$8:N861,N861))</f>
        <v/>
      </c>
      <c r="P861" s="34" t="str">
        <f t="shared" si="538"/>
        <v>outBeban</v>
      </c>
      <c r="Q861" s="34" t="str">
        <f t="shared" si="539"/>
        <v>outOctoberBeban</v>
      </c>
      <c r="R861" s="34" t="str">
        <f t="shared" si="556"/>
        <v>Beban</v>
      </c>
      <c r="S861" s="34" t="str">
        <f t="shared" si="557"/>
        <v>Kas</v>
      </c>
      <c r="T861" s="34" t="str">
        <f t="shared" si="558"/>
        <v/>
      </c>
      <c r="U861" s="34" t="str">
        <f>IF(AND(L861=1,bp_kode=T861,T861&lt;&gt;""),COUNTIF($T$8:T861,T861),"")</f>
        <v/>
      </c>
      <c r="V861" s="34" t="str">
        <f t="shared" si="559"/>
        <v>db</v>
      </c>
      <c r="W861" s="34" t="str">
        <f t="shared" si="560"/>
        <v>db</v>
      </c>
      <c r="X861" s="34" t="str">
        <f>IF(B861="","",COUNTIF($C$8:C861,C861)&amp;C861)</f>
        <v>0</v>
      </c>
    </row>
    <row r="862" spans="2:24" ht="23.1" customHeight="1">
      <c r="B862" s="31">
        <v>44865</v>
      </c>
      <c r="C862" s="9"/>
      <c r="D862" s="9" t="s">
        <v>627</v>
      </c>
      <c r="E862" s="7"/>
      <c r="F862" s="7"/>
      <c r="G862" s="7"/>
      <c r="H862" s="7" t="s">
        <v>620</v>
      </c>
      <c r="I862" s="7" t="s">
        <v>582</v>
      </c>
      <c r="J862" s="39">
        <v>32714838</v>
      </c>
      <c r="L862" s="16">
        <f t="shared" si="535"/>
        <v>1</v>
      </c>
      <c r="M862" s="16" t="str">
        <f t="shared" si="555"/>
        <v>October</v>
      </c>
      <c r="N862" s="16" t="str">
        <f t="shared" si="537"/>
        <v/>
      </c>
      <c r="O862" s="16" t="str">
        <f>IF(N862="","",COUNTIF($N$8:N862,N862))</f>
        <v/>
      </c>
      <c r="P862" s="34" t="str">
        <f t="shared" si="538"/>
        <v>outBeban</v>
      </c>
      <c r="Q862" s="34" t="str">
        <f t="shared" si="539"/>
        <v>outOctoberBeban</v>
      </c>
      <c r="R862" s="34" t="str">
        <f t="shared" si="556"/>
        <v>Beban</v>
      </c>
      <c r="S862" s="34" t="str">
        <f t="shared" si="557"/>
        <v>Kas</v>
      </c>
      <c r="T862" s="34" t="str">
        <f t="shared" si="558"/>
        <v/>
      </c>
      <c r="U862" s="34" t="str">
        <f>IF(AND(L862=1,bp_kode=T862,T862&lt;&gt;""),COUNTIF($T$8:T862,T862),"")</f>
        <v/>
      </c>
      <c r="V862" s="34" t="str">
        <f t="shared" si="559"/>
        <v>db</v>
      </c>
      <c r="W862" s="34" t="str">
        <f t="shared" si="560"/>
        <v>db</v>
      </c>
      <c r="X862" s="34" t="str">
        <f>IF(B862="","",COUNTIF($C$8:C862,C862)&amp;C862)</f>
        <v>0</v>
      </c>
    </row>
    <row r="863" spans="2:24" ht="23.1" customHeight="1">
      <c r="B863" s="31">
        <v>44865</v>
      </c>
      <c r="C863" s="9"/>
      <c r="D863" s="9" t="s">
        <v>780</v>
      </c>
      <c r="E863" s="7"/>
      <c r="F863" s="7"/>
      <c r="G863" s="7"/>
      <c r="H863" s="7" t="s">
        <v>778</v>
      </c>
      <c r="I863" s="7" t="s">
        <v>582</v>
      </c>
      <c r="J863" s="39">
        <v>2500000</v>
      </c>
      <c r="L863" s="16">
        <f t="shared" si="535"/>
        <v>1</v>
      </c>
      <c r="M863" s="16" t="str">
        <f t="shared" si="555"/>
        <v>October</v>
      </c>
      <c r="N863" s="16" t="str">
        <f t="shared" si="537"/>
        <v/>
      </c>
      <c r="O863" s="16" t="str">
        <f>IF(N863="","",COUNTIF($N$8:N863,N863))</f>
        <v/>
      </c>
      <c r="P863" s="34" t="str">
        <f t="shared" si="538"/>
        <v>outBeban</v>
      </c>
      <c r="Q863" s="34" t="str">
        <f t="shared" si="539"/>
        <v>outOctoberBeban</v>
      </c>
      <c r="R863" s="34" t="str">
        <f t="shared" si="556"/>
        <v>Beban</v>
      </c>
      <c r="S863" s="34" t="str">
        <f t="shared" si="557"/>
        <v>Kas</v>
      </c>
      <c r="T863" s="34" t="str">
        <f t="shared" si="558"/>
        <v/>
      </c>
      <c r="U863" s="34" t="str">
        <f>IF(AND(L863=1,bp_kode=T863,T863&lt;&gt;""),COUNTIF($T$8:T863,T863),"")</f>
        <v/>
      </c>
      <c r="V863" s="34" t="str">
        <f t="shared" si="559"/>
        <v>db</v>
      </c>
      <c r="W863" s="34" t="str">
        <f t="shared" si="560"/>
        <v>db</v>
      </c>
      <c r="X863" s="34" t="str">
        <f>IF(B863="","",COUNTIF($C$8:C863,C863)&amp;C863)</f>
        <v>0</v>
      </c>
    </row>
    <row r="864" spans="2:24" ht="23.1" customHeight="1">
      <c r="B864" s="31">
        <v>44865</v>
      </c>
      <c r="C864" s="9"/>
      <c r="D864" s="9" t="s">
        <v>764</v>
      </c>
      <c r="E864" s="7"/>
      <c r="F864" s="7"/>
      <c r="G864" s="7"/>
      <c r="H864" s="7" t="s">
        <v>763</v>
      </c>
      <c r="I864" s="7" t="s">
        <v>582</v>
      </c>
      <c r="J864" s="39">
        <v>7654500</v>
      </c>
      <c r="L864" s="16">
        <f t="shared" si="535"/>
        <v>1</v>
      </c>
      <c r="M864" s="16" t="str">
        <f t="shared" si="555"/>
        <v>October</v>
      </c>
      <c r="N864" s="16" t="str">
        <f t="shared" si="537"/>
        <v/>
      </c>
      <c r="O864" s="16" t="str">
        <f>IF(N864="","",COUNTIF($N$8:N864,N864))</f>
        <v/>
      </c>
      <c r="P864" s="34" t="str">
        <f t="shared" si="538"/>
        <v>outBeban</v>
      </c>
      <c r="Q864" s="34" t="str">
        <f t="shared" si="539"/>
        <v>outOctoberBeban</v>
      </c>
      <c r="R864" s="34" t="str">
        <f t="shared" si="556"/>
        <v>Beban</v>
      </c>
      <c r="S864" s="34" t="str">
        <f t="shared" si="557"/>
        <v>Kas</v>
      </c>
      <c r="T864" s="34" t="str">
        <f t="shared" si="558"/>
        <v/>
      </c>
      <c r="U864" s="34" t="str">
        <f>IF(AND(L864=1,bp_kode=T864,T864&lt;&gt;""),COUNTIF($T$8:T864,T864),"")</f>
        <v/>
      </c>
      <c r="V864" s="34" t="str">
        <f t="shared" si="559"/>
        <v>db</v>
      </c>
      <c r="W864" s="34" t="str">
        <f t="shared" si="560"/>
        <v>db</v>
      </c>
      <c r="X864" s="34" t="str">
        <f>IF(B864="","",COUNTIF($C$8:C864,C864)&amp;C864)</f>
        <v>0</v>
      </c>
    </row>
    <row r="865" spans="2:24" ht="23.1" customHeight="1">
      <c r="B865" s="31">
        <v>44865</v>
      </c>
      <c r="C865" s="9"/>
      <c r="D865" s="9" t="s">
        <v>766</v>
      </c>
      <c r="E865" s="7"/>
      <c r="F865" s="7"/>
      <c r="G865" s="7"/>
      <c r="H865" s="7" t="s">
        <v>765</v>
      </c>
      <c r="I865" s="7" t="s">
        <v>582</v>
      </c>
      <c r="J865" s="39">
        <v>69003340</v>
      </c>
      <c r="L865" s="16">
        <f t="shared" si="535"/>
        <v>1</v>
      </c>
      <c r="M865" s="16" t="str">
        <f t="shared" si="555"/>
        <v>October</v>
      </c>
      <c r="N865" s="16" t="str">
        <f t="shared" si="537"/>
        <v/>
      </c>
      <c r="O865" s="16" t="str">
        <f>IF(N865="","",COUNTIF($N$8:N865,N865))</f>
        <v/>
      </c>
      <c r="P865" s="34" t="str">
        <f t="shared" si="538"/>
        <v>outBeban</v>
      </c>
      <c r="Q865" s="34" t="str">
        <f t="shared" si="539"/>
        <v>outOctoberBeban</v>
      </c>
      <c r="R865" s="34" t="str">
        <f t="shared" si="556"/>
        <v>Beban</v>
      </c>
      <c r="S865" s="34" t="str">
        <f t="shared" si="557"/>
        <v>Kas</v>
      </c>
      <c r="T865" s="34" t="str">
        <f t="shared" si="558"/>
        <v/>
      </c>
      <c r="U865" s="34" t="str">
        <f>IF(AND(L865=1,bp_kode=T865,T865&lt;&gt;""),COUNTIF($T$8:T865,T865),"")</f>
        <v/>
      </c>
      <c r="V865" s="34" t="str">
        <f t="shared" si="559"/>
        <v>db</v>
      </c>
      <c r="W865" s="34" t="str">
        <f t="shared" si="560"/>
        <v>db</v>
      </c>
      <c r="X865" s="34" t="str">
        <f>IF(B865="","",COUNTIF($C$8:C865,C865)&amp;C865)</f>
        <v>0</v>
      </c>
    </row>
    <row r="866" spans="2:24" ht="23.1" customHeight="1">
      <c r="B866" s="31">
        <v>44865</v>
      </c>
      <c r="C866" s="9"/>
      <c r="D866" s="9" t="s">
        <v>644</v>
      </c>
      <c r="E866" s="7"/>
      <c r="F866" s="7"/>
      <c r="G866" s="7"/>
      <c r="H866" s="7" t="s">
        <v>628</v>
      </c>
      <c r="I866" s="7" t="s">
        <v>582</v>
      </c>
      <c r="J866" s="39">
        <v>21900000</v>
      </c>
      <c r="L866" s="16">
        <f t="shared" si="535"/>
        <v>1</v>
      </c>
      <c r="M866" s="16" t="str">
        <f t="shared" si="555"/>
        <v>October</v>
      </c>
      <c r="N866" s="16" t="str">
        <f t="shared" si="537"/>
        <v/>
      </c>
      <c r="O866" s="16" t="str">
        <f>IF(N866="","",COUNTIF($N$8:N866,N866))</f>
        <v/>
      </c>
      <c r="P866" s="34" t="str">
        <f t="shared" si="538"/>
        <v>outBeban</v>
      </c>
      <c r="Q866" s="34" t="str">
        <f t="shared" si="539"/>
        <v>outOctoberBeban</v>
      </c>
      <c r="R866" s="34" t="str">
        <f t="shared" si="556"/>
        <v>Beban</v>
      </c>
      <c r="S866" s="34" t="str">
        <f t="shared" si="557"/>
        <v>Kas</v>
      </c>
      <c r="T866" s="34" t="str">
        <f t="shared" si="558"/>
        <v/>
      </c>
      <c r="U866" s="34" t="str">
        <f>IF(AND(L866=1,bp_kode=T866,T866&lt;&gt;""),COUNTIF($T$8:T866,T866),"")</f>
        <v/>
      </c>
      <c r="V866" s="34" t="str">
        <f t="shared" si="559"/>
        <v>db</v>
      </c>
      <c r="W866" s="34" t="str">
        <f t="shared" si="560"/>
        <v>db</v>
      </c>
      <c r="X866" s="34" t="str">
        <f>IF(B866="","",COUNTIF($C$8:C866,C866)&amp;C866)</f>
        <v>0</v>
      </c>
    </row>
    <row r="867" spans="2:24" ht="23.1" customHeight="1">
      <c r="B867" s="31">
        <v>44865</v>
      </c>
      <c r="C867" s="9"/>
      <c r="D867" s="9" t="s">
        <v>693</v>
      </c>
      <c r="E867" s="7"/>
      <c r="F867" s="7"/>
      <c r="G867" s="7"/>
      <c r="H867" s="7" t="s">
        <v>694</v>
      </c>
      <c r="I867" s="7" t="s">
        <v>582</v>
      </c>
      <c r="J867" s="39">
        <v>155000</v>
      </c>
      <c r="L867" s="16">
        <f t="shared" si="535"/>
        <v>1</v>
      </c>
      <c r="M867" s="16" t="str">
        <f t="shared" si="555"/>
        <v>October</v>
      </c>
      <c r="N867" s="16" t="str">
        <f t="shared" si="537"/>
        <v/>
      </c>
      <c r="O867" s="16" t="str">
        <f>IF(N867="","",COUNTIF($N$8:N867,N867))</f>
        <v/>
      </c>
      <c r="P867" s="34" t="str">
        <f t="shared" si="538"/>
        <v>outBeban</v>
      </c>
      <c r="Q867" s="34" t="str">
        <f t="shared" si="539"/>
        <v>outOctoberBeban</v>
      </c>
      <c r="R867" s="34" t="str">
        <f t="shared" si="556"/>
        <v>Beban</v>
      </c>
      <c r="S867" s="34" t="str">
        <f t="shared" si="557"/>
        <v>Kas</v>
      </c>
      <c r="T867" s="34" t="str">
        <f t="shared" si="558"/>
        <v/>
      </c>
      <c r="U867" s="34" t="str">
        <f>IF(AND(L867=1,bp_kode=T867,T867&lt;&gt;""),COUNTIF($T$8:T867,T867),"")</f>
        <v/>
      </c>
      <c r="V867" s="34" t="str">
        <f t="shared" si="559"/>
        <v>db</v>
      </c>
      <c r="W867" s="34" t="str">
        <f t="shared" si="560"/>
        <v>db</v>
      </c>
      <c r="X867" s="34" t="str">
        <f>IF(B867="","",COUNTIF($C$8:C867,C867)&amp;C867)</f>
        <v>0</v>
      </c>
    </row>
    <row r="868" spans="2:24" ht="23.1" customHeight="1">
      <c r="B868" s="31">
        <v>44865</v>
      </c>
      <c r="C868" s="9"/>
      <c r="D868" s="9" t="s">
        <v>645</v>
      </c>
      <c r="E868" s="7"/>
      <c r="F868" s="7"/>
      <c r="G868" s="7"/>
      <c r="H868" s="7" t="s">
        <v>629</v>
      </c>
      <c r="I868" s="7" t="s">
        <v>582</v>
      </c>
      <c r="J868" s="39">
        <v>4492200</v>
      </c>
      <c r="L868" s="16">
        <f t="shared" si="535"/>
        <v>1</v>
      </c>
      <c r="M868" s="16" t="str">
        <f t="shared" si="555"/>
        <v>October</v>
      </c>
      <c r="N868" s="16" t="str">
        <f t="shared" si="537"/>
        <v/>
      </c>
      <c r="O868" s="16" t="str">
        <f>IF(N868="","",COUNTIF($N$8:N868,N868))</f>
        <v/>
      </c>
      <c r="P868" s="34" t="str">
        <f t="shared" si="538"/>
        <v>outBeban</v>
      </c>
      <c r="Q868" s="34" t="str">
        <f t="shared" si="539"/>
        <v>outOctoberBeban</v>
      </c>
      <c r="R868" s="34" t="str">
        <f t="shared" si="556"/>
        <v>Beban</v>
      </c>
      <c r="S868" s="34" t="str">
        <f t="shared" si="557"/>
        <v>Kas</v>
      </c>
      <c r="T868" s="34" t="str">
        <f t="shared" si="558"/>
        <v/>
      </c>
      <c r="U868" s="34" t="str">
        <f>IF(AND(L868=1,bp_kode=T868,T868&lt;&gt;""),COUNTIF($T$8:T868,T868),"")</f>
        <v/>
      </c>
      <c r="V868" s="34" t="str">
        <f t="shared" si="559"/>
        <v>db</v>
      </c>
      <c r="W868" s="34" t="str">
        <f t="shared" si="560"/>
        <v>db</v>
      </c>
      <c r="X868" s="34" t="str">
        <f>IF(B868="","",COUNTIF($C$8:C868,C868)&amp;C868)</f>
        <v>0</v>
      </c>
    </row>
    <row r="869" spans="2:24" ht="23.1" customHeight="1">
      <c r="B869" s="31">
        <v>44865</v>
      </c>
      <c r="C869" s="9"/>
      <c r="D869" s="9" t="s">
        <v>646</v>
      </c>
      <c r="E869" s="7"/>
      <c r="F869" s="7"/>
      <c r="G869" s="7"/>
      <c r="H869" s="7" t="s">
        <v>630</v>
      </c>
      <c r="I869" s="7" t="s">
        <v>582</v>
      </c>
      <c r="J869" s="39">
        <v>3595000</v>
      </c>
      <c r="L869" s="16">
        <f t="shared" si="535"/>
        <v>1</v>
      </c>
      <c r="M869" s="16" t="str">
        <f t="shared" si="555"/>
        <v>October</v>
      </c>
      <c r="N869" s="16" t="str">
        <f t="shared" si="537"/>
        <v/>
      </c>
      <c r="O869" s="16" t="str">
        <f>IF(N869="","",COUNTIF($N$8:N869,N869))</f>
        <v/>
      </c>
      <c r="P869" s="34" t="str">
        <f t="shared" si="538"/>
        <v>outBeban</v>
      </c>
      <c r="Q869" s="34" t="str">
        <f t="shared" si="539"/>
        <v>outOctoberBeban</v>
      </c>
      <c r="R869" s="34" t="str">
        <f t="shared" si="556"/>
        <v>Beban</v>
      </c>
      <c r="S869" s="34" t="str">
        <f t="shared" si="557"/>
        <v>Kas</v>
      </c>
      <c r="T869" s="34" t="str">
        <f t="shared" si="558"/>
        <v/>
      </c>
      <c r="U869" s="34" t="str">
        <f>IF(AND(L869=1,bp_kode=T869,T869&lt;&gt;""),COUNTIF($T$8:T869,T869),"")</f>
        <v/>
      </c>
      <c r="V869" s="34" t="str">
        <f t="shared" si="559"/>
        <v>db</v>
      </c>
      <c r="W869" s="34" t="str">
        <f t="shared" si="560"/>
        <v>db</v>
      </c>
      <c r="X869" s="34" t="str">
        <f>IF(B869="","",COUNTIF($C$8:C869,C869)&amp;C869)</f>
        <v>0</v>
      </c>
    </row>
    <row r="870" spans="2:24" ht="23.1" customHeight="1">
      <c r="B870" s="31">
        <v>44865</v>
      </c>
      <c r="C870" s="9"/>
      <c r="D870" s="9" t="s">
        <v>647</v>
      </c>
      <c r="E870" s="7"/>
      <c r="F870" s="7"/>
      <c r="G870" s="7"/>
      <c r="H870" s="7" t="s">
        <v>631</v>
      </c>
      <c r="I870" s="7" t="s">
        <v>582</v>
      </c>
      <c r="J870" s="39">
        <v>550000</v>
      </c>
      <c r="L870" s="16">
        <f t="shared" si="535"/>
        <v>1</v>
      </c>
      <c r="M870" s="16" t="str">
        <f t="shared" si="555"/>
        <v>October</v>
      </c>
      <c r="N870" s="16" t="str">
        <f t="shared" si="537"/>
        <v/>
      </c>
      <c r="O870" s="16" t="str">
        <f>IF(N870="","",COUNTIF($N$8:N870,N870))</f>
        <v/>
      </c>
      <c r="P870" s="34" t="str">
        <f t="shared" si="538"/>
        <v>outBeban</v>
      </c>
      <c r="Q870" s="34" t="str">
        <f t="shared" si="539"/>
        <v>outOctoberBeban</v>
      </c>
      <c r="R870" s="34" t="str">
        <f t="shared" si="556"/>
        <v>Beban</v>
      </c>
      <c r="S870" s="34" t="str">
        <f t="shared" si="557"/>
        <v>Kas</v>
      </c>
      <c r="T870" s="34" t="str">
        <f t="shared" si="558"/>
        <v/>
      </c>
      <c r="U870" s="34" t="str">
        <f>IF(AND(L870=1,bp_kode=T870,T870&lt;&gt;""),COUNTIF($T$8:T870,T870),"")</f>
        <v/>
      </c>
      <c r="V870" s="34" t="str">
        <f t="shared" si="559"/>
        <v>db</v>
      </c>
      <c r="W870" s="34" t="str">
        <f t="shared" si="560"/>
        <v>db</v>
      </c>
      <c r="X870" s="34" t="str">
        <f>IF(B870="","",COUNTIF($C$8:C870,C870)&amp;C870)</f>
        <v>0</v>
      </c>
    </row>
    <row r="871" spans="2:24" ht="23.1" customHeight="1">
      <c r="B871" s="31">
        <v>44865</v>
      </c>
      <c r="C871" s="9"/>
      <c r="D871" s="9" t="s">
        <v>781</v>
      </c>
      <c r="E871" s="7"/>
      <c r="F871" s="7"/>
      <c r="G871" s="7"/>
      <c r="H871" s="7" t="s">
        <v>782</v>
      </c>
      <c r="I871" s="7" t="s">
        <v>582</v>
      </c>
      <c r="J871" s="39">
        <v>6241250</v>
      </c>
      <c r="L871" s="16">
        <f t="shared" si="535"/>
        <v>1</v>
      </c>
      <c r="M871" s="16" t="str">
        <f t="shared" si="555"/>
        <v>October</v>
      </c>
      <c r="N871" s="16" t="str">
        <f t="shared" si="537"/>
        <v/>
      </c>
      <c r="O871" s="16" t="str">
        <f>IF(N871="","",COUNTIF($N$8:N871,N871))</f>
        <v/>
      </c>
      <c r="P871" s="34" t="str">
        <f t="shared" si="538"/>
        <v>outBeban</v>
      </c>
      <c r="Q871" s="34" t="str">
        <f t="shared" si="539"/>
        <v>outOctoberBeban</v>
      </c>
      <c r="R871" s="34" t="str">
        <f t="shared" si="556"/>
        <v>Beban</v>
      </c>
      <c r="S871" s="34" t="str">
        <f t="shared" si="557"/>
        <v>Kas</v>
      </c>
      <c r="T871" s="34" t="str">
        <f t="shared" si="558"/>
        <v/>
      </c>
      <c r="U871" s="34" t="str">
        <f>IF(AND(L871=1,bp_kode=T871,T871&lt;&gt;""),COUNTIF($T$8:T871,T871),"")</f>
        <v/>
      </c>
      <c r="V871" s="34" t="str">
        <f t="shared" si="559"/>
        <v>db</v>
      </c>
      <c r="W871" s="34" t="str">
        <f t="shared" si="560"/>
        <v>db</v>
      </c>
      <c r="X871" s="34" t="str">
        <f>IF(B871="","",COUNTIF($C$8:C871,C871)&amp;C871)</f>
        <v>0</v>
      </c>
    </row>
    <row r="872" spans="2:24" ht="23.1" customHeight="1">
      <c r="B872" s="31">
        <v>44865</v>
      </c>
      <c r="C872" s="9"/>
      <c r="D872" s="9" t="s">
        <v>648</v>
      </c>
      <c r="E872" s="7"/>
      <c r="F872" s="7"/>
      <c r="G872" s="7"/>
      <c r="H872" s="7" t="s">
        <v>632</v>
      </c>
      <c r="I872" s="7" t="s">
        <v>582</v>
      </c>
      <c r="J872" s="39">
        <v>60000</v>
      </c>
      <c r="L872" s="16">
        <f t="shared" si="535"/>
        <v>1</v>
      </c>
      <c r="M872" s="16" t="str">
        <f t="shared" si="555"/>
        <v>October</v>
      </c>
      <c r="N872" s="16" t="str">
        <f t="shared" si="537"/>
        <v/>
      </c>
      <c r="O872" s="16" t="str">
        <f>IF(N872="","",COUNTIF($N$8:N872,N872))</f>
        <v/>
      </c>
      <c r="P872" s="34" t="str">
        <f t="shared" si="538"/>
        <v>outBeban</v>
      </c>
      <c r="Q872" s="34" t="str">
        <f t="shared" si="539"/>
        <v>outOctoberBeban</v>
      </c>
      <c r="R872" s="34" t="str">
        <f t="shared" si="556"/>
        <v>Beban</v>
      </c>
      <c r="S872" s="34" t="str">
        <f t="shared" si="557"/>
        <v>Kas</v>
      </c>
      <c r="T872" s="34" t="str">
        <f t="shared" si="558"/>
        <v/>
      </c>
      <c r="U872" s="34" t="str">
        <f>IF(AND(L872=1,bp_kode=T872,T872&lt;&gt;""),COUNTIF($T$8:T872,T872),"")</f>
        <v/>
      </c>
      <c r="V872" s="34" t="str">
        <f t="shared" si="559"/>
        <v>db</v>
      </c>
      <c r="W872" s="34" t="str">
        <f t="shared" si="560"/>
        <v>db</v>
      </c>
      <c r="X872" s="34" t="str">
        <f>IF(B872="","",COUNTIF($C$8:C872,C872)&amp;C872)</f>
        <v>0</v>
      </c>
    </row>
    <row r="873" spans="2:24" ht="23.1" customHeight="1">
      <c r="B873" s="31">
        <v>44865</v>
      </c>
      <c r="C873" s="9"/>
      <c r="D873" s="9" t="s">
        <v>649</v>
      </c>
      <c r="E873" s="7"/>
      <c r="F873" s="7"/>
      <c r="G873" s="7"/>
      <c r="H873" s="7" t="s">
        <v>633</v>
      </c>
      <c r="I873" s="7" t="s">
        <v>582</v>
      </c>
      <c r="J873" s="39">
        <v>2069314</v>
      </c>
      <c r="L873" s="16">
        <f t="shared" si="535"/>
        <v>1</v>
      </c>
      <c r="M873" s="16" t="str">
        <f t="shared" si="555"/>
        <v>October</v>
      </c>
      <c r="N873" s="16" t="str">
        <f t="shared" si="537"/>
        <v/>
      </c>
      <c r="O873" s="16" t="str">
        <f>IF(N873="","",COUNTIF($N$8:N873,N873))</f>
        <v/>
      </c>
      <c r="P873" s="34" t="str">
        <f t="shared" si="538"/>
        <v>outBeban</v>
      </c>
      <c r="Q873" s="34" t="str">
        <f t="shared" si="539"/>
        <v>outOctoberBeban</v>
      </c>
      <c r="R873" s="34" t="str">
        <f t="shared" si="556"/>
        <v>Beban</v>
      </c>
      <c r="S873" s="34" t="str">
        <f t="shared" si="557"/>
        <v>Kas</v>
      </c>
      <c r="T873" s="34" t="str">
        <f t="shared" si="558"/>
        <v/>
      </c>
      <c r="U873" s="34" t="str">
        <f>IF(AND(L873=1,bp_kode=T873,T873&lt;&gt;""),COUNTIF($T$8:T873,T873),"")</f>
        <v/>
      </c>
      <c r="V873" s="34" t="str">
        <f t="shared" si="559"/>
        <v>db</v>
      </c>
      <c r="W873" s="34" t="str">
        <f t="shared" si="560"/>
        <v>db</v>
      </c>
      <c r="X873" s="34" t="str">
        <f>IF(B873="","",COUNTIF($C$8:C873,C873)&amp;C873)</f>
        <v>0</v>
      </c>
    </row>
    <row r="874" spans="2:24" ht="23.1" customHeight="1">
      <c r="B874" s="31">
        <v>44865</v>
      </c>
      <c r="C874" s="9"/>
      <c r="D874" s="9" t="s">
        <v>650</v>
      </c>
      <c r="E874" s="7"/>
      <c r="F874" s="7"/>
      <c r="G874" s="7"/>
      <c r="H874" s="7" t="s">
        <v>634</v>
      </c>
      <c r="I874" s="7" t="s">
        <v>582</v>
      </c>
      <c r="J874" s="39">
        <v>6409632</v>
      </c>
      <c r="L874" s="16">
        <f t="shared" si="535"/>
        <v>1</v>
      </c>
      <c r="M874" s="16" t="str">
        <f t="shared" si="555"/>
        <v>October</v>
      </c>
      <c r="N874" s="16" t="str">
        <f t="shared" si="537"/>
        <v/>
      </c>
      <c r="O874" s="16" t="str">
        <f>IF(N874="","",COUNTIF($N$8:N874,N874))</f>
        <v/>
      </c>
      <c r="P874" s="34" t="str">
        <f t="shared" si="538"/>
        <v>outBeban</v>
      </c>
      <c r="Q874" s="34" t="str">
        <f t="shared" si="539"/>
        <v>outOctoberBeban</v>
      </c>
      <c r="R874" s="34" t="str">
        <f t="shared" si="556"/>
        <v>Beban</v>
      </c>
      <c r="S874" s="34" t="str">
        <f t="shared" si="557"/>
        <v>Kas</v>
      </c>
      <c r="T874" s="34" t="str">
        <f t="shared" si="558"/>
        <v/>
      </c>
      <c r="U874" s="34" t="str">
        <f>IF(AND(L874=1,bp_kode=T874,T874&lt;&gt;""),COUNTIF($T$8:T874,T874),"")</f>
        <v/>
      </c>
      <c r="V874" s="34" t="str">
        <f t="shared" si="559"/>
        <v>db</v>
      </c>
      <c r="W874" s="34" t="str">
        <f t="shared" si="560"/>
        <v>db</v>
      </c>
      <c r="X874" s="34" t="str">
        <f>IF(B874="","",COUNTIF($C$8:C874,C874)&amp;C874)</f>
        <v>0</v>
      </c>
    </row>
    <row r="875" spans="2:24" ht="23.1" customHeight="1">
      <c r="B875" s="31">
        <v>44865</v>
      </c>
      <c r="C875" s="9"/>
      <c r="D875" s="9" t="s">
        <v>651</v>
      </c>
      <c r="E875" s="7"/>
      <c r="F875" s="7"/>
      <c r="G875" s="7"/>
      <c r="H875" s="7" t="s">
        <v>635</v>
      </c>
      <c r="I875" s="7" t="s">
        <v>582</v>
      </c>
      <c r="J875" s="39">
        <v>918000</v>
      </c>
      <c r="L875" s="16">
        <f t="shared" si="535"/>
        <v>1</v>
      </c>
      <c r="M875" s="16" t="str">
        <f t="shared" si="555"/>
        <v>October</v>
      </c>
      <c r="N875" s="16" t="str">
        <f t="shared" si="537"/>
        <v/>
      </c>
      <c r="O875" s="16" t="str">
        <f>IF(N875="","",COUNTIF($N$8:N875,N875))</f>
        <v/>
      </c>
      <c r="P875" s="34" t="str">
        <f t="shared" si="538"/>
        <v>outBeban</v>
      </c>
      <c r="Q875" s="34" t="str">
        <f t="shared" si="539"/>
        <v>outOctoberBeban</v>
      </c>
      <c r="R875" s="34" t="str">
        <f t="shared" si="556"/>
        <v>Beban</v>
      </c>
      <c r="S875" s="34" t="str">
        <f t="shared" si="557"/>
        <v>Kas</v>
      </c>
      <c r="T875" s="34" t="str">
        <f t="shared" si="558"/>
        <v/>
      </c>
      <c r="U875" s="34" t="str">
        <f>IF(AND(L875=1,bp_kode=T875,T875&lt;&gt;""),COUNTIF($T$8:T875,T875),"")</f>
        <v/>
      </c>
      <c r="V875" s="34" t="str">
        <f t="shared" si="559"/>
        <v>db</v>
      </c>
      <c r="W875" s="34" t="str">
        <f t="shared" si="560"/>
        <v>db</v>
      </c>
      <c r="X875" s="34" t="str">
        <f>IF(B875="","",COUNTIF($C$8:C875,C875)&amp;C875)</f>
        <v>0</v>
      </c>
    </row>
    <row r="876" spans="2:24" ht="23.1" customHeight="1">
      <c r="B876" s="31">
        <v>44865</v>
      </c>
      <c r="C876" s="9"/>
      <c r="D876" s="9" t="s">
        <v>652</v>
      </c>
      <c r="E876" s="7"/>
      <c r="F876" s="7"/>
      <c r="G876" s="7"/>
      <c r="H876" s="7" t="s">
        <v>636</v>
      </c>
      <c r="I876" s="7" t="s">
        <v>582</v>
      </c>
      <c r="J876" s="39">
        <v>11649030</v>
      </c>
      <c r="L876" s="16">
        <f t="shared" si="535"/>
        <v>1</v>
      </c>
      <c r="M876" s="16" t="str">
        <f t="shared" si="555"/>
        <v>October</v>
      </c>
      <c r="N876" s="16" t="str">
        <f t="shared" si="537"/>
        <v/>
      </c>
      <c r="O876" s="16" t="str">
        <f>IF(N876="","",COUNTIF($N$8:N876,N876))</f>
        <v/>
      </c>
      <c r="P876" s="34" t="str">
        <f t="shared" si="538"/>
        <v>outBeban</v>
      </c>
      <c r="Q876" s="34" t="str">
        <f t="shared" si="539"/>
        <v>outOctoberBeban</v>
      </c>
      <c r="R876" s="34" t="str">
        <f t="shared" si="556"/>
        <v>Beban</v>
      </c>
      <c r="S876" s="34" t="str">
        <f t="shared" si="557"/>
        <v>Kas</v>
      </c>
      <c r="T876" s="34" t="str">
        <f t="shared" si="558"/>
        <v/>
      </c>
      <c r="U876" s="34" t="str">
        <f>IF(AND(L876=1,bp_kode=T876,T876&lt;&gt;""),COUNTIF($T$8:T876,T876),"")</f>
        <v/>
      </c>
      <c r="V876" s="34" t="str">
        <f t="shared" si="559"/>
        <v>db</v>
      </c>
      <c r="W876" s="34" t="str">
        <f t="shared" si="560"/>
        <v>db</v>
      </c>
      <c r="X876" s="34" t="str">
        <f>IF(B876="","",COUNTIF($C$8:C876,C876)&amp;C876)</f>
        <v>0</v>
      </c>
    </row>
    <row r="877" spans="2:24" ht="23.1" customHeight="1">
      <c r="B877" s="31">
        <v>44865</v>
      </c>
      <c r="C877" s="9"/>
      <c r="D877" s="9" t="s">
        <v>653</v>
      </c>
      <c r="E877" s="7"/>
      <c r="F877" s="7"/>
      <c r="G877" s="7"/>
      <c r="H877" s="7" t="s">
        <v>637</v>
      </c>
      <c r="I877" s="7" t="s">
        <v>582</v>
      </c>
      <c r="J877" s="332">
        <v>6637011</v>
      </c>
      <c r="L877" s="16">
        <f t="shared" si="535"/>
        <v>1</v>
      </c>
      <c r="M877" s="16" t="str">
        <f t="shared" si="555"/>
        <v>October</v>
      </c>
      <c r="N877" s="16" t="str">
        <f t="shared" si="537"/>
        <v/>
      </c>
      <c r="O877" s="16" t="str">
        <f>IF(N877="","",COUNTIF($N$8:N877,N877))</f>
        <v/>
      </c>
      <c r="P877" s="34" t="str">
        <f t="shared" si="538"/>
        <v>outBeban</v>
      </c>
      <c r="Q877" s="34" t="str">
        <f t="shared" si="539"/>
        <v>outOctoberBeban</v>
      </c>
      <c r="R877" s="34" t="str">
        <f t="shared" si="556"/>
        <v>Beban</v>
      </c>
      <c r="S877" s="34" t="str">
        <f t="shared" si="557"/>
        <v>Kas</v>
      </c>
      <c r="T877" s="34" t="str">
        <f t="shared" si="558"/>
        <v/>
      </c>
      <c r="U877" s="34" t="str">
        <f>IF(AND(L877=1,bp_kode=T877,T877&lt;&gt;""),COUNTIF($T$8:T877,T877),"")</f>
        <v/>
      </c>
      <c r="V877" s="34" t="str">
        <f t="shared" si="559"/>
        <v>db</v>
      </c>
      <c r="W877" s="34" t="str">
        <f t="shared" si="560"/>
        <v>db</v>
      </c>
      <c r="X877" s="34" t="str">
        <f>IF(B877="","",COUNTIF($C$8:C877,C877)&amp;C877)</f>
        <v>0</v>
      </c>
    </row>
    <row r="878" spans="2:24" ht="23.1" customHeight="1">
      <c r="B878" s="31">
        <v>44865</v>
      </c>
      <c r="C878" s="9"/>
      <c r="D878" s="9" t="s">
        <v>750</v>
      </c>
      <c r="E878" s="7"/>
      <c r="F878" s="7"/>
      <c r="G878" s="7"/>
      <c r="H878" s="7" t="s">
        <v>749</v>
      </c>
      <c r="I878" s="7" t="s">
        <v>582</v>
      </c>
      <c r="J878" s="39">
        <v>12151400</v>
      </c>
      <c r="L878" s="16">
        <f t="shared" si="535"/>
        <v>1</v>
      </c>
      <c r="M878" s="16" t="str">
        <f t="shared" si="555"/>
        <v>October</v>
      </c>
      <c r="N878" s="16" t="str">
        <f t="shared" si="537"/>
        <v/>
      </c>
      <c r="O878" s="16" t="str">
        <f>IF(N878="","",COUNTIF($N$8:N878,N878))</f>
        <v/>
      </c>
      <c r="P878" s="34" t="str">
        <f t="shared" si="538"/>
        <v>outBeban</v>
      </c>
      <c r="Q878" s="34" t="str">
        <f t="shared" si="539"/>
        <v>outOctoberBeban</v>
      </c>
      <c r="R878" s="34" t="str">
        <f t="shared" si="556"/>
        <v>Beban</v>
      </c>
      <c r="S878" s="34" t="str">
        <f t="shared" si="557"/>
        <v>Kas</v>
      </c>
      <c r="T878" s="34" t="str">
        <f t="shared" si="558"/>
        <v/>
      </c>
      <c r="U878" s="34" t="str">
        <f>IF(AND(L878=1,bp_kode=T878,T878&lt;&gt;""),COUNTIF($T$8:T878,T878),"")</f>
        <v/>
      </c>
      <c r="V878" s="34" t="str">
        <f t="shared" si="559"/>
        <v>db</v>
      </c>
      <c r="W878" s="34" t="str">
        <f t="shared" si="560"/>
        <v>db</v>
      </c>
      <c r="X878" s="34" t="str">
        <f>IF(B878="","",COUNTIF($C$8:C878,C878)&amp;C878)</f>
        <v>0</v>
      </c>
    </row>
    <row r="879" spans="2:24" ht="23.1" customHeight="1">
      <c r="B879" s="31">
        <v>44865</v>
      </c>
      <c r="C879" s="9"/>
      <c r="D879" s="9" t="s">
        <v>655</v>
      </c>
      <c r="E879" s="7"/>
      <c r="F879" s="7"/>
      <c r="G879" s="7"/>
      <c r="H879" s="7" t="s">
        <v>639</v>
      </c>
      <c r="I879" s="7" t="s">
        <v>582</v>
      </c>
      <c r="J879" s="39">
        <v>26644800</v>
      </c>
      <c r="L879" s="16">
        <f t="shared" si="535"/>
        <v>1</v>
      </c>
      <c r="M879" s="16" t="str">
        <f t="shared" si="555"/>
        <v>October</v>
      </c>
      <c r="N879" s="16" t="str">
        <f t="shared" si="537"/>
        <v/>
      </c>
      <c r="O879" s="16" t="str">
        <f>IF(N879="","",COUNTIF($N$8:N879,N879))</f>
        <v/>
      </c>
      <c r="P879" s="34" t="str">
        <f t="shared" si="538"/>
        <v>outBeban</v>
      </c>
      <c r="Q879" s="34" t="str">
        <f t="shared" si="539"/>
        <v>outOctoberBeban</v>
      </c>
      <c r="R879" s="34" t="str">
        <f t="shared" si="556"/>
        <v>Beban</v>
      </c>
      <c r="S879" s="34" t="str">
        <f t="shared" si="557"/>
        <v>Kas</v>
      </c>
      <c r="T879" s="34" t="str">
        <f t="shared" si="558"/>
        <v/>
      </c>
      <c r="U879" s="34" t="str">
        <f>IF(AND(L879=1,bp_kode=T879,T879&lt;&gt;""),COUNTIF($T$8:T879,T879),"")</f>
        <v/>
      </c>
      <c r="V879" s="34" t="str">
        <f t="shared" si="559"/>
        <v>db</v>
      </c>
      <c r="W879" s="34" t="str">
        <f t="shared" si="560"/>
        <v>db</v>
      </c>
      <c r="X879" s="34" t="str">
        <f>IF(B879="","",COUNTIF($C$8:C879,C879)&amp;C879)</f>
        <v>0</v>
      </c>
    </row>
    <row r="880" spans="2:24" ht="23.1" customHeight="1">
      <c r="B880" s="31">
        <v>44865</v>
      </c>
      <c r="C880" s="9"/>
      <c r="D880" s="9" t="s">
        <v>720</v>
      </c>
      <c r="E880" s="7"/>
      <c r="F880" s="7"/>
      <c r="G880" s="7"/>
      <c r="H880" s="7" t="s">
        <v>719</v>
      </c>
      <c r="I880" s="7" t="s">
        <v>582</v>
      </c>
      <c r="J880" s="39"/>
      <c r="L880" s="16">
        <f t="shared" si="535"/>
        <v>1</v>
      </c>
      <c r="M880" s="16" t="str">
        <f t="shared" si="555"/>
        <v>October</v>
      </c>
      <c r="N880" s="16" t="str">
        <f t="shared" si="537"/>
        <v/>
      </c>
      <c r="O880" s="16" t="str">
        <f>IF(N880="","",COUNTIF($N$8:N880,N880))</f>
        <v/>
      </c>
      <c r="P880" s="34" t="str">
        <f t="shared" si="538"/>
        <v>outBeban</v>
      </c>
      <c r="Q880" s="34" t="str">
        <f t="shared" si="539"/>
        <v>outOctoberBeban</v>
      </c>
      <c r="R880" s="34" t="str">
        <f t="shared" si="556"/>
        <v>Beban</v>
      </c>
      <c r="S880" s="34" t="str">
        <f t="shared" si="557"/>
        <v>Kas</v>
      </c>
      <c r="T880" s="34" t="str">
        <f t="shared" si="558"/>
        <v/>
      </c>
      <c r="U880" s="34" t="str">
        <f>IF(AND(L880=1,bp_kode=T880,T880&lt;&gt;""),COUNTIF($T$8:T880,T880),"")</f>
        <v/>
      </c>
      <c r="V880" s="34" t="str">
        <f t="shared" si="559"/>
        <v>db</v>
      </c>
      <c r="W880" s="34" t="str">
        <f t="shared" si="560"/>
        <v>db</v>
      </c>
      <c r="X880" s="34" t="str">
        <f>IF(B880="","",COUNTIF($C$8:C880,C880)&amp;C880)</f>
        <v>0</v>
      </c>
    </row>
    <row r="881" spans="2:24" ht="23.1" customHeight="1">
      <c r="B881" s="31">
        <v>44865</v>
      </c>
      <c r="C881" s="9"/>
      <c r="D881" s="9" t="s">
        <v>768</v>
      </c>
      <c r="E881" s="7"/>
      <c r="F881" s="7"/>
      <c r="G881" s="7"/>
      <c r="H881" s="7" t="s">
        <v>767</v>
      </c>
      <c r="I881" s="7" t="s">
        <v>582</v>
      </c>
      <c r="J881" s="39">
        <v>16250000</v>
      </c>
      <c r="L881" s="16">
        <f t="shared" si="535"/>
        <v>1</v>
      </c>
      <c r="M881" s="16" t="str">
        <f t="shared" si="555"/>
        <v>October</v>
      </c>
      <c r="N881" s="16" t="str">
        <f t="shared" si="537"/>
        <v/>
      </c>
      <c r="O881" s="16" t="str">
        <f>IF(N881="","",COUNTIF($N$8:N881,N881))</f>
        <v/>
      </c>
      <c r="P881" s="34" t="str">
        <f t="shared" si="538"/>
        <v>outBeban</v>
      </c>
      <c r="Q881" s="34" t="str">
        <f t="shared" si="539"/>
        <v>outOctoberBeban</v>
      </c>
      <c r="R881" s="34" t="str">
        <f t="shared" si="556"/>
        <v>Beban</v>
      </c>
      <c r="S881" s="34" t="str">
        <f t="shared" si="557"/>
        <v>Kas</v>
      </c>
      <c r="T881" s="34" t="str">
        <f t="shared" si="558"/>
        <v/>
      </c>
      <c r="U881" s="34" t="str">
        <f>IF(AND(L881=1,bp_kode=T881,T881&lt;&gt;""),COUNTIF($T$8:T881,T881),"")</f>
        <v/>
      </c>
      <c r="V881" s="34" t="str">
        <f t="shared" si="559"/>
        <v>db</v>
      </c>
      <c r="W881" s="34" t="str">
        <f t="shared" si="560"/>
        <v>db</v>
      </c>
      <c r="X881" s="34" t="str">
        <f>IF(B881="","",COUNTIF($C$8:C881,C881)&amp;C881)</f>
        <v>0</v>
      </c>
    </row>
    <row r="882" spans="2:24" ht="23.1" customHeight="1">
      <c r="B882" s="31">
        <v>44865</v>
      </c>
      <c r="C882" s="9"/>
      <c r="D882" s="9" t="s">
        <v>663</v>
      </c>
      <c r="E882" s="7"/>
      <c r="F882" s="7"/>
      <c r="G882" s="7"/>
      <c r="H882" s="7" t="s">
        <v>658</v>
      </c>
      <c r="I882" s="7" t="s">
        <v>671</v>
      </c>
      <c r="J882" s="39">
        <v>2806459</v>
      </c>
      <c r="L882" s="16">
        <f t="shared" si="535"/>
        <v>1</v>
      </c>
      <c r="M882" s="16" t="str">
        <f t="shared" si="555"/>
        <v>October</v>
      </c>
      <c r="N882" s="16" t="str">
        <f t="shared" si="537"/>
        <v/>
      </c>
      <c r="O882" s="16" t="str">
        <f>IF(N882="","",COUNTIF($N$8:N882,N882))</f>
        <v/>
      </c>
      <c r="P882" s="34" t="str">
        <f t="shared" si="538"/>
        <v/>
      </c>
      <c r="Q882" s="34" t="str">
        <f t="shared" si="539"/>
        <v/>
      </c>
      <c r="R882" s="34" t="str">
        <f t="shared" si="556"/>
        <v>Beban</v>
      </c>
      <c r="S882" s="34" t="str">
        <f t="shared" si="557"/>
        <v>Depresiasi &amp; Amortisasi</v>
      </c>
      <c r="T882" s="34" t="str">
        <f t="shared" si="558"/>
        <v/>
      </c>
      <c r="U882" s="34" t="str">
        <f>IF(AND(L882=1,bp_kode=T882,T882&lt;&gt;""),COUNTIF($T$8:T882,T882),"")</f>
        <v/>
      </c>
      <c r="V882" s="34" t="str">
        <f t="shared" si="559"/>
        <v>db</v>
      </c>
      <c r="W882" s="34" t="str">
        <f t="shared" si="560"/>
        <v>db</v>
      </c>
      <c r="X882" s="34" t="str">
        <f>IF(B882="","",COUNTIF($C$8:C882,C882)&amp;C882)</f>
        <v>0</v>
      </c>
    </row>
    <row r="883" spans="2:24" ht="23.1" customHeight="1">
      <c r="B883" s="31">
        <v>44865</v>
      </c>
      <c r="C883" s="9"/>
      <c r="D883" s="9" t="s">
        <v>664</v>
      </c>
      <c r="E883" s="7"/>
      <c r="F883" s="7"/>
      <c r="G883" s="7"/>
      <c r="H883" s="7" t="s">
        <v>660</v>
      </c>
      <c r="I883" s="7" t="s">
        <v>659</v>
      </c>
      <c r="J883" s="39">
        <v>29031950</v>
      </c>
      <c r="L883" s="16">
        <f t="shared" si="535"/>
        <v>1</v>
      </c>
      <c r="M883" s="16" t="str">
        <f t="shared" si="555"/>
        <v>October</v>
      </c>
      <c r="N883" s="16" t="str">
        <f t="shared" si="537"/>
        <v/>
      </c>
      <c r="O883" s="16" t="str">
        <f>IF(N883="","",COUNTIF($N$8:N883,N883))</f>
        <v/>
      </c>
      <c r="P883" s="34" t="str">
        <f t="shared" si="538"/>
        <v/>
      </c>
      <c r="Q883" s="34" t="str">
        <f t="shared" si="539"/>
        <v/>
      </c>
      <c r="R883" s="34" t="str">
        <f t="shared" si="556"/>
        <v>Beban</v>
      </c>
      <c r="S883" s="34" t="str">
        <f t="shared" si="557"/>
        <v>Depresiasi &amp; Amortisasi</v>
      </c>
      <c r="T883" s="34" t="str">
        <f t="shared" si="558"/>
        <v/>
      </c>
      <c r="U883" s="34" t="str">
        <f>IF(AND(L883=1,bp_kode=T883,T883&lt;&gt;""),COUNTIF($T$8:T883,T883),"")</f>
        <v/>
      </c>
      <c r="V883" s="34" t="str">
        <f t="shared" si="559"/>
        <v>db</v>
      </c>
      <c r="W883" s="34" t="str">
        <f t="shared" si="560"/>
        <v>db</v>
      </c>
      <c r="X883" s="34" t="str">
        <f>IF(B883="","",COUNTIF($C$8:C883,C883)&amp;C883)</f>
        <v>0</v>
      </c>
    </row>
    <row r="884" spans="2:24" ht="23.1" customHeight="1">
      <c r="B884" s="31">
        <v>44865</v>
      </c>
      <c r="C884" s="9"/>
      <c r="D884" s="9" t="s">
        <v>665</v>
      </c>
      <c r="E884" s="7"/>
      <c r="F884" s="7"/>
      <c r="G884" s="7"/>
      <c r="H884" s="7" t="s">
        <v>661</v>
      </c>
      <c r="I884" s="7" t="s">
        <v>672</v>
      </c>
      <c r="J884" s="39">
        <v>41666</v>
      </c>
      <c r="L884" s="16">
        <f t="shared" si="535"/>
        <v>1</v>
      </c>
      <c r="M884" s="16" t="str">
        <f t="shared" si="555"/>
        <v>October</v>
      </c>
      <c r="N884" s="16" t="str">
        <f t="shared" si="537"/>
        <v/>
      </c>
      <c r="O884" s="16" t="str">
        <f>IF(N884="","",COUNTIF($N$8:N884,N884))</f>
        <v/>
      </c>
      <c r="P884" s="34" t="str">
        <f t="shared" si="538"/>
        <v/>
      </c>
      <c r="Q884" s="34" t="str">
        <f t="shared" si="539"/>
        <v/>
      </c>
      <c r="R884" s="34" t="str">
        <f t="shared" si="556"/>
        <v>Beban</v>
      </c>
      <c r="S884" s="34" t="str">
        <f t="shared" si="557"/>
        <v>Depresiasi &amp; Amortisasi</v>
      </c>
      <c r="T884" s="34" t="str">
        <f t="shared" si="558"/>
        <v/>
      </c>
      <c r="U884" s="34" t="str">
        <f>IF(AND(L884=1,bp_kode=T884,T884&lt;&gt;""),COUNTIF($T$8:T884,T884),"")</f>
        <v/>
      </c>
      <c r="V884" s="34" t="str">
        <f t="shared" si="559"/>
        <v>db</v>
      </c>
      <c r="W884" s="34" t="str">
        <f t="shared" si="560"/>
        <v>db</v>
      </c>
      <c r="X884" s="34" t="str">
        <f>IF(B884="","",COUNTIF($C$8:C884,C884)&amp;C884)</f>
        <v>0</v>
      </c>
    </row>
    <row r="885" spans="2:24" ht="23.1" customHeight="1">
      <c r="B885" s="31">
        <v>44865</v>
      </c>
      <c r="C885" s="9"/>
      <c r="D885" s="9" t="s">
        <v>666</v>
      </c>
      <c r="E885" s="7"/>
      <c r="F885" s="7"/>
      <c r="G885" s="7"/>
      <c r="H885" s="7" t="s">
        <v>662</v>
      </c>
      <c r="I885" s="7" t="s">
        <v>673</v>
      </c>
      <c r="J885" s="39">
        <v>5654493</v>
      </c>
      <c r="L885" s="16">
        <f t="shared" si="535"/>
        <v>1</v>
      </c>
      <c r="M885" s="16" t="str">
        <f t="shared" si="555"/>
        <v>October</v>
      </c>
      <c r="N885" s="16" t="str">
        <f t="shared" si="537"/>
        <v/>
      </c>
      <c r="O885" s="16" t="str">
        <f>IF(N885="","",COUNTIF($N$8:N885,N885))</f>
        <v/>
      </c>
      <c r="P885" s="34" t="str">
        <f t="shared" si="538"/>
        <v/>
      </c>
      <c r="Q885" s="34" t="str">
        <f t="shared" si="539"/>
        <v/>
      </c>
      <c r="R885" s="34" t="str">
        <f t="shared" si="556"/>
        <v>Beban</v>
      </c>
      <c r="S885" s="34" t="str">
        <f t="shared" si="557"/>
        <v>Depresiasi &amp; Amortisasi</v>
      </c>
      <c r="T885" s="34" t="str">
        <f t="shared" si="558"/>
        <v/>
      </c>
      <c r="U885" s="34" t="str">
        <f>IF(AND(L885=1,bp_kode=T885,T885&lt;&gt;""),COUNTIF($T$8:T885,T885),"")</f>
        <v/>
      </c>
      <c r="V885" s="34" t="str">
        <f t="shared" si="559"/>
        <v>db</v>
      </c>
      <c r="W885" s="34" t="str">
        <f t="shared" si="560"/>
        <v>db</v>
      </c>
      <c r="X885" s="34" t="str">
        <f>IF(B885="","",COUNTIF($C$8:C885,C885)&amp;C885)</f>
        <v>0</v>
      </c>
    </row>
    <row r="886" spans="2:24" ht="23.1" customHeight="1">
      <c r="B886" s="31">
        <v>44865</v>
      </c>
      <c r="C886" s="9"/>
      <c r="D886" s="9" t="s">
        <v>669</v>
      </c>
      <c r="E886" s="7"/>
      <c r="F886" s="7"/>
      <c r="G886" s="7"/>
      <c r="H886" s="7" t="s">
        <v>667</v>
      </c>
      <c r="I886" s="7" t="s">
        <v>674</v>
      </c>
      <c r="J886" s="39">
        <v>17325229</v>
      </c>
      <c r="L886" s="16">
        <f t="shared" si="535"/>
        <v>1</v>
      </c>
      <c r="M886" s="16" t="str">
        <f t="shared" si="555"/>
        <v>October</v>
      </c>
      <c r="N886" s="16" t="str">
        <f t="shared" si="537"/>
        <v/>
      </c>
      <c r="O886" s="16" t="str">
        <f>IF(N886="","",COUNTIF($N$8:N886,N886))</f>
        <v/>
      </c>
      <c r="P886" s="34" t="str">
        <f t="shared" si="538"/>
        <v/>
      </c>
      <c r="Q886" s="34" t="str">
        <f t="shared" si="539"/>
        <v/>
      </c>
      <c r="R886" s="34" t="str">
        <f t="shared" si="556"/>
        <v>Beban</v>
      </c>
      <c r="S886" s="34" t="str">
        <f t="shared" si="557"/>
        <v>Depresiasi &amp; Amortisasi</v>
      </c>
      <c r="T886" s="34" t="str">
        <f t="shared" si="558"/>
        <v/>
      </c>
      <c r="U886" s="34" t="str">
        <f>IF(AND(L886=1,bp_kode=T886,T886&lt;&gt;""),COUNTIF($T$8:T886,T886),"")</f>
        <v/>
      </c>
      <c r="V886" s="34" t="str">
        <f t="shared" si="559"/>
        <v>db</v>
      </c>
      <c r="W886" s="34" t="str">
        <f t="shared" si="560"/>
        <v>db</v>
      </c>
      <c r="X886" s="34" t="str">
        <f>IF(B886="","",COUNTIF($C$8:C886,C886)&amp;C886)</f>
        <v>0</v>
      </c>
    </row>
    <row r="887" spans="2:24" ht="23.1" customHeight="1">
      <c r="B887" s="31">
        <v>44865</v>
      </c>
      <c r="C887" s="9"/>
      <c r="D887" s="9" t="s">
        <v>670</v>
      </c>
      <c r="E887" s="7"/>
      <c r="F887" s="7"/>
      <c r="G887" s="7"/>
      <c r="H887" s="7" t="s">
        <v>668</v>
      </c>
      <c r="I887" s="7" t="s">
        <v>675</v>
      </c>
      <c r="J887" s="332">
        <v>5265000</v>
      </c>
      <c r="L887" s="16">
        <f t="shared" si="535"/>
        <v>1</v>
      </c>
      <c r="M887" s="16" t="str">
        <f t="shared" si="555"/>
        <v>October</v>
      </c>
      <c r="N887" s="16" t="str">
        <f t="shared" si="537"/>
        <v/>
      </c>
      <c r="O887" s="16" t="str">
        <f>IF(N887="","",COUNTIF($N$8:N887,N887))</f>
        <v/>
      </c>
      <c r="P887" s="34" t="str">
        <f t="shared" si="538"/>
        <v/>
      </c>
      <c r="Q887" s="34" t="str">
        <f t="shared" si="539"/>
        <v/>
      </c>
      <c r="R887" s="34" t="str">
        <f t="shared" si="556"/>
        <v>Beban</v>
      </c>
      <c r="S887" s="34" t="str">
        <f t="shared" si="557"/>
        <v>Depresiasi &amp; Amortisasi</v>
      </c>
      <c r="T887" s="34" t="str">
        <f t="shared" si="558"/>
        <v/>
      </c>
      <c r="U887" s="34" t="str">
        <f>IF(AND(L887=1,bp_kode=T887,T887&lt;&gt;""),COUNTIF($T$8:T887,T887),"")</f>
        <v/>
      </c>
      <c r="V887" s="34" t="str">
        <f t="shared" si="559"/>
        <v>db</v>
      </c>
      <c r="W887" s="34" t="str">
        <f t="shared" si="560"/>
        <v>db</v>
      </c>
      <c r="X887" s="34" t="str">
        <f>IF(B887="","",COUNTIF($C$8:C887,C887)&amp;C887)</f>
        <v>0</v>
      </c>
    </row>
    <row r="888" spans="2:24" ht="23.1" customHeight="1">
      <c r="B888" s="31">
        <v>44865</v>
      </c>
      <c r="C888" s="9"/>
      <c r="D888" s="9" t="s">
        <v>670</v>
      </c>
      <c r="E888" s="7"/>
      <c r="F888" s="7"/>
      <c r="G888" s="7"/>
      <c r="H888" s="7" t="s">
        <v>668</v>
      </c>
      <c r="I888" s="7" t="s">
        <v>675</v>
      </c>
      <c r="J888" s="332">
        <v>186666.66666666666</v>
      </c>
      <c r="L888" s="16">
        <f t="shared" si="535"/>
        <v>1</v>
      </c>
      <c r="M888" s="16" t="str">
        <f t="shared" si="555"/>
        <v>October</v>
      </c>
      <c r="N888" s="16" t="str">
        <f t="shared" si="537"/>
        <v/>
      </c>
      <c r="O888" s="16" t="str">
        <f>IF(N888="","",COUNTIF($N$8:N888,N888))</f>
        <v/>
      </c>
      <c r="P888" s="34" t="str">
        <f t="shared" si="538"/>
        <v/>
      </c>
      <c r="Q888" s="34" t="str">
        <f t="shared" si="539"/>
        <v/>
      </c>
      <c r="R888" s="34" t="str">
        <f t="shared" si="556"/>
        <v>Beban</v>
      </c>
      <c r="S888" s="34" t="str">
        <f t="shared" si="557"/>
        <v>Depresiasi &amp; Amortisasi</v>
      </c>
      <c r="T888" s="34" t="str">
        <f t="shared" si="558"/>
        <v/>
      </c>
      <c r="U888" s="34" t="str">
        <f>IF(AND(L888=1,bp_kode=T888,T888&lt;&gt;""),COUNTIF($T$8:T888,T888),"")</f>
        <v/>
      </c>
      <c r="V888" s="34" t="str">
        <f t="shared" si="559"/>
        <v>db</v>
      </c>
      <c r="W888" s="34" t="str">
        <f t="shared" si="560"/>
        <v>db</v>
      </c>
      <c r="X888" s="34" t="str">
        <f>IF(B888="","",COUNTIF($C$8:C888,C888)&amp;C888)</f>
        <v>0</v>
      </c>
    </row>
    <row r="889" spans="2:24" s="362" customFormat="1" ht="23.1" customHeight="1">
      <c r="B889" s="358">
        <v>44865</v>
      </c>
      <c r="C889" s="359"/>
      <c r="D889" s="359" t="s">
        <v>666</v>
      </c>
      <c r="E889" s="360"/>
      <c r="F889" s="360"/>
      <c r="G889" s="360"/>
      <c r="H889" s="360" t="s">
        <v>662</v>
      </c>
      <c r="I889" s="360" t="s">
        <v>673</v>
      </c>
      <c r="J889" s="332">
        <v>1299316</v>
      </c>
      <c r="L889" s="363">
        <f t="shared" si="535"/>
        <v>1</v>
      </c>
      <c r="M889" s="363" t="str">
        <f t="shared" si="555"/>
        <v>October</v>
      </c>
      <c r="N889" s="363" t="str">
        <f t="shared" si="537"/>
        <v/>
      </c>
      <c r="O889" s="363" t="str">
        <f>IF(N889="","",COUNTIF($N$8:N889,N889))</f>
        <v/>
      </c>
      <c r="P889" s="364" t="str">
        <f t="shared" si="538"/>
        <v/>
      </c>
      <c r="Q889" s="364" t="str">
        <f t="shared" si="539"/>
        <v/>
      </c>
      <c r="R889" s="364" t="str">
        <f t="shared" si="556"/>
        <v>Beban</v>
      </c>
      <c r="S889" s="364" t="str">
        <f t="shared" si="557"/>
        <v>Depresiasi &amp; Amortisasi</v>
      </c>
      <c r="T889" s="364" t="str">
        <f t="shared" si="558"/>
        <v/>
      </c>
      <c r="U889" s="364" t="str">
        <f>IF(AND(L889=1,bp_kode=T889,T889&lt;&gt;""),COUNTIF($T$8:T889,T889),"")</f>
        <v/>
      </c>
      <c r="V889" s="364" t="str">
        <f t="shared" si="559"/>
        <v>db</v>
      </c>
      <c r="W889" s="364" t="str">
        <f t="shared" si="560"/>
        <v>db</v>
      </c>
      <c r="X889" s="364" t="str">
        <f>IF(B889="","",COUNTIF($C$8:C889,C889)&amp;C889)</f>
        <v>0</v>
      </c>
    </row>
    <row r="890" spans="2:24" s="362" customFormat="1" ht="23.1" customHeight="1">
      <c r="B890" s="358">
        <v>44865</v>
      </c>
      <c r="C890" s="359"/>
      <c r="D890" s="359" t="s">
        <v>742</v>
      </c>
      <c r="E890" s="360"/>
      <c r="F890" s="360"/>
      <c r="G890" s="360"/>
      <c r="H890" s="360" t="s">
        <v>640</v>
      </c>
      <c r="I890" s="360" t="s">
        <v>582</v>
      </c>
      <c r="J890" s="361">
        <v>120000</v>
      </c>
      <c r="L890" s="363">
        <f t="shared" si="535"/>
        <v>1</v>
      </c>
      <c r="M890" s="363" t="str">
        <f t="shared" si="555"/>
        <v>October</v>
      </c>
      <c r="N890" s="363" t="str">
        <f t="shared" si="537"/>
        <v/>
      </c>
      <c r="O890" s="363" t="str">
        <f>IF(N890="","",COUNTIF($N$8:N890,N890))</f>
        <v/>
      </c>
      <c r="P890" s="364" t="str">
        <f t="shared" si="538"/>
        <v>outBeban Lainnya</v>
      </c>
      <c r="Q890" s="364" t="str">
        <f t="shared" si="539"/>
        <v>outOctoberBeban Lainnya</v>
      </c>
      <c r="R890" s="364" t="str">
        <f t="shared" si="556"/>
        <v>Beban Lainnya</v>
      </c>
      <c r="S890" s="364" t="str">
        <f t="shared" si="557"/>
        <v>Kas</v>
      </c>
      <c r="T890" s="364" t="str">
        <f t="shared" si="558"/>
        <v/>
      </c>
      <c r="U890" s="364" t="str">
        <f>IF(AND(L890=1,bp_kode=T890,T890&lt;&gt;""),COUNTIF($T$8:T890,T890),"")</f>
        <v/>
      </c>
      <c r="V890" s="364" t="str">
        <f t="shared" si="559"/>
        <v>db</v>
      </c>
      <c r="W890" s="364" t="str">
        <f t="shared" si="560"/>
        <v>db</v>
      </c>
      <c r="X890" s="364" t="str">
        <f>IF(B890="","",COUNTIF($C$8:C890,C890)&amp;C890)</f>
        <v>0</v>
      </c>
    </row>
    <row r="891" spans="2:24" ht="23.1" customHeight="1">
      <c r="B891" s="31">
        <v>44895</v>
      </c>
      <c r="C891" s="9"/>
      <c r="D891" s="9" t="s">
        <v>804</v>
      </c>
      <c r="E891" s="7"/>
      <c r="F891" s="7"/>
      <c r="G891" s="7"/>
      <c r="H891" s="7" t="s">
        <v>788</v>
      </c>
      <c r="I891" s="360" t="s">
        <v>582</v>
      </c>
      <c r="J891" s="39"/>
      <c r="L891" s="16">
        <f t="shared" si="535"/>
        <v>1</v>
      </c>
      <c r="M891" s="16" t="str">
        <f t="shared" si="555"/>
        <v>November</v>
      </c>
      <c r="N891" s="16" t="str">
        <f t="shared" si="537"/>
        <v/>
      </c>
      <c r="O891" s="16" t="str">
        <f>IF(N891="","",COUNTIF($N$8:N891,N891))</f>
        <v/>
      </c>
      <c r="P891" s="34" t="str">
        <f t="shared" si="538"/>
        <v>InKas</v>
      </c>
      <c r="Q891" s="34" t="str">
        <f t="shared" si="539"/>
        <v>inNovemberKas</v>
      </c>
      <c r="R891" s="34" t="str">
        <f t="shared" si="556"/>
        <v>Bank</v>
      </c>
      <c r="S891" s="34" t="str">
        <f t="shared" si="557"/>
        <v>Kas</v>
      </c>
      <c r="T891" s="34" t="str">
        <f t="shared" si="558"/>
        <v/>
      </c>
      <c r="U891" s="34" t="str">
        <f>IF(AND(L891=1,bp_kode=T891,T891&lt;&gt;""),COUNTIF($T$8:T891,T891),"")</f>
        <v/>
      </c>
      <c r="V891" s="34" t="str">
        <f t="shared" si="559"/>
        <v/>
      </c>
      <c r="W891" s="34" t="str">
        <f t="shared" si="560"/>
        <v/>
      </c>
      <c r="X891" s="34" t="str">
        <f>IF(B891="","",COUNTIF($C$8:C891,C891)&amp;C891)</f>
        <v>0</v>
      </c>
    </row>
    <row r="892" spans="2:24" ht="23.1" customHeight="1">
      <c r="B892" s="31">
        <v>44895</v>
      </c>
      <c r="C892" s="9"/>
      <c r="D892" s="9" t="s">
        <v>805</v>
      </c>
      <c r="E892" s="7"/>
      <c r="F892" s="7"/>
      <c r="G892" s="7"/>
      <c r="H892" s="360" t="s">
        <v>640</v>
      </c>
      <c r="I892" s="7" t="s">
        <v>788</v>
      </c>
      <c r="J892" s="39"/>
      <c r="L892" s="16">
        <f t="shared" si="535"/>
        <v>1</v>
      </c>
      <c r="M892" s="16" t="str">
        <f t="shared" si="555"/>
        <v>November</v>
      </c>
      <c r="N892" s="16" t="str">
        <f t="shared" si="537"/>
        <v/>
      </c>
      <c r="O892" s="16" t="str">
        <f>IF(N892="","",COUNTIF($N$8:N892,N892))</f>
        <v/>
      </c>
      <c r="P892" s="34" t="str">
        <f t="shared" si="538"/>
        <v>outBeban Lainnya</v>
      </c>
      <c r="Q892" s="34" t="str">
        <f t="shared" si="539"/>
        <v>outNovemberBeban Lainnya</v>
      </c>
      <c r="R892" s="34" t="str">
        <f t="shared" si="556"/>
        <v>Beban Lainnya</v>
      </c>
      <c r="S892" s="34" t="str">
        <f t="shared" si="557"/>
        <v>Bank</v>
      </c>
      <c r="T892" s="34" t="str">
        <f t="shared" si="558"/>
        <v/>
      </c>
      <c r="U892" s="34" t="str">
        <f>IF(AND(L892=1,bp_kode=T892,T892&lt;&gt;""),COUNTIF($T$8:T892,T892),"")</f>
        <v/>
      </c>
      <c r="V892" s="34" t="str">
        <f t="shared" si="559"/>
        <v>db</v>
      </c>
      <c r="W892" s="34" t="str">
        <f t="shared" si="560"/>
        <v>db</v>
      </c>
      <c r="X892" s="34" t="str">
        <f>IF(B892="","",COUNTIF($C$8:C892,C892)&amp;C892)</f>
        <v>0</v>
      </c>
    </row>
    <row r="893" spans="2:24" ht="23.1" customHeight="1">
      <c r="B893" s="31">
        <v>44895</v>
      </c>
      <c r="C893" s="9"/>
      <c r="D893" s="9" t="s">
        <v>550</v>
      </c>
      <c r="E893" s="7"/>
      <c r="F893" s="7"/>
      <c r="G893" s="7"/>
      <c r="H893" s="7" t="s">
        <v>551</v>
      </c>
      <c r="I893" s="7" t="s">
        <v>503</v>
      </c>
      <c r="J893" s="39">
        <v>754364000</v>
      </c>
      <c r="L893" s="16">
        <f t="shared" si="535"/>
        <v>1</v>
      </c>
      <c r="M893" s="16" t="str">
        <f t="shared" si="555"/>
        <v>November</v>
      </c>
      <c r="N893" s="16" t="str">
        <f t="shared" si="537"/>
        <v/>
      </c>
      <c r="O893" s="16" t="str">
        <f>IF(N893="","",COUNTIF($N$8:N893,N893))</f>
        <v/>
      </c>
      <c r="P893" s="34" t="str">
        <f t="shared" si="538"/>
        <v/>
      </c>
      <c r="Q893" s="34" t="str">
        <f t="shared" si="539"/>
        <v/>
      </c>
      <c r="R893" s="34" t="str">
        <f t="shared" si="556"/>
        <v>Akun Piutang</v>
      </c>
      <c r="S893" s="34" t="str">
        <f t="shared" si="557"/>
        <v>Pendapatan</v>
      </c>
      <c r="T893" s="34">
        <f t="shared" si="558"/>
        <v>0</v>
      </c>
      <c r="U893" s="34" t="str">
        <f>IF(AND(L893=1,bp_kode=T893,T893&lt;&gt;""),COUNTIF($T$8:T893,T893),"")</f>
        <v/>
      </c>
      <c r="V893" s="34" t="str">
        <f t="shared" si="559"/>
        <v>kr</v>
      </c>
      <c r="W893" s="34" t="str">
        <f t="shared" si="560"/>
        <v>kr</v>
      </c>
      <c r="X893" s="34" t="str">
        <f>IF(B893="","",COUNTIF($C$8:C893,C893)&amp;C893)</f>
        <v>0</v>
      </c>
    </row>
    <row r="894" spans="2:24" ht="23.1" customHeight="1">
      <c r="B894" s="31">
        <v>44895</v>
      </c>
      <c r="C894" s="9"/>
      <c r="D894" s="9" t="s">
        <v>552</v>
      </c>
      <c r="E894" s="7"/>
      <c r="F894" s="7"/>
      <c r="G894" s="7"/>
      <c r="H894" s="7" t="s">
        <v>587</v>
      </c>
      <c r="I894" s="7" t="s">
        <v>553</v>
      </c>
      <c r="J894" s="39">
        <v>7562000</v>
      </c>
      <c r="L894" s="16">
        <f t="shared" si="535"/>
        <v>1</v>
      </c>
      <c r="M894" s="16" t="str">
        <f t="shared" si="555"/>
        <v>November</v>
      </c>
      <c r="N894" s="16" t="str">
        <f t="shared" si="537"/>
        <v/>
      </c>
      <c r="O894" s="16" t="str">
        <f>IF(N894="","",COUNTIF($N$8:N894,N894))</f>
        <v/>
      </c>
      <c r="P894" s="34" t="str">
        <f t="shared" si="538"/>
        <v/>
      </c>
      <c r="Q894" s="34" t="str">
        <f t="shared" si="539"/>
        <v/>
      </c>
      <c r="R894" s="34" t="str">
        <f t="shared" si="556"/>
        <v>Akun Piutang</v>
      </c>
      <c r="S894" s="34" t="str">
        <f t="shared" si="557"/>
        <v>Pendapatan</v>
      </c>
      <c r="T894" s="34">
        <f t="shared" si="558"/>
        <v>0</v>
      </c>
      <c r="U894" s="34" t="str">
        <f>IF(AND(L894=1,bp_kode=T894,T894&lt;&gt;""),COUNTIF($T$8:T894,T894),"")</f>
        <v/>
      </c>
      <c r="V894" s="34" t="str">
        <f t="shared" si="559"/>
        <v>kr</v>
      </c>
      <c r="W894" s="34" t="str">
        <f t="shared" si="560"/>
        <v>kr</v>
      </c>
      <c r="X894" s="34" t="str">
        <f>IF(B894="","",COUNTIF($C$8:C894,C894)&amp;C894)</f>
        <v>0</v>
      </c>
    </row>
    <row r="895" spans="2:24" ht="23.1" customHeight="1">
      <c r="B895" s="31">
        <v>44895</v>
      </c>
      <c r="C895" s="9"/>
      <c r="D895" s="9" t="s">
        <v>555</v>
      </c>
      <c r="E895" s="7"/>
      <c r="F895" s="7"/>
      <c r="G895" s="7"/>
      <c r="H895" s="7" t="s">
        <v>557</v>
      </c>
      <c r="I895" s="7" t="s">
        <v>556</v>
      </c>
      <c r="J895" s="39">
        <v>224000000</v>
      </c>
      <c r="L895" s="16">
        <f t="shared" si="535"/>
        <v>1</v>
      </c>
      <c r="M895" s="16" t="str">
        <f t="shared" si="555"/>
        <v>November</v>
      </c>
      <c r="N895" s="16" t="str">
        <f t="shared" si="537"/>
        <v/>
      </c>
      <c r="O895" s="16" t="str">
        <f>IF(N895="","",COUNTIF($N$8:N895,N895))</f>
        <v/>
      </c>
      <c r="P895" s="34" t="str">
        <f t="shared" si="538"/>
        <v/>
      </c>
      <c r="Q895" s="34" t="str">
        <f t="shared" si="539"/>
        <v/>
      </c>
      <c r="R895" s="34" t="str">
        <f t="shared" si="556"/>
        <v>Akun Piutang</v>
      </c>
      <c r="S895" s="34" t="str">
        <f t="shared" si="557"/>
        <v>Pendapatan</v>
      </c>
      <c r="T895" s="34">
        <f t="shared" si="558"/>
        <v>0</v>
      </c>
      <c r="U895" s="34" t="str">
        <f>IF(AND(L895=1,bp_kode=T895,T895&lt;&gt;""),COUNTIF($T$8:T895,T895),"")</f>
        <v/>
      </c>
      <c r="V895" s="34" t="str">
        <f t="shared" si="559"/>
        <v>kr</v>
      </c>
      <c r="W895" s="34" t="str">
        <f t="shared" si="560"/>
        <v>kr</v>
      </c>
      <c r="X895" s="34" t="str">
        <f>IF(B895="","",COUNTIF($C$8:C895,C895)&amp;C895)</f>
        <v>0</v>
      </c>
    </row>
    <row r="896" spans="2:24" ht="23.1" customHeight="1">
      <c r="B896" s="31">
        <v>44895</v>
      </c>
      <c r="C896" s="9"/>
      <c r="D896" s="9" t="s">
        <v>558</v>
      </c>
      <c r="E896" s="7"/>
      <c r="F896" s="7"/>
      <c r="G896" s="7"/>
      <c r="H896" s="7" t="s">
        <v>559</v>
      </c>
      <c r="I896" s="7" t="s">
        <v>560</v>
      </c>
      <c r="J896" s="39">
        <v>410291000</v>
      </c>
      <c r="L896" s="16">
        <f t="shared" si="535"/>
        <v>1</v>
      </c>
      <c r="M896" s="16" t="str">
        <f t="shared" si="555"/>
        <v>November</v>
      </c>
      <c r="N896" s="16" t="str">
        <f t="shared" si="537"/>
        <v/>
      </c>
      <c r="O896" s="16" t="str">
        <f>IF(N896="","",COUNTIF($N$8:N896,N896))</f>
        <v/>
      </c>
      <c r="P896" s="34" t="str">
        <f t="shared" si="538"/>
        <v/>
      </c>
      <c r="Q896" s="34" t="str">
        <f t="shared" si="539"/>
        <v/>
      </c>
      <c r="R896" s="34" t="str">
        <f t="shared" si="556"/>
        <v>Akun Piutang</v>
      </c>
      <c r="S896" s="34" t="str">
        <f t="shared" si="557"/>
        <v>Pendapatan</v>
      </c>
      <c r="T896" s="34">
        <f t="shared" si="558"/>
        <v>0</v>
      </c>
      <c r="U896" s="34" t="str">
        <f>IF(AND(L896=1,bp_kode=T896,T896&lt;&gt;""),COUNTIF($T$8:T896,T896),"")</f>
        <v/>
      </c>
      <c r="V896" s="34" t="str">
        <f t="shared" si="559"/>
        <v>kr</v>
      </c>
      <c r="W896" s="34" t="str">
        <f t="shared" si="560"/>
        <v>kr</v>
      </c>
      <c r="X896" s="34" t="str">
        <f>IF(B896="","",COUNTIF($C$8:C896,C896)&amp;C896)</f>
        <v>0</v>
      </c>
    </row>
    <row r="897" spans="2:24" ht="23.1" customHeight="1">
      <c r="B897" s="31">
        <v>44895</v>
      </c>
      <c r="C897" s="9"/>
      <c r="D897" s="9" t="s">
        <v>562</v>
      </c>
      <c r="E897" s="7"/>
      <c r="F897" s="7"/>
      <c r="G897" s="7"/>
      <c r="H897" s="7" t="s">
        <v>561</v>
      </c>
      <c r="I897" s="7" t="s">
        <v>504</v>
      </c>
      <c r="J897" s="39">
        <v>30684000</v>
      </c>
      <c r="L897" s="16">
        <f t="shared" si="535"/>
        <v>1</v>
      </c>
      <c r="M897" s="16" t="str">
        <f t="shared" si="555"/>
        <v>November</v>
      </c>
      <c r="N897" s="16" t="str">
        <f t="shared" si="537"/>
        <v/>
      </c>
      <c r="O897" s="16" t="str">
        <f>IF(N897="","",COUNTIF($N$8:N897,N897))</f>
        <v/>
      </c>
      <c r="P897" s="34" t="str">
        <f t="shared" si="538"/>
        <v/>
      </c>
      <c r="Q897" s="34" t="str">
        <f t="shared" si="539"/>
        <v/>
      </c>
      <c r="R897" s="34" t="str">
        <f t="shared" si="556"/>
        <v>Akun Piutang</v>
      </c>
      <c r="S897" s="34" t="str">
        <f t="shared" si="557"/>
        <v>Pendapatan</v>
      </c>
      <c r="T897" s="34">
        <f t="shared" si="558"/>
        <v>0</v>
      </c>
      <c r="U897" s="34" t="str">
        <f>IF(AND(L897=1,bp_kode=T897,T897&lt;&gt;""),COUNTIF($T$8:T897,T897),"")</f>
        <v/>
      </c>
      <c r="V897" s="34" t="str">
        <f t="shared" si="559"/>
        <v>kr</v>
      </c>
      <c r="W897" s="34" t="str">
        <f t="shared" si="560"/>
        <v>kr</v>
      </c>
      <c r="X897" s="34" t="str">
        <f>IF(B897="","",COUNTIF($C$8:C897,C897)&amp;C897)</f>
        <v>0</v>
      </c>
    </row>
    <row r="898" spans="2:24" ht="23.1" customHeight="1">
      <c r="B898" s="31">
        <v>44895</v>
      </c>
      <c r="C898" s="9"/>
      <c r="D898" s="9" t="s">
        <v>562</v>
      </c>
      <c r="E898" s="7"/>
      <c r="F898" s="7"/>
      <c r="G898" s="7"/>
      <c r="H898" s="7" t="s">
        <v>727</v>
      </c>
      <c r="I898" s="7" t="s">
        <v>504</v>
      </c>
      <c r="J898" s="39">
        <v>30000000</v>
      </c>
      <c r="L898" s="16">
        <f t="shared" si="535"/>
        <v>1</v>
      </c>
      <c r="M898" s="16" t="str">
        <f t="shared" si="555"/>
        <v>November</v>
      </c>
      <c r="N898" s="16" t="str">
        <f t="shared" si="537"/>
        <v/>
      </c>
      <c r="O898" s="16" t="str">
        <f>IF(N898="","",COUNTIF($N$8:N898,N898))</f>
        <v/>
      </c>
      <c r="P898" s="34" t="str">
        <f t="shared" si="538"/>
        <v/>
      </c>
      <c r="Q898" s="34" t="str">
        <f t="shared" si="539"/>
        <v/>
      </c>
      <c r="R898" s="34" t="str">
        <f t="shared" si="556"/>
        <v>Akun Piutang</v>
      </c>
      <c r="S898" s="34" t="str">
        <f t="shared" si="557"/>
        <v>Pendapatan</v>
      </c>
      <c r="T898" s="34">
        <f t="shared" si="558"/>
        <v>0</v>
      </c>
      <c r="U898" s="34" t="str">
        <f>IF(AND(L898=1,bp_kode=T898,T898&lt;&gt;""),COUNTIF($T$8:T898,T898),"")</f>
        <v/>
      </c>
      <c r="V898" s="34" t="str">
        <f t="shared" si="559"/>
        <v>kr</v>
      </c>
      <c r="W898" s="34" t="str">
        <f t="shared" si="560"/>
        <v>kr</v>
      </c>
      <c r="X898" s="34" t="str">
        <f>IF(B898="","",COUNTIF($C$8:C898,C898)&amp;C898)</f>
        <v>0</v>
      </c>
    </row>
    <row r="899" spans="2:24" ht="23.1" customHeight="1">
      <c r="B899" s="31">
        <v>44895</v>
      </c>
      <c r="C899" s="9"/>
      <c r="D899" s="9" t="s">
        <v>563</v>
      </c>
      <c r="E899" s="7"/>
      <c r="F899" s="7"/>
      <c r="G899" s="7"/>
      <c r="H899" s="7" t="s">
        <v>565</v>
      </c>
      <c r="I899" s="7" t="s">
        <v>551</v>
      </c>
      <c r="J899" s="39">
        <v>110159000</v>
      </c>
      <c r="L899" s="16">
        <f t="shared" si="535"/>
        <v>1</v>
      </c>
      <c r="M899" s="16" t="str">
        <f t="shared" si="555"/>
        <v>November</v>
      </c>
      <c r="N899" s="16" t="str">
        <f t="shared" si="537"/>
        <v/>
      </c>
      <c r="O899" s="16" t="str">
        <f>IF(N899="","",COUNTIF($N$8:N899,N899))</f>
        <v/>
      </c>
      <c r="P899" s="34" t="str">
        <f t="shared" si="538"/>
        <v/>
      </c>
      <c r="Q899" s="34" t="str">
        <f t="shared" si="539"/>
        <v/>
      </c>
      <c r="R899" s="34" t="str">
        <f t="shared" si="556"/>
        <v>Pendapatan</v>
      </c>
      <c r="S899" s="34" t="str">
        <f t="shared" si="557"/>
        <v>Akun Piutang</v>
      </c>
      <c r="T899" s="34">
        <f t="shared" si="558"/>
        <v>0</v>
      </c>
      <c r="U899" s="34" t="str">
        <f>IF(AND(L899=1,bp_kode=T899,T899&lt;&gt;""),COUNTIF($T$8:T899,T899),"")</f>
        <v/>
      </c>
      <c r="V899" s="34" t="str">
        <f t="shared" si="559"/>
        <v>db</v>
      </c>
      <c r="W899" s="34" t="str">
        <f t="shared" si="560"/>
        <v>db</v>
      </c>
      <c r="X899" s="34" t="str">
        <f>IF(B899="","",COUNTIF($C$8:C899,C899)&amp;C899)</f>
        <v>0</v>
      </c>
    </row>
    <row r="900" spans="2:24" ht="23.1" customHeight="1">
      <c r="B900" s="31">
        <v>44895</v>
      </c>
      <c r="C900" s="9"/>
      <c r="D900" s="9" t="s">
        <v>564</v>
      </c>
      <c r="E900" s="7"/>
      <c r="F900" s="7"/>
      <c r="G900" s="7"/>
      <c r="H900" s="7" t="s">
        <v>566</v>
      </c>
      <c r="I900" s="7" t="s">
        <v>559</v>
      </c>
      <c r="J900" s="39">
        <v>3621000</v>
      </c>
      <c r="L900" s="16">
        <f t="shared" si="535"/>
        <v>1</v>
      </c>
      <c r="M900" s="16" t="str">
        <f t="shared" si="555"/>
        <v>November</v>
      </c>
      <c r="N900" s="16" t="str">
        <f t="shared" si="537"/>
        <v/>
      </c>
      <c r="O900" s="16" t="str">
        <f>IF(N900="","",COUNTIF($N$8:N900,N900))</f>
        <v/>
      </c>
      <c r="P900" s="34" t="str">
        <f t="shared" si="538"/>
        <v/>
      </c>
      <c r="Q900" s="34" t="str">
        <f t="shared" si="539"/>
        <v/>
      </c>
      <c r="R900" s="34" t="str">
        <f t="shared" si="556"/>
        <v>Pendapatan</v>
      </c>
      <c r="S900" s="34" t="str">
        <f t="shared" si="557"/>
        <v>Akun Piutang</v>
      </c>
      <c r="T900" s="34">
        <f t="shared" si="558"/>
        <v>0</v>
      </c>
      <c r="U900" s="34" t="str">
        <f>IF(AND(L900=1,bp_kode=T900,T900&lt;&gt;""),COUNTIF($T$8:T900,T900),"")</f>
        <v/>
      </c>
      <c r="V900" s="34" t="str">
        <f t="shared" si="559"/>
        <v>db</v>
      </c>
      <c r="W900" s="34" t="str">
        <f t="shared" si="560"/>
        <v>db</v>
      </c>
      <c r="X900" s="34" t="str">
        <f>IF(B900="","",COUNTIF($C$8:C900,C900)&amp;C900)</f>
        <v>0</v>
      </c>
    </row>
    <row r="901" spans="2:24" ht="23.1" customHeight="1">
      <c r="B901" s="31">
        <v>44895</v>
      </c>
      <c r="C901" s="9"/>
      <c r="D901" s="9" t="s">
        <v>555</v>
      </c>
      <c r="E901" s="7"/>
      <c r="F901" s="7"/>
      <c r="G901" s="7"/>
      <c r="H901" s="7" t="s">
        <v>554</v>
      </c>
      <c r="I901" s="7" t="s">
        <v>557</v>
      </c>
      <c r="J901" s="39">
        <v>224150000</v>
      </c>
      <c r="L901" s="16">
        <f t="shared" si="535"/>
        <v>1</v>
      </c>
      <c r="M901" s="16" t="str">
        <f t="shared" si="555"/>
        <v>November</v>
      </c>
      <c r="N901" s="16" t="str">
        <f t="shared" si="537"/>
        <v/>
      </c>
      <c r="O901" s="16" t="str">
        <f>IF(N901="","",COUNTIF($N$8:N901,N901))</f>
        <v/>
      </c>
      <c r="P901" s="34" t="str">
        <f t="shared" si="538"/>
        <v>InAkun Piutang</v>
      </c>
      <c r="Q901" s="34" t="str">
        <f t="shared" si="539"/>
        <v>inNovemberAkun Piutang</v>
      </c>
      <c r="R901" s="34" t="str">
        <f t="shared" si="556"/>
        <v>Kas</v>
      </c>
      <c r="S901" s="34" t="str">
        <f t="shared" si="557"/>
        <v>Akun Piutang</v>
      </c>
      <c r="T901" s="34">
        <f t="shared" si="558"/>
        <v>0</v>
      </c>
      <c r="U901" s="34" t="str">
        <f>IF(AND(L901=1,bp_kode=T901,T901&lt;&gt;""),COUNTIF($T$8:T901,T901),"")</f>
        <v/>
      </c>
      <c r="V901" s="34" t="str">
        <f t="shared" si="559"/>
        <v/>
      </c>
      <c r="W901" s="34" t="str">
        <f t="shared" si="560"/>
        <v/>
      </c>
      <c r="X901" s="34" t="str">
        <f>IF(B901="","",COUNTIF($C$8:C901,C901)&amp;C901)</f>
        <v>0</v>
      </c>
    </row>
    <row r="902" spans="2:24" ht="23.1" customHeight="1">
      <c r="B902" s="31">
        <v>44895</v>
      </c>
      <c r="C902" s="9"/>
      <c r="D902" s="9" t="s">
        <v>730</v>
      </c>
      <c r="E902" s="7"/>
      <c r="F902" s="7"/>
      <c r="G902" s="7"/>
      <c r="H902" s="7" t="s">
        <v>575</v>
      </c>
      <c r="I902" s="7" t="s">
        <v>569</v>
      </c>
      <c r="J902" s="39">
        <v>1184</v>
      </c>
      <c r="L902" s="16">
        <f t="shared" si="535"/>
        <v>1</v>
      </c>
      <c r="M902" s="16" t="str">
        <f t="shared" si="555"/>
        <v>November</v>
      </c>
      <c r="N902" s="16" t="str">
        <f t="shared" si="537"/>
        <v/>
      </c>
      <c r="O902" s="16" t="str">
        <f>IF(N902="","",COUNTIF($N$8:N902,N902))</f>
        <v/>
      </c>
      <c r="P902" s="34" t="str">
        <f t="shared" si="538"/>
        <v>InPendapatan Lainnya</v>
      </c>
      <c r="Q902" s="34" t="str">
        <f t="shared" si="539"/>
        <v>inNovemberPendapatan Lainnya</v>
      </c>
      <c r="R902" s="34" t="str">
        <f t="shared" si="556"/>
        <v>Bank</v>
      </c>
      <c r="S902" s="34" t="str">
        <f t="shared" si="557"/>
        <v>Pendapatan Lainnya</v>
      </c>
      <c r="T902" s="34" t="str">
        <f t="shared" si="558"/>
        <v/>
      </c>
      <c r="U902" s="34" t="str">
        <f>IF(AND(L902=1,bp_kode=T902,T902&lt;&gt;""),COUNTIF($T$8:T902,T902),"")</f>
        <v/>
      </c>
      <c r="V902" s="34" t="str">
        <f t="shared" si="559"/>
        <v>kr</v>
      </c>
      <c r="W902" s="34" t="str">
        <f t="shared" si="560"/>
        <v>kr</v>
      </c>
      <c r="X902" s="34" t="str">
        <f>IF(B902="","",COUNTIF($C$8:C902,C902)&amp;C902)</f>
        <v>0</v>
      </c>
    </row>
    <row r="903" spans="2:24" ht="23.1" customHeight="1">
      <c r="B903" s="31">
        <v>44895</v>
      </c>
      <c r="C903" s="9"/>
      <c r="D903" s="9" t="s">
        <v>574</v>
      </c>
      <c r="E903" s="7"/>
      <c r="F903" s="7"/>
      <c r="G903" s="7"/>
      <c r="H903" s="7" t="s">
        <v>640</v>
      </c>
      <c r="I903" s="7" t="s">
        <v>575</v>
      </c>
      <c r="J903" s="39">
        <v>36500</v>
      </c>
      <c r="L903" s="16">
        <f t="shared" si="535"/>
        <v>1</v>
      </c>
      <c r="M903" s="16" t="str">
        <f t="shared" si="555"/>
        <v>November</v>
      </c>
      <c r="N903" s="16" t="str">
        <f t="shared" si="537"/>
        <v/>
      </c>
      <c r="O903" s="16" t="str">
        <f>IF(N903="","",COUNTIF($N$8:N903,N903))</f>
        <v/>
      </c>
      <c r="P903" s="34" t="str">
        <f t="shared" si="538"/>
        <v>outBeban Lainnya</v>
      </c>
      <c r="Q903" s="34" t="str">
        <f t="shared" si="539"/>
        <v>outNovemberBeban Lainnya</v>
      </c>
      <c r="R903" s="34" t="str">
        <f t="shared" si="556"/>
        <v>Beban Lainnya</v>
      </c>
      <c r="S903" s="34" t="str">
        <f t="shared" si="557"/>
        <v>Bank</v>
      </c>
      <c r="T903" s="34" t="str">
        <f t="shared" si="558"/>
        <v/>
      </c>
      <c r="U903" s="34" t="str">
        <f>IF(AND(L903=1,bp_kode=T903,T903&lt;&gt;""),COUNTIF($T$8:T903,T903),"")</f>
        <v/>
      </c>
      <c r="V903" s="34" t="str">
        <f t="shared" si="559"/>
        <v>db</v>
      </c>
      <c r="W903" s="34" t="str">
        <f t="shared" si="560"/>
        <v>db</v>
      </c>
      <c r="X903" s="34" t="str">
        <f>IF(B903="","",COUNTIF($C$8:C903,C903)&amp;C903)</f>
        <v>0</v>
      </c>
    </row>
    <row r="904" spans="2:24" ht="23.1" customHeight="1">
      <c r="B904" s="31">
        <v>44895</v>
      </c>
      <c r="C904" s="9"/>
      <c r="D904" s="9" t="s">
        <v>730</v>
      </c>
      <c r="E904" s="7"/>
      <c r="F904" s="7"/>
      <c r="G904" s="7"/>
      <c r="H904" s="7" t="s">
        <v>577</v>
      </c>
      <c r="I904" s="7" t="s">
        <v>569</v>
      </c>
      <c r="J904" s="39">
        <v>4139689.21</v>
      </c>
      <c r="L904" s="16">
        <f t="shared" si="535"/>
        <v>1</v>
      </c>
      <c r="M904" s="16" t="str">
        <f t="shared" si="555"/>
        <v>November</v>
      </c>
      <c r="N904" s="16" t="str">
        <f t="shared" si="537"/>
        <v/>
      </c>
      <c r="O904" s="16" t="str">
        <f>IF(N904="","",COUNTIF($N$8:N904,N904))</f>
        <v/>
      </c>
      <c r="P904" s="34" t="str">
        <f t="shared" si="538"/>
        <v>InPendapatan Lainnya</v>
      </c>
      <c r="Q904" s="34" t="str">
        <f t="shared" si="539"/>
        <v>inNovemberPendapatan Lainnya</v>
      </c>
      <c r="R904" s="34" t="str">
        <f t="shared" si="556"/>
        <v>Bank</v>
      </c>
      <c r="S904" s="34" t="str">
        <f t="shared" si="557"/>
        <v>Pendapatan Lainnya</v>
      </c>
      <c r="T904" s="34" t="str">
        <f t="shared" si="558"/>
        <v/>
      </c>
      <c r="U904" s="34" t="str">
        <f>IF(AND(L904=1,bp_kode=T904,T904&lt;&gt;""),COUNTIF($T$8:T904,T904),"")</f>
        <v/>
      </c>
      <c r="V904" s="34" t="str">
        <f t="shared" si="559"/>
        <v>kr</v>
      </c>
      <c r="W904" s="34" t="str">
        <f t="shared" si="560"/>
        <v>kr</v>
      </c>
      <c r="X904" s="34" t="str">
        <f>IF(B904="","",COUNTIF($C$8:C904,C904)&amp;C904)</f>
        <v>0</v>
      </c>
    </row>
    <row r="905" spans="2:24" ht="23.1" customHeight="1">
      <c r="B905" s="31">
        <v>44895</v>
      </c>
      <c r="C905" s="9"/>
      <c r="D905" s="9" t="s">
        <v>570</v>
      </c>
      <c r="E905" s="7"/>
      <c r="F905" s="7"/>
      <c r="G905" s="7"/>
      <c r="H905" s="7" t="s">
        <v>571</v>
      </c>
      <c r="I905" s="7" t="s">
        <v>577</v>
      </c>
      <c r="J905" s="39">
        <v>827937.85</v>
      </c>
      <c r="L905" s="16">
        <f t="shared" si="535"/>
        <v>1</v>
      </c>
      <c r="M905" s="16" t="str">
        <f t="shared" si="555"/>
        <v>November</v>
      </c>
      <c r="N905" s="16" t="str">
        <f t="shared" si="537"/>
        <v/>
      </c>
      <c r="O905" s="16" t="str">
        <f>IF(N905="","",COUNTIF($N$8:N905,N905))</f>
        <v/>
      </c>
      <c r="P905" s="34" t="str">
        <f t="shared" si="538"/>
        <v>outBeban Lainnya</v>
      </c>
      <c r="Q905" s="34" t="str">
        <f t="shared" si="539"/>
        <v>outNovemberBeban Lainnya</v>
      </c>
      <c r="R905" s="34" t="str">
        <f t="shared" si="556"/>
        <v>Beban Lainnya</v>
      </c>
      <c r="S905" s="34" t="str">
        <f t="shared" si="557"/>
        <v>Bank</v>
      </c>
      <c r="T905" s="34" t="str">
        <f t="shared" si="558"/>
        <v/>
      </c>
      <c r="U905" s="34" t="str">
        <f>IF(AND(L905=1,bp_kode=T905,T905&lt;&gt;""),COUNTIF($T$8:T905,T905),"")</f>
        <v/>
      </c>
      <c r="V905" s="34" t="str">
        <f t="shared" si="559"/>
        <v>db</v>
      </c>
      <c r="W905" s="34" t="str">
        <f t="shared" si="560"/>
        <v>db</v>
      </c>
      <c r="X905" s="34" t="str">
        <f>IF(B905="","",COUNTIF($C$8:C905,C905)&amp;C905)</f>
        <v>0</v>
      </c>
    </row>
    <row r="906" spans="2:24" ht="23.1" customHeight="1">
      <c r="B906" s="31">
        <v>44895</v>
      </c>
      <c r="C906" s="9"/>
      <c r="D906" s="9" t="s">
        <v>572</v>
      </c>
      <c r="E906" s="7"/>
      <c r="F906" s="7"/>
      <c r="G906" s="7"/>
      <c r="H906" s="7" t="s">
        <v>640</v>
      </c>
      <c r="I906" s="7" t="s">
        <v>577</v>
      </c>
      <c r="J906" s="39">
        <v>25000</v>
      </c>
      <c r="L906" s="16">
        <f t="shared" si="535"/>
        <v>1</v>
      </c>
      <c r="M906" s="16" t="str">
        <f t="shared" si="555"/>
        <v>November</v>
      </c>
      <c r="N906" s="16" t="str">
        <f t="shared" si="537"/>
        <v/>
      </c>
      <c r="O906" s="16" t="str">
        <f>IF(N906="","",COUNTIF($N$8:N906,N906))</f>
        <v/>
      </c>
      <c r="P906" s="34" t="str">
        <f t="shared" si="538"/>
        <v>outBeban Lainnya</v>
      </c>
      <c r="Q906" s="34" t="str">
        <f t="shared" si="539"/>
        <v>outNovemberBeban Lainnya</v>
      </c>
      <c r="R906" s="34" t="str">
        <f t="shared" si="556"/>
        <v>Beban Lainnya</v>
      </c>
      <c r="S906" s="34" t="str">
        <f t="shared" si="557"/>
        <v>Bank</v>
      </c>
      <c r="T906" s="34" t="str">
        <f t="shared" si="558"/>
        <v/>
      </c>
      <c r="U906" s="34" t="str">
        <f>IF(AND(L906=1,bp_kode=T906,T906&lt;&gt;""),COUNTIF($T$8:T906,T906),"")</f>
        <v/>
      </c>
      <c r="V906" s="34" t="str">
        <f t="shared" si="559"/>
        <v>db</v>
      </c>
      <c r="W906" s="34" t="str">
        <f t="shared" si="560"/>
        <v>db</v>
      </c>
      <c r="X906" s="34" t="str">
        <f>IF(B906="","",COUNTIF($C$8:C906,C906)&amp;C906)</f>
        <v>0</v>
      </c>
    </row>
    <row r="907" spans="2:24" ht="23.1" customHeight="1">
      <c r="B907" s="31">
        <v>44895</v>
      </c>
      <c r="C907" s="9"/>
      <c r="D907" s="9" t="s">
        <v>578</v>
      </c>
      <c r="E907" s="7"/>
      <c r="F907" s="7"/>
      <c r="G907" s="7"/>
      <c r="H907" s="7" t="s">
        <v>640</v>
      </c>
      <c r="I907" s="7" t="s">
        <v>577</v>
      </c>
      <c r="J907" s="39">
        <v>10000</v>
      </c>
      <c r="L907" s="16">
        <f t="shared" si="535"/>
        <v>1</v>
      </c>
      <c r="M907" s="16" t="str">
        <f t="shared" si="555"/>
        <v>November</v>
      </c>
      <c r="N907" s="16" t="str">
        <f t="shared" si="537"/>
        <v/>
      </c>
      <c r="O907" s="16" t="str">
        <f>IF(N907="","",COUNTIF($N$8:N907,N907))</f>
        <v/>
      </c>
      <c r="P907" s="34" t="str">
        <f t="shared" si="538"/>
        <v>outBeban Lainnya</v>
      </c>
      <c r="Q907" s="34" t="str">
        <f t="shared" si="539"/>
        <v>outNovemberBeban Lainnya</v>
      </c>
      <c r="R907" s="34" t="str">
        <f t="shared" si="556"/>
        <v>Beban Lainnya</v>
      </c>
      <c r="S907" s="34" t="str">
        <f t="shared" si="557"/>
        <v>Bank</v>
      </c>
      <c r="T907" s="34" t="str">
        <f t="shared" si="558"/>
        <v/>
      </c>
      <c r="U907" s="34" t="str">
        <f>IF(AND(L907=1,bp_kode=T907,T907&lt;&gt;""),COUNTIF($T$8:T907,T907),"")</f>
        <v/>
      </c>
      <c r="V907" s="34" t="str">
        <f t="shared" si="559"/>
        <v>db</v>
      </c>
      <c r="W907" s="34" t="str">
        <f t="shared" si="560"/>
        <v>db</v>
      </c>
      <c r="X907" s="34" t="str">
        <f>IF(B907="","",COUNTIF($C$8:C907,C907)&amp;C907)</f>
        <v>0</v>
      </c>
    </row>
    <row r="908" spans="2:24" ht="23.1" customHeight="1">
      <c r="B908" s="31">
        <v>44895</v>
      </c>
      <c r="C908" s="9"/>
      <c r="D908" s="9" t="s">
        <v>811</v>
      </c>
      <c r="E908" s="7"/>
      <c r="F908" s="7"/>
      <c r="G908" s="7"/>
      <c r="H908" s="7" t="s">
        <v>788</v>
      </c>
      <c r="I908" s="7" t="s">
        <v>577</v>
      </c>
      <c r="J908" s="39">
        <v>805000000</v>
      </c>
      <c r="L908" s="16">
        <f t="shared" ref="L908" si="661">IF(AND(B908&gt;=awal,B908&lt;=akhir,B908&lt;&gt;""),1,IF(AND(B908&lt;&gt;"",B908&lt;awal),2,""))</f>
        <v>1</v>
      </c>
      <c r="M908" s="16" t="str">
        <f t="shared" ref="M908" si="662">IF(B908="","",TEXT(B908,"mmmm"))</f>
        <v>November</v>
      </c>
      <c r="N908" s="16" t="str">
        <f t="shared" ref="N908" si="663">IF(AND(L908=1,H908=bb_akun),"Awe",IF(AND(L908=1,I908=bb_akun),"Awe",""))</f>
        <v/>
      </c>
      <c r="O908" s="16" t="str">
        <f>IF(N908="","",COUNTIF($N$8:N908,N908))</f>
        <v/>
      </c>
      <c r="P908" s="34" t="str">
        <f t="shared" ref="P908" si="664">IFERROR(IF(OR(INDEX(akun_type,MATCH(H908,akun_kb,0))="Kas",INDEX(akun_type,MATCH(H908,akun_kb,0))="Bank"),"In"&amp;INDEX(akun_type,MATCH(I908,akun_kb,0)),IF(OR(INDEX(akun_type,MATCH(I908,akun_kb,0))="Kas",INDEX(akun_type,MATCH(I908,akun_kb,0))="Bank"),"out"&amp;INDEX(akun_type,MATCH(H908,akun_kb,0)),"")),"")</f>
        <v>InBank</v>
      </c>
      <c r="Q908" s="34" t="str">
        <f t="shared" ref="Q908" si="665">IFERROR(IF(OR(INDEX(akun_type,MATCH(H908,akun_kb,0))="Kas",INDEX(akun_type,MATCH(H908,akun_kb,0))="Bank"),"in"&amp;TEXT(B908,"mmmm")&amp;INDEX(akun_type,MATCH(I908,akun_kb,0)),IF(OR(INDEX(akun_type,MATCH(I908,akun_kb,0))="Kas",INDEX(akun_type,MATCH(I908,akun_kb,0))="Bank"),"out"&amp;TEXT(B908,"mmmm")&amp;INDEX(akun_type,MATCH(H908,akun_kb,0)),"")),"")</f>
        <v>inNovemberBank</v>
      </c>
      <c r="R908" s="34" t="str">
        <f t="shared" ref="R908" si="666">IFERROR(INDEX(akun_type,MATCH(H908,akun_kb,0)),"")</f>
        <v>Bank</v>
      </c>
      <c r="S908" s="34" t="str">
        <f t="shared" ref="S908" si="667">IFERROR(INDEX(akun_type,MATCH(I908,akun_kb,0)),"")</f>
        <v>Bank</v>
      </c>
      <c r="T908" s="34" t="str">
        <f t="shared" ref="T908" si="668">IF(AND(L908=1,OR(R908="Akun Piutang",R908="akun hutang",S908="akun piutang",S908="akun hutang")),E908,"")</f>
        <v/>
      </c>
      <c r="U908" s="34" t="str">
        <f>IF(AND(L908=1,bp_kode=T908,T908&lt;&gt;""),COUNTIF($T$8:T908,T908),"")</f>
        <v/>
      </c>
      <c r="V908" s="34" t="str">
        <f t="shared" ref="V908" si="669">IF(OR(R908="Pendapatan",R908="Pendapatan Lainnya",R908="Beban",R908="Harga Pokok Penjualan",R908="Beban Lainnya"),"db"&amp;F908,IF(OR(S908="Pendapatan",S908="Pendapatan Lainnya",S908="Beban",S908="Harga Pokok Penjualan",S908="Beban Lainnya"),"kr"&amp;F908,""))</f>
        <v/>
      </c>
      <c r="W908" s="34" t="str">
        <f t="shared" ref="W908" si="670">IF(OR(R908="Pendapatan",R908="Pendapatan Lainnya",R908="Beban",R908="Harga Pokok Penjualan",R908="Beban Lainnya"),"db"&amp;G908,IF(OR(S908="Pendapatan",S908="Pendapatan Lainnya",S908="Beban",S908="Harga Pokok Penjualan",S908="Beban Lainnya"),"kr"&amp;G908,""))</f>
        <v/>
      </c>
      <c r="X908" s="34" t="str">
        <f>IF(B908="","",COUNTIF($C$8:C908,C908)&amp;C908)</f>
        <v>0</v>
      </c>
    </row>
    <row r="909" spans="2:24" ht="23.1" customHeight="1">
      <c r="B909" s="31">
        <v>44895</v>
      </c>
      <c r="C909" s="9"/>
      <c r="D909" s="9" t="s">
        <v>807</v>
      </c>
      <c r="E909" s="7"/>
      <c r="F909" s="7"/>
      <c r="G909" s="7"/>
      <c r="H909" s="7" t="s">
        <v>577</v>
      </c>
      <c r="I909" s="7" t="s">
        <v>554</v>
      </c>
      <c r="J909" s="39">
        <v>1213899500</v>
      </c>
      <c r="L909" s="16">
        <f t="shared" si="535"/>
        <v>1</v>
      </c>
      <c r="M909" s="16" t="str">
        <f t="shared" si="555"/>
        <v>November</v>
      </c>
      <c r="N909" s="16" t="str">
        <f t="shared" si="537"/>
        <v/>
      </c>
      <c r="O909" s="16" t="str">
        <f>IF(N909="","",COUNTIF($N$8:N909,N909))</f>
        <v/>
      </c>
      <c r="P909" s="34" t="str">
        <f t="shared" si="538"/>
        <v>InKas</v>
      </c>
      <c r="Q909" s="34" t="str">
        <f t="shared" si="539"/>
        <v>inNovemberKas</v>
      </c>
      <c r="R909" s="34" t="str">
        <f t="shared" si="556"/>
        <v>Bank</v>
      </c>
      <c r="S909" s="34" t="str">
        <f t="shared" si="557"/>
        <v>Kas</v>
      </c>
      <c r="T909" s="34" t="str">
        <f t="shared" si="558"/>
        <v/>
      </c>
      <c r="U909" s="34" t="str">
        <f>IF(AND(L909=1,bp_kode=T909,T909&lt;&gt;""),COUNTIF($T$8:T909,T909),"")</f>
        <v/>
      </c>
      <c r="V909" s="34" t="str">
        <f t="shared" si="559"/>
        <v/>
      </c>
      <c r="W909" s="34" t="str">
        <f t="shared" si="560"/>
        <v/>
      </c>
      <c r="X909" s="34" t="str">
        <f>IF(B909="","",COUNTIF($C$8:C909,C909)&amp;C909)</f>
        <v>0</v>
      </c>
    </row>
    <row r="910" spans="2:24" ht="23.1" customHeight="1">
      <c r="B910" s="31">
        <v>44895</v>
      </c>
      <c r="C910" s="9"/>
      <c r="D910" s="9" t="s">
        <v>573</v>
      </c>
      <c r="E910" s="7"/>
      <c r="F910" s="7"/>
      <c r="G910" s="7"/>
      <c r="H910" s="7" t="s">
        <v>577</v>
      </c>
      <c r="I910" s="7" t="s">
        <v>559</v>
      </c>
      <c r="J910" s="39">
        <v>90079000</v>
      </c>
      <c r="L910" s="16">
        <f t="shared" si="535"/>
        <v>1</v>
      </c>
      <c r="M910" s="16" t="str">
        <f t="shared" si="555"/>
        <v>November</v>
      </c>
      <c r="N910" s="16" t="str">
        <f t="shared" si="537"/>
        <v/>
      </c>
      <c r="O910" s="16" t="str">
        <f>IF(N910="","",COUNTIF($N$8:N910,N910))</f>
        <v/>
      </c>
      <c r="P910" s="34" t="str">
        <f t="shared" si="538"/>
        <v>InAkun Piutang</v>
      </c>
      <c r="Q910" s="34" t="str">
        <f t="shared" si="539"/>
        <v>inNovemberAkun Piutang</v>
      </c>
      <c r="R910" s="34" t="str">
        <f t="shared" si="556"/>
        <v>Bank</v>
      </c>
      <c r="S910" s="34" t="str">
        <f t="shared" si="557"/>
        <v>Akun Piutang</v>
      </c>
      <c r="T910" s="34">
        <f t="shared" si="558"/>
        <v>0</v>
      </c>
      <c r="U910" s="34" t="str">
        <f>IF(AND(L910=1,bp_kode=T910,T910&lt;&gt;""),COUNTIF($T$8:T910,T910),"")</f>
        <v/>
      </c>
      <c r="V910" s="34" t="str">
        <f t="shared" si="559"/>
        <v/>
      </c>
      <c r="W910" s="34" t="str">
        <f t="shared" si="560"/>
        <v/>
      </c>
      <c r="X910" s="34" t="str">
        <f>IF(B910="","",COUNTIF($C$8:C910,C910)&amp;C910)</f>
        <v>0</v>
      </c>
    </row>
    <row r="911" spans="2:24" ht="23.1" customHeight="1">
      <c r="B911" s="31">
        <v>44895</v>
      </c>
      <c r="C911" s="9"/>
      <c r="D911" s="9" t="s">
        <v>588</v>
      </c>
      <c r="E911" s="7"/>
      <c r="F911" s="7"/>
      <c r="G911" s="7"/>
      <c r="H911" s="7" t="s">
        <v>577</v>
      </c>
      <c r="I911" s="7" t="s">
        <v>561</v>
      </c>
      <c r="J911" s="39">
        <v>17500000</v>
      </c>
      <c r="L911" s="16">
        <f t="shared" si="535"/>
        <v>1</v>
      </c>
      <c r="M911" s="16" t="str">
        <f t="shared" si="555"/>
        <v>November</v>
      </c>
      <c r="N911" s="16" t="str">
        <f t="shared" si="537"/>
        <v/>
      </c>
      <c r="O911" s="16" t="str">
        <f>IF(N911="","",COUNTIF($N$8:N911,N911))</f>
        <v/>
      </c>
      <c r="P911" s="34" t="str">
        <f t="shared" si="538"/>
        <v>InAkun Piutang</v>
      </c>
      <c r="Q911" s="34" t="str">
        <f t="shared" si="539"/>
        <v>inNovemberAkun Piutang</v>
      </c>
      <c r="R911" s="34" t="str">
        <f t="shared" si="556"/>
        <v>Bank</v>
      </c>
      <c r="S911" s="34" t="str">
        <f t="shared" si="557"/>
        <v>Akun Piutang</v>
      </c>
      <c r="T911" s="34">
        <f t="shared" si="558"/>
        <v>0</v>
      </c>
      <c r="U911" s="34" t="str">
        <f>IF(AND(L911=1,bp_kode=T911,T911&lt;&gt;""),COUNTIF($T$8:T911,T911),"")</f>
        <v/>
      </c>
      <c r="V911" s="34" t="str">
        <f t="shared" si="559"/>
        <v/>
      </c>
      <c r="W911" s="34" t="str">
        <f t="shared" si="560"/>
        <v/>
      </c>
      <c r="X911" s="34" t="str">
        <f>IF(B911="","",COUNTIF($C$8:C911,C911)&amp;C911)</f>
        <v>0</v>
      </c>
    </row>
    <row r="912" spans="2:24" ht="23.1" customHeight="1">
      <c r="B912" s="31">
        <v>44895</v>
      </c>
      <c r="C912" s="9"/>
      <c r="D912" s="9" t="s">
        <v>793</v>
      </c>
      <c r="E912" s="7"/>
      <c r="F912" s="7"/>
      <c r="G912" s="7"/>
      <c r="H912" s="7" t="s">
        <v>582</v>
      </c>
      <c r="I912" s="7" t="s">
        <v>577</v>
      </c>
      <c r="J912" s="39">
        <v>1106759012</v>
      </c>
      <c r="L912" s="16">
        <f t="shared" si="535"/>
        <v>1</v>
      </c>
      <c r="M912" s="16" t="str">
        <f t="shared" si="555"/>
        <v>November</v>
      </c>
      <c r="N912" s="16" t="str">
        <f t="shared" si="537"/>
        <v/>
      </c>
      <c r="O912" s="16" t="str">
        <f>IF(N912="","",COUNTIF($N$8:N912,N912))</f>
        <v/>
      </c>
      <c r="P912" s="34" t="str">
        <f t="shared" si="538"/>
        <v>InBank</v>
      </c>
      <c r="Q912" s="34" t="str">
        <f t="shared" si="539"/>
        <v>inNovemberBank</v>
      </c>
      <c r="R912" s="34" t="str">
        <f t="shared" si="556"/>
        <v>Kas</v>
      </c>
      <c r="S912" s="34" t="str">
        <f t="shared" si="557"/>
        <v>Bank</v>
      </c>
      <c r="T912" s="34" t="str">
        <f t="shared" si="558"/>
        <v/>
      </c>
      <c r="U912" s="34" t="str">
        <f>IF(AND(L912=1,bp_kode=T912,T912&lt;&gt;""),COUNTIF($T$8:T912,T912),"")</f>
        <v/>
      </c>
      <c r="V912" s="34" t="str">
        <f t="shared" si="559"/>
        <v/>
      </c>
      <c r="W912" s="34" t="str">
        <f t="shared" si="560"/>
        <v/>
      </c>
      <c r="X912" s="34" t="str">
        <f>IF(B912="","",COUNTIF($C$8:C912,C912)&amp;C912)</f>
        <v>0</v>
      </c>
    </row>
    <row r="913" spans="2:24" ht="23.1" customHeight="1">
      <c r="B913" s="31">
        <v>44895</v>
      </c>
      <c r="C913" s="9"/>
      <c r="D913" s="9" t="s">
        <v>809</v>
      </c>
      <c r="E913" s="7"/>
      <c r="F913" s="7"/>
      <c r="G913" s="7"/>
      <c r="H913" s="7" t="s">
        <v>640</v>
      </c>
      <c r="I913" s="7" t="s">
        <v>808</v>
      </c>
      <c r="J913" s="39">
        <v>25000</v>
      </c>
      <c r="L913" s="16">
        <f t="shared" si="535"/>
        <v>1</v>
      </c>
      <c r="M913" s="16" t="str">
        <f t="shared" si="555"/>
        <v>November</v>
      </c>
      <c r="N913" s="16" t="str">
        <f t="shared" si="537"/>
        <v/>
      </c>
      <c r="O913" s="16" t="str">
        <f>IF(N913="","",COUNTIF($N$8:N913,N913))</f>
        <v/>
      </c>
      <c r="P913" s="34" t="str">
        <f t="shared" si="538"/>
        <v>outBeban Lainnya</v>
      </c>
      <c r="Q913" s="34" t="str">
        <f t="shared" si="539"/>
        <v>outNovemberBeban Lainnya</v>
      </c>
      <c r="R913" s="34" t="str">
        <f t="shared" si="556"/>
        <v>Beban Lainnya</v>
      </c>
      <c r="S913" s="34" t="str">
        <f t="shared" si="557"/>
        <v>Bank</v>
      </c>
      <c r="T913" s="34" t="str">
        <f t="shared" si="558"/>
        <v/>
      </c>
      <c r="U913" s="34" t="str">
        <f>IF(AND(L913=1,bp_kode=T913,T913&lt;&gt;""),COUNTIF($T$8:T913,T913),"")</f>
        <v/>
      </c>
      <c r="V913" s="34" t="str">
        <f t="shared" si="559"/>
        <v>db</v>
      </c>
      <c r="W913" s="34" t="str">
        <f t="shared" si="560"/>
        <v>db</v>
      </c>
      <c r="X913" s="34" t="str">
        <f>IF(B913="","",COUNTIF($C$8:C913,C913)&amp;C913)</f>
        <v>0</v>
      </c>
    </row>
    <row r="914" spans="2:24" ht="23.1" customHeight="1">
      <c r="B914" s="31">
        <v>44895</v>
      </c>
      <c r="C914" s="9"/>
      <c r="D914" s="9" t="s">
        <v>802</v>
      </c>
      <c r="E914" s="7"/>
      <c r="F914" s="7"/>
      <c r="G914" s="7"/>
      <c r="H914" s="7" t="s">
        <v>788</v>
      </c>
      <c r="I914" s="7" t="s">
        <v>569</v>
      </c>
      <c r="J914" s="39">
        <v>101169.51</v>
      </c>
      <c r="L914" s="16">
        <f t="shared" si="535"/>
        <v>1</v>
      </c>
      <c r="M914" s="16" t="str">
        <f t="shared" si="555"/>
        <v>November</v>
      </c>
      <c r="N914" s="16" t="str">
        <f t="shared" si="537"/>
        <v/>
      </c>
      <c r="O914" s="16" t="str">
        <f>IF(N914="","",COUNTIF($N$8:N914,N914))</f>
        <v/>
      </c>
      <c r="P914" s="34" t="str">
        <f t="shared" si="538"/>
        <v>InPendapatan Lainnya</v>
      </c>
      <c r="Q914" s="34" t="str">
        <f t="shared" si="539"/>
        <v>inNovemberPendapatan Lainnya</v>
      </c>
      <c r="R914" s="34" t="str">
        <f t="shared" si="556"/>
        <v>Bank</v>
      </c>
      <c r="S914" s="34" t="str">
        <f t="shared" si="557"/>
        <v>Pendapatan Lainnya</v>
      </c>
      <c r="T914" s="34" t="str">
        <f t="shared" si="558"/>
        <v/>
      </c>
      <c r="U914" s="34" t="str">
        <f>IF(AND(L914=1,bp_kode=T914,T914&lt;&gt;""),COUNTIF($T$8:T914,T914),"")</f>
        <v/>
      </c>
      <c r="V914" s="34" t="str">
        <f t="shared" si="559"/>
        <v>kr</v>
      </c>
      <c r="W914" s="34" t="str">
        <f t="shared" si="560"/>
        <v>kr</v>
      </c>
      <c r="X914" s="34" t="str">
        <f>IF(B914="","",COUNTIF($C$8:C914,C914)&amp;C914)</f>
        <v>0</v>
      </c>
    </row>
    <row r="915" spans="2:24" ht="23.1" customHeight="1">
      <c r="B915" s="31">
        <v>44895</v>
      </c>
      <c r="C915" s="9"/>
      <c r="D915" s="9" t="s">
        <v>823</v>
      </c>
      <c r="E915" s="7"/>
      <c r="F915" s="7"/>
      <c r="G915" s="7"/>
      <c r="H915" s="7" t="s">
        <v>788</v>
      </c>
      <c r="I915" s="7" t="s">
        <v>554</v>
      </c>
      <c r="J915" s="39">
        <v>8750000</v>
      </c>
      <c r="L915" s="16">
        <f t="shared" ref="L915" si="671">IF(AND(B915&gt;=awal,B915&lt;=akhir,B915&lt;&gt;""),1,IF(AND(B915&lt;&gt;"",B915&lt;awal),2,""))</f>
        <v>1</v>
      </c>
      <c r="M915" s="16" t="str">
        <f t="shared" ref="M915" si="672">IF(B915="","",TEXT(B915,"mmmm"))</f>
        <v>November</v>
      </c>
      <c r="N915" s="16" t="str">
        <f t="shared" ref="N915" si="673">IF(AND(L915=1,H915=bb_akun),"Awe",IF(AND(L915=1,I915=bb_akun),"Awe",""))</f>
        <v/>
      </c>
      <c r="O915" s="16" t="str">
        <f>IF(N915="","",COUNTIF($N$8:N915,N915))</f>
        <v/>
      </c>
      <c r="P915" s="34" t="str">
        <f t="shared" ref="P915" si="674">IFERROR(IF(OR(INDEX(akun_type,MATCH(H915,akun_kb,0))="Kas",INDEX(akun_type,MATCH(H915,akun_kb,0))="Bank"),"In"&amp;INDEX(akun_type,MATCH(I915,akun_kb,0)),IF(OR(INDEX(akun_type,MATCH(I915,akun_kb,0))="Kas",INDEX(akun_type,MATCH(I915,akun_kb,0))="Bank"),"out"&amp;INDEX(akun_type,MATCH(H915,akun_kb,0)),"")),"")</f>
        <v>InKas</v>
      </c>
      <c r="Q915" s="34" t="str">
        <f t="shared" ref="Q915" si="675">IFERROR(IF(OR(INDEX(akun_type,MATCH(H915,akun_kb,0))="Kas",INDEX(akun_type,MATCH(H915,akun_kb,0))="Bank"),"in"&amp;TEXT(B915,"mmmm")&amp;INDEX(akun_type,MATCH(I915,akun_kb,0)),IF(OR(INDEX(akun_type,MATCH(I915,akun_kb,0))="Kas",INDEX(akun_type,MATCH(I915,akun_kb,0))="Bank"),"out"&amp;TEXT(B915,"mmmm")&amp;INDEX(akun_type,MATCH(H915,akun_kb,0)),"")),"")</f>
        <v>inNovemberKas</v>
      </c>
      <c r="R915" s="34" t="str">
        <f t="shared" ref="R915" si="676">IFERROR(INDEX(akun_type,MATCH(H915,akun_kb,0)),"")</f>
        <v>Bank</v>
      </c>
      <c r="S915" s="34" t="str">
        <f t="shared" ref="S915" si="677">IFERROR(INDEX(akun_type,MATCH(I915,akun_kb,0)),"")</f>
        <v>Kas</v>
      </c>
      <c r="T915" s="34" t="str">
        <f t="shared" ref="T915" si="678">IF(AND(L915=1,OR(R915="Akun Piutang",R915="akun hutang",S915="akun piutang",S915="akun hutang")),E915,"")</f>
        <v/>
      </c>
      <c r="U915" s="34" t="str">
        <f>IF(AND(L915=1,bp_kode=T915,T915&lt;&gt;""),COUNTIF($T$8:T915,T915),"")</f>
        <v/>
      </c>
      <c r="V915" s="34" t="str">
        <f t="shared" ref="V915" si="679">IF(OR(R915="Pendapatan",R915="Pendapatan Lainnya",R915="Beban",R915="Harga Pokok Penjualan",R915="Beban Lainnya"),"db"&amp;F915,IF(OR(S915="Pendapatan",S915="Pendapatan Lainnya",S915="Beban",S915="Harga Pokok Penjualan",S915="Beban Lainnya"),"kr"&amp;F915,""))</f>
        <v/>
      </c>
      <c r="W915" s="34" t="str">
        <f t="shared" ref="W915" si="680">IF(OR(R915="Pendapatan",R915="Pendapatan Lainnya",R915="Beban",R915="Harga Pokok Penjualan",R915="Beban Lainnya"),"db"&amp;G915,IF(OR(S915="Pendapatan",S915="Pendapatan Lainnya",S915="Beban",S915="Harga Pokok Penjualan",S915="Beban Lainnya"),"kr"&amp;G915,""))</f>
        <v/>
      </c>
      <c r="X915" s="34" t="str">
        <f>IF(B915="","",COUNTIF($C$8:C915,C915)&amp;C915)</f>
        <v>0</v>
      </c>
    </row>
    <row r="916" spans="2:24" ht="23.1" customHeight="1">
      <c r="B916" s="31">
        <v>44895</v>
      </c>
      <c r="C916" s="9"/>
      <c r="D916" s="9" t="s">
        <v>570</v>
      </c>
      <c r="E916" s="7"/>
      <c r="F916" s="7"/>
      <c r="G916" s="7"/>
      <c r="H916" s="7" t="s">
        <v>571</v>
      </c>
      <c r="I916" s="7" t="s">
        <v>788</v>
      </c>
      <c r="J916" s="39">
        <v>20233.900000000001</v>
      </c>
      <c r="L916" s="16">
        <f t="shared" si="535"/>
        <v>1</v>
      </c>
      <c r="M916" s="16" t="str">
        <f t="shared" si="555"/>
        <v>November</v>
      </c>
      <c r="N916" s="16" t="str">
        <f t="shared" si="537"/>
        <v/>
      </c>
      <c r="O916" s="16" t="str">
        <f>IF(N916="","",COUNTIF($N$8:N916,N916))</f>
        <v/>
      </c>
      <c r="P916" s="34" t="str">
        <f t="shared" si="538"/>
        <v>outBeban Lainnya</v>
      </c>
      <c r="Q916" s="34" t="str">
        <f t="shared" si="539"/>
        <v>outNovemberBeban Lainnya</v>
      </c>
      <c r="R916" s="34" t="str">
        <f t="shared" si="556"/>
        <v>Beban Lainnya</v>
      </c>
      <c r="S916" s="34" t="str">
        <f t="shared" si="557"/>
        <v>Bank</v>
      </c>
      <c r="T916" s="34" t="str">
        <f t="shared" si="558"/>
        <v/>
      </c>
      <c r="U916" s="34" t="str">
        <f>IF(AND(L916=1,bp_kode=T916,T916&lt;&gt;""),COUNTIF($T$8:T916,T916),"")</f>
        <v/>
      </c>
      <c r="V916" s="34" t="str">
        <f t="shared" si="559"/>
        <v>db</v>
      </c>
      <c r="W916" s="34" t="str">
        <f t="shared" si="560"/>
        <v>db</v>
      </c>
      <c r="X916" s="34" t="str">
        <f>IF(B916="","",COUNTIF($C$8:C916,C916)&amp;C916)</f>
        <v>0</v>
      </c>
    </row>
    <row r="917" spans="2:24" ht="23.1" customHeight="1">
      <c r="B917" s="31">
        <v>44895</v>
      </c>
      <c r="C917" s="9"/>
      <c r="D917" s="9" t="s">
        <v>685</v>
      </c>
      <c r="E917" s="7"/>
      <c r="F917" s="7"/>
      <c r="G917" s="7"/>
      <c r="H917" s="7" t="s">
        <v>640</v>
      </c>
      <c r="I917" s="7" t="s">
        <v>788</v>
      </c>
      <c r="J917" s="39"/>
      <c r="L917" s="16">
        <f t="shared" si="535"/>
        <v>1</v>
      </c>
      <c r="M917" s="16" t="str">
        <f t="shared" si="555"/>
        <v>November</v>
      </c>
      <c r="N917" s="16" t="str">
        <f t="shared" si="537"/>
        <v/>
      </c>
      <c r="O917" s="16" t="str">
        <f>IF(N917="","",COUNTIF($N$8:N917,N917))</f>
        <v/>
      </c>
      <c r="P917" s="34" t="str">
        <f t="shared" si="538"/>
        <v>outBeban Lainnya</v>
      </c>
      <c r="Q917" s="34" t="str">
        <f t="shared" si="539"/>
        <v>outNovemberBeban Lainnya</v>
      </c>
      <c r="R917" s="34" t="str">
        <f t="shared" si="556"/>
        <v>Beban Lainnya</v>
      </c>
      <c r="S917" s="34" t="str">
        <f t="shared" si="557"/>
        <v>Bank</v>
      </c>
      <c r="T917" s="34" t="str">
        <f t="shared" si="558"/>
        <v/>
      </c>
      <c r="U917" s="34" t="str">
        <f>IF(AND(L917=1,bp_kode=T917,T917&lt;&gt;""),COUNTIF($T$8:T917,T917),"")</f>
        <v/>
      </c>
      <c r="V917" s="34" t="str">
        <f t="shared" si="559"/>
        <v>db</v>
      </c>
      <c r="W917" s="34" t="str">
        <f t="shared" si="560"/>
        <v>db</v>
      </c>
      <c r="X917" s="34" t="str">
        <f>IF(B917="","",COUNTIF($C$8:C917,C917)&amp;C917)</f>
        <v>0</v>
      </c>
    </row>
    <row r="918" spans="2:24" ht="23.1" customHeight="1">
      <c r="B918" s="31">
        <v>44895</v>
      </c>
      <c r="C918" s="9"/>
      <c r="D918" s="9" t="s">
        <v>570</v>
      </c>
      <c r="E918" s="7"/>
      <c r="F918" s="7"/>
      <c r="G918" s="7"/>
      <c r="H918" s="7" t="s">
        <v>571</v>
      </c>
      <c r="I918" s="7" t="s">
        <v>586</v>
      </c>
      <c r="J918" s="39">
        <v>21356</v>
      </c>
      <c r="L918" s="16">
        <f t="shared" si="535"/>
        <v>1</v>
      </c>
      <c r="M918" s="16" t="str">
        <f t="shared" si="555"/>
        <v>November</v>
      </c>
      <c r="N918" s="16" t="str">
        <f t="shared" si="537"/>
        <v/>
      </c>
      <c r="O918" s="16" t="str">
        <f>IF(N918="","",COUNTIF($N$8:N918,N918))</f>
        <v/>
      </c>
      <c r="P918" s="34" t="str">
        <f t="shared" si="538"/>
        <v>outBeban Lainnya</v>
      </c>
      <c r="Q918" s="34" t="str">
        <f t="shared" si="539"/>
        <v>outNovemberBeban Lainnya</v>
      </c>
      <c r="R918" s="34" t="str">
        <f t="shared" si="556"/>
        <v>Beban Lainnya</v>
      </c>
      <c r="S918" s="34" t="str">
        <f t="shared" si="557"/>
        <v>Bank</v>
      </c>
      <c r="T918" s="34" t="str">
        <f t="shared" si="558"/>
        <v/>
      </c>
      <c r="U918" s="34" t="str">
        <f>IF(AND(L918=1,bp_kode=T918,T918&lt;&gt;""),COUNTIF($T$8:T918,T918),"")</f>
        <v/>
      </c>
      <c r="V918" s="34" t="str">
        <f t="shared" si="559"/>
        <v>db</v>
      </c>
      <c r="W918" s="34" t="str">
        <f t="shared" si="560"/>
        <v>db</v>
      </c>
      <c r="X918" s="34" t="str">
        <f>IF(B918="","",COUNTIF($C$8:C918,C918)&amp;C918)</f>
        <v>0</v>
      </c>
    </row>
    <row r="919" spans="2:24" ht="23.1" customHeight="1">
      <c r="B919" s="31">
        <v>44895</v>
      </c>
      <c r="C919" s="9"/>
      <c r="D919" s="9" t="s">
        <v>790</v>
      </c>
      <c r="E919" s="7"/>
      <c r="F919" s="7"/>
      <c r="G919" s="7"/>
      <c r="H919" s="7" t="s">
        <v>586</v>
      </c>
      <c r="I919" s="7" t="s">
        <v>569</v>
      </c>
      <c r="J919" s="39">
        <v>106790</v>
      </c>
      <c r="L919" s="16">
        <f t="shared" si="535"/>
        <v>1</v>
      </c>
      <c r="M919" s="16" t="str">
        <f t="shared" si="555"/>
        <v>November</v>
      </c>
      <c r="N919" s="16" t="str">
        <f t="shared" si="537"/>
        <v/>
      </c>
      <c r="O919" s="16" t="str">
        <f>IF(N919="","",COUNTIF($N$8:N919,N919))</f>
        <v/>
      </c>
      <c r="P919" s="34" t="str">
        <f t="shared" si="538"/>
        <v>InPendapatan Lainnya</v>
      </c>
      <c r="Q919" s="34" t="str">
        <f t="shared" si="539"/>
        <v>inNovemberPendapatan Lainnya</v>
      </c>
      <c r="R919" s="34" t="str">
        <f t="shared" si="556"/>
        <v>Bank</v>
      </c>
      <c r="S919" s="34" t="str">
        <f t="shared" si="557"/>
        <v>Pendapatan Lainnya</v>
      </c>
      <c r="T919" s="34" t="str">
        <f t="shared" si="558"/>
        <v/>
      </c>
      <c r="U919" s="34" t="str">
        <f>IF(AND(L919=1,bp_kode=T919,T919&lt;&gt;""),COUNTIF($T$8:T919,T919),"")</f>
        <v/>
      </c>
      <c r="V919" s="34" t="str">
        <f t="shared" si="559"/>
        <v>kr</v>
      </c>
      <c r="W919" s="34" t="str">
        <f t="shared" si="560"/>
        <v>kr</v>
      </c>
      <c r="X919" s="34" t="str">
        <f>IF(B919="","",COUNTIF($C$8:C919,C919)&amp;C919)</f>
        <v>0</v>
      </c>
    </row>
    <row r="920" spans="2:24" ht="23.1" customHeight="1">
      <c r="B920" s="31">
        <v>44895</v>
      </c>
      <c r="C920" s="9"/>
      <c r="D920" s="9" t="s">
        <v>572</v>
      </c>
      <c r="E920" s="7"/>
      <c r="F920" s="7"/>
      <c r="G920" s="7"/>
      <c r="H920" s="7" t="s">
        <v>640</v>
      </c>
      <c r="I920" s="7" t="s">
        <v>586</v>
      </c>
      <c r="J920" s="39">
        <v>36500</v>
      </c>
      <c r="L920" s="16">
        <f t="shared" si="535"/>
        <v>1</v>
      </c>
      <c r="M920" s="16" t="str">
        <f t="shared" si="555"/>
        <v>November</v>
      </c>
      <c r="N920" s="16" t="str">
        <f t="shared" si="537"/>
        <v/>
      </c>
      <c r="O920" s="16" t="str">
        <f>IF(N920="","",COUNTIF($N$8:N920,N920))</f>
        <v/>
      </c>
      <c r="P920" s="34" t="str">
        <f t="shared" si="538"/>
        <v>outBeban Lainnya</v>
      </c>
      <c r="Q920" s="34" t="str">
        <f t="shared" si="539"/>
        <v>outNovemberBeban Lainnya</v>
      </c>
      <c r="R920" s="34" t="str">
        <f t="shared" si="556"/>
        <v>Beban Lainnya</v>
      </c>
      <c r="S920" s="34" t="str">
        <f t="shared" si="557"/>
        <v>Bank</v>
      </c>
      <c r="T920" s="34" t="str">
        <f t="shared" si="558"/>
        <v/>
      </c>
      <c r="U920" s="34" t="str">
        <f>IF(AND(L920=1,bp_kode=T920,T920&lt;&gt;""),COUNTIF($T$8:T920,T920),"")</f>
        <v/>
      </c>
      <c r="V920" s="34" t="str">
        <f t="shared" si="559"/>
        <v>db</v>
      </c>
      <c r="W920" s="34" t="str">
        <f t="shared" si="560"/>
        <v>db</v>
      </c>
      <c r="X920" s="34" t="str">
        <f>IF(B920="","",COUNTIF($C$8:C920,C920)&amp;C920)</f>
        <v>0</v>
      </c>
    </row>
    <row r="921" spans="2:24" ht="23.1" customHeight="1">
      <c r="B921" s="31">
        <v>44895</v>
      </c>
      <c r="C921" s="9"/>
      <c r="D921" s="9" t="s">
        <v>581</v>
      </c>
      <c r="E921" s="7"/>
      <c r="F921" s="7"/>
      <c r="G921" s="7"/>
      <c r="H921" s="7" t="s">
        <v>582</v>
      </c>
      <c r="I921" s="7" t="s">
        <v>586</v>
      </c>
      <c r="J921" s="39"/>
      <c r="L921" s="16">
        <f t="shared" si="535"/>
        <v>1</v>
      </c>
      <c r="M921" s="16" t="str">
        <f t="shared" si="555"/>
        <v>November</v>
      </c>
      <c r="N921" s="16" t="str">
        <f t="shared" si="537"/>
        <v/>
      </c>
      <c r="O921" s="16" t="str">
        <f>IF(N921="","",COUNTIF($N$8:N921,N921))</f>
        <v/>
      </c>
      <c r="P921" s="34" t="str">
        <f t="shared" si="538"/>
        <v>InBank</v>
      </c>
      <c r="Q921" s="34" t="str">
        <f t="shared" si="539"/>
        <v>inNovemberBank</v>
      </c>
      <c r="R921" s="34" t="str">
        <f t="shared" si="556"/>
        <v>Kas</v>
      </c>
      <c r="S921" s="34" t="str">
        <f t="shared" si="557"/>
        <v>Bank</v>
      </c>
      <c r="T921" s="34" t="str">
        <f t="shared" si="558"/>
        <v/>
      </c>
      <c r="U921" s="34" t="str">
        <f>IF(AND(L921=1,bp_kode=T921,T921&lt;&gt;""),COUNTIF($T$8:T921,T921),"")</f>
        <v/>
      </c>
      <c r="V921" s="34" t="str">
        <f t="shared" si="559"/>
        <v/>
      </c>
      <c r="W921" s="34" t="str">
        <f t="shared" si="560"/>
        <v/>
      </c>
      <c r="X921" s="34" t="str">
        <f>IF(B921="","",COUNTIF($C$8:C921,C921)&amp;C921)</f>
        <v>0</v>
      </c>
    </row>
    <row r="922" spans="2:24" ht="23.1" customHeight="1">
      <c r="B922" s="31">
        <v>44895</v>
      </c>
      <c r="C922" s="9"/>
      <c r="D922" s="9" t="s">
        <v>552</v>
      </c>
      <c r="E922" s="7"/>
      <c r="F922" s="7"/>
      <c r="G922" s="7"/>
      <c r="H922" s="7" t="s">
        <v>554</v>
      </c>
      <c r="I922" s="7" t="s">
        <v>587</v>
      </c>
      <c r="J922" s="39">
        <v>8319000</v>
      </c>
      <c r="L922" s="16">
        <f t="shared" si="535"/>
        <v>1</v>
      </c>
      <c r="M922" s="16" t="str">
        <f t="shared" si="555"/>
        <v>November</v>
      </c>
      <c r="N922" s="16" t="str">
        <f t="shared" si="537"/>
        <v/>
      </c>
      <c r="O922" s="16" t="str">
        <f>IF(N922="","",COUNTIF($N$8:N922,N922))</f>
        <v/>
      </c>
      <c r="P922" s="34" t="str">
        <f t="shared" si="538"/>
        <v>InAkun Piutang</v>
      </c>
      <c r="Q922" s="34" t="str">
        <f t="shared" si="539"/>
        <v>inNovemberAkun Piutang</v>
      </c>
      <c r="R922" s="34" t="str">
        <f t="shared" si="556"/>
        <v>Kas</v>
      </c>
      <c r="S922" s="34" t="str">
        <f t="shared" si="557"/>
        <v>Akun Piutang</v>
      </c>
      <c r="T922" s="34">
        <f t="shared" si="558"/>
        <v>0</v>
      </c>
      <c r="U922" s="34" t="str">
        <f>IF(AND(L922=1,bp_kode=T922,T922&lt;&gt;""),COUNTIF($T$8:T922,T922),"")</f>
        <v/>
      </c>
      <c r="V922" s="34" t="str">
        <f t="shared" si="559"/>
        <v/>
      </c>
      <c r="W922" s="34" t="str">
        <f t="shared" si="560"/>
        <v/>
      </c>
      <c r="X922" s="34" t="str">
        <f>IF(B922="","",COUNTIF($C$8:C922,C922)&amp;C922)</f>
        <v>0</v>
      </c>
    </row>
    <row r="923" spans="2:24" ht="23.1" customHeight="1">
      <c r="B923" s="31">
        <v>44895</v>
      </c>
      <c r="C923" s="9"/>
      <c r="D923" s="9" t="s">
        <v>589</v>
      </c>
      <c r="E923" s="7"/>
      <c r="F923" s="7"/>
      <c r="G923" s="7"/>
      <c r="H923" s="7" t="s">
        <v>554</v>
      </c>
      <c r="I923" s="7" t="s">
        <v>551</v>
      </c>
      <c r="J923" s="39">
        <v>644101000</v>
      </c>
      <c r="L923" s="16">
        <f t="shared" si="535"/>
        <v>1</v>
      </c>
      <c r="M923" s="16" t="str">
        <f t="shared" si="555"/>
        <v>November</v>
      </c>
      <c r="N923" s="16" t="str">
        <f t="shared" si="537"/>
        <v/>
      </c>
      <c r="O923" s="16" t="str">
        <f>IF(N923="","",COUNTIF($N$8:N923,N923))</f>
        <v/>
      </c>
      <c r="P923" s="34" t="str">
        <f t="shared" si="538"/>
        <v>InAkun Piutang</v>
      </c>
      <c r="Q923" s="34" t="str">
        <f t="shared" si="539"/>
        <v>inNovemberAkun Piutang</v>
      </c>
      <c r="R923" s="34" t="str">
        <f t="shared" si="556"/>
        <v>Kas</v>
      </c>
      <c r="S923" s="34" t="str">
        <f t="shared" si="557"/>
        <v>Akun Piutang</v>
      </c>
      <c r="T923" s="34">
        <f t="shared" si="558"/>
        <v>0</v>
      </c>
      <c r="U923" s="34" t="str">
        <f>IF(AND(L923=1,bp_kode=T923,T923&lt;&gt;""),COUNTIF($T$8:T923,T923),"")</f>
        <v/>
      </c>
      <c r="V923" s="34" t="str">
        <f t="shared" si="559"/>
        <v/>
      </c>
      <c r="W923" s="34" t="str">
        <f t="shared" si="560"/>
        <v/>
      </c>
      <c r="X923" s="34" t="str">
        <f>IF(B923="","",COUNTIF($C$8:C923,C923)&amp;C923)</f>
        <v>0</v>
      </c>
    </row>
    <row r="924" spans="2:24" ht="23.1" customHeight="1">
      <c r="B924" s="31">
        <v>44895</v>
      </c>
      <c r="C924" s="9"/>
      <c r="D924" s="9" t="s">
        <v>573</v>
      </c>
      <c r="E924" s="7"/>
      <c r="F924" s="7"/>
      <c r="G924" s="7"/>
      <c r="H924" s="7" t="s">
        <v>554</v>
      </c>
      <c r="I924" s="7" t="s">
        <v>559</v>
      </c>
      <c r="J924" s="39">
        <v>287016000</v>
      </c>
      <c r="L924" s="16">
        <f t="shared" si="535"/>
        <v>1</v>
      </c>
      <c r="M924" s="16" t="str">
        <f t="shared" si="555"/>
        <v>November</v>
      </c>
      <c r="N924" s="16" t="str">
        <f t="shared" si="537"/>
        <v/>
      </c>
      <c r="O924" s="16" t="str">
        <f>IF(N924="","",COUNTIF($N$8:N924,N924))</f>
        <v/>
      </c>
      <c r="P924" s="34" t="str">
        <f t="shared" si="538"/>
        <v>InAkun Piutang</v>
      </c>
      <c r="Q924" s="34" t="str">
        <f t="shared" si="539"/>
        <v>inNovemberAkun Piutang</v>
      </c>
      <c r="R924" s="34" t="str">
        <f t="shared" si="556"/>
        <v>Kas</v>
      </c>
      <c r="S924" s="34" t="str">
        <f t="shared" si="557"/>
        <v>Akun Piutang</v>
      </c>
      <c r="T924" s="34">
        <f t="shared" si="558"/>
        <v>0</v>
      </c>
      <c r="U924" s="34" t="str">
        <f>IF(AND(L924=1,bp_kode=T924,T924&lt;&gt;""),COUNTIF($T$8:T924,T924),"")</f>
        <v/>
      </c>
      <c r="V924" s="34" t="str">
        <f t="shared" si="559"/>
        <v/>
      </c>
      <c r="W924" s="34" t="str">
        <f t="shared" si="560"/>
        <v/>
      </c>
      <c r="X924" s="34" t="str">
        <f>IF(B924="","",COUNTIF($C$8:C924,C924)&amp;C924)</f>
        <v>0</v>
      </c>
    </row>
    <row r="925" spans="2:24" ht="23.1" customHeight="1">
      <c r="B925" s="31">
        <v>44895</v>
      </c>
      <c r="C925" s="9"/>
      <c r="D925" s="9" t="s">
        <v>728</v>
      </c>
      <c r="E925" s="7"/>
      <c r="F925" s="7"/>
      <c r="G925" s="7"/>
      <c r="H925" s="7" t="s">
        <v>554</v>
      </c>
      <c r="I925" s="7" t="s">
        <v>561</v>
      </c>
      <c r="J925" s="39">
        <v>13301000</v>
      </c>
      <c r="L925" s="16">
        <f t="shared" si="535"/>
        <v>1</v>
      </c>
      <c r="M925" s="16" t="str">
        <f t="shared" si="555"/>
        <v>November</v>
      </c>
      <c r="N925" s="16" t="str">
        <f t="shared" si="537"/>
        <v/>
      </c>
      <c r="O925" s="16" t="str">
        <f>IF(N925="","",COUNTIF($N$8:N925,N925))</f>
        <v/>
      </c>
      <c r="P925" s="34" t="str">
        <f t="shared" si="538"/>
        <v>InAkun Piutang</v>
      </c>
      <c r="Q925" s="34" t="str">
        <f t="shared" si="539"/>
        <v>inNovemberAkun Piutang</v>
      </c>
      <c r="R925" s="34" t="str">
        <f t="shared" si="556"/>
        <v>Kas</v>
      </c>
      <c r="S925" s="34" t="str">
        <f t="shared" si="557"/>
        <v>Akun Piutang</v>
      </c>
      <c r="T925" s="34">
        <f t="shared" si="558"/>
        <v>0</v>
      </c>
      <c r="U925" s="34" t="str">
        <f>IF(AND(L925=1,bp_kode=T925,T925&lt;&gt;""),COUNTIF($T$8:T925,T925),"")</f>
        <v/>
      </c>
      <c r="V925" s="34" t="str">
        <f t="shared" si="559"/>
        <v/>
      </c>
      <c r="W925" s="34" t="str">
        <f t="shared" si="560"/>
        <v/>
      </c>
      <c r="X925" s="34" t="str">
        <f>IF(B925="","",COUNTIF($C$8:C925,C925)&amp;C925)</f>
        <v>0</v>
      </c>
    </row>
    <row r="926" spans="2:24" ht="23.1" customHeight="1">
      <c r="B926" s="31">
        <v>44895</v>
      </c>
      <c r="C926" s="9"/>
      <c r="D926" s="9" t="s">
        <v>595</v>
      </c>
      <c r="E926" s="7"/>
      <c r="F926" s="7"/>
      <c r="G926" s="7"/>
      <c r="H926" s="7" t="s">
        <v>594</v>
      </c>
      <c r="I926" s="7" t="s">
        <v>582</v>
      </c>
      <c r="J926" s="39">
        <v>27311034</v>
      </c>
      <c r="L926" s="16">
        <f t="shared" ref="L926:L928" si="681">IF(AND(B926&gt;=awal,B926&lt;=akhir,B926&lt;&gt;""),1,IF(AND(B926&lt;&gt;"",B926&lt;awal),2,""))</f>
        <v>1</v>
      </c>
      <c r="M926" s="16" t="str">
        <f t="shared" ref="M926:M928" si="682">IF(B926="","",TEXT(B926,"mmmm"))</f>
        <v>November</v>
      </c>
      <c r="N926" s="16" t="str">
        <f t="shared" ref="N926:N928" si="683">IF(AND(L926=1,H926=bb_akun),"Awe",IF(AND(L926=1,I926=bb_akun),"Awe",""))</f>
        <v/>
      </c>
      <c r="O926" s="16" t="str">
        <f>IF(N926="","",COUNTIF($N$8:N926,N926))</f>
        <v/>
      </c>
      <c r="P926" s="34" t="str">
        <f t="shared" ref="P926:P928" si="684">IFERROR(IF(OR(INDEX(akun_type,MATCH(H926,akun_kb,0))="Kas",INDEX(akun_type,MATCH(H926,akun_kb,0))="Bank"),"In"&amp;INDEX(akun_type,MATCH(I926,akun_kb,0)),IF(OR(INDEX(akun_type,MATCH(I926,akun_kb,0))="Kas",INDEX(akun_type,MATCH(I926,akun_kb,0))="Bank"),"out"&amp;INDEX(akun_type,MATCH(H926,akun_kb,0)),"")),"")</f>
        <v>outAktiva Lancar Lainnya</v>
      </c>
      <c r="Q926" s="34" t="str">
        <f t="shared" ref="Q926:Q928" si="685">IFERROR(IF(OR(INDEX(akun_type,MATCH(H926,akun_kb,0))="Kas",INDEX(akun_type,MATCH(H926,akun_kb,0))="Bank"),"in"&amp;TEXT(B926,"mmmm")&amp;INDEX(akun_type,MATCH(I926,akun_kb,0)),IF(OR(INDEX(akun_type,MATCH(I926,akun_kb,0))="Kas",INDEX(akun_type,MATCH(I926,akun_kb,0))="Bank"),"out"&amp;TEXT(B926,"mmmm")&amp;INDEX(akun_type,MATCH(H926,akun_kb,0)),"")),"")</f>
        <v>outNovemberAktiva Lancar Lainnya</v>
      </c>
      <c r="R926" s="34" t="str">
        <f t="shared" ref="R926:R928" si="686">IFERROR(INDEX(akun_type,MATCH(H926,akun_kb,0)),"")</f>
        <v>Aktiva Lancar Lainnya</v>
      </c>
      <c r="S926" s="34" t="str">
        <f t="shared" ref="S926:S928" si="687">IFERROR(INDEX(akun_type,MATCH(I926,akun_kb,0)),"")</f>
        <v>Kas</v>
      </c>
      <c r="T926" s="34" t="str">
        <f t="shared" ref="T926:T928" si="688">IF(AND(L926=1,OR(R926="Akun Piutang",R926="akun hutang",S926="akun piutang",S926="akun hutang")),E926,"")</f>
        <v/>
      </c>
      <c r="U926" s="34" t="str">
        <f>IF(AND(L926=1,bp_kode=T926,T926&lt;&gt;""),COUNTIF($T$8:T926,T926),"")</f>
        <v/>
      </c>
      <c r="V926" s="34" t="str">
        <f t="shared" ref="V926:V928" si="689">IF(OR(R926="Pendapatan",R926="Pendapatan Lainnya",R926="Beban",R926="Harga Pokok Penjualan",R926="Beban Lainnya"),"db"&amp;F926,IF(OR(S926="Pendapatan",S926="Pendapatan Lainnya",S926="Beban",S926="Harga Pokok Penjualan",S926="Beban Lainnya"),"kr"&amp;F926,""))</f>
        <v/>
      </c>
      <c r="W926" s="34" t="str">
        <f t="shared" ref="W926:W928" si="690">IF(OR(R926="Pendapatan",R926="Pendapatan Lainnya",R926="Beban",R926="Harga Pokok Penjualan",R926="Beban Lainnya"),"db"&amp;G926,IF(OR(S926="Pendapatan",S926="Pendapatan Lainnya",S926="Beban",S926="Harga Pokok Penjualan",S926="Beban Lainnya"),"kr"&amp;G926,""))</f>
        <v/>
      </c>
      <c r="X926" s="34" t="str">
        <f>IF(B926="","",COUNTIF($C$8:C926,C926)&amp;C926)</f>
        <v>0</v>
      </c>
    </row>
    <row r="927" spans="2:24" ht="23.1" customHeight="1">
      <c r="B927" s="31">
        <v>44895</v>
      </c>
      <c r="C927" s="9"/>
      <c r="D927" s="9" t="s">
        <v>773</v>
      </c>
      <c r="E927" s="7"/>
      <c r="F927" s="7"/>
      <c r="G927" s="7"/>
      <c r="H927" s="7" t="s">
        <v>700</v>
      </c>
      <c r="I927" s="7" t="s">
        <v>582</v>
      </c>
      <c r="J927" s="39">
        <v>185482039</v>
      </c>
      <c r="L927" s="16">
        <f t="shared" si="681"/>
        <v>1</v>
      </c>
      <c r="M927" s="16" t="str">
        <f t="shared" si="682"/>
        <v>November</v>
      </c>
      <c r="N927" s="16" t="str">
        <f t="shared" si="683"/>
        <v/>
      </c>
      <c r="O927" s="16" t="str">
        <f>IF(N927="","",COUNTIF($N$8:N927,N927))</f>
        <v/>
      </c>
      <c r="P927" s="34" t="str">
        <f t="shared" si="684"/>
        <v>outAkun Hutang</v>
      </c>
      <c r="Q927" s="34" t="str">
        <f t="shared" si="685"/>
        <v>outNovemberAkun Hutang</v>
      </c>
      <c r="R927" s="34" t="str">
        <f t="shared" si="686"/>
        <v>Akun Hutang</v>
      </c>
      <c r="S927" s="34" t="str">
        <f t="shared" si="687"/>
        <v>Kas</v>
      </c>
      <c r="T927" s="34">
        <f t="shared" si="688"/>
        <v>0</v>
      </c>
      <c r="U927" s="34" t="str">
        <f>IF(AND(L927=1,bp_kode=T927,T927&lt;&gt;""),COUNTIF($T$8:T927,T927),"")</f>
        <v/>
      </c>
      <c r="V927" s="34" t="str">
        <f t="shared" si="689"/>
        <v/>
      </c>
      <c r="W927" s="34" t="str">
        <f t="shared" si="690"/>
        <v/>
      </c>
      <c r="X927" s="34" t="str">
        <f>IF(B927="","",COUNTIF($C$8:C927,C927)&amp;C927)</f>
        <v>0</v>
      </c>
    </row>
    <row r="928" spans="2:24" ht="23.1" customHeight="1">
      <c r="B928" s="31">
        <v>44895</v>
      </c>
      <c r="C928" s="9"/>
      <c r="D928" s="9" t="s">
        <v>598</v>
      </c>
      <c r="E928" s="7"/>
      <c r="F928" s="7"/>
      <c r="G928" s="7"/>
      <c r="H928" s="7" t="s">
        <v>599</v>
      </c>
      <c r="I928" s="7" t="s">
        <v>582</v>
      </c>
      <c r="J928" s="39">
        <v>5050000</v>
      </c>
      <c r="L928" s="16">
        <f t="shared" si="681"/>
        <v>1</v>
      </c>
      <c r="M928" s="16" t="str">
        <f t="shared" si="682"/>
        <v>November</v>
      </c>
      <c r="N928" s="16" t="str">
        <f t="shared" si="683"/>
        <v/>
      </c>
      <c r="O928" s="16" t="str">
        <f>IF(N928="","",COUNTIF($N$8:N928,N928))</f>
        <v/>
      </c>
      <c r="P928" s="34" t="str">
        <f t="shared" si="684"/>
        <v>outAkun Hutang</v>
      </c>
      <c r="Q928" s="34" t="str">
        <f t="shared" si="685"/>
        <v>outNovemberAkun Hutang</v>
      </c>
      <c r="R928" s="34" t="str">
        <f t="shared" si="686"/>
        <v>Akun Hutang</v>
      </c>
      <c r="S928" s="34" t="str">
        <f t="shared" si="687"/>
        <v>Kas</v>
      </c>
      <c r="T928" s="34">
        <f t="shared" si="688"/>
        <v>0</v>
      </c>
      <c r="U928" s="34" t="str">
        <f>IF(AND(L928=1,bp_kode=T928,T928&lt;&gt;""),COUNTIF($T$8:T928,T928),"")</f>
        <v/>
      </c>
      <c r="V928" s="34" t="str">
        <f t="shared" si="689"/>
        <v/>
      </c>
      <c r="W928" s="34" t="str">
        <f t="shared" si="690"/>
        <v/>
      </c>
      <c r="X928" s="34" t="str">
        <f>IF(B928="","",COUNTIF($C$8:C928,C928)&amp;C928)</f>
        <v>0</v>
      </c>
    </row>
    <row r="929" spans="2:24" ht="23.1" customHeight="1">
      <c r="B929" s="31">
        <v>44895</v>
      </c>
      <c r="C929" s="9"/>
      <c r="D929" s="9" t="s">
        <v>605</v>
      </c>
      <c r="E929" s="7"/>
      <c r="F929" s="7"/>
      <c r="G929" s="7"/>
      <c r="H929" s="7" t="s">
        <v>603</v>
      </c>
      <c r="I929" s="7" t="s">
        <v>582</v>
      </c>
      <c r="J929" s="39">
        <v>8001250</v>
      </c>
      <c r="L929" s="16">
        <f t="shared" ref="L929:L956" si="691">IF(AND(B929&gt;=awal,B929&lt;=akhir,B929&lt;&gt;""),1,IF(AND(B929&lt;&gt;"",B929&lt;awal),2,""))</f>
        <v>1</v>
      </c>
      <c r="M929" s="16" t="str">
        <f t="shared" ref="M929:M956" si="692">IF(B929="","",TEXT(B929,"mmmm"))</f>
        <v>November</v>
      </c>
      <c r="N929" s="16" t="str">
        <f t="shared" ref="N929:N956" si="693">IF(AND(L929=1,H929=bb_akun),"Awe",IF(AND(L929=1,I929=bb_akun),"Awe",""))</f>
        <v/>
      </c>
      <c r="O929" s="16" t="str">
        <f>IF(N929="","",COUNTIF($N$8:N929,N929))</f>
        <v/>
      </c>
      <c r="P929" s="34" t="str">
        <f t="shared" ref="P929:P956" si="694">IFERROR(IF(OR(INDEX(akun_type,MATCH(H929,akun_kb,0))="Kas",INDEX(akun_type,MATCH(H929,akun_kb,0))="Bank"),"In"&amp;INDEX(akun_type,MATCH(I929,akun_kb,0)),IF(OR(INDEX(akun_type,MATCH(I929,akun_kb,0))="Kas",INDEX(akun_type,MATCH(I929,akun_kb,0))="Bank"),"out"&amp;INDEX(akun_type,MATCH(H929,akun_kb,0)),"")),"")</f>
        <v>outHarga Pokok Penjualan</v>
      </c>
      <c r="Q929" s="34" t="str">
        <f t="shared" ref="Q929:Q956" si="695">IFERROR(IF(OR(INDEX(akun_type,MATCH(H929,akun_kb,0))="Kas",INDEX(akun_type,MATCH(H929,akun_kb,0))="Bank"),"in"&amp;TEXT(B929,"mmmm")&amp;INDEX(akun_type,MATCH(I929,akun_kb,0)),IF(OR(INDEX(akun_type,MATCH(I929,akun_kb,0))="Kas",INDEX(akun_type,MATCH(I929,akun_kb,0))="Bank"),"out"&amp;TEXT(B929,"mmmm")&amp;INDEX(akun_type,MATCH(H929,akun_kb,0)),"")),"")</f>
        <v>outNovemberHarga Pokok Penjualan</v>
      </c>
      <c r="R929" s="34" t="str">
        <f t="shared" ref="R929:R956" si="696">IFERROR(INDEX(akun_type,MATCH(H929,akun_kb,0)),"")</f>
        <v>Harga Pokok Penjualan</v>
      </c>
      <c r="S929" s="34" t="str">
        <f t="shared" ref="S929:S956" si="697">IFERROR(INDEX(akun_type,MATCH(I929,akun_kb,0)),"")</f>
        <v>Kas</v>
      </c>
      <c r="T929" s="34" t="str">
        <f t="shared" ref="T929:T956" si="698">IF(AND(L929=1,OR(R929="Akun Piutang",R929="akun hutang",S929="akun piutang",S929="akun hutang")),E929,"")</f>
        <v/>
      </c>
      <c r="U929" s="34" t="str">
        <f>IF(AND(L929=1,bp_kode=T929,T929&lt;&gt;""),COUNTIF($T$8:T929,T929),"")</f>
        <v/>
      </c>
      <c r="V929" s="34" t="str">
        <f t="shared" ref="V929:V956" si="699">IF(OR(R929="Pendapatan",R929="Pendapatan Lainnya",R929="Beban",R929="Harga Pokok Penjualan",R929="Beban Lainnya"),"db"&amp;F929,IF(OR(S929="Pendapatan",S929="Pendapatan Lainnya",S929="Beban",S929="Harga Pokok Penjualan",S929="Beban Lainnya"),"kr"&amp;F929,""))</f>
        <v>db</v>
      </c>
      <c r="W929" s="34" t="str">
        <f t="shared" ref="W929:W956" si="700">IF(OR(R929="Pendapatan",R929="Pendapatan Lainnya",R929="Beban",R929="Harga Pokok Penjualan",R929="Beban Lainnya"),"db"&amp;G929,IF(OR(S929="Pendapatan",S929="Pendapatan Lainnya",S929="Beban",S929="Harga Pokok Penjualan",S929="Beban Lainnya"),"kr"&amp;G929,""))</f>
        <v>db</v>
      </c>
      <c r="X929" s="34" t="str">
        <f>IF(B929="","",COUNTIF($C$8:C929,C929)&amp;C929)</f>
        <v>0</v>
      </c>
    </row>
    <row r="930" spans="2:24" ht="23.1" customHeight="1">
      <c r="B930" s="31">
        <v>44895</v>
      </c>
      <c r="C930" s="9"/>
      <c r="D930" s="9" t="s">
        <v>609</v>
      </c>
      <c r="E930" s="7"/>
      <c r="F930" s="7"/>
      <c r="G930" s="7"/>
      <c r="H930" s="7" t="s">
        <v>606</v>
      </c>
      <c r="I930" s="7" t="s">
        <v>582</v>
      </c>
      <c r="J930" s="39">
        <v>4000000</v>
      </c>
      <c r="L930" s="16">
        <f t="shared" si="691"/>
        <v>1</v>
      </c>
      <c r="M930" s="16" t="str">
        <f t="shared" si="692"/>
        <v>November</v>
      </c>
      <c r="N930" s="16" t="str">
        <f t="shared" si="693"/>
        <v/>
      </c>
      <c r="O930" s="16" t="str">
        <f>IF(N930="","",COUNTIF($N$8:N930,N930))</f>
        <v/>
      </c>
      <c r="P930" s="34" t="str">
        <f t="shared" si="694"/>
        <v>outHarga Pokok Penjualan</v>
      </c>
      <c r="Q930" s="34" t="str">
        <f t="shared" si="695"/>
        <v>outNovemberHarga Pokok Penjualan</v>
      </c>
      <c r="R930" s="34" t="str">
        <f t="shared" si="696"/>
        <v>Harga Pokok Penjualan</v>
      </c>
      <c r="S930" s="34" t="str">
        <f t="shared" si="697"/>
        <v>Kas</v>
      </c>
      <c r="T930" s="34" t="str">
        <f t="shared" si="698"/>
        <v/>
      </c>
      <c r="U930" s="34" t="str">
        <f>IF(AND(L930=1,bp_kode=T930,T930&lt;&gt;""),COUNTIF($T$8:T930,T930),"")</f>
        <v/>
      </c>
      <c r="V930" s="34" t="str">
        <f t="shared" si="699"/>
        <v>db</v>
      </c>
      <c r="W930" s="34" t="str">
        <f t="shared" si="700"/>
        <v>db</v>
      </c>
      <c r="X930" s="34" t="str">
        <f>IF(B930="","",COUNTIF($C$8:C930,C930)&amp;C930)</f>
        <v>0</v>
      </c>
    </row>
    <row r="931" spans="2:24" ht="23.1" customHeight="1">
      <c r="B931" s="31">
        <v>44895</v>
      </c>
      <c r="C931" s="9"/>
      <c r="D931" s="9" t="s">
        <v>610</v>
      </c>
      <c r="E931" s="7"/>
      <c r="F931" s="7"/>
      <c r="G931" s="7"/>
      <c r="H931" s="7" t="s">
        <v>607</v>
      </c>
      <c r="I931" s="7" t="s">
        <v>582</v>
      </c>
      <c r="J931" s="39">
        <v>1325200</v>
      </c>
      <c r="L931" s="16">
        <f t="shared" si="691"/>
        <v>1</v>
      </c>
      <c r="M931" s="16" t="str">
        <f t="shared" si="692"/>
        <v>November</v>
      </c>
      <c r="N931" s="16" t="str">
        <f t="shared" si="693"/>
        <v/>
      </c>
      <c r="O931" s="16" t="str">
        <f>IF(N931="","",COUNTIF($N$8:N931,N931))</f>
        <v/>
      </c>
      <c r="P931" s="34" t="str">
        <f t="shared" si="694"/>
        <v>outHarga Pokok Penjualan</v>
      </c>
      <c r="Q931" s="34" t="str">
        <f t="shared" si="695"/>
        <v>outNovemberHarga Pokok Penjualan</v>
      </c>
      <c r="R931" s="34" t="str">
        <f t="shared" si="696"/>
        <v>Harga Pokok Penjualan</v>
      </c>
      <c r="S931" s="34" t="str">
        <f t="shared" si="697"/>
        <v>Kas</v>
      </c>
      <c r="T931" s="34" t="str">
        <f t="shared" si="698"/>
        <v/>
      </c>
      <c r="U931" s="34" t="str">
        <f>IF(AND(L931=1,bp_kode=T931,T931&lt;&gt;""),COUNTIF($T$8:T931,T931),"")</f>
        <v/>
      </c>
      <c r="V931" s="34" t="str">
        <f t="shared" si="699"/>
        <v>db</v>
      </c>
      <c r="W931" s="34" t="str">
        <f t="shared" si="700"/>
        <v>db</v>
      </c>
      <c r="X931" s="34" t="str">
        <f>IF(B931="","",COUNTIF($C$8:C931,C931)&amp;C931)</f>
        <v>0</v>
      </c>
    </row>
    <row r="932" spans="2:24" ht="23.1" customHeight="1">
      <c r="B932" s="31">
        <v>44895</v>
      </c>
      <c r="C932" s="9"/>
      <c r="D932" s="9" t="s">
        <v>775</v>
      </c>
      <c r="E932" s="7"/>
      <c r="F932" s="7"/>
      <c r="G932" s="7"/>
      <c r="H932" s="7" t="s">
        <v>774</v>
      </c>
      <c r="I932" s="7" t="s">
        <v>582</v>
      </c>
      <c r="J932" s="39">
        <v>1665000</v>
      </c>
      <c r="L932" s="16">
        <f t="shared" si="691"/>
        <v>1</v>
      </c>
      <c r="M932" s="16" t="str">
        <f t="shared" si="692"/>
        <v>November</v>
      </c>
      <c r="N932" s="16" t="str">
        <f t="shared" si="693"/>
        <v/>
      </c>
      <c r="O932" s="16" t="str">
        <f>IF(N932="","",COUNTIF($N$8:N932,N932))</f>
        <v/>
      </c>
      <c r="P932" s="34" t="str">
        <f t="shared" si="694"/>
        <v>outHarga Pokok Penjualan</v>
      </c>
      <c r="Q932" s="34" t="str">
        <f t="shared" si="695"/>
        <v>outNovemberHarga Pokok Penjualan</v>
      </c>
      <c r="R932" s="34" t="str">
        <f t="shared" si="696"/>
        <v>Harga Pokok Penjualan</v>
      </c>
      <c r="S932" s="34" t="str">
        <f t="shared" si="697"/>
        <v>Kas</v>
      </c>
      <c r="T932" s="34" t="str">
        <f t="shared" si="698"/>
        <v/>
      </c>
      <c r="U932" s="34" t="str">
        <f>IF(AND(L932=1,bp_kode=T932,T932&lt;&gt;""),COUNTIF($T$8:T932,T932),"")</f>
        <v/>
      </c>
      <c r="V932" s="34" t="str">
        <f t="shared" si="699"/>
        <v>db</v>
      </c>
      <c r="W932" s="34" t="str">
        <f t="shared" si="700"/>
        <v>db</v>
      </c>
      <c r="X932" s="34" t="str">
        <f>IF(B932="","",COUNTIF($C$8:C932,C932)&amp;C932)</f>
        <v>0</v>
      </c>
    </row>
    <row r="933" spans="2:24" ht="23.1" customHeight="1">
      <c r="B933" s="31">
        <v>44895</v>
      </c>
      <c r="C933" s="9"/>
      <c r="D933" s="9" t="s">
        <v>604</v>
      </c>
      <c r="E933" s="7"/>
      <c r="F933" s="7"/>
      <c r="G933" s="7"/>
      <c r="H933" s="7" t="s">
        <v>602</v>
      </c>
      <c r="I933" s="7" t="s">
        <v>582</v>
      </c>
      <c r="J933" s="39">
        <v>18663400</v>
      </c>
      <c r="L933" s="16">
        <f t="shared" ref="L933" si="701">IF(AND(B933&gt;=awal,B933&lt;=akhir,B933&lt;&gt;""),1,IF(AND(B933&lt;&gt;"",B933&lt;awal),2,""))</f>
        <v>1</v>
      </c>
      <c r="M933" s="16" t="str">
        <f t="shared" ref="M933" si="702">IF(B933="","",TEXT(B933,"mmmm"))</f>
        <v>November</v>
      </c>
      <c r="N933" s="16" t="str">
        <f t="shared" ref="N933" si="703">IF(AND(L933=1,H933=bb_akun),"Awe",IF(AND(L933=1,I933=bb_akun),"Awe",""))</f>
        <v/>
      </c>
      <c r="O933" s="16" t="str">
        <f>IF(N933="","",COUNTIF($N$8:N933,N933))</f>
        <v/>
      </c>
      <c r="P933" s="34" t="str">
        <f t="shared" ref="P933" si="704">IFERROR(IF(OR(INDEX(akun_type,MATCH(H933,akun_kb,0))="Kas",INDEX(akun_type,MATCH(H933,akun_kb,0))="Bank"),"In"&amp;INDEX(akun_type,MATCH(I933,akun_kb,0)),IF(OR(INDEX(akun_type,MATCH(I933,akun_kb,0))="Kas",INDEX(akun_type,MATCH(I933,akun_kb,0))="Bank"),"out"&amp;INDEX(akun_type,MATCH(H933,akun_kb,0)),"")),"")</f>
        <v>outHarga Pokok Penjualan</v>
      </c>
      <c r="Q933" s="34" t="str">
        <f t="shared" ref="Q933" si="705">IFERROR(IF(OR(INDEX(akun_type,MATCH(H933,akun_kb,0))="Kas",INDEX(akun_type,MATCH(H933,akun_kb,0))="Bank"),"in"&amp;TEXT(B933,"mmmm")&amp;INDEX(akun_type,MATCH(I933,akun_kb,0)),IF(OR(INDEX(akun_type,MATCH(I933,akun_kb,0))="Kas",INDEX(akun_type,MATCH(I933,akun_kb,0))="Bank"),"out"&amp;TEXT(B933,"mmmm")&amp;INDEX(akun_type,MATCH(H933,akun_kb,0)),"")),"")</f>
        <v>outNovemberHarga Pokok Penjualan</v>
      </c>
      <c r="R933" s="34" t="str">
        <f t="shared" ref="R933" si="706">IFERROR(INDEX(akun_type,MATCH(H933,akun_kb,0)),"")</f>
        <v>Harga Pokok Penjualan</v>
      </c>
      <c r="S933" s="34" t="str">
        <f t="shared" ref="S933" si="707">IFERROR(INDEX(akun_type,MATCH(I933,akun_kb,0)),"")</f>
        <v>Kas</v>
      </c>
      <c r="T933" s="34" t="str">
        <f t="shared" ref="T933" si="708">IF(AND(L933=1,OR(R933="Akun Piutang",R933="akun hutang",S933="akun piutang",S933="akun hutang")),E933,"")</f>
        <v/>
      </c>
      <c r="U933" s="34" t="str">
        <f>IF(AND(L933=1,bp_kode=T933,T933&lt;&gt;""),COUNTIF($T$8:T933,T933),"")</f>
        <v/>
      </c>
      <c r="V933" s="34" t="str">
        <f t="shared" ref="V933" si="709">IF(OR(R933="Pendapatan",R933="Pendapatan Lainnya",R933="Beban",R933="Harga Pokok Penjualan",R933="Beban Lainnya"),"db"&amp;F933,IF(OR(S933="Pendapatan",S933="Pendapatan Lainnya",S933="Beban",S933="Harga Pokok Penjualan",S933="Beban Lainnya"),"kr"&amp;F933,""))</f>
        <v>db</v>
      </c>
      <c r="W933" s="34" t="str">
        <f t="shared" ref="W933" si="710">IF(OR(R933="Pendapatan",R933="Pendapatan Lainnya",R933="Beban",R933="Harga Pokok Penjualan",R933="Beban Lainnya"),"db"&amp;G933,IF(OR(S933="Pendapatan",S933="Pendapatan Lainnya",S933="Beban",S933="Harga Pokok Penjualan",S933="Beban Lainnya"),"kr"&amp;G933,""))</f>
        <v>db</v>
      </c>
      <c r="X933" s="34" t="str">
        <f>IF(B933="","",COUNTIF($C$8:C933,C933)&amp;C933)</f>
        <v>0</v>
      </c>
    </row>
    <row r="934" spans="2:24" ht="23.1" customHeight="1">
      <c r="B934" s="31">
        <v>44895</v>
      </c>
      <c r="C934" s="9"/>
      <c r="D934" s="9" t="s">
        <v>604</v>
      </c>
      <c r="E934" s="7"/>
      <c r="F934" s="7"/>
      <c r="G934" s="7"/>
      <c r="H934" s="7" t="s">
        <v>812</v>
      </c>
      <c r="I934" s="7" t="s">
        <v>582</v>
      </c>
      <c r="J934" s="39">
        <v>7620000</v>
      </c>
      <c r="L934" s="16">
        <f t="shared" ref="L934" si="711">IF(AND(B934&gt;=awal,B934&lt;=akhir,B934&lt;&gt;""),1,IF(AND(B934&lt;&gt;"",B934&lt;awal),2,""))</f>
        <v>1</v>
      </c>
      <c r="M934" s="16" t="str">
        <f t="shared" ref="M934" si="712">IF(B934="","",TEXT(B934,"mmmm"))</f>
        <v>November</v>
      </c>
      <c r="N934" s="16" t="str">
        <f t="shared" ref="N934" si="713">IF(AND(L934=1,H934=bb_akun),"Awe",IF(AND(L934=1,I934=bb_akun),"Awe",""))</f>
        <v/>
      </c>
      <c r="O934" s="16" t="str">
        <f>IF(N934="","",COUNTIF($N$8:N934,N934))</f>
        <v/>
      </c>
      <c r="P934" s="34" t="str">
        <f t="shared" ref="P934" si="714">IFERROR(IF(OR(INDEX(akun_type,MATCH(H934,akun_kb,0))="Kas",INDEX(akun_type,MATCH(H934,akun_kb,0))="Bank"),"In"&amp;INDEX(akun_type,MATCH(I934,akun_kb,0)),IF(OR(INDEX(akun_type,MATCH(I934,akun_kb,0))="Kas",INDEX(akun_type,MATCH(I934,akun_kb,0))="Bank"),"out"&amp;INDEX(akun_type,MATCH(H934,akun_kb,0)),"")),"")</f>
        <v>outHarga Pokok Penjualan</v>
      </c>
      <c r="Q934" s="34" t="str">
        <f t="shared" ref="Q934" si="715">IFERROR(IF(OR(INDEX(akun_type,MATCH(H934,akun_kb,0))="Kas",INDEX(akun_type,MATCH(H934,akun_kb,0))="Bank"),"in"&amp;TEXT(B934,"mmmm")&amp;INDEX(akun_type,MATCH(I934,akun_kb,0)),IF(OR(INDEX(akun_type,MATCH(I934,akun_kb,0))="Kas",INDEX(akun_type,MATCH(I934,akun_kb,0))="Bank"),"out"&amp;TEXT(B934,"mmmm")&amp;INDEX(akun_type,MATCH(H934,akun_kb,0)),"")),"")</f>
        <v>outNovemberHarga Pokok Penjualan</v>
      </c>
      <c r="R934" s="34" t="str">
        <f t="shared" ref="R934" si="716">IFERROR(INDEX(akun_type,MATCH(H934,akun_kb,0)),"")</f>
        <v>Harga Pokok Penjualan</v>
      </c>
      <c r="S934" s="34" t="str">
        <f t="shared" ref="S934" si="717">IFERROR(INDEX(akun_type,MATCH(I934,akun_kb,0)),"")</f>
        <v>Kas</v>
      </c>
      <c r="T934" s="34" t="str">
        <f t="shared" ref="T934" si="718">IF(AND(L934=1,OR(R934="Akun Piutang",R934="akun hutang",S934="akun piutang",S934="akun hutang")),E934,"")</f>
        <v/>
      </c>
      <c r="U934" s="34" t="str">
        <f>IF(AND(L934=1,bp_kode=T934,T934&lt;&gt;""),COUNTIF($T$8:T934,T934),"")</f>
        <v/>
      </c>
      <c r="V934" s="34" t="str">
        <f t="shared" ref="V934" si="719">IF(OR(R934="Pendapatan",R934="Pendapatan Lainnya",R934="Beban",R934="Harga Pokok Penjualan",R934="Beban Lainnya"),"db"&amp;F934,IF(OR(S934="Pendapatan",S934="Pendapatan Lainnya",S934="Beban",S934="Harga Pokok Penjualan",S934="Beban Lainnya"),"kr"&amp;F934,""))</f>
        <v>db</v>
      </c>
      <c r="W934" s="34" t="str">
        <f t="shared" ref="W934" si="720">IF(OR(R934="Pendapatan",R934="Pendapatan Lainnya",R934="Beban",R934="Harga Pokok Penjualan",R934="Beban Lainnya"),"db"&amp;G934,IF(OR(S934="Pendapatan",S934="Pendapatan Lainnya",S934="Beban",S934="Harga Pokok Penjualan",S934="Beban Lainnya"),"kr"&amp;G934,""))</f>
        <v>db</v>
      </c>
      <c r="X934" s="34" t="str">
        <f>IF(B934="","",COUNTIF($C$8:C934,C934)&amp;C934)</f>
        <v>0</v>
      </c>
    </row>
    <row r="935" spans="2:24" ht="23.1" customHeight="1">
      <c r="B935" s="31">
        <v>44895</v>
      </c>
      <c r="C935" s="9"/>
      <c r="D935" s="9" t="s">
        <v>760</v>
      </c>
      <c r="E935" s="7"/>
      <c r="F935" s="7"/>
      <c r="G935" s="7"/>
      <c r="H935" s="7" t="s">
        <v>758</v>
      </c>
      <c r="I935" s="7" t="s">
        <v>582</v>
      </c>
      <c r="J935" s="39">
        <v>10753000</v>
      </c>
      <c r="L935" s="16">
        <f t="shared" si="691"/>
        <v>1</v>
      </c>
      <c r="M935" s="16" t="str">
        <f t="shared" si="692"/>
        <v>November</v>
      </c>
      <c r="N935" s="16" t="str">
        <f t="shared" si="693"/>
        <v/>
      </c>
      <c r="O935" s="16" t="str">
        <f>IF(N935="","",COUNTIF($N$8:N935,N935))</f>
        <v/>
      </c>
      <c r="P935" s="34" t="str">
        <f t="shared" si="694"/>
        <v>outHarga Pokok Penjualan</v>
      </c>
      <c r="Q935" s="34" t="str">
        <f t="shared" si="695"/>
        <v>outNovemberHarga Pokok Penjualan</v>
      </c>
      <c r="R935" s="34" t="str">
        <f t="shared" si="696"/>
        <v>Harga Pokok Penjualan</v>
      </c>
      <c r="S935" s="34" t="str">
        <f t="shared" si="697"/>
        <v>Kas</v>
      </c>
      <c r="T935" s="34" t="str">
        <f t="shared" si="698"/>
        <v/>
      </c>
      <c r="U935" s="34" t="str">
        <f>IF(AND(L935=1,bp_kode=T935,T935&lt;&gt;""),COUNTIF($T$8:T935,T935),"")</f>
        <v/>
      </c>
      <c r="V935" s="34" t="str">
        <f t="shared" si="699"/>
        <v>db</v>
      </c>
      <c r="W935" s="34" t="str">
        <f t="shared" si="700"/>
        <v>db</v>
      </c>
      <c r="X935" s="34" t="str">
        <f>IF(B935="","",COUNTIF($C$8:C935,C935)&amp;C935)</f>
        <v>0</v>
      </c>
    </row>
    <row r="936" spans="2:24" ht="23.1" customHeight="1">
      <c r="B936" s="31">
        <v>44895</v>
      </c>
      <c r="C936" s="9"/>
      <c r="D936" s="9" t="s">
        <v>762</v>
      </c>
      <c r="E936" s="7"/>
      <c r="F936" s="7"/>
      <c r="G936" s="7"/>
      <c r="H936" s="7" t="s">
        <v>761</v>
      </c>
      <c r="I936" s="7" t="s">
        <v>582</v>
      </c>
      <c r="J936" s="39">
        <v>13027500</v>
      </c>
      <c r="L936" s="16">
        <f t="shared" si="691"/>
        <v>1</v>
      </c>
      <c r="M936" s="16" t="str">
        <f t="shared" si="692"/>
        <v>November</v>
      </c>
      <c r="N936" s="16" t="str">
        <f t="shared" si="693"/>
        <v/>
      </c>
      <c r="O936" s="16" t="str">
        <f>IF(N936="","",COUNTIF($N$8:N936,N936))</f>
        <v/>
      </c>
      <c r="P936" s="34" t="str">
        <f t="shared" si="694"/>
        <v>outHarga Pokok Penjualan</v>
      </c>
      <c r="Q936" s="34" t="str">
        <f t="shared" si="695"/>
        <v>outNovemberHarga Pokok Penjualan</v>
      </c>
      <c r="R936" s="34" t="str">
        <f t="shared" si="696"/>
        <v>Harga Pokok Penjualan</v>
      </c>
      <c r="S936" s="34" t="str">
        <f t="shared" si="697"/>
        <v>Kas</v>
      </c>
      <c r="T936" s="34" t="str">
        <f t="shared" si="698"/>
        <v/>
      </c>
      <c r="U936" s="34" t="str">
        <f>IF(AND(L936=1,bp_kode=T936,T936&lt;&gt;""),COUNTIF($T$8:T936,T936),"")</f>
        <v/>
      </c>
      <c r="V936" s="34" t="str">
        <f t="shared" si="699"/>
        <v>db</v>
      </c>
      <c r="W936" s="34" t="str">
        <f t="shared" si="700"/>
        <v>db</v>
      </c>
      <c r="X936" s="34" t="str">
        <f>IF(B936="","",COUNTIF($C$8:C936,C936)&amp;C936)</f>
        <v>0</v>
      </c>
    </row>
    <row r="937" spans="2:24" ht="23.1" customHeight="1">
      <c r="B937" s="31">
        <v>44895</v>
      </c>
      <c r="C937" s="9"/>
      <c r="D937" s="9" t="s">
        <v>776</v>
      </c>
      <c r="E937" s="7"/>
      <c r="F937" s="7"/>
      <c r="G937" s="7"/>
      <c r="H937" s="7" t="s">
        <v>759</v>
      </c>
      <c r="I937" s="7" t="s">
        <v>582</v>
      </c>
      <c r="J937" s="39">
        <v>11426047</v>
      </c>
      <c r="L937" s="16">
        <f t="shared" si="691"/>
        <v>1</v>
      </c>
      <c r="M937" s="16" t="str">
        <f t="shared" si="692"/>
        <v>November</v>
      </c>
      <c r="N937" s="16" t="str">
        <f t="shared" si="693"/>
        <v/>
      </c>
      <c r="O937" s="16" t="str">
        <f>IF(N937="","",COUNTIF($N$8:N937,N937))</f>
        <v/>
      </c>
      <c r="P937" s="34" t="str">
        <f t="shared" si="694"/>
        <v>outHarga Pokok Penjualan</v>
      </c>
      <c r="Q937" s="34" t="str">
        <f t="shared" si="695"/>
        <v>outNovemberHarga Pokok Penjualan</v>
      </c>
      <c r="R937" s="34" t="str">
        <f t="shared" si="696"/>
        <v>Harga Pokok Penjualan</v>
      </c>
      <c r="S937" s="34" t="str">
        <f t="shared" si="697"/>
        <v>Kas</v>
      </c>
      <c r="T937" s="34" t="str">
        <f t="shared" si="698"/>
        <v/>
      </c>
      <c r="U937" s="34" t="str">
        <f>IF(AND(L937=1,bp_kode=T937,T937&lt;&gt;""),COUNTIF($T$8:T937,T937),"")</f>
        <v/>
      </c>
      <c r="V937" s="34" t="str">
        <f t="shared" si="699"/>
        <v>db</v>
      </c>
      <c r="W937" s="34" t="str">
        <f t="shared" si="700"/>
        <v>db</v>
      </c>
      <c r="X937" s="34" t="str">
        <f>IF(B937="","",COUNTIF($C$8:C937,C937)&amp;C937)</f>
        <v>0</v>
      </c>
    </row>
    <row r="938" spans="2:24" ht="23.1" customHeight="1">
      <c r="B938" s="31">
        <v>44895</v>
      </c>
      <c r="C938" s="9"/>
      <c r="D938" s="9" t="s">
        <v>696</v>
      </c>
      <c r="E938" s="7"/>
      <c r="F938" s="7"/>
      <c r="G938" s="7"/>
      <c r="H938" s="7" t="s">
        <v>695</v>
      </c>
      <c r="I938" s="7" t="s">
        <v>582</v>
      </c>
      <c r="J938" s="39">
        <v>23043600</v>
      </c>
      <c r="L938" s="16">
        <f t="shared" si="691"/>
        <v>1</v>
      </c>
      <c r="M938" s="16" t="str">
        <f t="shared" si="692"/>
        <v>November</v>
      </c>
      <c r="N938" s="16" t="str">
        <f t="shared" si="693"/>
        <v>Awe</v>
      </c>
      <c r="O938" s="16">
        <f>IF(N938="","",COUNTIF($N$8:N938,N938))</f>
        <v>12</v>
      </c>
      <c r="P938" s="34" t="str">
        <f t="shared" si="694"/>
        <v>outHarga Pokok Penjualan</v>
      </c>
      <c r="Q938" s="34" t="str">
        <f t="shared" si="695"/>
        <v>outNovemberHarga Pokok Penjualan</v>
      </c>
      <c r="R938" s="34" t="str">
        <f t="shared" si="696"/>
        <v>Harga Pokok Penjualan</v>
      </c>
      <c r="S938" s="34" t="str">
        <f t="shared" si="697"/>
        <v>Kas</v>
      </c>
      <c r="T938" s="34" t="str">
        <f t="shared" si="698"/>
        <v/>
      </c>
      <c r="U938" s="34" t="str">
        <f>IF(AND(L938=1,bp_kode=T938,T938&lt;&gt;""),COUNTIF($T$8:T938,T938),"")</f>
        <v/>
      </c>
      <c r="V938" s="34" t="str">
        <f t="shared" si="699"/>
        <v>db</v>
      </c>
      <c r="W938" s="34" t="str">
        <f t="shared" si="700"/>
        <v>db</v>
      </c>
      <c r="X938" s="34" t="str">
        <f>IF(B938="","",COUNTIF($C$8:C938,C938)&amp;C938)</f>
        <v>0</v>
      </c>
    </row>
    <row r="939" spans="2:24" ht="23.1" customHeight="1">
      <c r="B939" s="31">
        <v>44895</v>
      </c>
      <c r="C939" s="9"/>
      <c r="D939" s="9" t="s">
        <v>612</v>
      </c>
      <c r="E939" s="7"/>
      <c r="F939" s="7"/>
      <c r="G939" s="7"/>
      <c r="H939" s="7" t="s">
        <v>613</v>
      </c>
      <c r="I939" s="7" t="s">
        <v>582</v>
      </c>
      <c r="J939" s="39">
        <v>10298000</v>
      </c>
      <c r="L939" s="16">
        <f t="shared" si="691"/>
        <v>1</v>
      </c>
      <c r="M939" s="16" t="str">
        <f t="shared" si="692"/>
        <v>November</v>
      </c>
      <c r="N939" s="16" t="str">
        <f t="shared" si="693"/>
        <v/>
      </c>
      <c r="O939" s="16" t="str">
        <f>IF(N939="","",COUNTIF($N$8:N939,N939))</f>
        <v/>
      </c>
      <c r="P939" s="34" t="str">
        <f t="shared" si="694"/>
        <v>outHarga Pokok Penjualan</v>
      </c>
      <c r="Q939" s="34" t="str">
        <f t="shared" si="695"/>
        <v>outNovemberHarga Pokok Penjualan</v>
      </c>
      <c r="R939" s="34" t="str">
        <f t="shared" si="696"/>
        <v>Harga Pokok Penjualan</v>
      </c>
      <c r="S939" s="34" t="str">
        <f t="shared" si="697"/>
        <v>Kas</v>
      </c>
      <c r="T939" s="34" t="str">
        <f t="shared" si="698"/>
        <v/>
      </c>
      <c r="U939" s="34" t="str">
        <f>IF(AND(L939=1,bp_kode=T939,T939&lt;&gt;""),COUNTIF($T$8:T939,T939),"")</f>
        <v/>
      </c>
      <c r="V939" s="34" t="str">
        <f t="shared" si="699"/>
        <v>db</v>
      </c>
      <c r="W939" s="34" t="str">
        <f t="shared" si="700"/>
        <v>db</v>
      </c>
      <c r="X939" s="34" t="str">
        <f>IF(B939="","",COUNTIF($C$8:C939,C939)&amp;C939)</f>
        <v>0</v>
      </c>
    </row>
    <row r="940" spans="2:24" ht="23.1" customHeight="1">
      <c r="B940" s="31">
        <v>44895</v>
      </c>
      <c r="C940" s="9"/>
      <c r="D940" s="9" t="s">
        <v>621</v>
      </c>
      <c r="E940" s="7"/>
      <c r="F940" s="7"/>
      <c r="G940" s="7"/>
      <c r="H940" s="7" t="s">
        <v>614</v>
      </c>
      <c r="I940" s="7" t="s">
        <v>582</v>
      </c>
      <c r="J940" s="39">
        <v>40699000</v>
      </c>
      <c r="L940" s="16">
        <f t="shared" si="691"/>
        <v>1</v>
      </c>
      <c r="M940" s="16" t="str">
        <f t="shared" si="692"/>
        <v>November</v>
      </c>
      <c r="N940" s="16" t="str">
        <f t="shared" si="693"/>
        <v/>
      </c>
      <c r="O940" s="16" t="str">
        <f>IF(N940="","",COUNTIF($N$8:N940,N940))</f>
        <v/>
      </c>
      <c r="P940" s="34" t="str">
        <f t="shared" si="694"/>
        <v>outBeban</v>
      </c>
      <c r="Q940" s="34" t="str">
        <f t="shared" si="695"/>
        <v>outNovemberBeban</v>
      </c>
      <c r="R940" s="34" t="str">
        <f t="shared" si="696"/>
        <v>Beban</v>
      </c>
      <c r="S940" s="34" t="str">
        <f t="shared" si="697"/>
        <v>Kas</v>
      </c>
      <c r="T940" s="34" t="str">
        <f t="shared" si="698"/>
        <v/>
      </c>
      <c r="U940" s="34" t="str">
        <f>IF(AND(L940=1,bp_kode=T940,T940&lt;&gt;""),COUNTIF($T$8:T940,T940),"")</f>
        <v/>
      </c>
      <c r="V940" s="34" t="str">
        <f t="shared" si="699"/>
        <v>db</v>
      </c>
      <c r="W940" s="34" t="str">
        <f t="shared" si="700"/>
        <v>db</v>
      </c>
      <c r="X940" s="34" t="str">
        <f>IF(B940="","",COUNTIF($C$8:C940,C940)&amp;C940)</f>
        <v>0</v>
      </c>
    </row>
    <row r="941" spans="2:24" ht="23.1" customHeight="1">
      <c r="B941" s="31">
        <v>44895</v>
      </c>
      <c r="C941" s="9"/>
      <c r="D941" s="9" t="s">
        <v>624</v>
      </c>
      <c r="E941" s="7"/>
      <c r="F941" s="7"/>
      <c r="G941" s="7"/>
      <c r="H941" s="7" t="s">
        <v>617</v>
      </c>
      <c r="I941" s="7" t="s">
        <v>582</v>
      </c>
      <c r="J941" s="39">
        <v>98576200</v>
      </c>
      <c r="L941" s="16">
        <f t="shared" si="691"/>
        <v>1</v>
      </c>
      <c r="M941" s="16" t="str">
        <f t="shared" si="692"/>
        <v>November</v>
      </c>
      <c r="N941" s="16" t="str">
        <f t="shared" si="693"/>
        <v/>
      </c>
      <c r="O941" s="16" t="str">
        <f>IF(N941="","",COUNTIF($N$8:N941,N941))</f>
        <v/>
      </c>
      <c r="P941" s="34" t="str">
        <f t="shared" si="694"/>
        <v>outBeban</v>
      </c>
      <c r="Q941" s="34" t="str">
        <f t="shared" si="695"/>
        <v>outNovemberBeban</v>
      </c>
      <c r="R941" s="34" t="str">
        <f t="shared" si="696"/>
        <v>Beban</v>
      </c>
      <c r="S941" s="34" t="str">
        <f t="shared" si="697"/>
        <v>Kas</v>
      </c>
      <c r="T941" s="34" t="str">
        <f t="shared" si="698"/>
        <v/>
      </c>
      <c r="U941" s="34" t="str">
        <f>IF(AND(L941=1,bp_kode=T941,T941&lt;&gt;""),COUNTIF($T$8:T941,T941),"")</f>
        <v/>
      </c>
      <c r="V941" s="34" t="str">
        <f t="shared" si="699"/>
        <v>db</v>
      </c>
      <c r="W941" s="34" t="str">
        <f t="shared" si="700"/>
        <v>db</v>
      </c>
      <c r="X941" s="34" t="str">
        <f>IF(B941="","",COUNTIF($C$8:C941,C941)&amp;C941)</f>
        <v>0</v>
      </c>
    </row>
    <row r="942" spans="2:24" ht="23.1" customHeight="1">
      <c r="B942" s="31">
        <v>44895</v>
      </c>
      <c r="C942" s="9"/>
      <c r="D942" s="9" t="s">
        <v>625</v>
      </c>
      <c r="E942" s="7"/>
      <c r="F942" s="7"/>
      <c r="G942" s="7"/>
      <c r="H942" s="7" t="s">
        <v>618</v>
      </c>
      <c r="I942" s="7" t="s">
        <v>582</v>
      </c>
      <c r="J942" s="39">
        <v>214317796</v>
      </c>
      <c r="L942" s="16">
        <f t="shared" si="691"/>
        <v>1</v>
      </c>
      <c r="M942" s="16" t="str">
        <f t="shared" si="692"/>
        <v>November</v>
      </c>
      <c r="N942" s="16" t="str">
        <f t="shared" si="693"/>
        <v/>
      </c>
      <c r="O942" s="16" t="str">
        <f>IF(N942="","",COUNTIF($N$8:N942,N942))</f>
        <v/>
      </c>
      <c r="P942" s="34" t="str">
        <f t="shared" si="694"/>
        <v>outBeban</v>
      </c>
      <c r="Q942" s="34" t="str">
        <f t="shared" si="695"/>
        <v>outNovemberBeban</v>
      </c>
      <c r="R942" s="34" t="str">
        <f t="shared" si="696"/>
        <v>Beban</v>
      </c>
      <c r="S942" s="34" t="str">
        <f t="shared" si="697"/>
        <v>Kas</v>
      </c>
      <c r="T942" s="34" t="str">
        <f t="shared" si="698"/>
        <v/>
      </c>
      <c r="U942" s="34" t="str">
        <f>IF(AND(L942=1,bp_kode=T942,T942&lt;&gt;""),COUNTIF($T$8:T942,T942),"")</f>
        <v/>
      </c>
      <c r="V942" s="34" t="str">
        <f t="shared" si="699"/>
        <v>db</v>
      </c>
      <c r="W942" s="34" t="str">
        <f t="shared" si="700"/>
        <v>db</v>
      </c>
      <c r="X942" s="34" t="str">
        <f>IF(B942="","",COUNTIF($C$8:C942,C942)&amp;C942)</f>
        <v>0</v>
      </c>
    </row>
    <row r="943" spans="2:24" ht="23.1" customHeight="1">
      <c r="B943" s="31">
        <v>44895</v>
      </c>
      <c r="C943" s="9"/>
      <c r="D943" s="9" t="s">
        <v>626</v>
      </c>
      <c r="E943" s="7"/>
      <c r="F943" s="7"/>
      <c r="G943" s="7"/>
      <c r="H943" s="7" t="s">
        <v>619</v>
      </c>
      <c r="I943" s="7" t="s">
        <v>582</v>
      </c>
      <c r="J943" s="39">
        <v>216567362</v>
      </c>
      <c r="L943" s="16">
        <f t="shared" si="691"/>
        <v>1</v>
      </c>
      <c r="M943" s="16" t="str">
        <f t="shared" si="692"/>
        <v>November</v>
      </c>
      <c r="N943" s="16" t="str">
        <f t="shared" si="693"/>
        <v/>
      </c>
      <c r="O943" s="16" t="str">
        <f>IF(N943="","",COUNTIF($N$8:N943,N943))</f>
        <v/>
      </c>
      <c r="P943" s="34" t="str">
        <f t="shared" si="694"/>
        <v>outBeban</v>
      </c>
      <c r="Q943" s="34" t="str">
        <f t="shared" si="695"/>
        <v>outNovemberBeban</v>
      </c>
      <c r="R943" s="34" t="str">
        <f t="shared" si="696"/>
        <v>Beban</v>
      </c>
      <c r="S943" s="34" t="str">
        <f t="shared" si="697"/>
        <v>Kas</v>
      </c>
      <c r="T943" s="34" t="str">
        <f t="shared" si="698"/>
        <v/>
      </c>
      <c r="U943" s="34" t="str">
        <f>IF(AND(L943=1,bp_kode=T943,T943&lt;&gt;""),COUNTIF($T$8:T943,T943),"")</f>
        <v/>
      </c>
      <c r="V943" s="34" t="str">
        <f t="shared" si="699"/>
        <v>db</v>
      </c>
      <c r="W943" s="34" t="str">
        <f t="shared" si="700"/>
        <v>db</v>
      </c>
      <c r="X943" s="34" t="str">
        <f>IF(B943="","",COUNTIF($C$8:C943,C943)&amp;C943)</f>
        <v>0</v>
      </c>
    </row>
    <row r="944" spans="2:24" ht="23.1" customHeight="1">
      <c r="B944" s="31">
        <v>44895</v>
      </c>
      <c r="C944" s="9"/>
      <c r="D944" s="9" t="s">
        <v>627</v>
      </c>
      <c r="E944" s="7"/>
      <c r="F944" s="7"/>
      <c r="G944" s="7"/>
      <c r="H944" s="7" t="s">
        <v>620</v>
      </c>
      <c r="I944" s="7" t="s">
        <v>582</v>
      </c>
      <c r="J944" s="39">
        <v>32714838</v>
      </c>
      <c r="L944" s="16">
        <f t="shared" si="691"/>
        <v>1</v>
      </c>
      <c r="M944" s="16" t="str">
        <f t="shared" si="692"/>
        <v>November</v>
      </c>
      <c r="N944" s="16" t="str">
        <f t="shared" si="693"/>
        <v/>
      </c>
      <c r="O944" s="16" t="str">
        <f>IF(N944="","",COUNTIF($N$8:N944,N944))</f>
        <v/>
      </c>
      <c r="P944" s="34" t="str">
        <f t="shared" si="694"/>
        <v>outBeban</v>
      </c>
      <c r="Q944" s="34" t="str">
        <f t="shared" si="695"/>
        <v>outNovemberBeban</v>
      </c>
      <c r="R944" s="34" t="str">
        <f t="shared" si="696"/>
        <v>Beban</v>
      </c>
      <c r="S944" s="34" t="str">
        <f t="shared" si="697"/>
        <v>Kas</v>
      </c>
      <c r="T944" s="34" t="str">
        <f t="shared" si="698"/>
        <v/>
      </c>
      <c r="U944" s="34" t="str">
        <f>IF(AND(L944=1,bp_kode=T944,T944&lt;&gt;""),COUNTIF($T$8:T944,T944),"")</f>
        <v/>
      </c>
      <c r="V944" s="34" t="str">
        <f t="shared" si="699"/>
        <v>db</v>
      </c>
      <c r="W944" s="34" t="str">
        <f t="shared" si="700"/>
        <v>db</v>
      </c>
      <c r="X944" s="34" t="str">
        <f>IF(B944="","",COUNTIF($C$8:C944,C944)&amp;C944)</f>
        <v>0</v>
      </c>
    </row>
    <row r="945" spans="2:24" ht="23.1" customHeight="1">
      <c r="B945" s="31">
        <v>44895</v>
      </c>
      <c r="C945" s="9"/>
      <c r="D945" s="9" t="s">
        <v>780</v>
      </c>
      <c r="E945" s="7"/>
      <c r="F945" s="7"/>
      <c r="G945" s="7"/>
      <c r="H945" s="7" t="s">
        <v>778</v>
      </c>
      <c r="I945" s="7" t="s">
        <v>582</v>
      </c>
      <c r="J945" s="39">
        <v>2500000</v>
      </c>
      <c r="L945" s="16">
        <f t="shared" si="691"/>
        <v>1</v>
      </c>
      <c r="M945" s="16" t="str">
        <f t="shared" si="692"/>
        <v>November</v>
      </c>
      <c r="N945" s="16" t="str">
        <f t="shared" si="693"/>
        <v/>
      </c>
      <c r="O945" s="16" t="str">
        <f>IF(N945="","",COUNTIF($N$8:N945,N945))</f>
        <v/>
      </c>
      <c r="P945" s="34" t="str">
        <f t="shared" si="694"/>
        <v>outBeban</v>
      </c>
      <c r="Q945" s="34" t="str">
        <f t="shared" si="695"/>
        <v>outNovemberBeban</v>
      </c>
      <c r="R945" s="34" t="str">
        <f t="shared" si="696"/>
        <v>Beban</v>
      </c>
      <c r="S945" s="34" t="str">
        <f t="shared" si="697"/>
        <v>Kas</v>
      </c>
      <c r="T945" s="34" t="str">
        <f t="shared" si="698"/>
        <v/>
      </c>
      <c r="U945" s="34" t="str">
        <f>IF(AND(L945=1,bp_kode=T945,T945&lt;&gt;""),COUNTIF($T$8:T945,T945),"")</f>
        <v/>
      </c>
      <c r="V945" s="34" t="str">
        <f t="shared" si="699"/>
        <v>db</v>
      </c>
      <c r="W945" s="34" t="str">
        <f t="shared" si="700"/>
        <v>db</v>
      </c>
      <c r="X945" s="34" t="str">
        <f>IF(B945="","",COUNTIF($C$8:C945,C945)&amp;C945)</f>
        <v>0</v>
      </c>
    </row>
    <row r="946" spans="2:24" ht="23.1" customHeight="1">
      <c r="B946" s="31">
        <v>44895</v>
      </c>
      <c r="C946" s="9"/>
      <c r="D946" s="9" t="s">
        <v>764</v>
      </c>
      <c r="E946" s="7"/>
      <c r="F946" s="7"/>
      <c r="G946" s="7"/>
      <c r="H946" s="7" t="s">
        <v>763</v>
      </c>
      <c r="I946" s="7" t="s">
        <v>582</v>
      </c>
      <c r="J946" s="39">
        <v>7654500</v>
      </c>
      <c r="L946" s="16">
        <f t="shared" si="691"/>
        <v>1</v>
      </c>
      <c r="M946" s="16" t="str">
        <f t="shared" si="692"/>
        <v>November</v>
      </c>
      <c r="N946" s="16" t="str">
        <f t="shared" si="693"/>
        <v/>
      </c>
      <c r="O946" s="16" t="str">
        <f>IF(N946="","",COUNTIF($N$8:N946,N946))</f>
        <v/>
      </c>
      <c r="P946" s="34" t="str">
        <f t="shared" si="694"/>
        <v>outBeban</v>
      </c>
      <c r="Q946" s="34" t="str">
        <f t="shared" si="695"/>
        <v>outNovemberBeban</v>
      </c>
      <c r="R946" s="34" t="str">
        <f t="shared" si="696"/>
        <v>Beban</v>
      </c>
      <c r="S946" s="34" t="str">
        <f t="shared" si="697"/>
        <v>Kas</v>
      </c>
      <c r="T946" s="34" t="str">
        <f t="shared" si="698"/>
        <v/>
      </c>
      <c r="U946" s="34" t="str">
        <f>IF(AND(L946=1,bp_kode=T946,T946&lt;&gt;""),COUNTIF($T$8:T946,T946),"")</f>
        <v/>
      </c>
      <c r="V946" s="34" t="str">
        <f t="shared" si="699"/>
        <v>db</v>
      </c>
      <c r="W946" s="34" t="str">
        <f t="shared" si="700"/>
        <v>db</v>
      </c>
      <c r="X946" s="34" t="str">
        <f>IF(B946="","",COUNTIF($C$8:C946,C946)&amp;C946)</f>
        <v>0</v>
      </c>
    </row>
    <row r="947" spans="2:24" ht="23.1" customHeight="1">
      <c r="B947" s="31">
        <v>44895</v>
      </c>
      <c r="C947" s="9"/>
      <c r="D947" s="9" t="s">
        <v>766</v>
      </c>
      <c r="E947" s="7"/>
      <c r="F947" s="7"/>
      <c r="G947" s="7"/>
      <c r="H947" s="7" t="s">
        <v>765</v>
      </c>
      <c r="I947" s="7" t="s">
        <v>582</v>
      </c>
      <c r="J947" s="39">
        <v>69003340</v>
      </c>
      <c r="L947" s="16">
        <f t="shared" si="691"/>
        <v>1</v>
      </c>
      <c r="M947" s="16" t="str">
        <f t="shared" si="692"/>
        <v>November</v>
      </c>
      <c r="N947" s="16" t="str">
        <f t="shared" si="693"/>
        <v/>
      </c>
      <c r="O947" s="16" t="str">
        <f>IF(N947="","",COUNTIF($N$8:N947,N947))</f>
        <v/>
      </c>
      <c r="P947" s="34" t="str">
        <f t="shared" si="694"/>
        <v>outBeban</v>
      </c>
      <c r="Q947" s="34" t="str">
        <f t="shared" si="695"/>
        <v>outNovemberBeban</v>
      </c>
      <c r="R947" s="34" t="str">
        <f t="shared" si="696"/>
        <v>Beban</v>
      </c>
      <c r="S947" s="34" t="str">
        <f t="shared" si="697"/>
        <v>Kas</v>
      </c>
      <c r="T947" s="34" t="str">
        <f t="shared" si="698"/>
        <v/>
      </c>
      <c r="U947" s="34" t="str">
        <f>IF(AND(L947=1,bp_kode=T947,T947&lt;&gt;""),COUNTIF($T$8:T947,T947),"")</f>
        <v/>
      </c>
      <c r="V947" s="34" t="str">
        <f t="shared" si="699"/>
        <v>db</v>
      </c>
      <c r="W947" s="34" t="str">
        <f t="shared" si="700"/>
        <v>db</v>
      </c>
      <c r="X947" s="34" t="str">
        <f>IF(B947="","",COUNTIF($C$8:C947,C947)&amp;C947)</f>
        <v>0</v>
      </c>
    </row>
    <row r="948" spans="2:24" ht="23.1" customHeight="1">
      <c r="B948" s="31">
        <v>44895</v>
      </c>
      <c r="C948" s="9"/>
      <c r="D948" s="9" t="s">
        <v>644</v>
      </c>
      <c r="E948" s="7"/>
      <c r="F948" s="7"/>
      <c r="G948" s="7"/>
      <c r="H948" s="7" t="s">
        <v>628</v>
      </c>
      <c r="I948" s="7" t="s">
        <v>582</v>
      </c>
      <c r="J948" s="39">
        <v>21900000</v>
      </c>
      <c r="L948" s="16">
        <f t="shared" si="691"/>
        <v>1</v>
      </c>
      <c r="M948" s="16" t="str">
        <f t="shared" si="692"/>
        <v>November</v>
      </c>
      <c r="N948" s="16" t="str">
        <f t="shared" si="693"/>
        <v/>
      </c>
      <c r="O948" s="16" t="str">
        <f>IF(N948="","",COUNTIF($N$8:N948,N948))</f>
        <v/>
      </c>
      <c r="P948" s="34" t="str">
        <f t="shared" si="694"/>
        <v>outBeban</v>
      </c>
      <c r="Q948" s="34" t="str">
        <f t="shared" si="695"/>
        <v>outNovemberBeban</v>
      </c>
      <c r="R948" s="34" t="str">
        <f t="shared" si="696"/>
        <v>Beban</v>
      </c>
      <c r="S948" s="34" t="str">
        <f t="shared" si="697"/>
        <v>Kas</v>
      </c>
      <c r="T948" s="34" t="str">
        <f t="shared" si="698"/>
        <v/>
      </c>
      <c r="U948" s="34" t="str">
        <f>IF(AND(L948=1,bp_kode=T948,T948&lt;&gt;""),COUNTIF($T$8:T948,T948),"")</f>
        <v/>
      </c>
      <c r="V948" s="34" t="str">
        <f t="shared" si="699"/>
        <v>db</v>
      </c>
      <c r="W948" s="34" t="str">
        <f t="shared" si="700"/>
        <v>db</v>
      </c>
      <c r="X948" s="34" t="str">
        <f>IF(B948="","",COUNTIF($C$8:C948,C948)&amp;C948)</f>
        <v>0</v>
      </c>
    </row>
    <row r="949" spans="2:24" ht="23.1" customHeight="1">
      <c r="B949" s="31">
        <v>44895</v>
      </c>
      <c r="C949" s="9"/>
      <c r="D949" s="9" t="s">
        <v>693</v>
      </c>
      <c r="E949" s="7"/>
      <c r="F949" s="7"/>
      <c r="G949" s="7"/>
      <c r="H949" s="7" t="s">
        <v>694</v>
      </c>
      <c r="I949" s="7" t="s">
        <v>582</v>
      </c>
      <c r="J949" s="39">
        <v>12848087</v>
      </c>
      <c r="L949" s="16">
        <f t="shared" si="691"/>
        <v>1</v>
      </c>
      <c r="M949" s="16" t="str">
        <f t="shared" si="692"/>
        <v>November</v>
      </c>
      <c r="N949" s="16" t="str">
        <f t="shared" si="693"/>
        <v/>
      </c>
      <c r="O949" s="16" t="str">
        <f>IF(N949="","",COUNTIF($N$8:N949,N949))</f>
        <v/>
      </c>
      <c r="P949" s="34" t="str">
        <f t="shared" si="694"/>
        <v>outBeban</v>
      </c>
      <c r="Q949" s="34" t="str">
        <f t="shared" si="695"/>
        <v>outNovemberBeban</v>
      </c>
      <c r="R949" s="34" t="str">
        <f t="shared" si="696"/>
        <v>Beban</v>
      </c>
      <c r="S949" s="34" t="str">
        <f t="shared" si="697"/>
        <v>Kas</v>
      </c>
      <c r="T949" s="34" t="str">
        <f t="shared" si="698"/>
        <v/>
      </c>
      <c r="U949" s="34" t="str">
        <f>IF(AND(L949=1,bp_kode=T949,T949&lt;&gt;""),COUNTIF($T$8:T949,T949),"")</f>
        <v/>
      </c>
      <c r="V949" s="34" t="str">
        <f t="shared" si="699"/>
        <v>db</v>
      </c>
      <c r="W949" s="34" t="str">
        <f t="shared" si="700"/>
        <v>db</v>
      </c>
      <c r="X949" s="34" t="str">
        <f>IF(B949="","",COUNTIF($C$8:C949,C949)&amp;C949)</f>
        <v>0</v>
      </c>
    </row>
    <row r="950" spans="2:24" ht="23.1" customHeight="1">
      <c r="B950" s="31">
        <v>44895</v>
      </c>
      <c r="C950" s="9"/>
      <c r="D950" s="9" t="s">
        <v>645</v>
      </c>
      <c r="E950" s="7"/>
      <c r="F950" s="7"/>
      <c r="G950" s="7"/>
      <c r="H950" s="7" t="s">
        <v>629</v>
      </c>
      <c r="I950" s="7" t="s">
        <v>582</v>
      </c>
      <c r="J950" s="39">
        <v>4965000</v>
      </c>
      <c r="L950" s="16">
        <f t="shared" si="691"/>
        <v>1</v>
      </c>
      <c r="M950" s="16" t="str">
        <f t="shared" si="692"/>
        <v>November</v>
      </c>
      <c r="N950" s="16" t="str">
        <f t="shared" si="693"/>
        <v/>
      </c>
      <c r="O950" s="16" t="str">
        <f>IF(N950="","",COUNTIF($N$8:N950,N950))</f>
        <v/>
      </c>
      <c r="P950" s="34" t="str">
        <f t="shared" si="694"/>
        <v>outBeban</v>
      </c>
      <c r="Q950" s="34" t="str">
        <f t="shared" si="695"/>
        <v>outNovemberBeban</v>
      </c>
      <c r="R950" s="34" t="str">
        <f t="shared" si="696"/>
        <v>Beban</v>
      </c>
      <c r="S950" s="34" t="str">
        <f t="shared" si="697"/>
        <v>Kas</v>
      </c>
      <c r="T950" s="34" t="str">
        <f t="shared" si="698"/>
        <v/>
      </c>
      <c r="U950" s="34" t="str">
        <f>IF(AND(L950=1,bp_kode=T950,T950&lt;&gt;""),COUNTIF($T$8:T950,T950),"")</f>
        <v/>
      </c>
      <c r="V950" s="34" t="str">
        <f t="shared" si="699"/>
        <v>db</v>
      </c>
      <c r="W950" s="34" t="str">
        <f t="shared" si="700"/>
        <v>db</v>
      </c>
      <c r="X950" s="34" t="str">
        <f>IF(B950="","",COUNTIF($C$8:C950,C950)&amp;C950)</f>
        <v>0</v>
      </c>
    </row>
    <row r="951" spans="2:24" ht="23.1" customHeight="1">
      <c r="B951" s="31">
        <v>44895</v>
      </c>
      <c r="C951" s="9"/>
      <c r="D951" s="9" t="s">
        <v>646</v>
      </c>
      <c r="E951" s="7"/>
      <c r="F951" s="7"/>
      <c r="G951" s="7"/>
      <c r="H951" s="7" t="s">
        <v>630</v>
      </c>
      <c r="I951" s="7" t="s">
        <v>582</v>
      </c>
      <c r="J951" s="39">
        <v>3278250</v>
      </c>
      <c r="L951" s="16">
        <f t="shared" si="691"/>
        <v>1</v>
      </c>
      <c r="M951" s="16" t="str">
        <f t="shared" si="692"/>
        <v>November</v>
      </c>
      <c r="N951" s="16" t="str">
        <f t="shared" si="693"/>
        <v/>
      </c>
      <c r="O951" s="16" t="str">
        <f>IF(N951="","",COUNTIF($N$8:N951,N951))</f>
        <v/>
      </c>
      <c r="P951" s="34" t="str">
        <f t="shared" si="694"/>
        <v>outBeban</v>
      </c>
      <c r="Q951" s="34" t="str">
        <f t="shared" si="695"/>
        <v>outNovemberBeban</v>
      </c>
      <c r="R951" s="34" t="str">
        <f t="shared" si="696"/>
        <v>Beban</v>
      </c>
      <c r="S951" s="34" t="str">
        <f t="shared" si="697"/>
        <v>Kas</v>
      </c>
      <c r="T951" s="34" t="str">
        <f t="shared" si="698"/>
        <v/>
      </c>
      <c r="U951" s="34" t="str">
        <f>IF(AND(L951=1,bp_kode=T951,T951&lt;&gt;""),COUNTIF($T$8:T951,T951),"")</f>
        <v/>
      </c>
      <c r="V951" s="34" t="str">
        <f t="shared" si="699"/>
        <v>db</v>
      </c>
      <c r="W951" s="34" t="str">
        <f t="shared" si="700"/>
        <v>db</v>
      </c>
      <c r="X951" s="34" t="str">
        <f>IF(B951="","",COUNTIF($C$8:C951,C951)&amp;C951)</f>
        <v>0</v>
      </c>
    </row>
    <row r="952" spans="2:24" ht="23.1" customHeight="1">
      <c r="B952" s="31">
        <v>44895</v>
      </c>
      <c r="C952" s="9"/>
      <c r="D952" s="9" t="s">
        <v>647</v>
      </c>
      <c r="E952" s="7"/>
      <c r="F952" s="7"/>
      <c r="G952" s="7"/>
      <c r="H952" s="7" t="s">
        <v>631</v>
      </c>
      <c r="I952" s="7" t="s">
        <v>582</v>
      </c>
      <c r="J952" s="39">
        <v>378000</v>
      </c>
      <c r="L952" s="16">
        <f t="shared" si="691"/>
        <v>1</v>
      </c>
      <c r="M952" s="16" t="str">
        <f t="shared" si="692"/>
        <v>November</v>
      </c>
      <c r="N952" s="16" t="str">
        <f t="shared" si="693"/>
        <v/>
      </c>
      <c r="O952" s="16" t="str">
        <f>IF(N952="","",COUNTIF($N$8:N952,N952))</f>
        <v/>
      </c>
      <c r="P952" s="34" t="str">
        <f t="shared" si="694"/>
        <v>outBeban</v>
      </c>
      <c r="Q952" s="34" t="str">
        <f t="shared" si="695"/>
        <v>outNovemberBeban</v>
      </c>
      <c r="R952" s="34" t="str">
        <f t="shared" si="696"/>
        <v>Beban</v>
      </c>
      <c r="S952" s="34" t="str">
        <f t="shared" si="697"/>
        <v>Kas</v>
      </c>
      <c r="T952" s="34" t="str">
        <f t="shared" si="698"/>
        <v/>
      </c>
      <c r="U952" s="34" t="str">
        <f>IF(AND(L952=1,bp_kode=T952,T952&lt;&gt;""),COUNTIF($T$8:T952,T952),"")</f>
        <v/>
      </c>
      <c r="V952" s="34" t="str">
        <f t="shared" si="699"/>
        <v>db</v>
      </c>
      <c r="W952" s="34" t="str">
        <f t="shared" si="700"/>
        <v>db</v>
      </c>
      <c r="X952" s="34" t="str">
        <f>IF(B952="","",COUNTIF($C$8:C952,C952)&amp;C952)</f>
        <v>0</v>
      </c>
    </row>
    <row r="953" spans="2:24" ht="23.1" customHeight="1">
      <c r="B953" s="31">
        <v>44895</v>
      </c>
      <c r="C953" s="9"/>
      <c r="D953" s="9" t="s">
        <v>781</v>
      </c>
      <c r="E953" s="7"/>
      <c r="F953" s="7"/>
      <c r="G953" s="7"/>
      <c r="H953" s="7" t="s">
        <v>782</v>
      </c>
      <c r="I953" s="7" t="s">
        <v>582</v>
      </c>
      <c r="J953" s="39"/>
      <c r="L953" s="16">
        <f t="shared" si="691"/>
        <v>1</v>
      </c>
      <c r="M953" s="16" t="str">
        <f t="shared" si="692"/>
        <v>November</v>
      </c>
      <c r="N953" s="16" t="str">
        <f t="shared" si="693"/>
        <v/>
      </c>
      <c r="O953" s="16" t="str">
        <f>IF(N953="","",COUNTIF($N$8:N953,N953))</f>
        <v/>
      </c>
      <c r="P953" s="34" t="str">
        <f t="shared" si="694"/>
        <v>outBeban</v>
      </c>
      <c r="Q953" s="34" t="str">
        <f t="shared" si="695"/>
        <v>outNovemberBeban</v>
      </c>
      <c r="R953" s="34" t="str">
        <f t="shared" si="696"/>
        <v>Beban</v>
      </c>
      <c r="S953" s="34" t="str">
        <f t="shared" si="697"/>
        <v>Kas</v>
      </c>
      <c r="T953" s="34" t="str">
        <f t="shared" si="698"/>
        <v/>
      </c>
      <c r="U953" s="34" t="str">
        <f>IF(AND(L953=1,bp_kode=T953,T953&lt;&gt;""),COUNTIF($T$8:T953,T953),"")</f>
        <v/>
      </c>
      <c r="V953" s="34" t="str">
        <f t="shared" si="699"/>
        <v>db</v>
      </c>
      <c r="W953" s="34" t="str">
        <f t="shared" si="700"/>
        <v>db</v>
      </c>
      <c r="X953" s="34" t="str">
        <f>IF(B953="","",COUNTIF($C$8:C953,C953)&amp;C953)</f>
        <v>0</v>
      </c>
    </row>
    <row r="954" spans="2:24" ht="23.1" customHeight="1">
      <c r="B954" s="31">
        <v>44895</v>
      </c>
      <c r="C954" s="9"/>
      <c r="D954" s="9" t="s">
        <v>648</v>
      </c>
      <c r="E954" s="7"/>
      <c r="F954" s="7"/>
      <c r="G954" s="7"/>
      <c r="H954" s="7" t="s">
        <v>632</v>
      </c>
      <c r="I954" s="7" t="s">
        <v>582</v>
      </c>
      <c r="J954" s="39">
        <v>630000</v>
      </c>
      <c r="L954" s="16">
        <f t="shared" si="691"/>
        <v>1</v>
      </c>
      <c r="M954" s="16" t="str">
        <f t="shared" si="692"/>
        <v>November</v>
      </c>
      <c r="N954" s="16" t="str">
        <f t="shared" si="693"/>
        <v/>
      </c>
      <c r="O954" s="16" t="str">
        <f>IF(N954="","",COUNTIF($N$8:N954,N954))</f>
        <v/>
      </c>
      <c r="P954" s="34" t="str">
        <f t="shared" si="694"/>
        <v>outBeban</v>
      </c>
      <c r="Q954" s="34" t="str">
        <f t="shared" si="695"/>
        <v>outNovemberBeban</v>
      </c>
      <c r="R954" s="34" t="str">
        <f t="shared" si="696"/>
        <v>Beban</v>
      </c>
      <c r="S954" s="34" t="str">
        <f t="shared" si="697"/>
        <v>Kas</v>
      </c>
      <c r="T954" s="34" t="str">
        <f t="shared" si="698"/>
        <v/>
      </c>
      <c r="U954" s="34" t="str">
        <f>IF(AND(L954=1,bp_kode=T954,T954&lt;&gt;""),COUNTIF($T$8:T954,T954),"")</f>
        <v/>
      </c>
      <c r="V954" s="34" t="str">
        <f t="shared" si="699"/>
        <v>db</v>
      </c>
      <c r="W954" s="34" t="str">
        <f t="shared" si="700"/>
        <v>db</v>
      </c>
      <c r="X954" s="34" t="str">
        <f>IF(B954="","",COUNTIF($C$8:C954,C954)&amp;C954)</f>
        <v>0</v>
      </c>
    </row>
    <row r="955" spans="2:24" ht="23.1" customHeight="1">
      <c r="B955" s="31">
        <v>44895</v>
      </c>
      <c r="C955" s="9"/>
      <c r="D955" s="9" t="s">
        <v>649</v>
      </c>
      <c r="E955" s="7"/>
      <c r="F955" s="7"/>
      <c r="G955" s="7"/>
      <c r="H955" s="7" t="s">
        <v>633</v>
      </c>
      <c r="I955" s="7" t="s">
        <v>582</v>
      </c>
      <c r="J955" s="39">
        <v>1969314</v>
      </c>
      <c r="L955" s="16">
        <f t="shared" si="691"/>
        <v>1</v>
      </c>
      <c r="M955" s="16" t="str">
        <f t="shared" si="692"/>
        <v>November</v>
      </c>
      <c r="N955" s="16" t="str">
        <f t="shared" si="693"/>
        <v/>
      </c>
      <c r="O955" s="16" t="str">
        <f>IF(N955="","",COUNTIF($N$8:N955,N955))</f>
        <v/>
      </c>
      <c r="P955" s="34" t="str">
        <f t="shared" si="694"/>
        <v>outBeban</v>
      </c>
      <c r="Q955" s="34" t="str">
        <f t="shared" si="695"/>
        <v>outNovemberBeban</v>
      </c>
      <c r="R955" s="34" t="str">
        <f t="shared" si="696"/>
        <v>Beban</v>
      </c>
      <c r="S955" s="34" t="str">
        <f t="shared" si="697"/>
        <v>Kas</v>
      </c>
      <c r="T955" s="34" t="str">
        <f t="shared" si="698"/>
        <v/>
      </c>
      <c r="U955" s="34" t="str">
        <f>IF(AND(L955=1,bp_kode=T955,T955&lt;&gt;""),COUNTIF($T$8:T955,T955),"")</f>
        <v/>
      </c>
      <c r="V955" s="34" t="str">
        <f t="shared" si="699"/>
        <v>db</v>
      </c>
      <c r="W955" s="34" t="str">
        <f t="shared" si="700"/>
        <v>db</v>
      </c>
      <c r="X955" s="34" t="str">
        <f>IF(B955="","",COUNTIF($C$8:C955,C955)&amp;C955)</f>
        <v>0</v>
      </c>
    </row>
    <row r="956" spans="2:24" ht="23.1" customHeight="1">
      <c r="B956" s="31">
        <v>44895</v>
      </c>
      <c r="C956" s="9"/>
      <c r="D956" s="9" t="s">
        <v>650</v>
      </c>
      <c r="E956" s="7"/>
      <c r="F956" s="7"/>
      <c r="G956" s="7"/>
      <c r="H956" s="7" t="s">
        <v>634</v>
      </c>
      <c r="I956" s="7" t="s">
        <v>582</v>
      </c>
      <c r="J956" s="39">
        <v>6452120</v>
      </c>
      <c r="L956" s="16">
        <f t="shared" si="691"/>
        <v>1</v>
      </c>
      <c r="M956" s="16" t="str">
        <f t="shared" si="692"/>
        <v>November</v>
      </c>
      <c r="N956" s="16" t="str">
        <f t="shared" si="693"/>
        <v/>
      </c>
      <c r="O956" s="16" t="str">
        <f>IF(N956="","",COUNTIF($N$8:N956,N956))</f>
        <v/>
      </c>
      <c r="P956" s="34" t="str">
        <f t="shared" si="694"/>
        <v>outBeban</v>
      </c>
      <c r="Q956" s="34" t="str">
        <f t="shared" si="695"/>
        <v>outNovemberBeban</v>
      </c>
      <c r="R956" s="34" t="str">
        <f t="shared" si="696"/>
        <v>Beban</v>
      </c>
      <c r="S956" s="34" t="str">
        <f t="shared" si="697"/>
        <v>Kas</v>
      </c>
      <c r="T956" s="34" t="str">
        <f t="shared" si="698"/>
        <v/>
      </c>
      <c r="U956" s="34" t="str">
        <f>IF(AND(L956=1,bp_kode=T956,T956&lt;&gt;""),COUNTIF($T$8:T956,T956),"")</f>
        <v/>
      </c>
      <c r="V956" s="34" t="str">
        <f t="shared" si="699"/>
        <v>db</v>
      </c>
      <c r="W956" s="34" t="str">
        <f t="shared" si="700"/>
        <v>db</v>
      </c>
      <c r="X956" s="34" t="str">
        <f>IF(B956="","",COUNTIF($C$8:C956,C956)&amp;C956)</f>
        <v>0</v>
      </c>
    </row>
    <row r="957" spans="2:24" ht="23.1" customHeight="1">
      <c r="B957" s="31">
        <v>44895</v>
      </c>
      <c r="C957" s="9"/>
      <c r="D957" s="9" t="s">
        <v>651</v>
      </c>
      <c r="E957" s="7"/>
      <c r="F957" s="7"/>
      <c r="G957" s="7"/>
      <c r="H957" s="7" t="s">
        <v>635</v>
      </c>
      <c r="I957" s="7" t="s">
        <v>582</v>
      </c>
      <c r="J957" s="39">
        <v>757000</v>
      </c>
      <c r="L957" s="16">
        <f t="shared" ref="L957:L1020" si="721">IF(AND(B957&gt;=awal,B957&lt;=akhir,B957&lt;&gt;""),1,IF(AND(B957&lt;&gt;"",B957&lt;awal),2,""))</f>
        <v>1</v>
      </c>
      <c r="M957" s="16" t="str">
        <f t="shared" ref="M957:M1020" si="722">IF(B957="","",TEXT(B957,"mmmm"))</f>
        <v>November</v>
      </c>
      <c r="N957" s="16" t="str">
        <f t="shared" ref="N957:N1020" si="723">IF(AND(L957=1,H957=bb_akun),"Awe",IF(AND(L957=1,I957=bb_akun),"Awe",""))</f>
        <v/>
      </c>
      <c r="O957" s="16" t="str">
        <f>IF(N957="","",COUNTIF($N$8:N957,N957))</f>
        <v/>
      </c>
      <c r="P957" s="34" t="str">
        <f t="shared" ref="P957:P1020" si="724">IFERROR(IF(OR(INDEX(akun_type,MATCH(H957,akun_kb,0))="Kas",INDEX(akun_type,MATCH(H957,akun_kb,0))="Bank"),"In"&amp;INDEX(akun_type,MATCH(I957,akun_kb,0)),IF(OR(INDEX(akun_type,MATCH(I957,akun_kb,0))="Kas",INDEX(akun_type,MATCH(I957,akun_kb,0))="Bank"),"out"&amp;INDEX(akun_type,MATCH(H957,akun_kb,0)),"")),"")</f>
        <v>outBeban</v>
      </c>
      <c r="Q957" s="34" t="str">
        <f t="shared" ref="Q957:Q1020" si="725">IFERROR(IF(OR(INDEX(akun_type,MATCH(H957,akun_kb,0))="Kas",INDEX(akun_type,MATCH(H957,akun_kb,0))="Bank"),"in"&amp;TEXT(B957,"mmmm")&amp;INDEX(akun_type,MATCH(I957,akun_kb,0)),IF(OR(INDEX(akun_type,MATCH(I957,akun_kb,0))="Kas",INDEX(akun_type,MATCH(I957,akun_kb,0))="Bank"),"out"&amp;TEXT(B957,"mmmm")&amp;INDEX(akun_type,MATCH(H957,akun_kb,0)),"")),"")</f>
        <v>outNovemberBeban</v>
      </c>
      <c r="R957" s="34" t="str">
        <f t="shared" ref="R957:R1020" si="726">IFERROR(INDEX(akun_type,MATCH(H957,akun_kb,0)),"")</f>
        <v>Beban</v>
      </c>
      <c r="S957" s="34" t="str">
        <f t="shared" ref="S957:S1020" si="727">IFERROR(INDEX(akun_type,MATCH(I957,akun_kb,0)),"")</f>
        <v>Kas</v>
      </c>
      <c r="T957" s="34" t="str">
        <f t="shared" ref="T957:T1020" si="728">IF(AND(L957=1,OR(R957="Akun Piutang",R957="akun hutang",S957="akun piutang",S957="akun hutang")),E957,"")</f>
        <v/>
      </c>
      <c r="U957" s="34" t="str">
        <f>IF(AND(L957=1,bp_kode=T957,T957&lt;&gt;""),COUNTIF($T$8:T957,T957),"")</f>
        <v/>
      </c>
      <c r="V957" s="34" t="str">
        <f t="shared" ref="V957:V1020" si="729">IF(OR(R957="Pendapatan",R957="Pendapatan Lainnya",R957="Beban",R957="Harga Pokok Penjualan",R957="Beban Lainnya"),"db"&amp;F957,IF(OR(S957="Pendapatan",S957="Pendapatan Lainnya",S957="Beban",S957="Harga Pokok Penjualan",S957="Beban Lainnya"),"kr"&amp;F957,""))</f>
        <v>db</v>
      </c>
      <c r="W957" s="34" t="str">
        <f t="shared" ref="W957:W1020" si="730">IF(OR(R957="Pendapatan",R957="Pendapatan Lainnya",R957="Beban",R957="Harga Pokok Penjualan",R957="Beban Lainnya"),"db"&amp;G957,IF(OR(S957="Pendapatan",S957="Pendapatan Lainnya",S957="Beban",S957="Harga Pokok Penjualan",S957="Beban Lainnya"),"kr"&amp;G957,""))</f>
        <v>db</v>
      </c>
      <c r="X957" s="34" t="str">
        <f>IF(B957="","",COUNTIF($C$8:C957,C957)&amp;C957)</f>
        <v>0</v>
      </c>
    </row>
    <row r="958" spans="2:24" ht="23.1" customHeight="1">
      <c r="B958" s="31">
        <v>44895</v>
      </c>
      <c r="C958" s="9"/>
      <c r="D958" s="9" t="s">
        <v>652</v>
      </c>
      <c r="E958" s="7"/>
      <c r="F958" s="7"/>
      <c r="G958" s="7"/>
      <c r="H958" s="7" t="s">
        <v>636</v>
      </c>
      <c r="I958" s="7" t="s">
        <v>582</v>
      </c>
      <c r="J958" s="39">
        <v>11380503</v>
      </c>
      <c r="L958" s="16">
        <f t="shared" si="721"/>
        <v>1</v>
      </c>
      <c r="M958" s="16" t="str">
        <f t="shared" si="722"/>
        <v>November</v>
      </c>
      <c r="N958" s="16" t="str">
        <f t="shared" si="723"/>
        <v/>
      </c>
      <c r="O958" s="16" t="str">
        <f>IF(N958="","",COUNTIF($N$8:N958,N958))</f>
        <v/>
      </c>
      <c r="P958" s="34" t="str">
        <f t="shared" si="724"/>
        <v>outBeban</v>
      </c>
      <c r="Q958" s="34" t="str">
        <f t="shared" si="725"/>
        <v>outNovemberBeban</v>
      </c>
      <c r="R958" s="34" t="str">
        <f t="shared" si="726"/>
        <v>Beban</v>
      </c>
      <c r="S958" s="34" t="str">
        <f t="shared" si="727"/>
        <v>Kas</v>
      </c>
      <c r="T958" s="34" t="str">
        <f t="shared" si="728"/>
        <v/>
      </c>
      <c r="U958" s="34" t="str">
        <f>IF(AND(L958=1,bp_kode=T958,T958&lt;&gt;""),COUNTIF($T$8:T958,T958),"")</f>
        <v/>
      </c>
      <c r="V958" s="34" t="str">
        <f t="shared" si="729"/>
        <v>db</v>
      </c>
      <c r="W958" s="34" t="str">
        <f t="shared" si="730"/>
        <v>db</v>
      </c>
      <c r="X958" s="34" t="str">
        <f>IF(B958="","",COUNTIF($C$8:C958,C958)&amp;C958)</f>
        <v>0</v>
      </c>
    </row>
    <row r="959" spans="2:24" ht="23.1" customHeight="1">
      <c r="B959" s="31">
        <v>44895</v>
      </c>
      <c r="C959" s="9"/>
      <c r="D959" s="9" t="s">
        <v>653</v>
      </c>
      <c r="E959" s="7"/>
      <c r="F959" s="7"/>
      <c r="G959" s="7"/>
      <c r="H959" s="7" t="s">
        <v>637</v>
      </c>
      <c r="I959" s="7" t="s">
        <v>582</v>
      </c>
      <c r="J959" s="39">
        <v>4463282</v>
      </c>
      <c r="L959" s="16">
        <f t="shared" si="721"/>
        <v>1</v>
      </c>
      <c r="M959" s="16" t="str">
        <f t="shared" si="722"/>
        <v>November</v>
      </c>
      <c r="N959" s="16" t="str">
        <f t="shared" si="723"/>
        <v/>
      </c>
      <c r="O959" s="16" t="str">
        <f>IF(N959="","",COUNTIF($N$8:N959,N959))</f>
        <v/>
      </c>
      <c r="P959" s="34" t="str">
        <f t="shared" si="724"/>
        <v>outBeban</v>
      </c>
      <c r="Q959" s="34" t="str">
        <f t="shared" si="725"/>
        <v>outNovemberBeban</v>
      </c>
      <c r="R959" s="34" t="str">
        <f t="shared" si="726"/>
        <v>Beban</v>
      </c>
      <c r="S959" s="34" t="str">
        <f t="shared" si="727"/>
        <v>Kas</v>
      </c>
      <c r="T959" s="34" t="str">
        <f t="shared" si="728"/>
        <v/>
      </c>
      <c r="U959" s="34" t="str">
        <f>IF(AND(L959=1,bp_kode=T959,T959&lt;&gt;""),COUNTIF($T$8:T959,T959),"")</f>
        <v/>
      </c>
      <c r="V959" s="34" t="str">
        <f t="shared" si="729"/>
        <v>db</v>
      </c>
      <c r="W959" s="34" t="str">
        <f t="shared" si="730"/>
        <v>db</v>
      </c>
      <c r="X959" s="34" t="str">
        <f>IF(B959="","",COUNTIF($C$8:C959,C959)&amp;C959)</f>
        <v>0</v>
      </c>
    </row>
    <row r="960" spans="2:24" ht="23.1" customHeight="1">
      <c r="B960" s="31">
        <v>44895</v>
      </c>
      <c r="C960" s="9"/>
      <c r="D960" s="9" t="s">
        <v>750</v>
      </c>
      <c r="E960" s="7"/>
      <c r="F960" s="7"/>
      <c r="G960" s="7"/>
      <c r="H960" s="7" t="s">
        <v>749</v>
      </c>
      <c r="I960" s="7" t="s">
        <v>582</v>
      </c>
      <c r="J960" s="39">
        <v>24860000</v>
      </c>
      <c r="L960" s="16">
        <f t="shared" si="721"/>
        <v>1</v>
      </c>
      <c r="M960" s="16" t="str">
        <f t="shared" si="722"/>
        <v>November</v>
      </c>
      <c r="N960" s="16" t="str">
        <f t="shared" si="723"/>
        <v/>
      </c>
      <c r="O960" s="16" t="str">
        <f>IF(N960="","",COUNTIF($N$8:N960,N960))</f>
        <v/>
      </c>
      <c r="P960" s="34" t="str">
        <f t="shared" si="724"/>
        <v>outBeban</v>
      </c>
      <c r="Q960" s="34" t="str">
        <f t="shared" si="725"/>
        <v>outNovemberBeban</v>
      </c>
      <c r="R960" s="34" t="str">
        <f t="shared" si="726"/>
        <v>Beban</v>
      </c>
      <c r="S960" s="34" t="str">
        <f t="shared" si="727"/>
        <v>Kas</v>
      </c>
      <c r="T960" s="34" t="str">
        <f t="shared" si="728"/>
        <v/>
      </c>
      <c r="U960" s="34" t="str">
        <f>IF(AND(L960=1,bp_kode=T960,T960&lt;&gt;""),COUNTIF($T$8:T960,T960),"")</f>
        <v/>
      </c>
      <c r="V960" s="34" t="str">
        <f t="shared" si="729"/>
        <v>db</v>
      </c>
      <c r="W960" s="34" t="str">
        <f t="shared" si="730"/>
        <v>db</v>
      </c>
      <c r="X960" s="34" t="str">
        <f>IF(B960="","",COUNTIF($C$8:C960,C960)&amp;C960)</f>
        <v>0</v>
      </c>
    </row>
    <row r="961" spans="2:24" ht="23.1" customHeight="1">
      <c r="B961" s="31">
        <v>44895</v>
      </c>
      <c r="C961" s="9"/>
      <c r="D961" s="9" t="s">
        <v>655</v>
      </c>
      <c r="E961" s="7"/>
      <c r="F961" s="7"/>
      <c r="G961" s="7"/>
      <c r="H961" s="7" t="s">
        <v>639</v>
      </c>
      <c r="I961" s="7" t="s">
        <v>582</v>
      </c>
      <c r="J961" s="39">
        <v>8340404</v>
      </c>
      <c r="L961" s="16">
        <f t="shared" si="721"/>
        <v>1</v>
      </c>
      <c r="M961" s="16" t="str">
        <f t="shared" si="722"/>
        <v>November</v>
      </c>
      <c r="N961" s="16" t="str">
        <f t="shared" si="723"/>
        <v/>
      </c>
      <c r="O961" s="16" t="str">
        <f>IF(N961="","",COUNTIF($N$8:N961,N961))</f>
        <v/>
      </c>
      <c r="P961" s="34" t="str">
        <f t="shared" si="724"/>
        <v>outBeban</v>
      </c>
      <c r="Q961" s="34" t="str">
        <f t="shared" si="725"/>
        <v>outNovemberBeban</v>
      </c>
      <c r="R961" s="34" t="str">
        <f t="shared" si="726"/>
        <v>Beban</v>
      </c>
      <c r="S961" s="34" t="str">
        <f t="shared" si="727"/>
        <v>Kas</v>
      </c>
      <c r="T961" s="34" t="str">
        <f t="shared" si="728"/>
        <v/>
      </c>
      <c r="U961" s="34" t="str">
        <f>IF(AND(L961=1,bp_kode=T961,T961&lt;&gt;""),COUNTIF($T$8:T961,T961),"")</f>
        <v/>
      </c>
      <c r="V961" s="34" t="str">
        <f t="shared" si="729"/>
        <v>db</v>
      </c>
      <c r="W961" s="34" t="str">
        <f t="shared" si="730"/>
        <v>db</v>
      </c>
      <c r="X961" s="34" t="str">
        <f>IF(B961="","",COUNTIF($C$8:C961,C961)&amp;C961)</f>
        <v>0</v>
      </c>
    </row>
    <row r="962" spans="2:24" ht="23.1" customHeight="1">
      <c r="B962" s="31">
        <v>44895</v>
      </c>
      <c r="C962" s="9"/>
      <c r="D962" s="9" t="s">
        <v>720</v>
      </c>
      <c r="E962" s="7"/>
      <c r="F962" s="7"/>
      <c r="G962" s="7"/>
      <c r="H962" s="7" t="s">
        <v>813</v>
      </c>
      <c r="I962" s="7" t="s">
        <v>582</v>
      </c>
      <c r="J962" s="39">
        <v>5100000</v>
      </c>
      <c r="L962" s="16">
        <f t="shared" si="721"/>
        <v>1</v>
      </c>
      <c r="M962" s="16" t="str">
        <f t="shared" si="722"/>
        <v>November</v>
      </c>
      <c r="N962" s="16" t="str">
        <f t="shared" si="723"/>
        <v/>
      </c>
      <c r="O962" s="16" t="str">
        <f>IF(N962="","",COUNTIF($N$8:N962,N962))</f>
        <v/>
      </c>
      <c r="P962" s="34" t="str">
        <f t="shared" si="724"/>
        <v>outBeban</v>
      </c>
      <c r="Q962" s="34" t="str">
        <f t="shared" si="725"/>
        <v>outNovemberBeban</v>
      </c>
      <c r="R962" s="34" t="str">
        <f t="shared" si="726"/>
        <v>Beban</v>
      </c>
      <c r="S962" s="34" t="str">
        <f t="shared" si="727"/>
        <v>Kas</v>
      </c>
      <c r="T962" s="34" t="str">
        <f t="shared" si="728"/>
        <v/>
      </c>
      <c r="U962" s="34" t="str">
        <f>IF(AND(L962=1,bp_kode=T962,T962&lt;&gt;""),COUNTIF($T$8:T962,T962),"")</f>
        <v/>
      </c>
      <c r="V962" s="34" t="str">
        <f t="shared" si="729"/>
        <v>db</v>
      </c>
      <c r="W962" s="34" t="str">
        <f t="shared" si="730"/>
        <v>db</v>
      </c>
      <c r="X962" s="34" t="str">
        <f>IF(B962="","",COUNTIF($C$8:C962,C962)&amp;C962)</f>
        <v>0</v>
      </c>
    </row>
    <row r="963" spans="2:24" ht="23.1" customHeight="1">
      <c r="B963" s="31">
        <v>44895</v>
      </c>
      <c r="C963" s="9"/>
      <c r="D963" s="9" t="s">
        <v>768</v>
      </c>
      <c r="E963" s="7"/>
      <c r="F963" s="7"/>
      <c r="G963" s="7"/>
      <c r="H963" s="7" t="s">
        <v>818</v>
      </c>
      <c r="I963" s="7" t="s">
        <v>582</v>
      </c>
      <c r="J963" s="39">
        <v>39960000</v>
      </c>
      <c r="L963" s="16">
        <f t="shared" si="721"/>
        <v>1</v>
      </c>
      <c r="M963" s="16" t="str">
        <f t="shared" si="722"/>
        <v>November</v>
      </c>
      <c r="N963" s="16" t="str">
        <f t="shared" si="723"/>
        <v/>
      </c>
      <c r="O963" s="16" t="str">
        <f>IF(N963="","",COUNTIF($N$8:N963,N963))</f>
        <v/>
      </c>
      <c r="P963" s="34" t="str">
        <f t="shared" si="724"/>
        <v>outBeban</v>
      </c>
      <c r="Q963" s="34" t="str">
        <f t="shared" si="725"/>
        <v>outNovemberBeban</v>
      </c>
      <c r="R963" s="34" t="str">
        <f t="shared" si="726"/>
        <v>Beban</v>
      </c>
      <c r="S963" s="34" t="str">
        <f t="shared" si="727"/>
        <v>Kas</v>
      </c>
      <c r="T963" s="34" t="str">
        <f t="shared" si="728"/>
        <v/>
      </c>
      <c r="U963" s="34" t="str">
        <f>IF(AND(L963=1,bp_kode=T963,T963&lt;&gt;""),COUNTIF($T$8:T963,T963),"")</f>
        <v/>
      </c>
      <c r="V963" s="34" t="str">
        <f t="shared" si="729"/>
        <v>db</v>
      </c>
      <c r="W963" s="34" t="str">
        <f t="shared" si="730"/>
        <v>db</v>
      </c>
      <c r="X963" s="34" t="str">
        <f>IF(B963="","",COUNTIF($C$8:C963,C963)&amp;C963)</f>
        <v>0</v>
      </c>
    </row>
    <row r="964" spans="2:24" ht="23.1" customHeight="1">
      <c r="B964" s="31">
        <v>44895</v>
      </c>
      <c r="C964" s="9"/>
      <c r="D964" s="9" t="s">
        <v>815</v>
      </c>
      <c r="E964" s="7"/>
      <c r="F964" s="7"/>
      <c r="G964" s="7"/>
      <c r="H964" s="7" t="s">
        <v>816</v>
      </c>
      <c r="I964" s="7" t="s">
        <v>582</v>
      </c>
      <c r="J964" s="39">
        <v>17326610</v>
      </c>
      <c r="L964" s="16">
        <f t="shared" ref="L964" si="731">IF(AND(B964&gt;=awal,B964&lt;=akhir,B964&lt;&gt;""),1,IF(AND(B964&lt;&gt;"",B964&lt;awal),2,""))</f>
        <v>1</v>
      </c>
      <c r="M964" s="16" t="str">
        <f t="shared" ref="M964" si="732">IF(B964="","",TEXT(B964,"mmmm"))</f>
        <v>November</v>
      </c>
      <c r="N964" s="16" t="str">
        <f t="shared" ref="N964" si="733">IF(AND(L964=1,H964=bb_akun),"Awe",IF(AND(L964=1,I964=bb_akun),"Awe",""))</f>
        <v/>
      </c>
      <c r="O964" s="16" t="str">
        <f>IF(N964="","",COUNTIF($N$8:N964,N964))</f>
        <v/>
      </c>
      <c r="P964" s="34" t="str">
        <f t="shared" ref="P964" si="734">IFERROR(IF(OR(INDEX(akun_type,MATCH(H964,akun_kb,0))="Kas",INDEX(akun_type,MATCH(H964,akun_kb,0))="Bank"),"In"&amp;INDEX(akun_type,MATCH(I964,akun_kb,0)),IF(OR(INDEX(akun_type,MATCH(I964,akun_kb,0))="Kas",INDEX(akun_type,MATCH(I964,akun_kb,0))="Bank"),"out"&amp;INDEX(akun_type,MATCH(H964,akun_kb,0)),"")),"")</f>
        <v>outBeban</v>
      </c>
      <c r="Q964" s="34" t="str">
        <f t="shared" ref="Q964" si="735">IFERROR(IF(OR(INDEX(akun_type,MATCH(H964,akun_kb,0))="Kas",INDEX(akun_type,MATCH(H964,akun_kb,0))="Bank"),"in"&amp;TEXT(B964,"mmmm")&amp;INDEX(akun_type,MATCH(I964,akun_kb,0)),IF(OR(INDEX(akun_type,MATCH(I964,akun_kb,0))="Kas",INDEX(akun_type,MATCH(I964,akun_kb,0))="Bank"),"out"&amp;TEXT(B964,"mmmm")&amp;INDEX(akun_type,MATCH(H964,akun_kb,0)),"")),"")</f>
        <v>outNovemberBeban</v>
      </c>
      <c r="R964" s="34" t="str">
        <f t="shared" ref="R964" si="736">IFERROR(INDEX(akun_type,MATCH(H964,akun_kb,0)),"")</f>
        <v>Beban</v>
      </c>
      <c r="S964" s="34" t="str">
        <f t="shared" ref="S964" si="737">IFERROR(INDEX(akun_type,MATCH(I964,akun_kb,0)),"")</f>
        <v>Kas</v>
      </c>
      <c r="T964" s="34" t="str">
        <f t="shared" ref="T964" si="738">IF(AND(L964=1,OR(R964="Akun Piutang",R964="akun hutang",S964="akun piutang",S964="akun hutang")),E964,"")</f>
        <v/>
      </c>
      <c r="U964" s="34" t="str">
        <f>IF(AND(L964=1,bp_kode=T964,T964&lt;&gt;""),COUNTIF($T$8:T964,T964),"")</f>
        <v/>
      </c>
      <c r="V964" s="34" t="str">
        <f t="shared" ref="V964" si="739">IF(OR(R964="Pendapatan",R964="Pendapatan Lainnya",R964="Beban",R964="Harga Pokok Penjualan",R964="Beban Lainnya"),"db"&amp;F964,IF(OR(S964="Pendapatan",S964="Pendapatan Lainnya",S964="Beban",S964="Harga Pokok Penjualan",S964="Beban Lainnya"),"kr"&amp;F964,""))</f>
        <v>db</v>
      </c>
      <c r="W964" s="34" t="str">
        <f t="shared" ref="W964" si="740">IF(OR(R964="Pendapatan",R964="Pendapatan Lainnya",R964="Beban",R964="Harga Pokok Penjualan",R964="Beban Lainnya"),"db"&amp;G964,IF(OR(S964="Pendapatan",S964="Pendapatan Lainnya",S964="Beban",S964="Harga Pokok Penjualan",S964="Beban Lainnya"),"kr"&amp;G964,""))</f>
        <v>db</v>
      </c>
      <c r="X964" s="34" t="str">
        <f>IF(B964="","",COUNTIF($C$8:C964,C964)&amp;C964)</f>
        <v>0</v>
      </c>
    </row>
    <row r="965" spans="2:24" ht="23.1" customHeight="1">
      <c r="B965" s="31">
        <v>44895</v>
      </c>
      <c r="C965" s="9"/>
      <c r="D965" s="9" t="s">
        <v>663</v>
      </c>
      <c r="E965" s="7"/>
      <c r="F965" s="7"/>
      <c r="G965" s="7"/>
      <c r="H965" s="7" t="s">
        <v>658</v>
      </c>
      <c r="I965" s="7" t="s">
        <v>671</v>
      </c>
      <c r="J965" s="39">
        <v>2806459</v>
      </c>
      <c r="L965" s="16">
        <f t="shared" si="721"/>
        <v>1</v>
      </c>
      <c r="M965" s="16" t="str">
        <f t="shared" si="722"/>
        <v>November</v>
      </c>
      <c r="N965" s="16" t="str">
        <f t="shared" si="723"/>
        <v/>
      </c>
      <c r="O965" s="16" t="str">
        <f>IF(N965="","",COUNTIF($N$8:N965,N965))</f>
        <v/>
      </c>
      <c r="P965" s="34" t="str">
        <f t="shared" si="724"/>
        <v/>
      </c>
      <c r="Q965" s="34" t="str">
        <f t="shared" si="725"/>
        <v/>
      </c>
      <c r="R965" s="34" t="str">
        <f t="shared" si="726"/>
        <v>Beban</v>
      </c>
      <c r="S965" s="34" t="str">
        <f t="shared" si="727"/>
        <v>Depresiasi &amp; Amortisasi</v>
      </c>
      <c r="T965" s="34" t="str">
        <f t="shared" si="728"/>
        <v/>
      </c>
      <c r="U965" s="34" t="str">
        <f>IF(AND(L965=1,bp_kode=T965,T965&lt;&gt;""),COUNTIF($T$8:T965,T965),"")</f>
        <v/>
      </c>
      <c r="V965" s="34" t="str">
        <f t="shared" si="729"/>
        <v>db</v>
      </c>
      <c r="W965" s="34" t="str">
        <f t="shared" si="730"/>
        <v>db</v>
      </c>
      <c r="X965" s="34" t="str">
        <f>IF(B965="","",COUNTIF($C$8:C965,C965)&amp;C965)</f>
        <v>0</v>
      </c>
    </row>
    <row r="966" spans="2:24" ht="23.1" customHeight="1">
      <c r="B966" s="31">
        <v>44895</v>
      </c>
      <c r="C966" s="9"/>
      <c r="D966" s="9" t="s">
        <v>664</v>
      </c>
      <c r="E966" s="7"/>
      <c r="F966" s="7"/>
      <c r="G966" s="7"/>
      <c r="H966" s="7" t="s">
        <v>660</v>
      </c>
      <c r="I966" s="7" t="s">
        <v>659</v>
      </c>
      <c r="J966" s="39">
        <v>29031950</v>
      </c>
      <c r="L966" s="16">
        <f t="shared" si="721"/>
        <v>1</v>
      </c>
      <c r="M966" s="16" t="str">
        <f t="shared" si="722"/>
        <v>November</v>
      </c>
      <c r="N966" s="16" t="str">
        <f t="shared" si="723"/>
        <v/>
      </c>
      <c r="O966" s="16" t="str">
        <f>IF(N966="","",COUNTIF($N$8:N966,N966))</f>
        <v/>
      </c>
      <c r="P966" s="34" t="str">
        <f t="shared" si="724"/>
        <v/>
      </c>
      <c r="Q966" s="34" t="str">
        <f t="shared" si="725"/>
        <v/>
      </c>
      <c r="R966" s="34" t="str">
        <f t="shared" si="726"/>
        <v>Beban</v>
      </c>
      <c r="S966" s="34" t="str">
        <f t="shared" si="727"/>
        <v>Depresiasi &amp; Amortisasi</v>
      </c>
      <c r="T966" s="34" t="str">
        <f t="shared" si="728"/>
        <v/>
      </c>
      <c r="U966" s="34" t="str">
        <f>IF(AND(L966=1,bp_kode=T966,T966&lt;&gt;""),COUNTIF($T$8:T966,T966),"")</f>
        <v/>
      </c>
      <c r="V966" s="34" t="str">
        <f t="shared" si="729"/>
        <v>db</v>
      </c>
      <c r="W966" s="34" t="str">
        <f t="shared" si="730"/>
        <v>db</v>
      </c>
      <c r="X966" s="34" t="str">
        <f>IF(B966="","",COUNTIF($C$8:C966,C966)&amp;C966)</f>
        <v>0</v>
      </c>
    </row>
    <row r="967" spans="2:24" ht="23.1" customHeight="1">
      <c r="B967" s="31">
        <v>44895</v>
      </c>
      <c r="C967" s="9"/>
      <c r="D967" s="9" t="s">
        <v>665</v>
      </c>
      <c r="E967" s="7"/>
      <c r="F967" s="7"/>
      <c r="G967" s="7"/>
      <c r="H967" s="7" t="s">
        <v>661</v>
      </c>
      <c r="I967" s="7" t="s">
        <v>672</v>
      </c>
      <c r="J967" s="39">
        <v>41666</v>
      </c>
      <c r="L967" s="16">
        <f t="shared" si="721"/>
        <v>1</v>
      </c>
      <c r="M967" s="16" t="str">
        <f t="shared" si="722"/>
        <v>November</v>
      </c>
      <c r="N967" s="16" t="str">
        <f t="shared" si="723"/>
        <v/>
      </c>
      <c r="O967" s="16" t="str">
        <f>IF(N967="","",COUNTIF($N$8:N967,N967))</f>
        <v/>
      </c>
      <c r="P967" s="34" t="str">
        <f t="shared" si="724"/>
        <v/>
      </c>
      <c r="Q967" s="34" t="str">
        <f t="shared" si="725"/>
        <v/>
      </c>
      <c r="R967" s="34" t="str">
        <f t="shared" si="726"/>
        <v>Beban</v>
      </c>
      <c r="S967" s="34" t="str">
        <f t="shared" si="727"/>
        <v>Depresiasi &amp; Amortisasi</v>
      </c>
      <c r="T967" s="34" t="str">
        <f t="shared" si="728"/>
        <v/>
      </c>
      <c r="U967" s="34" t="str">
        <f>IF(AND(L967=1,bp_kode=T967,T967&lt;&gt;""),COUNTIF($T$8:T967,T967),"")</f>
        <v/>
      </c>
      <c r="V967" s="34" t="str">
        <f t="shared" si="729"/>
        <v>db</v>
      </c>
      <c r="W967" s="34" t="str">
        <f t="shared" si="730"/>
        <v>db</v>
      </c>
      <c r="X967" s="34" t="str">
        <f>IF(B967="","",COUNTIF($C$8:C967,C967)&amp;C967)</f>
        <v>0</v>
      </c>
    </row>
    <row r="968" spans="2:24" ht="23.1" customHeight="1">
      <c r="B968" s="31">
        <v>44895</v>
      </c>
      <c r="C968" s="9"/>
      <c r="D968" s="9" t="s">
        <v>666</v>
      </c>
      <c r="E968" s="7"/>
      <c r="F968" s="7"/>
      <c r="G968" s="7"/>
      <c r="H968" s="7" t="s">
        <v>662</v>
      </c>
      <c r="I968" s="7" t="s">
        <v>673</v>
      </c>
      <c r="J968" s="39">
        <v>5654493</v>
      </c>
      <c r="L968" s="16">
        <f t="shared" si="721"/>
        <v>1</v>
      </c>
      <c r="M968" s="16" t="str">
        <f t="shared" si="722"/>
        <v>November</v>
      </c>
      <c r="N968" s="16" t="str">
        <f t="shared" si="723"/>
        <v/>
      </c>
      <c r="O968" s="16" t="str">
        <f>IF(N968="","",COUNTIF($N$8:N968,N968))</f>
        <v/>
      </c>
      <c r="P968" s="34" t="str">
        <f t="shared" si="724"/>
        <v/>
      </c>
      <c r="Q968" s="34" t="str">
        <f t="shared" si="725"/>
        <v/>
      </c>
      <c r="R968" s="34" t="str">
        <f t="shared" si="726"/>
        <v>Beban</v>
      </c>
      <c r="S968" s="34" t="str">
        <f t="shared" si="727"/>
        <v>Depresiasi &amp; Amortisasi</v>
      </c>
      <c r="T968" s="34" t="str">
        <f t="shared" si="728"/>
        <v/>
      </c>
      <c r="U968" s="34" t="str">
        <f>IF(AND(L968=1,bp_kode=T968,T968&lt;&gt;""),COUNTIF($T$8:T968,T968),"")</f>
        <v/>
      </c>
      <c r="V968" s="34" t="str">
        <f t="shared" si="729"/>
        <v>db</v>
      </c>
      <c r="W968" s="34" t="str">
        <f t="shared" si="730"/>
        <v>db</v>
      </c>
      <c r="X968" s="34" t="str">
        <f>IF(B968="","",COUNTIF($C$8:C968,C968)&amp;C968)</f>
        <v>0</v>
      </c>
    </row>
    <row r="969" spans="2:24" ht="23.1" customHeight="1">
      <c r="B969" s="31">
        <v>44895</v>
      </c>
      <c r="C969" s="9"/>
      <c r="D969" s="9" t="s">
        <v>669</v>
      </c>
      <c r="E969" s="7"/>
      <c r="F969" s="7"/>
      <c r="G969" s="7"/>
      <c r="H969" s="7" t="s">
        <v>667</v>
      </c>
      <c r="I969" s="7" t="s">
        <v>674</v>
      </c>
      <c r="J969" s="39">
        <v>17325229</v>
      </c>
      <c r="L969" s="16">
        <f t="shared" si="721"/>
        <v>1</v>
      </c>
      <c r="M969" s="16" t="str">
        <f t="shared" si="722"/>
        <v>November</v>
      </c>
      <c r="N969" s="16" t="str">
        <f t="shared" si="723"/>
        <v/>
      </c>
      <c r="O969" s="16" t="str">
        <f>IF(N969="","",COUNTIF($N$8:N969,N969))</f>
        <v/>
      </c>
      <c r="P969" s="34" t="str">
        <f t="shared" si="724"/>
        <v/>
      </c>
      <c r="Q969" s="34" t="str">
        <f t="shared" si="725"/>
        <v/>
      </c>
      <c r="R969" s="34" t="str">
        <f t="shared" si="726"/>
        <v>Beban</v>
      </c>
      <c r="S969" s="34" t="str">
        <f t="shared" si="727"/>
        <v>Depresiasi &amp; Amortisasi</v>
      </c>
      <c r="T969" s="34" t="str">
        <f t="shared" si="728"/>
        <v/>
      </c>
      <c r="U969" s="34" t="str">
        <f>IF(AND(L969=1,bp_kode=T969,T969&lt;&gt;""),COUNTIF($T$8:T969,T969),"")</f>
        <v/>
      </c>
      <c r="V969" s="34" t="str">
        <f t="shared" si="729"/>
        <v>db</v>
      </c>
      <c r="W969" s="34" t="str">
        <f t="shared" si="730"/>
        <v>db</v>
      </c>
      <c r="X969" s="34" t="str">
        <f>IF(B969="","",COUNTIF($C$8:C969,C969)&amp;C969)</f>
        <v>0</v>
      </c>
    </row>
    <row r="970" spans="2:24" ht="23.1" customHeight="1">
      <c r="B970" s="31">
        <v>44895</v>
      </c>
      <c r="C970" s="9"/>
      <c r="D970" s="9" t="s">
        <v>670</v>
      </c>
      <c r="E970" s="7"/>
      <c r="F970" s="7"/>
      <c r="G970" s="7"/>
      <c r="H970" s="7" t="s">
        <v>668</v>
      </c>
      <c r="I970" s="7" t="s">
        <v>675</v>
      </c>
      <c r="J970" s="39">
        <v>5265000</v>
      </c>
      <c r="L970" s="16">
        <f t="shared" si="721"/>
        <v>1</v>
      </c>
      <c r="M970" s="16" t="str">
        <f t="shared" si="722"/>
        <v>November</v>
      </c>
      <c r="N970" s="16" t="str">
        <f t="shared" si="723"/>
        <v/>
      </c>
      <c r="O970" s="16" t="str">
        <f>IF(N970="","",COUNTIF($N$8:N970,N970))</f>
        <v/>
      </c>
      <c r="P970" s="34" t="str">
        <f t="shared" si="724"/>
        <v/>
      </c>
      <c r="Q970" s="34" t="str">
        <f t="shared" si="725"/>
        <v/>
      </c>
      <c r="R970" s="34" t="str">
        <f t="shared" si="726"/>
        <v>Beban</v>
      </c>
      <c r="S970" s="34" t="str">
        <f t="shared" si="727"/>
        <v>Depresiasi &amp; Amortisasi</v>
      </c>
      <c r="T970" s="34" t="str">
        <f t="shared" si="728"/>
        <v/>
      </c>
      <c r="U970" s="34" t="str">
        <f>IF(AND(L970=1,bp_kode=T970,T970&lt;&gt;""),COUNTIF($T$8:T970,T970),"")</f>
        <v/>
      </c>
      <c r="V970" s="34" t="str">
        <f t="shared" si="729"/>
        <v>db</v>
      </c>
      <c r="W970" s="34" t="str">
        <f t="shared" si="730"/>
        <v>db</v>
      </c>
      <c r="X970" s="34" t="str">
        <f>IF(B970="","",COUNTIF($C$8:C970,C970)&amp;C970)</f>
        <v>0</v>
      </c>
    </row>
    <row r="971" spans="2:24" ht="23.1" customHeight="1">
      <c r="B971" s="31">
        <v>44895</v>
      </c>
      <c r="C971" s="9"/>
      <c r="D971" s="9" t="s">
        <v>670</v>
      </c>
      <c r="E971" s="7"/>
      <c r="F971" s="7"/>
      <c r="G971" s="7"/>
      <c r="H971" s="7" t="s">
        <v>668</v>
      </c>
      <c r="I971" s="7" t="s">
        <v>675</v>
      </c>
      <c r="J971" s="39">
        <v>186666.66666666666</v>
      </c>
      <c r="L971" s="16">
        <f t="shared" si="721"/>
        <v>1</v>
      </c>
      <c r="M971" s="16" t="str">
        <f t="shared" si="722"/>
        <v>November</v>
      </c>
      <c r="N971" s="16" t="str">
        <f t="shared" si="723"/>
        <v/>
      </c>
      <c r="O971" s="16" t="str">
        <f>IF(N971="","",COUNTIF($N$8:N971,N971))</f>
        <v/>
      </c>
      <c r="P971" s="34" t="str">
        <f t="shared" si="724"/>
        <v/>
      </c>
      <c r="Q971" s="34" t="str">
        <f t="shared" si="725"/>
        <v/>
      </c>
      <c r="R971" s="34" t="str">
        <f t="shared" si="726"/>
        <v>Beban</v>
      </c>
      <c r="S971" s="34" t="str">
        <f t="shared" si="727"/>
        <v>Depresiasi &amp; Amortisasi</v>
      </c>
      <c r="T971" s="34" t="str">
        <f t="shared" si="728"/>
        <v/>
      </c>
      <c r="U971" s="34" t="str">
        <f>IF(AND(L971=1,bp_kode=T971,T971&lt;&gt;""),COUNTIF($T$8:T971,T971),"")</f>
        <v/>
      </c>
      <c r="V971" s="34" t="str">
        <f t="shared" si="729"/>
        <v>db</v>
      </c>
      <c r="W971" s="34" t="str">
        <f t="shared" si="730"/>
        <v>db</v>
      </c>
      <c r="X971" s="34" t="str">
        <f>IF(B971="","",COUNTIF($C$8:C971,C971)&amp;C971)</f>
        <v>0</v>
      </c>
    </row>
    <row r="972" spans="2:24" s="370" customFormat="1" ht="23.1" customHeight="1">
      <c r="B972" s="366">
        <v>44895</v>
      </c>
      <c r="C972" s="367"/>
      <c r="D972" s="367" t="s">
        <v>666</v>
      </c>
      <c r="E972" s="368"/>
      <c r="F972" s="368"/>
      <c r="G972" s="368"/>
      <c r="H972" s="368" t="s">
        <v>662</v>
      </c>
      <c r="I972" s="368" t="s">
        <v>673</v>
      </c>
      <c r="J972" s="369">
        <v>1299316</v>
      </c>
      <c r="L972" s="371">
        <f t="shared" si="721"/>
        <v>1</v>
      </c>
      <c r="M972" s="371" t="str">
        <f t="shared" si="722"/>
        <v>November</v>
      </c>
      <c r="N972" s="371" t="str">
        <f t="shared" si="723"/>
        <v/>
      </c>
      <c r="O972" s="371" t="str">
        <f>IF(N972="","",COUNTIF($N$8:N972,N972))</f>
        <v/>
      </c>
      <c r="P972" s="372" t="str">
        <f t="shared" si="724"/>
        <v/>
      </c>
      <c r="Q972" s="372" t="str">
        <f t="shared" si="725"/>
        <v/>
      </c>
      <c r="R972" s="372" t="str">
        <f t="shared" si="726"/>
        <v>Beban</v>
      </c>
      <c r="S972" s="372" t="str">
        <f t="shared" si="727"/>
        <v>Depresiasi &amp; Amortisasi</v>
      </c>
      <c r="T972" s="372" t="str">
        <f t="shared" si="728"/>
        <v/>
      </c>
      <c r="U972" s="372" t="str">
        <f>IF(AND(L972=1,bp_kode=T972,T972&lt;&gt;""),COUNTIF($T$8:T972,T972),"")</f>
        <v/>
      </c>
      <c r="V972" s="372" t="str">
        <f t="shared" si="729"/>
        <v>db</v>
      </c>
      <c r="W972" s="372" t="str">
        <f t="shared" si="730"/>
        <v>db</v>
      </c>
      <c r="X972" s="372" t="str">
        <f>IF(B972="","",COUNTIF($C$8:C972,C972)&amp;C972)</f>
        <v>0</v>
      </c>
    </row>
    <row r="973" spans="2:24" s="370" customFormat="1" ht="23.1" customHeight="1">
      <c r="B973" s="366">
        <v>44895</v>
      </c>
      <c r="C973" s="367"/>
      <c r="D973" s="367" t="s">
        <v>742</v>
      </c>
      <c r="E973" s="368"/>
      <c r="F973" s="368"/>
      <c r="G973" s="368"/>
      <c r="H973" s="368" t="s">
        <v>640</v>
      </c>
      <c r="I973" s="368" t="s">
        <v>582</v>
      </c>
      <c r="J973" s="369"/>
      <c r="L973" s="371">
        <f t="shared" si="721"/>
        <v>1</v>
      </c>
      <c r="M973" s="371" t="str">
        <f t="shared" si="722"/>
        <v>November</v>
      </c>
      <c r="N973" s="371" t="str">
        <f t="shared" si="723"/>
        <v/>
      </c>
      <c r="O973" s="371" t="str">
        <f>IF(N973="","",COUNTIF($N$8:N973,N973))</f>
        <v/>
      </c>
      <c r="P973" s="372" t="str">
        <f t="shared" si="724"/>
        <v>outBeban Lainnya</v>
      </c>
      <c r="Q973" s="372" t="str">
        <f t="shared" si="725"/>
        <v>outNovemberBeban Lainnya</v>
      </c>
      <c r="R973" s="372" t="str">
        <f t="shared" si="726"/>
        <v>Beban Lainnya</v>
      </c>
      <c r="S973" s="372" t="str">
        <f t="shared" si="727"/>
        <v>Kas</v>
      </c>
      <c r="T973" s="372" t="str">
        <f t="shared" si="728"/>
        <v/>
      </c>
      <c r="U973" s="372" t="str">
        <f>IF(AND(L973=1,bp_kode=T973,T973&lt;&gt;""),COUNTIF($T$8:T973,T973),"")</f>
        <v/>
      </c>
      <c r="V973" s="372" t="str">
        <f t="shared" si="729"/>
        <v>db</v>
      </c>
      <c r="W973" s="372" t="str">
        <f t="shared" si="730"/>
        <v>db</v>
      </c>
      <c r="X973" s="372" t="str">
        <f>IF(B973="","",COUNTIF($C$8:C973,C973)&amp;C973)</f>
        <v>0</v>
      </c>
    </row>
    <row r="974" spans="2:24" ht="23.1" customHeight="1">
      <c r="B974" s="31">
        <v>44926</v>
      </c>
      <c r="C974" s="9"/>
      <c r="D974" s="9" t="s">
        <v>550</v>
      </c>
      <c r="E974" s="7"/>
      <c r="F974" s="7"/>
      <c r="G974" s="7"/>
      <c r="H974" s="7" t="s">
        <v>551</v>
      </c>
      <c r="I974" s="7" t="s">
        <v>503</v>
      </c>
      <c r="J974" s="39">
        <v>790812200</v>
      </c>
      <c r="L974" s="16">
        <f t="shared" si="721"/>
        <v>1</v>
      </c>
      <c r="M974" s="16" t="str">
        <f t="shared" si="722"/>
        <v>December</v>
      </c>
      <c r="N974" s="16" t="str">
        <f t="shared" si="723"/>
        <v/>
      </c>
      <c r="O974" s="16" t="str">
        <f>IF(N974="","",COUNTIF($N$8:N974,N974))</f>
        <v/>
      </c>
      <c r="P974" s="34" t="str">
        <f t="shared" si="724"/>
        <v/>
      </c>
      <c r="Q974" s="34" t="str">
        <f t="shared" si="725"/>
        <v/>
      </c>
      <c r="R974" s="34" t="str">
        <f t="shared" si="726"/>
        <v>Akun Piutang</v>
      </c>
      <c r="S974" s="34" t="str">
        <f t="shared" si="727"/>
        <v>Pendapatan</v>
      </c>
      <c r="T974" s="34">
        <f t="shared" si="728"/>
        <v>0</v>
      </c>
      <c r="U974" s="34" t="str">
        <f>IF(AND(L974=1,bp_kode=T974,T974&lt;&gt;""),COUNTIF($T$8:T974,T974),"")</f>
        <v/>
      </c>
      <c r="V974" s="34" t="str">
        <f t="shared" si="729"/>
        <v>kr</v>
      </c>
      <c r="W974" s="34" t="str">
        <f t="shared" si="730"/>
        <v>kr</v>
      </c>
      <c r="X974" s="34" t="str">
        <f>IF(B974="","",COUNTIF($C$8:C974,C974)&amp;C974)</f>
        <v>0</v>
      </c>
    </row>
    <row r="975" spans="2:24" ht="23.1" customHeight="1">
      <c r="B975" s="31">
        <v>44926</v>
      </c>
      <c r="C975" s="9"/>
      <c r="D975" s="9" t="s">
        <v>552</v>
      </c>
      <c r="E975" s="7"/>
      <c r="F975" s="7"/>
      <c r="G975" s="7"/>
      <c r="H975" s="7" t="s">
        <v>587</v>
      </c>
      <c r="I975" s="7" t="s">
        <v>553</v>
      </c>
      <c r="J975" s="39">
        <v>4909000</v>
      </c>
      <c r="L975" s="16">
        <f t="shared" si="721"/>
        <v>1</v>
      </c>
      <c r="M975" s="16" t="str">
        <f t="shared" si="722"/>
        <v>December</v>
      </c>
      <c r="N975" s="16" t="str">
        <f t="shared" si="723"/>
        <v/>
      </c>
      <c r="O975" s="16" t="str">
        <f>IF(N975="","",COUNTIF($N$8:N975,N975))</f>
        <v/>
      </c>
      <c r="P975" s="34" t="str">
        <f t="shared" si="724"/>
        <v/>
      </c>
      <c r="Q975" s="34" t="str">
        <f t="shared" si="725"/>
        <v/>
      </c>
      <c r="R975" s="34" t="str">
        <f t="shared" si="726"/>
        <v>Akun Piutang</v>
      </c>
      <c r="S975" s="34" t="str">
        <f t="shared" si="727"/>
        <v>Pendapatan</v>
      </c>
      <c r="T975" s="34">
        <f t="shared" si="728"/>
        <v>0</v>
      </c>
      <c r="U975" s="34" t="str">
        <f>IF(AND(L975=1,bp_kode=T975,T975&lt;&gt;""),COUNTIF($T$8:T975,T975),"")</f>
        <v/>
      </c>
      <c r="V975" s="34" t="str">
        <f t="shared" si="729"/>
        <v>kr</v>
      </c>
      <c r="W975" s="34" t="str">
        <f t="shared" si="730"/>
        <v>kr</v>
      </c>
      <c r="X975" s="34" t="str">
        <f>IF(B975="","",COUNTIF($C$8:C975,C975)&amp;C975)</f>
        <v>0</v>
      </c>
    </row>
    <row r="976" spans="2:24" ht="23.1" customHeight="1">
      <c r="B976" s="31">
        <v>44926</v>
      </c>
      <c r="C976" s="9"/>
      <c r="D976" s="9" t="s">
        <v>555</v>
      </c>
      <c r="E976" s="7"/>
      <c r="F976" s="7"/>
      <c r="G976" s="7"/>
      <c r="H976" s="7" t="s">
        <v>557</v>
      </c>
      <c r="I976" s="7" t="s">
        <v>556</v>
      </c>
      <c r="J976" s="39">
        <v>205925000</v>
      </c>
      <c r="L976" s="16">
        <f t="shared" si="721"/>
        <v>1</v>
      </c>
      <c r="M976" s="16" t="str">
        <f t="shared" si="722"/>
        <v>December</v>
      </c>
      <c r="N976" s="16" t="str">
        <f t="shared" si="723"/>
        <v/>
      </c>
      <c r="O976" s="16" t="str">
        <f>IF(N976="","",COUNTIF($N$8:N976,N976))</f>
        <v/>
      </c>
      <c r="P976" s="34" t="str">
        <f t="shared" si="724"/>
        <v/>
      </c>
      <c r="Q976" s="34" t="str">
        <f t="shared" si="725"/>
        <v/>
      </c>
      <c r="R976" s="34" t="str">
        <f t="shared" si="726"/>
        <v>Akun Piutang</v>
      </c>
      <c r="S976" s="34" t="str">
        <f t="shared" si="727"/>
        <v>Pendapatan</v>
      </c>
      <c r="T976" s="34">
        <f t="shared" si="728"/>
        <v>0</v>
      </c>
      <c r="U976" s="34" t="str">
        <f>IF(AND(L976=1,bp_kode=T976,T976&lt;&gt;""),COUNTIF($T$8:T976,T976),"")</f>
        <v/>
      </c>
      <c r="V976" s="34" t="str">
        <f t="shared" si="729"/>
        <v>kr</v>
      </c>
      <c r="W976" s="34" t="str">
        <f t="shared" si="730"/>
        <v>kr</v>
      </c>
      <c r="X976" s="34" t="str">
        <f>IF(B976="","",COUNTIF($C$8:C976,C976)&amp;C976)</f>
        <v>0</v>
      </c>
    </row>
    <row r="977" spans="2:24" ht="23.1" customHeight="1">
      <c r="B977" s="31">
        <v>44926</v>
      </c>
      <c r="C977" s="9"/>
      <c r="D977" s="9" t="s">
        <v>558</v>
      </c>
      <c r="E977" s="7"/>
      <c r="F977" s="7"/>
      <c r="G977" s="7"/>
      <c r="H977" s="7" t="s">
        <v>559</v>
      </c>
      <c r="I977" s="7" t="s">
        <v>560</v>
      </c>
      <c r="J977" s="39">
        <v>417241000</v>
      </c>
      <c r="L977" s="16">
        <f t="shared" si="721"/>
        <v>1</v>
      </c>
      <c r="M977" s="16" t="str">
        <f t="shared" si="722"/>
        <v>December</v>
      </c>
      <c r="N977" s="16" t="str">
        <f t="shared" si="723"/>
        <v/>
      </c>
      <c r="O977" s="16" t="str">
        <f>IF(N977="","",COUNTIF($N$8:N977,N977))</f>
        <v/>
      </c>
      <c r="P977" s="34" t="str">
        <f t="shared" si="724"/>
        <v/>
      </c>
      <c r="Q977" s="34" t="str">
        <f t="shared" si="725"/>
        <v/>
      </c>
      <c r="R977" s="34" t="str">
        <f t="shared" si="726"/>
        <v>Akun Piutang</v>
      </c>
      <c r="S977" s="34" t="str">
        <f t="shared" si="727"/>
        <v>Pendapatan</v>
      </c>
      <c r="T977" s="34">
        <f t="shared" si="728"/>
        <v>0</v>
      </c>
      <c r="U977" s="34" t="str">
        <f>IF(AND(L977=1,bp_kode=T977,T977&lt;&gt;""),COUNTIF($T$8:T977,T977),"")</f>
        <v/>
      </c>
      <c r="V977" s="34" t="str">
        <f t="shared" si="729"/>
        <v>kr</v>
      </c>
      <c r="W977" s="34" t="str">
        <f t="shared" si="730"/>
        <v>kr</v>
      </c>
      <c r="X977" s="34" t="str">
        <f>IF(B977="","",COUNTIF($C$8:C977,C977)&amp;C977)</f>
        <v>0</v>
      </c>
    </row>
    <row r="978" spans="2:24" ht="23.1" customHeight="1">
      <c r="B978" s="31">
        <v>44926</v>
      </c>
      <c r="C978" s="9"/>
      <c r="D978" s="9" t="s">
        <v>562</v>
      </c>
      <c r="E978" s="7"/>
      <c r="F978" s="7"/>
      <c r="G978" s="7"/>
      <c r="H978" s="7" t="s">
        <v>561</v>
      </c>
      <c r="I978" s="7" t="s">
        <v>504</v>
      </c>
      <c r="J978" s="39">
        <v>18614000</v>
      </c>
      <c r="L978" s="16">
        <f t="shared" si="721"/>
        <v>1</v>
      </c>
      <c r="M978" s="16" t="str">
        <f t="shared" si="722"/>
        <v>December</v>
      </c>
      <c r="N978" s="16" t="str">
        <f t="shared" si="723"/>
        <v/>
      </c>
      <c r="O978" s="16" t="str">
        <f>IF(N978="","",COUNTIF($N$8:N978,N978))</f>
        <v/>
      </c>
      <c r="P978" s="34" t="str">
        <f t="shared" si="724"/>
        <v/>
      </c>
      <c r="Q978" s="34" t="str">
        <f t="shared" si="725"/>
        <v/>
      </c>
      <c r="R978" s="34" t="str">
        <f t="shared" si="726"/>
        <v>Akun Piutang</v>
      </c>
      <c r="S978" s="34" t="str">
        <f t="shared" si="727"/>
        <v>Pendapatan</v>
      </c>
      <c r="T978" s="34">
        <f t="shared" si="728"/>
        <v>0</v>
      </c>
      <c r="U978" s="34" t="str">
        <f>IF(AND(L978=1,bp_kode=T978,T978&lt;&gt;""),COUNTIF($T$8:T978,T978),"")</f>
        <v/>
      </c>
      <c r="V978" s="34" t="str">
        <f t="shared" si="729"/>
        <v>kr</v>
      </c>
      <c r="W978" s="34" t="str">
        <f t="shared" si="730"/>
        <v>kr</v>
      </c>
      <c r="X978" s="34" t="str">
        <f>IF(B978="","",COUNTIF($C$8:C978,C978)&amp;C978)</f>
        <v>0</v>
      </c>
    </row>
    <row r="979" spans="2:24" ht="23.1" customHeight="1">
      <c r="B979" s="31">
        <v>44926</v>
      </c>
      <c r="C979" s="9"/>
      <c r="D979" s="9" t="s">
        <v>562</v>
      </c>
      <c r="E979" s="7"/>
      <c r="F979" s="7"/>
      <c r="G979" s="7"/>
      <c r="H979" s="7" t="s">
        <v>727</v>
      </c>
      <c r="I979" s="7" t="s">
        <v>504</v>
      </c>
      <c r="J979" s="39">
        <v>31000000</v>
      </c>
      <c r="L979" s="16">
        <f t="shared" si="721"/>
        <v>1</v>
      </c>
      <c r="M979" s="16" t="str">
        <f t="shared" si="722"/>
        <v>December</v>
      </c>
      <c r="N979" s="16" t="str">
        <f t="shared" si="723"/>
        <v/>
      </c>
      <c r="O979" s="16" t="str">
        <f>IF(N979="","",COUNTIF($N$8:N979,N979))</f>
        <v/>
      </c>
      <c r="P979" s="34" t="str">
        <f t="shared" si="724"/>
        <v/>
      </c>
      <c r="Q979" s="34" t="str">
        <f t="shared" si="725"/>
        <v/>
      </c>
      <c r="R979" s="34" t="str">
        <f t="shared" si="726"/>
        <v>Akun Piutang</v>
      </c>
      <c r="S979" s="34" t="str">
        <f t="shared" si="727"/>
        <v>Pendapatan</v>
      </c>
      <c r="T979" s="34">
        <f t="shared" si="728"/>
        <v>0</v>
      </c>
      <c r="U979" s="34" t="str">
        <f>IF(AND(L979=1,bp_kode=T979,T979&lt;&gt;""),COUNTIF($T$8:T979,T979),"")</f>
        <v/>
      </c>
      <c r="V979" s="34" t="str">
        <f t="shared" si="729"/>
        <v>kr</v>
      </c>
      <c r="W979" s="34" t="str">
        <f t="shared" si="730"/>
        <v>kr</v>
      </c>
      <c r="X979" s="34" t="str">
        <f>IF(B979="","",COUNTIF($C$8:C979,C979)&amp;C979)</f>
        <v>0</v>
      </c>
    </row>
    <row r="980" spans="2:24" ht="23.1" customHeight="1">
      <c r="B980" s="31">
        <v>44926</v>
      </c>
      <c r="C980" s="9"/>
      <c r="D980" s="9" t="s">
        <v>563</v>
      </c>
      <c r="E980" s="7"/>
      <c r="F980" s="7"/>
      <c r="G980" s="7"/>
      <c r="H980" s="7" t="s">
        <v>565</v>
      </c>
      <c r="I980" s="7" t="s">
        <v>551</v>
      </c>
      <c r="J980" s="39">
        <v>132087500</v>
      </c>
      <c r="L980" s="16">
        <f t="shared" si="721"/>
        <v>1</v>
      </c>
      <c r="M980" s="16" t="str">
        <f t="shared" si="722"/>
        <v>December</v>
      </c>
      <c r="N980" s="16" t="str">
        <f t="shared" si="723"/>
        <v/>
      </c>
      <c r="O980" s="16" t="str">
        <f>IF(N980="","",COUNTIF($N$8:N980,N980))</f>
        <v/>
      </c>
      <c r="P980" s="34" t="str">
        <f t="shared" si="724"/>
        <v/>
      </c>
      <c r="Q980" s="34" t="str">
        <f t="shared" si="725"/>
        <v/>
      </c>
      <c r="R980" s="34" t="str">
        <f t="shared" si="726"/>
        <v>Pendapatan</v>
      </c>
      <c r="S980" s="34" t="str">
        <f t="shared" si="727"/>
        <v>Akun Piutang</v>
      </c>
      <c r="T980" s="34">
        <f t="shared" si="728"/>
        <v>0</v>
      </c>
      <c r="U980" s="34" t="str">
        <f>IF(AND(L980=1,bp_kode=T980,T980&lt;&gt;""),COUNTIF($T$8:T980,T980),"")</f>
        <v/>
      </c>
      <c r="V980" s="34" t="str">
        <f t="shared" si="729"/>
        <v>db</v>
      </c>
      <c r="W980" s="34" t="str">
        <f t="shared" si="730"/>
        <v>db</v>
      </c>
      <c r="X980" s="34" t="str">
        <f>IF(B980="","",COUNTIF($C$8:C980,C980)&amp;C980)</f>
        <v>0</v>
      </c>
    </row>
    <row r="981" spans="2:24" ht="23.1" customHeight="1">
      <c r="B981" s="31">
        <v>44926</v>
      </c>
      <c r="C981" s="9"/>
      <c r="D981" s="9" t="s">
        <v>564</v>
      </c>
      <c r="E981" s="7"/>
      <c r="F981" s="7"/>
      <c r="G981" s="7"/>
      <c r="H981" s="7" t="s">
        <v>566</v>
      </c>
      <c r="I981" s="7" t="s">
        <v>559</v>
      </c>
      <c r="J981" s="39">
        <v>6266800</v>
      </c>
      <c r="L981" s="16">
        <f t="shared" si="721"/>
        <v>1</v>
      </c>
      <c r="M981" s="16" t="str">
        <f t="shared" si="722"/>
        <v>December</v>
      </c>
      <c r="N981" s="16" t="str">
        <f t="shared" si="723"/>
        <v/>
      </c>
      <c r="O981" s="16" t="str">
        <f>IF(N981="","",COUNTIF($N$8:N981,N981))</f>
        <v/>
      </c>
      <c r="P981" s="34" t="str">
        <f t="shared" si="724"/>
        <v/>
      </c>
      <c r="Q981" s="34" t="str">
        <f t="shared" si="725"/>
        <v/>
      </c>
      <c r="R981" s="34" t="str">
        <f t="shared" si="726"/>
        <v>Pendapatan</v>
      </c>
      <c r="S981" s="34" t="str">
        <f t="shared" si="727"/>
        <v>Akun Piutang</v>
      </c>
      <c r="T981" s="34">
        <f t="shared" si="728"/>
        <v>0</v>
      </c>
      <c r="U981" s="34" t="str">
        <f>IF(AND(L981=1,bp_kode=T981,T981&lt;&gt;""),COUNTIF($T$8:T981,T981),"")</f>
        <v/>
      </c>
      <c r="V981" s="34" t="str">
        <f t="shared" si="729"/>
        <v>db</v>
      </c>
      <c r="W981" s="34" t="str">
        <f t="shared" si="730"/>
        <v>db</v>
      </c>
      <c r="X981" s="34" t="str">
        <f>IF(B981="","",COUNTIF($C$8:C981,C981)&amp;C981)</f>
        <v>0</v>
      </c>
    </row>
    <row r="982" spans="2:24" ht="23.1" customHeight="1">
      <c r="B982" s="31">
        <v>44926</v>
      </c>
      <c r="C982" s="9"/>
      <c r="D982" s="9" t="s">
        <v>555</v>
      </c>
      <c r="E982" s="7"/>
      <c r="F982" s="7"/>
      <c r="G982" s="7"/>
      <c r="H982" s="7" t="s">
        <v>554</v>
      </c>
      <c r="I982" s="7" t="s">
        <v>557</v>
      </c>
      <c r="J982" s="39">
        <v>204550000</v>
      </c>
      <c r="L982" s="16">
        <f t="shared" si="721"/>
        <v>1</v>
      </c>
      <c r="M982" s="16" t="str">
        <f t="shared" si="722"/>
        <v>December</v>
      </c>
      <c r="N982" s="16" t="str">
        <f t="shared" si="723"/>
        <v/>
      </c>
      <c r="O982" s="16" t="str">
        <f>IF(N982="","",COUNTIF($N$8:N982,N982))</f>
        <v/>
      </c>
      <c r="P982" s="34" t="str">
        <f t="shared" si="724"/>
        <v>InAkun Piutang</v>
      </c>
      <c r="Q982" s="34" t="str">
        <f t="shared" si="725"/>
        <v>inDecemberAkun Piutang</v>
      </c>
      <c r="R982" s="34" t="str">
        <f t="shared" si="726"/>
        <v>Kas</v>
      </c>
      <c r="S982" s="34" t="str">
        <f t="shared" si="727"/>
        <v>Akun Piutang</v>
      </c>
      <c r="T982" s="34">
        <f t="shared" si="728"/>
        <v>0</v>
      </c>
      <c r="U982" s="34" t="str">
        <f>IF(AND(L982=1,bp_kode=T982,T982&lt;&gt;""),COUNTIF($T$8:T982,T982),"")</f>
        <v/>
      </c>
      <c r="V982" s="34" t="str">
        <f t="shared" si="729"/>
        <v/>
      </c>
      <c r="W982" s="34" t="str">
        <f t="shared" si="730"/>
        <v/>
      </c>
      <c r="X982" s="34" t="str">
        <f>IF(B982="","",COUNTIF($C$8:C982,C982)&amp;C982)</f>
        <v>0</v>
      </c>
    </row>
    <row r="983" spans="2:24" ht="23.1" customHeight="1">
      <c r="B983" s="31">
        <v>44926</v>
      </c>
      <c r="C983" s="9"/>
      <c r="D983" s="9" t="s">
        <v>730</v>
      </c>
      <c r="E983" s="7"/>
      <c r="F983" s="7"/>
      <c r="G983" s="7"/>
      <c r="H983" s="7" t="s">
        <v>575</v>
      </c>
      <c r="I983" s="7" t="s">
        <v>569</v>
      </c>
      <c r="J983" s="39">
        <v>759</v>
      </c>
      <c r="L983" s="16">
        <f t="shared" si="721"/>
        <v>1</v>
      </c>
      <c r="M983" s="16" t="str">
        <f t="shared" si="722"/>
        <v>December</v>
      </c>
      <c r="N983" s="16" t="str">
        <f t="shared" si="723"/>
        <v/>
      </c>
      <c r="O983" s="16" t="str">
        <f>IF(N983="","",COUNTIF($N$8:N983,N983))</f>
        <v/>
      </c>
      <c r="P983" s="34" t="str">
        <f t="shared" si="724"/>
        <v>InPendapatan Lainnya</v>
      </c>
      <c r="Q983" s="34" t="str">
        <f t="shared" si="725"/>
        <v>inDecemberPendapatan Lainnya</v>
      </c>
      <c r="R983" s="34" t="str">
        <f t="shared" si="726"/>
        <v>Bank</v>
      </c>
      <c r="S983" s="34" t="str">
        <f t="shared" si="727"/>
        <v>Pendapatan Lainnya</v>
      </c>
      <c r="T983" s="34" t="str">
        <f t="shared" si="728"/>
        <v/>
      </c>
      <c r="U983" s="34" t="str">
        <f>IF(AND(L983=1,bp_kode=T983,T983&lt;&gt;""),COUNTIF($T$8:T983,T983),"")</f>
        <v/>
      </c>
      <c r="V983" s="34" t="str">
        <f t="shared" si="729"/>
        <v>kr</v>
      </c>
      <c r="W983" s="34" t="str">
        <f t="shared" si="730"/>
        <v>kr</v>
      </c>
      <c r="X983" s="34" t="str">
        <f>IF(B983="","",COUNTIF($C$8:C983,C983)&amp;C983)</f>
        <v>0</v>
      </c>
    </row>
    <row r="984" spans="2:24" ht="23.1" customHeight="1">
      <c r="B984" s="31">
        <v>44926</v>
      </c>
      <c r="C984" s="9"/>
      <c r="D984" s="9" t="s">
        <v>803</v>
      </c>
      <c r="E984" s="7"/>
      <c r="F984" s="7"/>
      <c r="G984" s="7"/>
      <c r="H984" s="7" t="s">
        <v>577</v>
      </c>
      <c r="I984" s="7" t="s">
        <v>575</v>
      </c>
      <c r="J984" s="39">
        <v>5518167</v>
      </c>
      <c r="L984" s="16">
        <f t="shared" ref="L984" si="741">IF(AND(B984&gt;=awal,B984&lt;=akhir,B984&lt;&gt;""),1,IF(AND(B984&lt;&gt;"",B984&lt;awal),2,""))</f>
        <v>1</v>
      </c>
      <c r="M984" s="16" t="str">
        <f t="shared" ref="M984" si="742">IF(B984="","",TEXT(B984,"mmmm"))</f>
        <v>December</v>
      </c>
      <c r="N984" s="16" t="str">
        <f t="shared" ref="N984" si="743">IF(AND(L984=1,H984=bb_akun),"Awe",IF(AND(L984=1,I984=bb_akun),"Awe",""))</f>
        <v/>
      </c>
      <c r="O984" s="16" t="str">
        <f>IF(N984="","",COUNTIF($N$8:N984,N984))</f>
        <v/>
      </c>
      <c r="P984" s="34" t="str">
        <f t="shared" ref="P984" si="744">IFERROR(IF(OR(INDEX(akun_type,MATCH(H984,akun_kb,0))="Kas",INDEX(akun_type,MATCH(H984,akun_kb,0))="Bank"),"In"&amp;INDEX(akun_type,MATCH(I984,akun_kb,0)),IF(OR(INDEX(akun_type,MATCH(I984,akun_kb,0))="Kas",INDEX(akun_type,MATCH(I984,akun_kb,0))="Bank"),"out"&amp;INDEX(akun_type,MATCH(H984,akun_kb,0)),"")),"")</f>
        <v>InBank</v>
      </c>
      <c r="Q984" s="34" t="str">
        <f t="shared" ref="Q984" si="745">IFERROR(IF(OR(INDEX(akun_type,MATCH(H984,akun_kb,0))="Kas",INDEX(akun_type,MATCH(H984,akun_kb,0))="Bank"),"in"&amp;TEXT(B984,"mmmm")&amp;INDEX(akun_type,MATCH(I984,akun_kb,0)),IF(OR(INDEX(akun_type,MATCH(I984,akun_kb,0))="Kas",INDEX(akun_type,MATCH(I984,akun_kb,0))="Bank"),"out"&amp;TEXT(B984,"mmmm")&amp;INDEX(akun_type,MATCH(H984,akun_kb,0)),"")),"")</f>
        <v>inDecemberBank</v>
      </c>
      <c r="R984" s="34" t="str">
        <f t="shared" ref="R984" si="746">IFERROR(INDEX(akun_type,MATCH(H984,akun_kb,0)),"")</f>
        <v>Bank</v>
      </c>
      <c r="S984" s="34" t="str">
        <f t="shared" ref="S984" si="747">IFERROR(INDEX(akun_type,MATCH(I984,akun_kb,0)),"")</f>
        <v>Bank</v>
      </c>
      <c r="T984" s="34" t="str">
        <f t="shared" ref="T984" si="748">IF(AND(L984=1,OR(R984="Akun Piutang",R984="akun hutang",S984="akun piutang",S984="akun hutang")),E984,"")</f>
        <v/>
      </c>
      <c r="U984" s="34" t="str">
        <f>IF(AND(L984=1,bp_kode=T984,T984&lt;&gt;""),COUNTIF($T$8:T984,T984),"")</f>
        <v/>
      </c>
      <c r="V984" s="34" t="str">
        <f t="shared" ref="V984" si="749">IF(OR(R984="Pendapatan",R984="Pendapatan Lainnya",R984="Beban",R984="Harga Pokok Penjualan",R984="Beban Lainnya"),"db"&amp;F984,IF(OR(S984="Pendapatan",S984="Pendapatan Lainnya",S984="Beban",S984="Harga Pokok Penjualan",S984="Beban Lainnya"),"kr"&amp;F984,""))</f>
        <v/>
      </c>
      <c r="W984" s="34" t="str">
        <f t="shared" ref="W984" si="750">IF(OR(R984="Pendapatan",R984="Pendapatan Lainnya",R984="Beban",R984="Harga Pokok Penjualan",R984="Beban Lainnya"),"db"&amp;G984,IF(OR(S984="Pendapatan",S984="Pendapatan Lainnya",S984="Beban",S984="Harga Pokok Penjualan",S984="Beban Lainnya"),"kr"&amp;G984,""))</f>
        <v/>
      </c>
      <c r="X984" s="34" t="str">
        <f>IF(B984="","",COUNTIF($C$8:C984,C984)&amp;C984)</f>
        <v>0</v>
      </c>
    </row>
    <row r="985" spans="2:24" ht="23.1" customHeight="1">
      <c r="B985" s="31">
        <v>44926</v>
      </c>
      <c r="C985" s="9"/>
      <c r="D985" s="9" t="s">
        <v>574</v>
      </c>
      <c r="E985" s="7"/>
      <c r="F985" s="7"/>
      <c r="G985" s="7"/>
      <c r="H985" s="7" t="s">
        <v>640</v>
      </c>
      <c r="I985" s="7" t="s">
        <v>575</v>
      </c>
      <c r="J985" s="39">
        <v>25000</v>
      </c>
      <c r="L985" s="16">
        <f t="shared" si="721"/>
        <v>1</v>
      </c>
      <c r="M985" s="16" t="str">
        <f t="shared" si="722"/>
        <v>December</v>
      </c>
      <c r="N985" s="16" t="str">
        <f t="shared" si="723"/>
        <v/>
      </c>
      <c r="O985" s="16" t="str">
        <f>IF(N985="","",COUNTIF($N$8:N985,N985))</f>
        <v/>
      </c>
      <c r="P985" s="34" t="str">
        <f t="shared" si="724"/>
        <v>outBeban Lainnya</v>
      </c>
      <c r="Q985" s="34" t="str">
        <f t="shared" si="725"/>
        <v>outDecemberBeban Lainnya</v>
      </c>
      <c r="R985" s="34" t="str">
        <f t="shared" si="726"/>
        <v>Beban Lainnya</v>
      </c>
      <c r="S985" s="34" t="str">
        <f t="shared" si="727"/>
        <v>Bank</v>
      </c>
      <c r="T985" s="34" t="str">
        <f t="shared" si="728"/>
        <v/>
      </c>
      <c r="U985" s="34" t="str">
        <f>IF(AND(L985=1,bp_kode=T985,T985&lt;&gt;""),COUNTIF($T$8:T985,T985),"")</f>
        <v/>
      </c>
      <c r="V985" s="34" t="str">
        <f t="shared" si="729"/>
        <v>db</v>
      </c>
      <c r="W985" s="34" t="str">
        <f t="shared" si="730"/>
        <v>db</v>
      </c>
      <c r="X985" s="34" t="str">
        <f>IF(B985="","",COUNTIF($C$8:C985,C985)&amp;C985)</f>
        <v>0</v>
      </c>
    </row>
    <row r="986" spans="2:24" ht="23.1" customHeight="1">
      <c r="B986" s="31">
        <v>44926</v>
      </c>
      <c r="C986" s="9"/>
      <c r="D986" s="9" t="s">
        <v>730</v>
      </c>
      <c r="E986" s="7"/>
      <c r="F986" s="7"/>
      <c r="G986" s="7"/>
      <c r="H986" s="7" t="s">
        <v>577</v>
      </c>
      <c r="I986" s="7" t="s">
        <v>569</v>
      </c>
      <c r="J986" s="39">
        <v>3901252.9</v>
      </c>
      <c r="L986" s="16">
        <f t="shared" si="721"/>
        <v>1</v>
      </c>
      <c r="M986" s="16" t="str">
        <f t="shared" si="722"/>
        <v>December</v>
      </c>
      <c r="N986" s="16" t="str">
        <f t="shared" si="723"/>
        <v/>
      </c>
      <c r="O986" s="16" t="str">
        <f>IF(N986="","",COUNTIF($N$8:N986,N986))</f>
        <v/>
      </c>
      <c r="P986" s="34" t="str">
        <f t="shared" si="724"/>
        <v>InPendapatan Lainnya</v>
      </c>
      <c r="Q986" s="34" t="str">
        <f t="shared" si="725"/>
        <v>inDecemberPendapatan Lainnya</v>
      </c>
      <c r="R986" s="34" t="str">
        <f t="shared" si="726"/>
        <v>Bank</v>
      </c>
      <c r="S986" s="34" t="str">
        <f t="shared" si="727"/>
        <v>Pendapatan Lainnya</v>
      </c>
      <c r="T986" s="34" t="str">
        <f t="shared" si="728"/>
        <v/>
      </c>
      <c r="U986" s="34" t="str">
        <f>IF(AND(L986=1,bp_kode=T986,T986&lt;&gt;""),COUNTIF($T$8:T986,T986),"")</f>
        <v/>
      </c>
      <c r="V986" s="34" t="str">
        <f t="shared" si="729"/>
        <v>kr</v>
      </c>
      <c r="W986" s="34" t="str">
        <f t="shared" si="730"/>
        <v>kr</v>
      </c>
      <c r="X986" s="34" t="str">
        <f>IF(B986="","",COUNTIF($C$8:C986,C986)&amp;C986)</f>
        <v>0</v>
      </c>
    </row>
    <row r="987" spans="2:24" ht="23.1" customHeight="1">
      <c r="B987" s="31">
        <v>44926</v>
      </c>
      <c r="C987" s="9"/>
      <c r="D987" s="9" t="s">
        <v>570</v>
      </c>
      <c r="E987" s="7"/>
      <c r="F987" s="7"/>
      <c r="G987" s="7"/>
      <c r="H987" s="7" t="s">
        <v>571</v>
      </c>
      <c r="I987" s="7" t="s">
        <v>577</v>
      </c>
      <c r="J987" s="39">
        <v>780250.58</v>
      </c>
      <c r="L987" s="16">
        <f t="shared" si="721"/>
        <v>1</v>
      </c>
      <c r="M987" s="16" t="str">
        <f t="shared" si="722"/>
        <v>December</v>
      </c>
      <c r="N987" s="16" t="str">
        <f t="shared" si="723"/>
        <v/>
      </c>
      <c r="O987" s="16" t="str">
        <f>IF(N987="","",COUNTIF($N$8:N987,N987))</f>
        <v/>
      </c>
      <c r="P987" s="34" t="str">
        <f t="shared" si="724"/>
        <v>outBeban Lainnya</v>
      </c>
      <c r="Q987" s="34" t="str">
        <f t="shared" si="725"/>
        <v>outDecemberBeban Lainnya</v>
      </c>
      <c r="R987" s="34" t="str">
        <f t="shared" si="726"/>
        <v>Beban Lainnya</v>
      </c>
      <c r="S987" s="34" t="str">
        <f t="shared" si="727"/>
        <v>Bank</v>
      </c>
      <c r="T987" s="34" t="str">
        <f t="shared" si="728"/>
        <v/>
      </c>
      <c r="U987" s="34" t="str">
        <f>IF(AND(L987=1,bp_kode=T987,T987&lt;&gt;""),COUNTIF($T$8:T987,T987),"")</f>
        <v/>
      </c>
      <c r="V987" s="34" t="str">
        <f t="shared" si="729"/>
        <v>db</v>
      </c>
      <c r="W987" s="34" t="str">
        <f t="shared" si="730"/>
        <v>db</v>
      </c>
      <c r="X987" s="34" t="str">
        <f>IF(B987="","",COUNTIF($C$8:C987,C987)&amp;C987)</f>
        <v>0</v>
      </c>
    </row>
    <row r="988" spans="2:24" ht="23.1" customHeight="1">
      <c r="B988" s="31">
        <v>44926</v>
      </c>
      <c r="C988" s="9"/>
      <c r="D988" s="9" t="s">
        <v>572</v>
      </c>
      <c r="E988" s="7"/>
      <c r="F988" s="7"/>
      <c r="G988" s="7"/>
      <c r="H988" s="7" t="s">
        <v>640</v>
      </c>
      <c r="I988" s="7" t="s">
        <v>577</v>
      </c>
      <c r="J988" s="39">
        <v>25000</v>
      </c>
      <c r="L988" s="16">
        <f t="shared" si="721"/>
        <v>1</v>
      </c>
      <c r="M988" s="16" t="str">
        <f t="shared" si="722"/>
        <v>December</v>
      </c>
      <c r="N988" s="16" t="str">
        <f t="shared" si="723"/>
        <v/>
      </c>
      <c r="O988" s="16" t="str">
        <f>IF(N988="","",COUNTIF($N$8:N988,N988))</f>
        <v/>
      </c>
      <c r="P988" s="34" t="str">
        <f t="shared" si="724"/>
        <v>outBeban Lainnya</v>
      </c>
      <c r="Q988" s="34" t="str">
        <f t="shared" si="725"/>
        <v>outDecemberBeban Lainnya</v>
      </c>
      <c r="R988" s="34" t="str">
        <f t="shared" si="726"/>
        <v>Beban Lainnya</v>
      </c>
      <c r="S988" s="34" t="str">
        <f t="shared" si="727"/>
        <v>Bank</v>
      </c>
      <c r="T988" s="34" t="str">
        <f t="shared" si="728"/>
        <v/>
      </c>
      <c r="U988" s="34" t="str">
        <f>IF(AND(L988=1,bp_kode=T988,T988&lt;&gt;""),COUNTIF($T$8:T988,T988),"")</f>
        <v/>
      </c>
      <c r="V988" s="34" t="str">
        <f t="shared" si="729"/>
        <v>db</v>
      </c>
      <c r="W988" s="34" t="str">
        <f t="shared" si="730"/>
        <v>db</v>
      </c>
      <c r="X988" s="34" t="str">
        <f>IF(B988="","",COUNTIF($C$8:C988,C988)&amp;C988)</f>
        <v>0</v>
      </c>
    </row>
    <row r="989" spans="2:24" ht="23.1" customHeight="1">
      <c r="B989" s="31">
        <v>44926</v>
      </c>
      <c r="C989" s="9"/>
      <c r="D989" s="9" t="s">
        <v>578</v>
      </c>
      <c r="E989" s="7"/>
      <c r="F989" s="7"/>
      <c r="G989" s="7"/>
      <c r="H989" s="7" t="s">
        <v>640</v>
      </c>
      <c r="I989" s="7" t="s">
        <v>577</v>
      </c>
      <c r="J989" s="39">
        <v>10000</v>
      </c>
      <c r="L989" s="16">
        <f t="shared" si="721"/>
        <v>1</v>
      </c>
      <c r="M989" s="16" t="str">
        <f t="shared" si="722"/>
        <v>December</v>
      </c>
      <c r="N989" s="16" t="str">
        <f t="shared" si="723"/>
        <v/>
      </c>
      <c r="O989" s="16" t="str">
        <f>IF(N989="","",COUNTIF($N$8:N989,N989))</f>
        <v/>
      </c>
      <c r="P989" s="34" t="str">
        <f t="shared" si="724"/>
        <v>outBeban Lainnya</v>
      </c>
      <c r="Q989" s="34" t="str">
        <f t="shared" si="725"/>
        <v>outDecemberBeban Lainnya</v>
      </c>
      <c r="R989" s="34" t="str">
        <f t="shared" si="726"/>
        <v>Beban Lainnya</v>
      </c>
      <c r="S989" s="34" t="str">
        <f t="shared" si="727"/>
        <v>Bank</v>
      </c>
      <c r="T989" s="34" t="str">
        <f t="shared" si="728"/>
        <v/>
      </c>
      <c r="U989" s="34" t="str">
        <f>IF(AND(L989=1,bp_kode=T989,T989&lt;&gt;""),COUNTIF($T$8:T989,T989),"")</f>
        <v/>
      </c>
      <c r="V989" s="34" t="str">
        <f t="shared" si="729"/>
        <v>db</v>
      </c>
      <c r="W989" s="34" t="str">
        <f t="shared" si="730"/>
        <v>db</v>
      </c>
      <c r="X989" s="34" t="str">
        <f>IF(B989="","",COUNTIF($C$8:C989,C989)&amp;C989)</f>
        <v>0</v>
      </c>
    </row>
    <row r="990" spans="2:24" ht="23.1" customHeight="1">
      <c r="B990" s="31">
        <v>44926</v>
      </c>
      <c r="C990" s="9"/>
      <c r="D990" s="9" t="s">
        <v>572</v>
      </c>
      <c r="E990" s="7"/>
      <c r="F990" s="7"/>
      <c r="G990" s="7"/>
      <c r="H990" s="7" t="s">
        <v>640</v>
      </c>
      <c r="I990" s="7" t="s">
        <v>577</v>
      </c>
      <c r="J990" s="39">
        <v>25000</v>
      </c>
      <c r="L990" s="16">
        <f t="shared" ref="L990:L991" si="751">IF(AND(B990&gt;=awal,B990&lt;=akhir,B990&lt;&gt;""),1,IF(AND(B990&lt;&gt;"",B990&lt;awal),2,""))</f>
        <v>1</v>
      </c>
      <c r="M990" s="16" t="str">
        <f t="shared" ref="M990:M991" si="752">IF(B990="","",TEXT(B990,"mmmm"))</f>
        <v>December</v>
      </c>
      <c r="N990" s="16" t="str">
        <f t="shared" ref="N990:N991" si="753">IF(AND(L990=1,H990=bb_akun),"Awe",IF(AND(L990=1,I990=bb_akun),"Awe",""))</f>
        <v/>
      </c>
      <c r="O990" s="16" t="str">
        <f>IF(N990="","",COUNTIF($N$8:N990,N990))</f>
        <v/>
      </c>
      <c r="P990" s="34" t="str">
        <f t="shared" ref="P990:P991" si="754">IFERROR(IF(OR(INDEX(akun_type,MATCH(H990,akun_kb,0))="Kas",INDEX(akun_type,MATCH(H990,akun_kb,0))="Bank"),"In"&amp;INDEX(akun_type,MATCH(I990,akun_kb,0)),IF(OR(INDEX(akun_type,MATCH(I990,akun_kb,0))="Kas",INDEX(akun_type,MATCH(I990,akun_kb,0))="Bank"),"out"&amp;INDEX(akun_type,MATCH(H990,akun_kb,0)),"")),"")</f>
        <v>outBeban Lainnya</v>
      </c>
      <c r="Q990" s="34" t="str">
        <f t="shared" ref="Q990:Q991" si="755">IFERROR(IF(OR(INDEX(akun_type,MATCH(H990,akun_kb,0))="Kas",INDEX(akun_type,MATCH(H990,akun_kb,0))="Bank"),"in"&amp;TEXT(B990,"mmmm")&amp;INDEX(akun_type,MATCH(I990,akun_kb,0)),IF(OR(INDEX(akun_type,MATCH(I990,akun_kb,0))="Kas",INDEX(akun_type,MATCH(I990,akun_kb,0))="Bank"),"out"&amp;TEXT(B990,"mmmm")&amp;INDEX(akun_type,MATCH(H990,akun_kb,0)),"")),"")</f>
        <v>outDecemberBeban Lainnya</v>
      </c>
      <c r="R990" s="34" t="str">
        <f t="shared" ref="R990:R991" si="756">IFERROR(INDEX(akun_type,MATCH(H990,akun_kb,0)),"")</f>
        <v>Beban Lainnya</v>
      </c>
      <c r="S990" s="34" t="str">
        <f t="shared" ref="S990:S991" si="757">IFERROR(INDEX(akun_type,MATCH(I990,akun_kb,0)),"")</f>
        <v>Bank</v>
      </c>
      <c r="T990" s="34" t="str">
        <f t="shared" ref="T990:T991" si="758">IF(AND(L990=1,OR(R990="Akun Piutang",R990="akun hutang",S990="akun piutang",S990="akun hutang")),E990,"")</f>
        <v/>
      </c>
      <c r="U990" s="34" t="str">
        <f>IF(AND(L990=1,bp_kode=T990,T990&lt;&gt;""),COUNTIF($T$8:T990,T990),"")</f>
        <v/>
      </c>
      <c r="V990" s="34" t="str">
        <f t="shared" ref="V990:V991" si="759">IF(OR(R990="Pendapatan",R990="Pendapatan Lainnya",R990="Beban",R990="Harga Pokok Penjualan",R990="Beban Lainnya"),"db"&amp;F990,IF(OR(S990="Pendapatan",S990="Pendapatan Lainnya",S990="Beban",S990="Harga Pokok Penjualan",S990="Beban Lainnya"),"kr"&amp;F990,""))</f>
        <v>db</v>
      </c>
      <c r="W990" s="34" t="str">
        <f t="shared" ref="W990:W991" si="760">IF(OR(R990="Pendapatan",R990="Pendapatan Lainnya",R990="Beban",R990="Harga Pokok Penjualan",R990="Beban Lainnya"),"db"&amp;G990,IF(OR(S990="Pendapatan",S990="Pendapatan Lainnya",S990="Beban",S990="Harga Pokok Penjualan",S990="Beban Lainnya"),"kr"&amp;G990,""))</f>
        <v>db</v>
      </c>
      <c r="X990" s="34" t="str">
        <f>IF(B990="","",COUNTIF($C$8:C990,C990)&amp;C990)</f>
        <v>0</v>
      </c>
    </row>
    <row r="991" spans="2:24" ht="23.1" customHeight="1">
      <c r="B991" s="31">
        <v>44926</v>
      </c>
      <c r="C991" s="9"/>
      <c r="D991" s="9" t="s">
        <v>578</v>
      </c>
      <c r="E991" s="7"/>
      <c r="F991" s="7"/>
      <c r="G991" s="7"/>
      <c r="H991" s="7" t="s">
        <v>640</v>
      </c>
      <c r="I991" s="7" t="s">
        <v>577</v>
      </c>
      <c r="J991" s="39">
        <v>250000</v>
      </c>
      <c r="L991" s="16">
        <f t="shared" si="751"/>
        <v>1</v>
      </c>
      <c r="M991" s="16" t="str">
        <f t="shared" si="752"/>
        <v>December</v>
      </c>
      <c r="N991" s="16" t="str">
        <f t="shared" si="753"/>
        <v/>
      </c>
      <c r="O991" s="16" t="str">
        <f>IF(N991="","",COUNTIF($N$8:N991,N991))</f>
        <v/>
      </c>
      <c r="P991" s="34" t="str">
        <f t="shared" si="754"/>
        <v>outBeban Lainnya</v>
      </c>
      <c r="Q991" s="34" t="str">
        <f t="shared" si="755"/>
        <v>outDecemberBeban Lainnya</v>
      </c>
      <c r="R991" s="34" t="str">
        <f t="shared" si="756"/>
        <v>Beban Lainnya</v>
      </c>
      <c r="S991" s="34" t="str">
        <f t="shared" si="757"/>
        <v>Bank</v>
      </c>
      <c r="T991" s="34" t="str">
        <f t="shared" si="758"/>
        <v/>
      </c>
      <c r="U991" s="34" t="str">
        <f>IF(AND(L991=1,bp_kode=T991,T991&lt;&gt;""),COUNTIF($T$8:T991,T991),"")</f>
        <v/>
      </c>
      <c r="V991" s="34" t="str">
        <f t="shared" si="759"/>
        <v>db</v>
      </c>
      <c r="W991" s="34" t="str">
        <f t="shared" si="760"/>
        <v>db</v>
      </c>
      <c r="X991" s="34" t="str">
        <f>IF(B991="","",COUNTIF($C$8:C991,C991)&amp;C991)</f>
        <v>0</v>
      </c>
    </row>
    <row r="992" spans="2:24" ht="23.1" customHeight="1">
      <c r="B992" s="31">
        <v>44926</v>
      </c>
      <c r="C992" s="9"/>
      <c r="D992" s="9" t="s">
        <v>807</v>
      </c>
      <c r="E992" s="7"/>
      <c r="F992" s="7"/>
      <c r="G992" s="7"/>
      <c r="H992" s="7" t="s">
        <v>577</v>
      </c>
      <c r="I992" s="7" t="s">
        <v>554</v>
      </c>
      <c r="J992" s="39">
        <v>1175244700</v>
      </c>
      <c r="L992" s="16">
        <f t="shared" si="721"/>
        <v>1</v>
      </c>
      <c r="M992" s="16" t="str">
        <f t="shared" si="722"/>
        <v>December</v>
      </c>
      <c r="N992" s="16" t="str">
        <f t="shared" si="723"/>
        <v/>
      </c>
      <c r="O992" s="16" t="str">
        <f>IF(N992="","",COUNTIF($N$8:N992,N992))</f>
        <v/>
      </c>
      <c r="P992" s="34" t="str">
        <f t="shared" si="724"/>
        <v>InKas</v>
      </c>
      <c r="Q992" s="34" t="str">
        <f t="shared" si="725"/>
        <v>inDecemberKas</v>
      </c>
      <c r="R992" s="34" t="str">
        <f t="shared" si="726"/>
        <v>Bank</v>
      </c>
      <c r="S992" s="34" t="str">
        <f t="shared" si="727"/>
        <v>Kas</v>
      </c>
      <c r="T992" s="34" t="str">
        <f t="shared" si="728"/>
        <v/>
      </c>
      <c r="U992" s="34" t="str">
        <f>IF(AND(L992=1,bp_kode=T992,T992&lt;&gt;""),COUNTIF($T$8:T992,T992),"")</f>
        <v/>
      </c>
      <c r="V992" s="34" t="str">
        <f t="shared" si="729"/>
        <v/>
      </c>
      <c r="W992" s="34" t="str">
        <f t="shared" si="730"/>
        <v/>
      </c>
      <c r="X992" s="34" t="str">
        <f>IF(B992="","",COUNTIF($C$8:C992,C992)&amp;C992)</f>
        <v>0</v>
      </c>
    </row>
    <row r="993" spans="2:24" ht="23.1" customHeight="1">
      <c r="B993" s="31">
        <v>44926</v>
      </c>
      <c r="C993" s="9"/>
      <c r="D993" s="9" t="s">
        <v>573</v>
      </c>
      <c r="E993" s="7"/>
      <c r="F993" s="7"/>
      <c r="G993" s="7"/>
      <c r="H993" s="7" t="s">
        <v>577</v>
      </c>
      <c r="I993" s="7" t="s">
        <v>559</v>
      </c>
      <c r="J993" s="39">
        <v>149348200</v>
      </c>
      <c r="L993" s="16">
        <f t="shared" si="721"/>
        <v>1</v>
      </c>
      <c r="M993" s="16" t="str">
        <f t="shared" si="722"/>
        <v>December</v>
      </c>
      <c r="N993" s="16" t="str">
        <f t="shared" si="723"/>
        <v/>
      </c>
      <c r="O993" s="16" t="str">
        <f>IF(N993="","",COUNTIF($N$8:N993,N993))</f>
        <v/>
      </c>
      <c r="P993" s="34" t="str">
        <f t="shared" si="724"/>
        <v>InAkun Piutang</v>
      </c>
      <c r="Q993" s="34" t="str">
        <f t="shared" si="725"/>
        <v>inDecemberAkun Piutang</v>
      </c>
      <c r="R993" s="34" t="str">
        <f t="shared" si="726"/>
        <v>Bank</v>
      </c>
      <c r="S993" s="34" t="str">
        <f t="shared" si="727"/>
        <v>Akun Piutang</v>
      </c>
      <c r="T993" s="34">
        <f t="shared" si="728"/>
        <v>0</v>
      </c>
      <c r="U993" s="34" t="str">
        <f>IF(AND(L993=1,bp_kode=T993,T993&lt;&gt;""),COUNTIF($T$8:T993,T993),"")</f>
        <v/>
      </c>
      <c r="V993" s="34" t="str">
        <f t="shared" si="729"/>
        <v/>
      </c>
      <c r="W993" s="34" t="str">
        <f t="shared" si="730"/>
        <v/>
      </c>
      <c r="X993" s="34" t="str">
        <f>IF(B993="","",COUNTIF($C$8:C993,C993)&amp;C993)</f>
        <v>0</v>
      </c>
    </row>
    <row r="994" spans="2:24" ht="23.1" customHeight="1">
      <c r="B994" s="31">
        <v>44926</v>
      </c>
      <c r="C994" s="9"/>
      <c r="D994" s="9" t="s">
        <v>588</v>
      </c>
      <c r="E994" s="7"/>
      <c r="F994" s="7"/>
      <c r="G994" s="7"/>
      <c r="H994" s="7" t="s">
        <v>577</v>
      </c>
      <c r="I994" s="7" t="s">
        <v>561</v>
      </c>
      <c r="J994" s="39">
        <v>7000000</v>
      </c>
      <c r="L994" s="16">
        <f t="shared" si="721"/>
        <v>1</v>
      </c>
      <c r="M994" s="16" t="str">
        <f t="shared" si="722"/>
        <v>December</v>
      </c>
      <c r="N994" s="16" t="str">
        <f t="shared" si="723"/>
        <v/>
      </c>
      <c r="O994" s="16" t="str">
        <f>IF(N994="","",COUNTIF($N$8:N994,N994))</f>
        <v/>
      </c>
      <c r="P994" s="34" t="str">
        <f t="shared" si="724"/>
        <v>InAkun Piutang</v>
      </c>
      <c r="Q994" s="34" t="str">
        <f t="shared" si="725"/>
        <v>inDecemberAkun Piutang</v>
      </c>
      <c r="R994" s="34" t="str">
        <f t="shared" si="726"/>
        <v>Bank</v>
      </c>
      <c r="S994" s="34" t="str">
        <f t="shared" si="727"/>
        <v>Akun Piutang</v>
      </c>
      <c r="T994" s="34">
        <f t="shared" si="728"/>
        <v>0</v>
      </c>
      <c r="U994" s="34" t="str">
        <f>IF(AND(L994=1,bp_kode=T994,T994&lt;&gt;""),COUNTIF($T$8:T994,T994),"")</f>
        <v/>
      </c>
      <c r="V994" s="34" t="str">
        <f t="shared" si="729"/>
        <v/>
      </c>
      <c r="W994" s="34" t="str">
        <f t="shared" si="730"/>
        <v/>
      </c>
      <c r="X994" s="34" t="str">
        <f>IF(B994="","",COUNTIF($C$8:C994,C994)&amp;C994)</f>
        <v>0</v>
      </c>
    </row>
    <row r="995" spans="2:24" ht="23.1" customHeight="1">
      <c r="B995" s="31">
        <v>44926</v>
      </c>
      <c r="C995" s="9"/>
      <c r="D995" s="9" t="s">
        <v>819</v>
      </c>
      <c r="E995" s="7" t="s">
        <v>821</v>
      </c>
      <c r="F995" s="7"/>
      <c r="G995" s="7"/>
      <c r="H995" s="7" t="s">
        <v>577</v>
      </c>
      <c r="I995" s="7" t="s">
        <v>820</v>
      </c>
      <c r="J995" s="39">
        <v>5000000</v>
      </c>
      <c r="L995" s="16">
        <f t="shared" ref="L995" si="761">IF(AND(B995&gt;=awal,B995&lt;=akhir,B995&lt;&gt;""),1,IF(AND(B995&lt;&gt;"",B995&lt;awal),2,""))</f>
        <v>1</v>
      </c>
      <c r="M995" s="16" t="str">
        <f t="shared" ref="M995" si="762">IF(B995="","",TEXT(B995,"mmmm"))</f>
        <v>December</v>
      </c>
      <c r="N995" s="16" t="str">
        <f t="shared" ref="N995" si="763">IF(AND(L995=1,H995=bb_akun),"Awe",IF(AND(L995=1,I995=bb_akun),"Awe",""))</f>
        <v/>
      </c>
      <c r="O995" s="16" t="str">
        <f>IF(N995="","",COUNTIF($N$8:N995,N995))</f>
        <v/>
      </c>
      <c r="P995" s="34" t="str">
        <f t="shared" ref="P995" si="764">IFERROR(IF(OR(INDEX(akun_type,MATCH(H995,akun_kb,0))="Kas",INDEX(akun_type,MATCH(H995,akun_kb,0))="Bank"),"In"&amp;INDEX(akun_type,MATCH(I995,akun_kb,0)),IF(OR(INDEX(akun_type,MATCH(I995,akun_kb,0))="Kas",INDEX(akun_type,MATCH(I995,akun_kb,0))="Bank"),"out"&amp;INDEX(akun_type,MATCH(H995,akun_kb,0)),"")),"")</f>
        <v>InAkun Piutang</v>
      </c>
      <c r="Q995" s="34" t="str">
        <f t="shared" ref="Q995" si="765">IFERROR(IF(OR(INDEX(akun_type,MATCH(H995,akun_kb,0))="Kas",INDEX(akun_type,MATCH(H995,akun_kb,0))="Bank"),"in"&amp;TEXT(B995,"mmmm")&amp;INDEX(akun_type,MATCH(I995,akun_kb,0)),IF(OR(INDEX(akun_type,MATCH(I995,akun_kb,0))="Kas",INDEX(akun_type,MATCH(I995,akun_kb,0))="Bank"),"out"&amp;TEXT(B995,"mmmm")&amp;INDEX(akun_type,MATCH(H995,akun_kb,0)),"")),"")</f>
        <v>inDecemberAkun Piutang</v>
      </c>
      <c r="R995" s="34" t="str">
        <f t="shared" ref="R995" si="766">IFERROR(INDEX(akun_type,MATCH(H995,akun_kb,0)),"")</f>
        <v>Bank</v>
      </c>
      <c r="S995" s="34" t="str">
        <f t="shared" ref="S995" si="767">IFERROR(INDEX(akun_type,MATCH(I995,akun_kb,0)),"")</f>
        <v>Akun Piutang</v>
      </c>
      <c r="T995" s="34" t="str">
        <f t="shared" ref="T995" si="768">IF(AND(L995=1,OR(R995="Akun Piutang",R995="akun hutang",S995="akun piutang",S995="akun hutang")),E995,"")</f>
        <v>PBP1 | Ir. H. A. Mappincara</v>
      </c>
      <c r="U995" s="34" t="str">
        <f>IF(AND(L995=1,bp_kode=T995,T995&lt;&gt;""),COUNTIF($T$8:T995,T995),"")</f>
        <v/>
      </c>
      <c r="V995" s="34" t="str">
        <f t="shared" ref="V995" si="769">IF(OR(R995="Pendapatan",R995="Pendapatan Lainnya",R995="Beban",R995="Harga Pokok Penjualan",R995="Beban Lainnya"),"db"&amp;F995,IF(OR(S995="Pendapatan",S995="Pendapatan Lainnya",S995="Beban",S995="Harga Pokok Penjualan",S995="Beban Lainnya"),"kr"&amp;F995,""))</f>
        <v/>
      </c>
      <c r="W995" s="34" t="str">
        <f t="shared" ref="W995" si="770">IF(OR(R995="Pendapatan",R995="Pendapatan Lainnya",R995="Beban",R995="Harga Pokok Penjualan",R995="Beban Lainnya"),"db"&amp;G995,IF(OR(S995="Pendapatan",S995="Pendapatan Lainnya",S995="Beban",S995="Harga Pokok Penjualan",S995="Beban Lainnya"),"kr"&amp;G995,""))</f>
        <v/>
      </c>
      <c r="X995" s="34" t="str">
        <f>IF(B995="","",COUNTIF($C$8:C995,C995)&amp;C995)</f>
        <v>0</v>
      </c>
    </row>
    <row r="996" spans="2:24" ht="23.1" customHeight="1">
      <c r="B996" s="31">
        <v>44926</v>
      </c>
      <c r="C996" s="9"/>
      <c r="D996" s="9" t="s">
        <v>793</v>
      </c>
      <c r="E996" s="7"/>
      <c r="F996" s="7"/>
      <c r="G996" s="7"/>
      <c r="H996" s="7" t="s">
        <v>582</v>
      </c>
      <c r="I996" s="7" t="s">
        <v>577</v>
      </c>
      <c r="J996" s="39">
        <v>1458879709</v>
      </c>
      <c r="L996" s="16">
        <f t="shared" si="721"/>
        <v>1</v>
      </c>
      <c r="M996" s="16" t="str">
        <f t="shared" si="722"/>
        <v>December</v>
      </c>
      <c r="N996" s="16" t="str">
        <f t="shared" si="723"/>
        <v/>
      </c>
      <c r="O996" s="16" t="str">
        <f>IF(N996="","",COUNTIF($N$8:N996,N996))</f>
        <v/>
      </c>
      <c r="P996" s="34" t="str">
        <f t="shared" si="724"/>
        <v>InBank</v>
      </c>
      <c r="Q996" s="34" t="str">
        <f t="shared" si="725"/>
        <v>inDecemberBank</v>
      </c>
      <c r="R996" s="34" t="str">
        <f t="shared" si="726"/>
        <v>Kas</v>
      </c>
      <c r="S996" s="34" t="str">
        <f t="shared" si="727"/>
        <v>Bank</v>
      </c>
      <c r="T996" s="34" t="str">
        <f t="shared" si="728"/>
        <v/>
      </c>
      <c r="U996" s="34" t="str">
        <f>IF(AND(L996=1,bp_kode=T996,T996&lt;&gt;""),COUNTIF($T$8:T996,T996),"")</f>
        <v/>
      </c>
      <c r="V996" s="34" t="str">
        <f t="shared" si="729"/>
        <v/>
      </c>
      <c r="W996" s="34" t="str">
        <f t="shared" si="730"/>
        <v/>
      </c>
      <c r="X996" s="34" t="str">
        <f>IF(B996="","",COUNTIF($C$8:C996,C996)&amp;C996)</f>
        <v>0</v>
      </c>
    </row>
    <row r="997" spans="2:24" ht="23.1" customHeight="1">
      <c r="B997" s="31">
        <v>44926</v>
      </c>
      <c r="C997" s="9"/>
      <c r="D997" s="9" t="s">
        <v>809</v>
      </c>
      <c r="E997" s="7"/>
      <c r="F997" s="7"/>
      <c r="G997" s="7"/>
      <c r="H997" s="7" t="s">
        <v>640</v>
      </c>
      <c r="I997" s="7" t="s">
        <v>808</v>
      </c>
      <c r="J997" s="39">
        <v>25000</v>
      </c>
      <c r="L997" s="16">
        <f t="shared" si="721"/>
        <v>1</v>
      </c>
      <c r="M997" s="16" t="str">
        <f t="shared" si="722"/>
        <v>December</v>
      </c>
      <c r="N997" s="16" t="str">
        <f t="shared" si="723"/>
        <v/>
      </c>
      <c r="O997" s="16" t="str">
        <f>IF(N997="","",COUNTIF($N$8:N997,N997))</f>
        <v/>
      </c>
      <c r="P997" s="34" t="str">
        <f t="shared" si="724"/>
        <v>outBeban Lainnya</v>
      </c>
      <c r="Q997" s="34" t="str">
        <f t="shared" si="725"/>
        <v>outDecemberBeban Lainnya</v>
      </c>
      <c r="R997" s="34" t="str">
        <f t="shared" si="726"/>
        <v>Beban Lainnya</v>
      </c>
      <c r="S997" s="34" t="str">
        <f t="shared" si="727"/>
        <v>Bank</v>
      </c>
      <c r="T997" s="34" t="str">
        <f t="shared" si="728"/>
        <v/>
      </c>
      <c r="U997" s="34" t="str">
        <f>IF(AND(L997=1,bp_kode=T997,T997&lt;&gt;""),COUNTIF($T$8:T997,T997),"")</f>
        <v/>
      </c>
      <c r="V997" s="34" t="str">
        <f t="shared" si="729"/>
        <v>db</v>
      </c>
      <c r="W997" s="34" t="str">
        <f t="shared" si="730"/>
        <v>db</v>
      </c>
      <c r="X997" s="34" t="str">
        <f>IF(B997="","",COUNTIF($C$8:C997,C997)&amp;C997)</f>
        <v>0</v>
      </c>
    </row>
    <row r="998" spans="2:24" ht="23.1" customHeight="1">
      <c r="B998" s="31">
        <v>44926</v>
      </c>
      <c r="C998" s="9"/>
      <c r="D998" s="9" t="s">
        <v>802</v>
      </c>
      <c r="E998" s="7"/>
      <c r="F998" s="7"/>
      <c r="G998" s="7"/>
      <c r="H998" s="7" t="s">
        <v>788</v>
      </c>
      <c r="I998" s="7" t="s">
        <v>569</v>
      </c>
      <c r="J998" s="39">
        <v>150731.57999999999</v>
      </c>
      <c r="L998" s="16">
        <f t="shared" si="721"/>
        <v>1</v>
      </c>
      <c r="M998" s="16" t="str">
        <f t="shared" si="722"/>
        <v>December</v>
      </c>
      <c r="N998" s="16" t="str">
        <f t="shared" si="723"/>
        <v/>
      </c>
      <c r="O998" s="16" t="str">
        <f>IF(N998="","",COUNTIF($N$8:N998,N998))</f>
        <v/>
      </c>
      <c r="P998" s="34" t="str">
        <f t="shared" si="724"/>
        <v>InPendapatan Lainnya</v>
      </c>
      <c r="Q998" s="34" t="str">
        <f t="shared" si="725"/>
        <v>inDecemberPendapatan Lainnya</v>
      </c>
      <c r="R998" s="34" t="str">
        <f t="shared" si="726"/>
        <v>Bank</v>
      </c>
      <c r="S998" s="34" t="str">
        <f t="shared" si="727"/>
        <v>Pendapatan Lainnya</v>
      </c>
      <c r="T998" s="34" t="str">
        <f t="shared" si="728"/>
        <v/>
      </c>
      <c r="U998" s="34" t="str">
        <f>IF(AND(L998=1,bp_kode=T998,T998&lt;&gt;""),COUNTIF($T$8:T998,T998),"")</f>
        <v/>
      </c>
      <c r="V998" s="34" t="str">
        <f t="shared" si="729"/>
        <v>kr</v>
      </c>
      <c r="W998" s="34" t="str">
        <f t="shared" si="730"/>
        <v>kr</v>
      </c>
      <c r="X998" s="34" t="str">
        <f>IF(B998="","",COUNTIF($C$8:C998,C998)&amp;C998)</f>
        <v>0</v>
      </c>
    </row>
    <row r="999" spans="2:24" ht="23.1" customHeight="1">
      <c r="B999" s="31">
        <v>44926</v>
      </c>
      <c r="C999" s="9"/>
      <c r="D999" s="9" t="s">
        <v>570</v>
      </c>
      <c r="E999" s="7"/>
      <c r="F999" s="7"/>
      <c r="G999" s="7"/>
      <c r="H999" s="7" t="s">
        <v>571</v>
      </c>
      <c r="I999" s="7" t="s">
        <v>788</v>
      </c>
      <c r="J999" s="39">
        <v>30146.32</v>
      </c>
      <c r="L999" s="16">
        <f t="shared" si="721"/>
        <v>1</v>
      </c>
      <c r="M999" s="16" t="str">
        <f t="shared" si="722"/>
        <v>December</v>
      </c>
      <c r="N999" s="16" t="str">
        <f t="shared" si="723"/>
        <v/>
      </c>
      <c r="O999" s="16" t="str">
        <f>IF(N999="","",COUNTIF($N$8:N999,N999))</f>
        <v/>
      </c>
      <c r="P999" s="34" t="str">
        <f t="shared" si="724"/>
        <v>outBeban Lainnya</v>
      </c>
      <c r="Q999" s="34" t="str">
        <f t="shared" si="725"/>
        <v>outDecemberBeban Lainnya</v>
      </c>
      <c r="R999" s="34" t="str">
        <f t="shared" si="726"/>
        <v>Beban Lainnya</v>
      </c>
      <c r="S999" s="34" t="str">
        <f t="shared" si="727"/>
        <v>Bank</v>
      </c>
      <c r="T999" s="34" t="str">
        <f t="shared" si="728"/>
        <v/>
      </c>
      <c r="U999" s="34" t="str">
        <f>IF(AND(L999=1,bp_kode=T999,T999&lt;&gt;""),COUNTIF($T$8:T999,T999),"")</f>
        <v/>
      </c>
      <c r="V999" s="34" t="str">
        <f t="shared" si="729"/>
        <v>db</v>
      </c>
      <c r="W999" s="34" t="str">
        <f t="shared" si="730"/>
        <v>db</v>
      </c>
      <c r="X999" s="34" t="str">
        <f>IF(B999="","",COUNTIF($C$8:C999,C999)&amp;C999)</f>
        <v>0</v>
      </c>
    </row>
    <row r="1000" spans="2:24" ht="23.1" customHeight="1">
      <c r="B1000" s="31">
        <v>44926</v>
      </c>
      <c r="C1000" s="9"/>
      <c r="D1000" s="9" t="s">
        <v>570</v>
      </c>
      <c r="E1000" s="7"/>
      <c r="F1000" s="7"/>
      <c r="G1000" s="7"/>
      <c r="H1000" s="7" t="s">
        <v>571</v>
      </c>
      <c r="I1000" s="7" t="s">
        <v>586</v>
      </c>
      <c r="J1000" s="39">
        <v>24043</v>
      </c>
      <c r="L1000" s="16">
        <f t="shared" si="721"/>
        <v>1</v>
      </c>
      <c r="M1000" s="16" t="str">
        <f t="shared" si="722"/>
        <v>December</v>
      </c>
      <c r="N1000" s="16" t="str">
        <f t="shared" si="723"/>
        <v/>
      </c>
      <c r="O1000" s="16" t="str">
        <f>IF(N1000="","",COUNTIF($N$8:N1000,N1000))</f>
        <v/>
      </c>
      <c r="P1000" s="34" t="str">
        <f t="shared" si="724"/>
        <v>outBeban Lainnya</v>
      </c>
      <c r="Q1000" s="34" t="str">
        <f t="shared" si="725"/>
        <v>outDecemberBeban Lainnya</v>
      </c>
      <c r="R1000" s="34" t="str">
        <f t="shared" si="726"/>
        <v>Beban Lainnya</v>
      </c>
      <c r="S1000" s="34" t="str">
        <f t="shared" si="727"/>
        <v>Bank</v>
      </c>
      <c r="T1000" s="34" t="str">
        <f t="shared" si="728"/>
        <v/>
      </c>
      <c r="U1000" s="34" t="str">
        <f>IF(AND(L1000=1,bp_kode=T1000,T1000&lt;&gt;""),COUNTIF($T$8:T1000,T1000),"")</f>
        <v/>
      </c>
      <c r="V1000" s="34" t="str">
        <f t="shared" si="729"/>
        <v>db</v>
      </c>
      <c r="W1000" s="34" t="str">
        <f t="shared" si="730"/>
        <v>db</v>
      </c>
      <c r="X1000" s="34" t="str">
        <f>IF(B1000="","",COUNTIF($C$8:C1000,C1000)&amp;C1000)</f>
        <v>0</v>
      </c>
    </row>
    <row r="1001" spans="2:24" ht="23.1" customHeight="1">
      <c r="B1001" s="31">
        <v>44926</v>
      </c>
      <c r="C1001" s="9"/>
      <c r="D1001" s="9" t="s">
        <v>790</v>
      </c>
      <c r="E1001" s="7"/>
      <c r="F1001" s="7"/>
      <c r="G1001" s="7"/>
      <c r="H1001" s="7" t="s">
        <v>586</v>
      </c>
      <c r="I1001" s="7" t="s">
        <v>569</v>
      </c>
      <c r="J1001" s="39">
        <v>120250</v>
      </c>
      <c r="L1001" s="16">
        <f t="shared" si="721"/>
        <v>1</v>
      </c>
      <c r="M1001" s="16" t="str">
        <f t="shared" si="722"/>
        <v>December</v>
      </c>
      <c r="N1001" s="16" t="str">
        <f t="shared" si="723"/>
        <v/>
      </c>
      <c r="O1001" s="16" t="str">
        <f>IF(N1001="","",COUNTIF($N$8:N1001,N1001))</f>
        <v/>
      </c>
      <c r="P1001" s="34" t="str">
        <f t="shared" si="724"/>
        <v>InPendapatan Lainnya</v>
      </c>
      <c r="Q1001" s="34" t="str">
        <f t="shared" si="725"/>
        <v>inDecemberPendapatan Lainnya</v>
      </c>
      <c r="R1001" s="34" t="str">
        <f t="shared" si="726"/>
        <v>Bank</v>
      </c>
      <c r="S1001" s="34" t="str">
        <f t="shared" si="727"/>
        <v>Pendapatan Lainnya</v>
      </c>
      <c r="T1001" s="34" t="str">
        <f t="shared" si="728"/>
        <v/>
      </c>
      <c r="U1001" s="34" t="str">
        <f>IF(AND(L1001=1,bp_kode=T1001,T1001&lt;&gt;""),COUNTIF($T$8:T1001,T1001),"")</f>
        <v/>
      </c>
      <c r="V1001" s="34" t="str">
        <f t="shared" si="729"/>
        <v>kr</v>
      </c>
      <c r="W1001" s="34" t="str">
        <f t="shared" si="730"/>
        <v>kr</v>
      </c>
      <c r="X1001" s="34" t="str">
        <f>IF(B1001="","",COUNTIF($C$8:C1001,C1001)&amp;C1001)</f>
        <v>0</v>
      </c>
    </row>
    <row r="1002" spans="2:24" ht="23.1" customHeight="1">
      <c r="B1002" s="31">
        <v>44926</v>
      </c>
      <c r="C1002" s="9"/>
      <c r="D1002" s="9" t="s">
        <v>572</v>
      </c>
      <c r="E1002" s="7"/>
      <c r="F1002" s="7"/>
      <c r="G1002" s="7"/>
      <c r="H1002" s="7" t="s">
        <v>640</v>
      </c>
      <c r="I1002" s="7" t="s">
        <v>586</v>
      </c>
      <c r="J1002" s="39">
        <v>36500</v>
      </c>
      <c r="L1002" s="16">
        <f t="shared" si="721"/>
        <v>1</v>
      </c>
      <c r="M1002" s="16" t="str">
        <f t="shared" si="722"/>
        <v>December</v>
      </c>
      <c r="N1002" s="16" t="str">
        <f t="shared" si="723"/>
        <v/>
      </c>
      <c r="O1002" s="16" t="str">
        <f>IF(N1002="","",COUNTIF($N$8:N1002,N1002))</f>
        <v/>
      </c>
      <c r="P1002" s="34" t="str">
        <f t="shared" si="724"/>
        <v>outBeban Lainnya</v>
      </c>
      <c r="Q1002" s="34" t="str">
        <f t="shared" si="725"/>
        <v>outDecemberBeban Lainnya</v>
      </c>
      <c r="R1002" s="34" t="str">
        <f t="shared" si="726"/>
        <v>Beban Lainnya</v>
      </c>
      <c r="S1002" s="34" t="str">
        <f t="shared" si="727"/>
        <v>Bank</v>
      </c>
      <c r="T1002" s="34" t="str">
        <f t="shared" si="728"/>
        <v/>
      </c>
      <c r="U1002" s="34" t="str">
        <f>IF(AND(L1002=1,bp_kode=T1002,T1002&lt;&gt;""),COUNTIF($T$8:T1002,T1002),"")</f>
        <v/>
      </c>
      <c r="V1002" s="34" t="str">
        <f t="shared" si="729"/>
        <v>db</v>
      </c>
      <c r="W1002" s="34" t="str">
        <f t="shared" si="730"/>
        <v>db</v>
      </c>
      <c r="X1002" s="34" t="str">
        <f>IF(B1002="","",COUNTIF($C$8:C1002,C1002)&amp;C1002)</f>
        <v>0</v>
      </c>
    </row>
    <row r="1003" spans="2:24" ht="23.1" customHeight="1">
      <c r="B1003" s="31">
        <v>44926</v>
      </c>
      <c r="C1003" s="9"/>
      <c r="D1003" s="9" t="s">
        <v>552</v>
      </c>
      <c r="E1003" s="7"/>
      <c r="F1003" s="7"/>
      <c r="G1003" s="7"/>
      <c r="H1003" s="7" t="s">
        <v>554</v>
      </c>
      <c r="I1003" s="7" t="s">
        <v>587</v>
      </c>
      <c r="J1003" s="39">
        <v>4969000</v>
      </c>
      <c r="L1003" s="16">
        <f t="shared" si="721"/>
        <v>1</v>
      </c>
      <c r="M1003" s="16" t="str">
        <f t="shared" si="722"/>
        <v>December</v>
      </c>
      <c r="N1003" s="16" t="str">
        <f t="shared" si="723"/>
        <v/>
      </c>
      <c r="O1003" s="16" t="str">
        <f>IF(N1003="","",COUNTIF($N$8:N1003,N1003))</f>
        <v/>
      </c>
      <c r="P1003" s="34" t="str">
        <f t="shared" si="724"/>
        <v>InAkun Piutang</v>
      </c>
      <c r="Q1003" s="34" t="str">
        <f t="shared" si="725"/>
        <v>inDecemberAkun Piutang</v>
      </c>
      <c r="R1003" s="34" t="str">
        <f t="shared" si="726"/>
        <v>Kas</v>
      </c>
      <c r="S1003" s="34" t="str">
        <f t="shared" si="727"/>
        <v>Akun Piutang</v>
      </c>
      <c r="T1003" s="34">
        <f t="shared" si="728"/>
        <v>0</v>
      </c>
      <c r="U1003" s="34" t="str">
        <f>IF(AND(L1003=1,bp_kode=T1003,T1003&lt;&gt;""),COUNTIF($T$8:T1003,T1003),"")</f>
        <v/>
      </c>
      <c r="V1003" s="34" t="str">
        <f t="shared" si="729"/>
        <v/>
      </c>
      <c r="W1003" s="34" t="str">
        <f t="shared" si="730"/>
        <v/>
      </c>
      <c r="X1003" s="34" t="str">
        <f>IF(B1003="","",COUNTIF($C$8:C1003,C1003)&amp;C1003)</f>
        <v>0</v>
      </c>
    </row>
    <row r="1004" spans="2:24" ht="23.1" customHeight="1">
      <c r="B1004" s="31">
        <v>44926</v>
      </c>
      <c r="C1004" s="9"/>
      <c r="D1004" s="9" t="s">
        <v>589</v>
      </c>
      <c r="E1004" s="7"/>
      <c r="F1004" s="7"/>
      <c r="G1004" s="7"/>
      <c r="H1004" s="7" t="s">
        <v>554</v>
      </c>
      <c r="I1004" s="7" t="s">
        <v>551</v>
      </c>
      <c r="J1004" s="39">
        <v>632519700</v>
      </c>
      <c r="L1004" s="16">
        <f t="shared" si="721"/>
        <v>1</v>
      </c>
      <c r="M1004" s="16" t="str">
        <f t="shared" si="722"/>
        <v>December</v>
      </c>
      <c r="N1004" s="16" t="str">
        <f t="shared" si="723"/>
        <v/>
      </c>
      <c r="O1004" s="16" t="str">
        <f>IF(N1004="","",COUNTIF($N$8:N1004,N1004))</f>
        <v/>
      </c>
      <c r="P1004" s="34" t="str">
        <f t="shared" si="724"/>
        <v>InAkun Piutang</v>
      </c>
      <c r="Q1004" s="34" t="str">
        <f t="shared" si="725"/>
        <v>inDecemberAkun Piutang</v>
      </c>
      <c r="R1004" s="34" t="str">
        <f t="shared" si="726"/>
        <v>Kas</v>
      </c>
      <c r="S1004" s="34" t="str">
        <f t="shared" si="727"/>
        <v>Akun Piutang</v>
      </c>
      <c r="T1004" s="34">
        <f t="shared" si="728"/>
        <v>0</v>
      </c>
      <c r="U1004" s="34" t="str">
        <f>IF(AND(L1004=1,bp_kode=T1004,T1004&lt;&gt;""),COUNTIF($T$8:T1004,T1004),"")</f>
        <v/>
      </c>
      <c r="V1004" s="34" t="str">
        <f t="shared" si="729"/>
        <v/>
      </c>
      <c r="W1004" s="34" t="str">
        <f t="shared" si="730"/>
        <v/>
      </c>
      <c r="X1004" s="34" t="str">
        <f>IF(B1004="","",COUNTIF($C$8:C1004,C1004)&amp;C1004)</f>
        <v>0</v>
      </c>
    </row>
    <row r="1005" spans="2:24" ht="23.1" customHeight="1">
      <c r="B1005" s="31">
        <v>44926</v>
      </c>
      <c r="C1005" s="9"/>
      <c r="D1005" s="9" t="s">
        <v>573</v>
      </c>
      <c r="E1005" s="7"/>
      <c r="F1005" s="7"/>
      <c r="G1005" s="7"/>
      <c r="H1005" s="7" t="s">
        <v>554</v>
      </c>
      <c r="I1005" s="7" t="s">
        <v>559</v>
      </c>
      <c r="J1005" s="39">
        <v>289476000</v>
      </c>
      <c r="L1005" s="16">
        <f t="shared" si="721"/>
        <v>1</v>
      </c>
      <c r="M1005" s="16" t="str">
        <f t="shared" si="722"/>
        <v>December</v>
      </c>
      <c r="N1005" s="16" t="str">
        <f t="shared" si="723"/>
        <v/>
      </c>
      <c r="O1005" s="16" t="str">
        <f>IF(N1005="","",COUNTIF($N$8:N1005,N1005))</f>
        <v/>
      </c>
      <c r="P1005" s="34" t="str">
        <f t="shared" si="724"/>
        <v>InAkun Piutang</v>
      </c>
      <c r="Q1005" s="34" t="str">
        <f t="shared" si="725"/>
        <v>inDecemberAkun Piutang</v>
      </c>
      <c r="R1005" s="34" t="str">
        <f t="shared" si="726"/>
        <v>Kas</v>
      </c>
      <c r="S1005" s="34" t="str">
        <f t="shared" si="727"/>
        <v>Akun Piutang</v>
      </c>
      <c r="T1005" s="34">
        <f t="shared" si="728"/>
        <v>0</v>
      </c>
      <c r="U1005" s="34" t="str">
        <f>IF(AND(L1005=1,bp_kode=T1005,T1005&lt;&gt;""),COUNTIF($T$8:T1005,T1005),"")</f>
        <v/>
      </c>
      <c r="V1005" s="34" t="str">
        <f t="shared" si="729"/>
        <v/>
      </c>
      <c r="W1005" s="34" t="str">
        <f t="shared" si="730"/>
        <v/>
      </c>
      <c r="X1005" s="34" t="str">
        <f>IF(B1005="","",COUNTIF($C$8:C1005,C1005)&amp;C1005)</f>
        <v>0</v>
      </c>
    </row>
    <row r="1006" spans="2:24" ht="23.1" customHeight="1">
      <c r="B1006" s="31">
        <v>44926</v>
      </c>
      <c r="C1006" s="9"/>
      <c r="D1006" s="9" t="s">
        <v>728</v>
      </c>
      <c r="E1006" s="7"/>
      <c r="F1006" s="7"/>
      <c r="G1006" s="7"/>
      <c r="H1006" s="7" t="s">
        <v>554</v>
      </c>
      <c r="I1006" s="7" t="s">
        <v>561</v>
      </c>
      <c r="J1006" s="39">
        <v>11764000</v>
      </c>
      <c r="L1006" s="16">
        <f t="shared" si="721"/>
        <v>1</v>
      </c>
      <c r="M1006" s="16" t="str">
        <f t="shared" si="722"/>
        <v>December</v>
      </c>
      <c r="N1006" s="16" t="str">
        <f t="shared" si="723"/>
        <v/>
      </c>
      <c r="O1006" s="16" t="str">
        <f>IF(N1006="","",COUNTIF($N$8:N1006,N1006))</f>
        <v/>
      </c>
      <c r="P1006" s="34" t="str">
        <f t="shared" si="724"/>
        <v>InAkun Piutang</v>
      </c>
      <c r="Q1006" s="34" t="str">
        <f t="shared" si="725"/>
        <v>inDecemberAkun Piutang</v>
      </c>
      <c r="R1006" s="34" t="str">
        <f t="shared" si="726"/>
        <v>Kas</v>
      </c>
      <c r="S1006" s="34" t="str">
        <f t="shared" si="727"/>
        <v>Akun Piutang</v>
      </c>
      <c r="T1006" s="34">
        <f t="shared" si="728"/>
        <v>0</v>
      </c>
      <c r="U1006" s="34" t="str">
        <f>IF(AND(L1006=1,bp_kode=T1006,T1006&lt;&gt;""),COUNTIF($T$8:T1006,T1006),"")</f>
        <v/>
      </c>
      <c r="V1006" s="34" t="str">
        <f t="shared" si="729"/>
        <v/>
      </c>
      <c r="W1006" s="34" t="str">
        <f t="shared" si="730"/>
        <v/>
      </c>
      <c r="X1006" s="34" t="str">
        <f>IF(B1006="","",COUNTIF($C$8:C1006,C1006)&amp;C1006)</f>
        <v>0</v>
      </c>
    </row>
    <row r="1007" spans="2:24" ht="23.1" customHeight="1">
      <c r="B1007" s="31">
        <v>44926</v>
      </c>
      <c r="C1007" s="9"/>
      <c r="D1007" s="9" t="s">
        <v>595</v>
      </c>
      <c r="E1007" s="7"/>
      <c r="F1007" s="7"/>
      <c r="G1007" s="7"/>
      <c r="H1007" s="7" t="s">
        <v>594</v>
      </c>
      <c r="I1007" s="7" t="s">
        <v>582</v>
      </c>
      <c r="J1007" s="39">
        <v>27311034</v>
      </c>
      <c r="L1007" s="16">
        <f t="shared" si="721"/>
        <v>1</v>
      </c>
      <c r="M1007" s="16" t="str">
        <f t="shared" si="722"/>
        <v>December</v>
      </c>
      <c r="N1007" s="16" t="str">
        <f t="shared" si="723"/>
        <v/>
      </c>
      <c r="O1007" s="16" t="str">
        <f>IF(N1007="","",COUNTIF($N$8:N1007,N1007))</f>
        <v/>
      </c>
      <c r="P1007" s="34" t="str">
        <f t="shared" si="724"/>
        <v>outAktiva Lancar Lainnya</v>
      </c>
      <c r="Q1007" s="34" t="str">
        <f t="shared" si="725"/>
        <v>outDecemberAktiva Lancar Lainnya</v>
      </c>
      <c r="R1007" s="34" t="str">
        <f t="shared" si="726"/>
        <v>Aktiva Lancar Lainnya</v>
      </c>
      <c r="S1007" s="34" t="str">
        <f t="shared" si="727"/>
        <v>Kas</v>
      </c>
      <c r="T1007" s="34" t="str">
        <f t="shared" si="728"/>
        <v/>
      </c>
      <c r="U1007" s="34" t="str">
        <f>IF(AND(L1007=1,bp_kode=T1007,T1007&lt;&gt;""),COUNTIF($T$8:T1007,T1007),"")</f>
        <v/>
      </c>
      <c r="V1007" s="34" t="str">
        <f t="shared" si="729"/>
        <v/>
      </c>
      <c r="W1007" s="34" t="str">
        <f t="shared" si="730"/>
        <v/>
      </c>
      <c r="X1007" s="34" t="str">
        <f>IF(B1007="","",COUNTIF($C$8:C1007,C1007)&amp;C1007)</f>
        <v>0</v>
      </c>
    </row>
    <row r="1008" spans="2:24" ht="23.1" customHeight="1">
      <c r="B1008" s="31">
        <v>44926</v>
      </c>
      <c r="C1008" s="9"/>
      <c r="D1008" s="9" t="s">
        <v>824</v>
      </c>
      <c r="E1008" s="7"/>
      <c r="F1008" s="7"/>
      <c r="G1008" s="7"/>
      <c r="H1008" s="7" t="s">
        <v>842</v>
      </c>
      <c r="I1008" s="7" t="s">
        <v>582</v>
      </c>
      <c r="J1008" s="39">
        <v>204462000</v>
      </c>
      <c r="L1008" s="16">
        <f t="shared" si="721"/>
        <v>1</v>
      </c>
      <c r="M1008" s="16" t="str">
        <f t="shared" si="722"/>
        <v>December</v>
      </c>
      <c r="N1008" s="16" t="str">
        <f t="shared" si="723"/>
        <v/>
      </c>
      <c r="O1008" s="16" t="str">
        <f>IF(N1008="","",COUNTIF($N$8:N1008,N1008))</f>
        <v/>
      </c>
      <c r="P1008" s="34" t="str">
        <f t="shared" si="724"/>
        <v>outAktiva Tetap</v>
      </c>
      <c r="Q1008" s="34" t="str">
        <f t="shared" si="725"/>
        <v>outDecemberAktiva Tetap</v>
      </c>
      <c r="R1008" s="34" t="str">
        <f t="shared" si="726"/>
        <v>Aktiva Tetap</v>
      </c>
      <c r="S1008" s="34" t="str">
        <f t="shared" si="727"/>
        <v>Kas</v>
      </c>
      <c r="T1008" s="34" t="str">
        <f t="shared" si="728"/>
        <v/>
      </c>
      <c r="U1008" s="34" t="str">
        <f>IF(AND(L1008=1,bp_kode=T1008,T1008&lt;&gt;""),COUNTIF($T$8:T1008,T1008),"")</f>
        <v/>
      </c>
      <c r="V1008" s="34" t="str">
        <f t="shared" si="729"/>
        <v/>
      </c>
      <c r="W1008" s="34" t="str">
        <f t="shared" si="730"/>
        <v/>
      </c>
      <c r="X1008" s="34" t="str">
        <f>IF(B1008="","",COUNTIF($C$8:C1008,C1008)&amp;C1008)</f>
        <v>0</v>
      </c>
    </row>
    <row r="1009" spans="2:24" ht="23.1" customHeight="1">
      <c r="B1009" s="31">
        <v>44926</v>
      </c>
      <c r="C1009" s="9"/>
      <c r="D1009" s="9" t="s">
        <v>827</v>
      </c>
      <c r="E1009" s="7"/>
      <c r="F1009" s="7"/>
      <c r="G1009" s="7"/>
      <c r="H1009" s="7" t="s">
        <v>700</v>
      </c>
      <c r="I1009" s="7" t="s">
        <v>582</v>
      </c>
      <c r="J1009" s="39">
        <v>185482039</v>
      </c>
      <c r="L1009" s="16">
        <f t="shared" si="721"/>
        <v>1</v>
      </c>
      <c r="M1009" s="16" t="str">
        <f t="shared" si="722"/>
        <v>December</v>
      </c>
      <c r="N1009" s="16" t="str">
        <f t="shared" si="723"/>
        <v/>
      </c>
      <c r="O1009" s="16" t="str">
        <f>IF(N1009="","",COUNTIF($N$8:N1009,N1009))</f>
        <v/>
      </c>
      <c r="P1009" s="34" t="str">
        <f t="shared" si="724"/>
        <v>outAkun Hutang</v>
      </c>
      <c r="Q1009" s="34" t="str">
        <f t="shared" si="725"/>
        <v>outDecemberAkun Hutang</v>
      </c>
      <c r="R1009" s="34" t="str">
        <f t="shared" si="726"/>
        <v>Akun Hutang</v>
      </c>
      <c r="S1009" s="34" t="str">
        <f t="shared" si="727"/>
        <v>Kas</v>
      </c>
      <c r="T1009" s="34">
        <f t="shared" si="728"/>
        <v>0</v>
      </c>
      <c r="U1009" s="34" t="str">
        <f>IF(AND(L1009=1,bp_kode=T1009,T1009&lt;&gt;""),COUNTIF($T$8:T1009,T1009),"")</f>
        <v/>
      </c>
      <c r="V1009" s="34" t="str">
        <f t="shared" si="729"/>
        <v/>
      </c>
      <c r="W1009" s="34" t="str">
        <f t="shared" si="730"/>
        <v/>
      </c>
      <c r="X1009" s="34" t="str">
        <f>IF(B1009="","",COUNTIF($C$8:C1009,C1009)&amp;C1009)</f>
        <v>0</v>
      </c>
    </row>
    <row r="1010" spans="2:24" ht="23.1" customHeight="1">
      <c r="B1010" s="31">
        <v>44926</v>
      </c>
      <c r="C1010" s="9"/>
      <c r="D1010" s="9" t="s">
        <v>598</v>
      </c>
      <c r="E1010" s="7"/>
      <c r="F1010" s="7"/>
      <c r="G1010" s="7"/>
      <c r="H1010" s="7" t="s">
        <v>599</v>
      </c>
      <c r="I1010" s="7" t="s">
        <v>582</v>
      </c>
      <c r="J1010" s="39">
        <v>5050000</v>
      </c>
      <c r="L1010" s="16">
        <f t="shared" si="721"/>
        <v>1</v>
      </c>
      <c r="M1010" s="16" t="str">
        <f t="shared" si="722"/>
        <v>December</v>
      </c>
      <c r="N1010" s="16" t="str">
        <f t="shared" si="723"/>
        <v/>
      </c>
      <c r="O1010" s="16" t="str">
        <f>IF(N1010="","",COUNTIF($N$8:N1010,N1010))</f>
        <v/>
      </c>
      <c r="P1010" s="34" t="str">
        <f t="shared" si="724"/>
        <v>outAkun Hutang</v>
      </c>
      <c r="Q1010" s="34" t="str">
        <f t="shared" si="725"/>
        <v>outDecemberAkun Hutang</v>
      </c>
      <c r="R1010" s="34" t="str">
        <f t="shared" si="726"/>
        <v>Akun Hutang</v>
      </c>
      <c r="S1010" s="34" t="str">
        <f t="shared" si="727"/>
        <v>Kas</v>
      </c>
      <c r="T1010" s="34">
        <f t="shared" si="728"/>
        <v>0</v>
      </c>
      <c r="U1010" s="34" t="str">
        <f>IF(AND(L1010=1,bp_kode=T1010,T1010&lt;&gt;""),COUNTIF($T$8:T1010,T1010),"")</f>
        <v/>
      </c>
      <c r="V1010" s="34" t="str">
        <f t="shared" si="729"/>
        <v/>
      </c>
      <c r="W1010" s="34" t="str">
        <f t="shared" si="730"/>
        <v/>
      </c>
      <c r="X1010" s="34" t="str">
        <f>IF(B1010="","",COUNTIF($C$8:C1010,C1010)&amp;C1010)</f>
        <v>0</v>
      </c>
    </row>
    <row r="1011" spans="2:24" ht="23.1" customHeight="1">
      <c r="B1011" s="31">
        <v>44926</v>
      </c>
      <c r="C1011" s="9"/>
      <c r="D1011" s="9" t="s">
        <v>800</v>
      </c>
      <c r="E1011" s="7"/>
      <c r="F1011" s="7"/>
      <c r="G1011" s="7"/>
      <c r="H1011" s="7" t="s">
        <v>601</v>
      </c>
      <c r="I1011" s="7" t="s">
        <v>582</v>
      </c>
      <c r="J1011" s="39">
        <v>1662000</v>
      </c>
      <c r="L1011" s="16">
        <f t="shared" si="721"/>
        <v>1</v>
      </c>
      <c r="M1011" s="16" t="str">
        <f t="shared" si="722"/>
        <v>December</v>
      </c>
      <c r="N1011" s="16" t="str">
        <f t="shared" si="723"/>
        <v/>
      </c>
      <c r="O1011" s="16" t="str">
        <f>IF(N1011="","",COUNTIF($N$8:N1011,N1011))</f>
        <v/>
      </c>
      <c r="P1011" s="34" t="str">
        <f t="shared" si="724"/>
        <v>outKewajiban Lancar Lainnya</v>
      </c>
      <c r="Q1011" s="34" t="str">
        <f t="shared" si="725"/>
        <v>outDecemberKewajiban Lancar Lainnya</v>
      </c>
      <c r="R1011" s="34" t="str">
        <f t="shared" si="726"/>
        <v>Kewajiban Lancar Lainnya</v>
      </c>
      <c r="S1011" s="34" t="str">
        <f t="shared" si="727"/>
        <v>Kas</v>
      </c>
      <c r="T1011" s="34" t="str">
        <f t="shared" si="728"/>
        <v/>
      </c>
      <c r="U1011" s="34" t="str">
        <f>IF(AND(L1011=1,bp_kode=T1011,T1011&lt;&gt;""),COUNTIF($T$8:T1011,T1011),"")</f>
        <v/>
      </c>
      <c r="V1011" s="34" t="str">
        <f t="shared" si="729"/>
        <v/>
      </c>
      <c r="W1011" s="34" t="str">
        <f t="shared" si="730"/>
        <v/>
      </c>
      <c r="X1011" s="34" t="str">
        <f>IF(B1011="","",COUNTIF($C$8:C1011,C1011)&amp;C1011)</f>
        <v>0</v>
      </c>
    </row>
    <row r="1012" spans="2:24" ht="23.1" customHeight="1">
      <c r="B1012" s="31">
        <v>44926</v>
      </c>
      <c r="C1012" s="9"/>
      <c r="D1012" s="9" t="s">
        <v>799</v>
      </c>
      <c r="E1012" s="7"/>
      <c r="F1012" s="7"/>
      <c r="G1012" s="7"/>
      <c r="H1012" s="7" t="s">
        <v>715</v>
      </c>
      <c r="I1012" s="7" t="s">
        <v>582</v>
      </c>
      <c r="J1012" s="39">
        <v>8315000</v>
      </c>
      <c r="L1012" s="16">
        <f t="shared" si="721"/>
        <v>1</v>
      </c>
      <c r="M1012" s="16" t="str">
        <f t="shared" si="722"/>
        <v>December</v>
      </c>
      <c r="N1012" s="16" t="str">
        <f t="shared" si="723"/>
        <v/>
      </c>
      <c r="O1012" s="16" t="str">
        <f>IF(N1012="","",COUNTIF($N$8:N1012,N1012))</f>
        <v/>
      </c>
      <c r="P1012" s="34" t="str">
        <f t="shared" si="724"/>
        <v>outHarga Pokok Penjualan</v>
      </c>
      <c r="Q1012" s="34" t="str">
        <f t="shared" si="725"/>
        <v>outDecemberHarga Pokok Penjualan</v>
      </c>
      <c r="R1012" s="34" t="str">
        <f t="shared" si="726"/>
        <v>Harga Pokok Penjualan</v>
      </c>
      <c r="S1012" s="34" t="str">
        <f t="shared" si="727"/>
        <v>Kas</v>
      </c>
      <c r="T1012" s="34" t="str">
        <f t="shared" si="728"/>
        <v/>
      </c>
      <c r="U1012" s="34" t="str">
        <f>IF(AND(L1012=1,bp_kode=T1012,T1012&lt;&gt;""),COUNTIF($T$8:T1012,T1012),"")</f>
        <v/>
      </c>
      <c r="V1012" s="34" t="str">
        <f t="shared" si="729"/>
        <v>db</v>
      </c>
      <c r="W1012" s="34" t="str">
        <f t="shared" si="730"/>
        <v>db</v>
      </c>
      <c r="X1012" s="34" t="str">
        <f>IF(B1012="","",COUNTIF($C$8:C1012,C1012)&amp;C1012)</f>
        <v>0</v>
      </c>
    </row>
    <row r="1013" spans="2:24" ht="23.1" customHeight="1">
      <c r="B1013" s="31">
        <v>44926</v>
      </c>
      <c r="C1013" s="9"/>
      <c r="D1013" s="9" t="s">
        <v>605</v>
      </c>
      <c r="E1013" s="7"/>
      <c r="F1013" s="7"/>
      <c r="G1013" s="7"/>
      <c r="H1013" s="7" t="s">
        <v>603</v>
      </c>
      <c r="I1013" s="7" t="s">
        <v>582</v>
      </c>
      <c r="J1013" s="39">
        <v>8001250</v>
      </c>
      <c r="L1013" s="16">
        <f t="shared" si="721"/>
        <v>1</v>
      </c>
      <c r="M1013" s="16" t="str">
        <f t="shared" si="722"/>
        <v>December</v>
      </c>
      <c r="N1013" s="16" t="str">
        <f t="shared" si="723"/>
        <v/>
      </c>
      <c r="O1013" s="16" t="str">
        <f>IF(N1013="","",COUNTIF($N$8:N1013,N1013))</f>
        <v/>
      </c>
      <c r="P1013" s="34" t="str">
        <f t="shared" si="724"/>
        <v>outHarga Pokok Penjualan</v>
      </c>
      <c r="Q1013" s="34" t="str">
        <f t="shared" si="725"/>
        <v>outDecemberHarga Pokok Penjualan</v>
      </c>
      <c r="R1013" s="34" t="str">
        <f t="shared" si="726"/>
        <v>Harga Pokok Penjualan</v>
      </c>
      <c r="S1013" s="34" t="str">
        <f t="shared" si="727"/>
        <v>Kas</v>
      </c>
      <c r="T1013" s="34" t="str">
        <f t="shared" si="728"/>
        <v/>
      </c>
      <c r="U1013" s="34" t="str">
        <f>IF(AND(L1013=1,bp_kode=T1013,T1013&lt;&gt;""),COUNTIF($T$8:T1013,T1013),"")</f>
        <v/>
      </c>
      <c r="V1013" s="34" t="str">
        <f t="shared" si="729"/>
        <v>db</v>
      </c>
      <c r="W1013" s="34" t="str">
        <f t="shared" si="730"/>
        <v>db</v>
      </c>
      <c r="X1013" s="34" t="str">
        <f>IF(B1013="","",COUNTIF($C$8:C1013,C1013)&amp;C1013)</f>
        <v>0</v>
      </c>
    </row>
    <row r="1014" spans="2:24" ht="23.1" customHeight="1">
      <c r="B1014" s="31">
        <v>44926</v>
      </c>
      <c r="C1014" s="9"/>
      <c r="D1014" s="9" t="s">
        <v>609</v>
      </c>
      <c r="E1014" s="7"/>
      <c r="F1014" s="7"/>
      <c r="G1014" s="7"/>
      <c r="H1014" s="7" t="s">
        <v>606</v>
      </c>
      <c r="I1014" s="7" t="s">
        <v>582</v>
      </c>
      <c r="J1014" s="39">
        <v>4000000</v>
      </c>
      <c r="L1014" s="16">
        <f t="shared" si="721"/>
        <v>1</v>
      </c>
      <c r="M1014" s="16" t="str">
        <f t="shared" si="722"/>
        <v>December</v>
      </c>
      <c r="N1014" s="16" t="str">
        <f t="shared" si="723"/>
        <v/>
      </c>
      <c r="O1014" s="16" t="str">
        <f>IF(N1014="","",COUNTIF($N$8:N1014,N1014))</f>
        <v/>
      </c>
      <c r="P1014" s="34" t="str">
        <f t="shared" si="724"/>
        <v>outHarga Pokok Penjualan</v>
      </c>
      <c r="Q1014" s="34" t="str">
        <f t="shared" si="725"/>
        <v>outDecemberHarga Pokok Penjualan</v>
      </c>
      <c r="R1014" s="34" t="str">
        <f t="shared" si="726"/>
        <v>Harga Pokok Penjualan</v>
      </c>
      <c r="S1014" s="34" t="str">
        <f t="shared" si="727"/>
        <v>Kas</v>
      </c>
      <c r="T1014" s="34" t="str">
        <f t="shared" si="728"/>
        <v/>
      </c>
      <c r="U1014" s="34" t="str">
        <f>IF(AND(L1014=1,bp_kode=T1014,T1014&lt;&gt;""),COUNTIF($T$8:T1014,T1014),"")</f>
        <v/>
      </c>
      <c r="V1014" s="34" t="str">
        <f t="shared" si="729"/>
        <v>db</v>
      </c>
      <c r="W1014" s="34" t="str">
        <f t="shared" si="730"/>
        <v>db</v>
      </c>
      <c r="X1014" s="34" t="str">
        <f>IF(B1014="","",COUNTIF($C$8:C1014,C1014)&amp;C1014)</f>
        <v>0</v>
      </c>
    </row>
    <row r="1015" spans="2:24" ht="23.1" customHeight="1">
      <c r="B1015" s="31">
        <v>44926</v>
      </c>
      <c r="C1015" s="9"/>
      <c r="D1015" s="9" t="s">
        <v>610</v>
      </c>
      <c r="E1015" s="7"/>
      <c r="F1015" s="7"/>
      <c r="G1015" s="7"/>
      <c r="H1015" s="7" t="s">
        <v>607</v>
      </c>
      <c r="I1015" s="7" t="s">
        <v>582</v>
      </c>
      <c r="J1015" s="39">
        <v>75000</v>
      </c>
      <c r="L1015" s="16">
        <f t="shared" si="721"/>
        <v>1</v>
      </c>
      <c r="M1015" s="16" t="str">
        <f t="shared" si="722"/>
        <v>December</v>
      </c>
      <c r="N1015" s="16" t="str">
        <f t="shared" si="723"/>
        <v/>
      </c>
      <c r="O1015" s="16" t="str">
        <f>IF(N1015="","",COUNTIF($N$8:N1015,N1015))</f>
        <v/>
      </c>
      <c r="P1015" s="34" t="str">
        <f t="shared" si="724"/>
        <v>outHarga Pokok Penjualan</v>
      </c>
      <c r="Q1015" s="34" t="str">
        <f t="shared" si="725"/>
        <v>outDecemberHarga Pokok Penjualan</v>
      </c>
      <c r="R1015" s="34" t="str">
        <f t="shared" si="726"/>
        <v>Harga Pokok Penjualan</v>
      </c>
      <c r="S1015" s="34" t="str">
        <f t="shared" si="727"/>
        <v>Kas</v>
      </c>
      <c r="T1015" s="34" t="str">
        <f t="shared" si="728"/>
        <v/>
      </c>
      <c r="U1015" s="34" t="str">
        <f>IF(AND(L1015=1,bp_kode=T1015,T1015&lt;&gt;""),COUNTIF($T$8:T1015,T1015),"")</f>
        <v/>
      </c>
      <c r="V1015" s="34" t="str">
        <f t="shared" si="729"/>
        <v>db</v>
      </c>
      <c r="W1015" s="34" t="str">
        <f t="shared" si="730"/>
        <v>db</v>
      </c>
      <c r="X1015" s="34" t="str">
        <f>IF(B1015="","",COUNTIF($C$8:C1015,C1015)&amp;C1015)</f>
        <v>0</v>
      </c>
    </row>
    <row r="1016" spans="2:24" ht="23.1" customHeight="1">
      <c r="B1016" s="31">
        <v>44926</v>
      </c>
      <c r="C1016" s="9"/>
      <c r="D1016" s="9" t="s">
        <v>610</v>
      </c>
      <c r="E1016" s="7"/>
      <c r="F1016" s="7"/>
      <c r="G1016" s="7"/>
      <c r="H1016" s="7" t="s">
        <v>602</v>
      </c>
      <c r="I1016" s="7" t="s">
        <v>582</v>
      </c>
      <c r="J1016" s="39">
        <v>8772750</v>
      </c>
      <c r="L1016" s="16">
        <f t="shared" ref="L1016" si="771">IF(AND(B1016&gt;=awal,B1016&lt;=akhir,B1016&lt;&gt;""),1,IF(AND(B1016&lt;&gt;"",B1016&lt;awal),2,""))</f>
        <v>1</v>
      </c>
      <c r="M1016" s="16" t="str">
        <f t="shared" ref="M1016" si="772">IF(B1016="","",TEXT(B1016,"mmmm"))</f>
        <v>December</v>
      </c>
      <c r="N1016" s="16" t="str">
        <f t="shared" ref="N1016" si="773">IF(AND(L1016=1,H1016=bb_akun),"Awe",IF(AND(L1016=1,I1016=bb_akun),"Awe",""))</f>
        <v/>
      </c>
      <c r="O1016" s="16" t="str">
        <f>IF(N1016="","",COUNTIF($N$8:N1016,N1016))</f>
        <v/>
      </c>
      <c r="P1016" s="34" t="str">
        <f t="shared" ref="P1016" si="774">IFERROR(IF(OR(INDEX(akun_type,MATCH(H1016,akun_kb,0))="Kas",INDEX(akun_type,MATCH(H1016,akun_kb,0))="Bank"),"In"&amp;INDEX(akun_type,MATCH(I1016,akun_kb,0)),IF(OR(INDEX(akun_type,MATCH(I1016,akun_kb,0))="Kas",INDEX(akun_type,MATCH(I1016,akun_kb,0))="Bank"),"out"&amp;INDEX(akun_type,MATCH(H1016,akun_kb,0)),"")),"")</f>
        <v>outHarga Pokok Penjualan</v>
      </c>
      <c r="Q1016" s="34" t="str">
        <f t="shared" ref="Q1016" si="775">IFERROR(IF(OR(INDEX(akun_type,MATCH(H1016,akun_kb,0))="Kas",INDEX(akun_type,MATCH(H1016,akun_kb,0))="Bank"),"in"&amp;TEXT(B1016,"mmmm")&amp;INDEX(akun_type,MATCH(I1016,akun_kb,0)),IF(OR(INDEX(akun_type,MATCH(I1016,akun_kb,0))="Kas",INDEX(akun_type,MATCH(I1016,akun_kb,0))="Bank"),"out"&amp;TEXT(B1016,"mmmm")&amp;INDEX(akun_type,MATCH(H1016,akun_kb,0)),"")),"")</f>
        <v>outDecemberHarga Pokok Penjualan</v>
      </c>
      <c r="R1016" s="34" t="str">
        <f t="shared" ref="R1016" si="776">IFERROR(INDEX(akun_type,MATCH(H1016,akun_kb,0)),"")</f>
        <v>Harga Pokok Penjualan</v>
      </c>
      <c r="S1016" s="34" t="str">
        <f t="shared" ref="S1016" si="777">IFERROR(INDEX(akun_type,MATCH(I1016,akun_kb,0)),"")</f>
        <v>Kas</v>
      </c>
      <c r="T1016" s="34" t="str">
        <f t="shared" ref="T1016" si="778">IF(AND(L1016=1,OR(R1016="Akun Piutang",R1016="akun hutang",S1016="akun piutang",S1016="akun hutang")),E1016,"")</f>
        <v/>
      </c>
      <c r="U1016" s="34" t="str">
        <f>IF(AND(L1016=1,bp_kode=T1016,T1016&lt;&gt;""),COUNTIF($T$8:T1016,T1016),"")</f>
        <v/>
      </c>
      <c r="V1016" s="34" t="str">
        <f t="shared" ref="V1016" si="779">IF(OR(R1016="Pendapatan",R1016="Pendapatan Lainnya",R1016="Beban",R1016="Harga Pokok Penjualan",R1016="Beban Lainnya"),"db"&amp;F1016,IF(OR(S1016="Pendapatan",S1016="Pendapatan Lainnya",S1016="Beban",S1016="Harga Pokok Penjualan",S1016="Beban Lainnya"),"kr"&amp;F1016,""))</f>
        <v>db</v>
      </c>
      <c r="W1016" s="34" t="str">
        <f t="shared" ref="W1016" si="780">IF(OR(R1016="Pendapatan",R1016="Pendapatan Lainnya",R1016="Beban",R1016="Harga Pokok Penjualan",R1016="Beban Lainnya"),"db"&amp;G1016,IF(OR(S1016="Pendapatan",S1016="Pendapatan Lainnya",S1016="Beban",S1016="Harga Pokok Penjualan",S1016="Beban Lainnya"),"kr"&amp;G1016,""))</f>
        <v>db</v>
      </c>
      <c r="X1016" s="34" t="str">
        <f>IF(B1016="","",COUNTIF($C$8:C1016,C1016)&amp;C1016)</f>
        <v>0</v>
      </c>
    </row>
    <row r="1017" spans="2:24" ht="23.1" customHeight="1">
      <c r="B1017" s="31">
        <v>44926</v>
      </c>
      <c r="C1017" s="9"/>
      <c r="D1017" s="9" t="s">
        <v>775</v>
      </c>
      <c r="E1017" s="7"/>
      <c r="F1017" s="7"/>
      <c r="G1017" s="7"/>
      <c r="H1017" s="7" t="s">
        <v>774</v>
      </c>
      <c r="I1017" s="7" t="s">
        <v>582</v>
      </c>
      <c r="J1017" s="39">
        <v>5670000</v>
      </c>
      <c r="L1017" s="16">
        <f t="shared" si="721"/>
        <v>1</v>
      </c>
      <c r="M1017" s="16" t="str">
        <f t="shared" si="722"/>
        <v>December</v>
      </c>
      <c r="N1017" s="16" t="str">
        <f t="shared" si="723"/>
        <v/>
      </c>
      <c r="O1017" s="16" t="str">
        <f>IF(N1017="","",COUNTIF($N$8:N1017,N1017))</f>
        <v/>
      </c>
      <c r="P1017" s="34" t="str">
        <f t="shared" si="724"/>
        <v>outHarga Pokok Penjualan</v>
      </c>
      <c r="Q1017" s="34" t="str">
        <f t="shared" si="725"/>
        <v>outDecemberHarga Pokok Penjualan</v>
      </c>
      <c r="R1017" s="34" t="str">
        <f t="shared" si="726"/>
        <v>Harga Pokok Penjualan</v>
      </c>
      <c r="S1017" s="34" t="str">
        <f t="shared" si="727"/>
        <v>Kas</v>
      </c>
      <c r="T1017" s="34" t="str">
        <f t="shared" si="728"/>
        <v/>
      </c>
      <c r="U1017" s="34" t="str">
        <f>IF(AND(L1017=1,bp_kode=T1017,T1017&lt;&gt;""),COUNTIF($T$8:T1017,T1017),"")</f>
        <v/>
      </c>
      <c r="V1017" s="34" t="str">
        <f t="shared" si="729"/>
        <v>db</v>
      </c>
      <c r="W1017" s="34" t="str">
        <f t="shared" si="730"/>
        <v>db</v>
      </c>
      <c r="X1017" s="34" t="str">
        <f>IF(B1017="","",COUNTIF($C$8:C1017,C1017)&amp;C1017)</f>
        <v>0</v>
      </c>
    </row>
    <row r="1018" spans="2:24" ht="23.1" customHeight="1">
      <c r="B1018" s="31">
        <v>44926</v>
      </c>
      <c r="C1018" s="9"/>
      <c r="D1018" s="9" t="s">
        <v>760</v>
      </c>
      <c r="E1018" s="7"/>
      <c r="F1018" s="7"/>
      <c r="G1018" s="7"/>
      <c r="H1018" s="7" t="s">
        <v>758</v>
      </c>
      <c r="I1018" s="7" t="s">
        <v>582</v>
      </c>
      <c r="J1018" s="39">
        <v>6757050</v>
      </c>
      <c r="L1018" s="16">
        <f t="shared" si="721"/>
        <v>1</v>
      </c>
      <c r="M1018" s="16" t="str">
        <f t="shared" si="722"/>
        <v>December</v>
      </c>
      <c r="N1018" s="16" t="str">
        <f t="shared" si="723"/>
        <v/>
      </c>
      <c r="O1018" s="16" t="str">
        <f>IF(N1018="","",COUNTIF($N$8:N1018,N1018))</f>
        <v/>
      </c>
      <c r="P1018" s="34" t="str">
        <f t="shared" si="724"/>
        <v>outHarga Pokok Penjualan</v>
      </c>
      <c r="Q1018" s="34" t="str">
        <f t="shared" si="725"/>
        <v>outDecemberHarga Pokok Penjualan</v>
      </c>
      <c r="R1018" s="34" t="str">
        <f t="shared" si="726"/>
        <v>Harga Pokok Penjualan</v>
      </c>
      <c r="S1018" s="34" t="str">
        <f t="shared" si="727"/>
        <v>Kas</v>
      </c>
      <c r="T1018" s="34" t="str">
        <f t="shared" si="728"/>
        <v/>
      </c>
      <c r="U1018" s="34" t="str">
        <f>IF(AND(L1018=1,bp_kode=T1018,T1018&lt;&gt;""),COUNTIF($T$8:T1018,T1018),"")</f>
        <v/>
      </c>
      <c r="V1018" s="34" t="str">
        <f t="shared" si="729"/>
        <v>db</v>
      </c>
      <c r="W1018" s="34" t="str">
        <f t="shared" si="730"/>
        <v>db</v>
      </c>
      <c r="X1018" s="34" t="str">
        <f>IF(B1018="","",COUNTIF($C$8:C1018,C1018)&amp;C1018)</f>
        <v>0</v>
      </c>
    </row>
    <row r="1019" spans="2:24" ht="23.1" customHeight="1">
      <c r="B1019" s="31">
        <v>44926</v>
      </c>
      <c r="C1019" s="9"/>
      <c r="D1019" s="9" t="s">
        <v>762</v>
      </c>
      <c r="E1019" s="7"/>
      <c r="F1019" s="7"/>
      <c r="G1019" s="7"/>
      <c r="H1019" s="7" t="s">
        <v>761</v>
      </c>
      <c r="I1019" s="7" t="s">
        <v>582</v>
      </c>
      <c r="J1019" s="39">
        <v>9765000</v>
      </c>
      <c r="L1019" s="16">
        <f t="shared" si="721"/>
        <v>1</v>
      </c>
      <c r="M1019" s="16" t="str">
        <f t="shared" si="722"/>
        <v>December</v>
      </c>
      <c r="N1019" s="16" t="str">
        <f t="shared" si="723"/>
        <v/>
      </c>
      <c r="O1019" s="16" t="str">
        <f>IF(N1019="","",COUNTIF($N$8:N1019,N1019))</f>
        <v/>
      </c>
      <c r="P1019" s="34" t="str">
        <f t="shared" si="724"/>
        <v>outHarga Pokok Penjualan</v>
      </c>
      <c r="Q1019" s="34" t="str">
        <f t="shared" si="725"/>
        <v>outDecemberHarga Pokok Penjualan</v>
      </c>
      <c r="R1019" s="34" t="str">
        <f t="shared" si="726"/>
        <v>Harga Pokok Penjualan</v>
      </c>
      <c r="S1019" s="34" t="str">
        <f t="shared" si="727"/>
        <v>Kas</v>
      </c>
      <c r="T1019" s="34" t="str">
        <f t="shared" si="728"/>
        <v/>
      </c>
      <c r="U1019" s="34" t="str">
        <f>IF(AND(L1019=1,bp_kode=T1019,T1019&lt;&gt;""),COUNTIF($T$8:T1019,T1019),"")</f>
        <v/>
      </c>
      <c r="V1019" s="34" t="str">
        <f t="shared" si="729"/>
        <v>db</v>
      </c>
      <c r="W1019" s="34" t="str">
        <f t="shared" si="730"/>
        <v>db</v>
      </c>
      <c r="X1019" s="34" t="str">
        <f>IF(B1019="","",COUNTIF($C$8:C1019,C1019)&amp;C1019)</f>
        <v>0</v>
      </c>
    </row>
    <row r="1020" spans="2:24" ht="23.1" customHeight="1">
      <c r="B1020" s="31">
        <v>44926</v>
      </c>
      <c r="C1020" s="9"/>
      <c r="D1020" s="9" t="s">
        <v>776</v>
      </c>
      <c r="E1020" s="7"/>
      <c r="F1020" s="7"/>
      <c r="G1020" s="7"/>
      <c r="H1020" s="7" t="s">
        <v>759</v>
      </c>
      <c r="I1020" s="7" t="s">
        <v>582</v>
      </c>
      <c r="J1020" s="39">
        <v>10610150</v>
      </c>
      <c r="L1020" s="16">
        <f t="shared" si="721"/>
        <v>1</v>
      </c>
      <c r="M1020" s="16" t="str">
        <f t="shared" si="722"/>
        <v>December</v>
      </c>
      <c r="N1020" s="16" t="str">
        <f t="shared" si="723"/>
        <v/>
      </c>
      <c r="O1020" s="16" t="str">
        <f>IF(N1020="","",COUNTIF($N$8:N1020,N1020))</f>
        <v/>
      </c>
      <c r="P1020" s="34" t="str">
        <f t="shared" si="724"/>
        <v>outHarga Pokok Penjualan</v>
      </c>
      <c r="Q1020" s="34" t="str">
        <f t="shared" si="725"/>
        <v>outDecemberHarga Pokok Penjualan</v>
      </c>
      <c r="R1020" s="34" t="str">
        <f t="shared" si="726"/>
        <v>Harga Pokok Penjualan</v>
      </c>
      <c r="S1020" s="34" t="str">
        <f t="shared" si="727"/>
        <v>Kas</v>
      </c>
      <c r="T1020" s="34" t="str">
        <f t="shared" si="728"/>
        <v/>
      </c>
      <c r="U1020" s="34" t="str">
        <f>IF(AND(L1020=1,bp_kode=T1020,T1020&lt;&gt;""),COUNTIF($T$8:T1020,T1020),"")</f>
        <v/>
      </c>
      <c r="V1020" s="34" t="str">
        <f t="shared" si="729"/>
        <v>db</v>
      </c>
      <c r="W1020" s="34" t="str">
        <f t="shared" si="730"/>
        <v>db</v>
      </c>
      <c r="X1020" s="34" t="str">
        <f>IF(B1020="","",COUNTIF($C$8:C1020,C1020)&amp;C1020)</f>
        <v>0</v>
      </c>
    </row>
    <row r="1021" spans="2:24" ht="23.1" customHeight="1">
      <c r="B1021" s="31">
        <v>44926</v>
      </c>
      <c r="C1021" s="9"/>
      <c r="D1021" s="9" t="s">
        <v>696</v>
      </c>
      <c r="E1021" s="7"/>
      <c r="F1021" s="7"/>
      <c r="G1021" s="7"/>
      <c r="H1021" s="7" t="s">
        <v>695</v>
      </c>
      <c r="I1021" s="7" t="s">
        <v>582</v>
      </c>
      <c r="J1021" s="39">
        <v>133000</v>
      </c>
      <c r="L1021" s="16">
        <f t="shared" ref="L1021:L1083" si="781">IF(AND(B1021&gt;=awal,B1021&lt;=akhir,B1021&lt;&gt;""),1,IF(AND(B1021&lt;&gt;"",B1021&lt;awal),2,""))</f>
        <v>1</v>
      </c>
      <c r="M1021" s="16" t="str">
        <f t="shared" ref="M1021:M1083" si="782">IF(B1021="","",TEXT(B1021,"mmmm"))</f>
        <v>December</v>
      </c>
      <c r="N1021" s="16" t="str">
        <f t="shared" ref="N1021:N1083" si="783">IF(AND(L1021=1,H1021=bb_akun),"Awe",IF(AND(L1021=1,I1021=bb_akun),"Awe",""))</f>
        <v>Awe</v>
      </c>
      <c r="O1021" s="16">
        <f>IF(N1021="","",COUNTIF($N$8:N1021,N1021))</f>
        <v>13</v>
      </c>
      <c r="P1021" s="34" t="str">
        <f t="shared" ref="P1021:P1083" si="784">IFERROR(IF(OR(INDEX(akun_type,MATCH(H1021,akun_kb,0))="Kas",INDEX(akun_type,MATCH(H1021,akun_kb,0))="Bank"),"In"&amp;INDEX(akun_type,MATCH(I1021,akun_kb,0)),IF(OR(INDEX(akun_type,MATCH(I1021,akun_kb,0))="Kas",INDEX(akun_type,MATCH(I1021,akun_kb,0))="Bank"),"out"&amp;INDEX(akun_type,MATCH(H1021,akun_kb,0)),"")),"")</f>
        <v>outHarga Pokok Penjualan</v>
      </c>
      <c r="Q1021" s="34" t="str">
        <f t="shared" ref="Q1021:Q1083" si="785">IFERROR(IF(OR(INDEX(akun_type,MATCH(H1021,akun_kb,0))="Kas",INDEX(akun_type,MATCH(H1021,akun_kb,0))="Bank"),"in"&amp;TEXT(B1021,"mmmm")&amp;INDEX(akun_type,MATCH(I1021,akun_kb,0)),IF(OR(INDEX(akun_type,MATCH(I1021,akun_kb,0))="Kas",INDEX(akun_type,MATCH(I1021,akun_kb,0))="Bank"),"out"&amp;TEXT(B1021,"mmmm")&amp;INDEX(akun_type,MATCH(H1021,akun_kb,0)),"")),"")</f>
        <v>outDecemberHarga Pokok Penjualan</v>
      </c>
      <c r="R1021" s="34" t="str">
        <f t="shared" ref="R1021:R1083" si="786">IFERROR(INDEX(akun_type,MATCH(H1021,akun_kb,0)),"")</f>
        <v>Harga Pokok Penjualan</v>
      </c>
      <c r="S1021" s="34" t="str">
        <f t="shared" ref="S1021:S1083" si="787">IFERROR(INDEX(akun_type,MATCH(I1021,akun_kb,0)),"")</f>
        <v>Kas</v>
      </c>
      <c r="T1021" s="34" t="str">
        <f t="shared" ref="T1021:T1083" si="788">IF(AND(L1021=1,OR(R1021="Akun Piutang",R1021="akun hutang",S1021="akun piutang",S1021="akun hutang")),E1021,"")</f>
        <v/>
      </c>
      <c r="U1021" s="34" t="str">
        <f>IF(AND(L1021=1,bp_kode=T1021,T1021&lt;&gt;""),COUNTIF($T$8:T1021,T1021),"")</f>
        <v/>
      </c>
      <c r="V1021" s="34" t="str">
        <f t="shared" ref="V1021:V1083" si="789">IF(OR(R1021="Pendapatan",R1021="Pendapatan Lainnya",R1021="Beban",R1021="Harga Pokok Penjualan",R1021="Beban Lainnya"),"db"&amp;F1021,IF(OR(S1021="Pendapatan",S1021="Pendapatan Lainnya",S1021="Beban",S1021="Harga Pokok Penjualan",S1021="Beban Lainnya"),"kr"&amp;F1021,""))</f>
        <v>db</v>
      </c>
      <c r="W1021" s="34" t="str">
        <f t="shared" ref="W1021:W1083" si="790">IF(OR(R1021="Pendapatan",R1021="Pendapatan Lainnya",R1021="Beban",R1021="Harga Pokok Penjualan",R1021="Beban Lainnya"),"db"&amp;G1021,IF(OR(S1021="Pendapatan",S1021="Pendapatan Lainnya",S1021="Beban",S1021="Harga Pokok Penjualan",S1021="Beban Lainnya"),"kr"&amp;G1021,""))</f>
        <v>db</v>
      </c>
      <c r="X1021" s="34" t="str">
        <f>IF(B1021="","",COUNTIF($C$8:C1021,C1021)&amp;C1021)</f>
        <v>0</v>
      </c>
    </row>
    <row r="1022" spans="2:24" ht="23.1" customHeight="1">
      <c r="B1022" s="31">
        <v>44926</v>
      </c>
      <c r="C1022" s="9"/>
      <c r="D1022" s="9" t="s">
        <v>612</v>
      </c>
      <c r="E1022" s="7"/>
      <c r="F1022" s="7"/>
      <c r="G1022" s="7"/>
      <c r="H1022" s="7" t="s">
        <v>613</v>
      </c>
      <c r="I1022" s="7" t="s">
        <v>582</v>
      </c>
      <c r="J1022" s="39">
        <v>10298000</v>
      </c>
      <c r="L1022" s="16">
        <f t="shared" si="781"/>
        <v>1</v>
      </c>
      <c r="M1022" s="16" t="str">
        <f t="shared" si="782"/>
        <v>December</v>
      </c>
      <c r="N1022" s="16" t="str">
        <f t="shared" si="783"/>
        <v/>
      </c>
      <c r="O1022" s="16" t="str">
        <f>IF(N1022="","",COUNTIF($N$8:N1022,N1022))</f>
        <v/>
      </c>
      <c r="P1022" s="34" t="str">
        <f t="shared" si="784"/>
        <v>outHarga Pokok Penjualan</v>
      </c>
      <c r="Q1022" s="34" t="str">
        <f t="shared" si="785"/>
        <v>outDecemberHarga Pokok Penjualan</v>
      </c>
      <c r="R1022" s="34" t="str">
        <f t="shared" si="786"/>
        <v>Harga Pokok Penjualan</v>
      </c>
      <c r="S1022" s="34" t="str">
        <f t="shared" si="787"/>
        <v>Kas</v>
      </c>
      <c r="T1022" s="34" t="str">
        <f t="shared" si="788"/>
        <v/>
      </c>
      <c r="U1022" s="34" t="str">
        <f>IF(AND(L1022=1,bp_kode=T1022,T1022&lt;&gt;""),COUNTIF($T$8:T1022,T1022),"")</f>
        <v/>
      </c>
      <c r="V1022" s="34" t="str">
        <f t="shared" si="789"/>
        <v>db</v>
      </c>
      <c r="W1022" s="34" t="str">
        <f t="shared" si="790"/>
        <v>db</v>
      </c>
      <c r="X1022" s="34" t="str">
        <f>IF(B1022="","",COUNTIF($C$8:C1022,C1022)&amp;C1022)</f>
        <v>0</v>
      </c>
    </row>
    <row r="1023" spans="2:24" ht="23.1" customHeight="1">
      <c r="B1023" s="31">
        <v>44926</v>
      </c>
      <c r="C1023" s="9"/>
      <c r="D1023" s="9" t="s">
        <v>621</v>
      </c>
      <c r="E1023" s="7"/>
      <c r="F1023" s="7"/>
      <c r="G1023" s="7"/>
      <c r="H1023" s="7" t="s">
        <v>614</v>
      </c>
      <c r="I1023" s="7" t="s">
        <v>582</v>
      </c>
      <c r="J1023" s="39">
        <v>40699000</v>
      </c>
      <c r="L1023" s="16">
        <f t="shared" si="781"/>
        <v>1</v>
      </c>
      <c r="M1023" s="16" t="str">
        <f t="shared" si="782"/>
        <v>December</v>
      </c>
      <c r="N1023" s="16" t="str">
        <f t="shared" si="783"/>
        <v/>
      </c>
      <c r="O1023" s="16" t="str">
        <f>IF(N1023="","",COUNTIF($N$8:N1023,N1023))</f>
        <v/>
      </c>
      <c r="P1023" s="34" t="str">
        <f t="shared" si="784"/>
        <v>outBeban</v>
      </c>
      <c r="Q1023" s="34" t="str">
        <f t="shared" si="785"/>
        <v>outDecemberBeban</v>
      </c>
      <c r="R1023" s="34" t="str">
        <f t="shared" si="786"/>
        <v>Beban</v>
      </c>
      <c r="S1023" s="34" t="str">
        <f t="shared" si="787"/>
        <v>Kas</v>
      </c>
      <c r="T1023" s="34" t="str">
        <f t="shared" si="788"/>
        <v/>
      </c>
      <c r="U1023" s="34" t="str">
        <f>IF(AND(L1023=1,bp_kode=T1023,T1023&lt;&gt;""),COUNTIF($T$8:T1023,T1023),"")</f>
        <v/>
      </c>
      <c r="V1023" s="34" t="str">
        <f t="shared" si="789"/>
        <v>db</v>
      </c>
      <c r="W1023" s="34" t="str">
        <f t="shared" si="790"/>
        <v>db</v>
      </c>
      <c r="X1023" s="34" t="str">
        <f>IF(B1023="","",COUNTIF($C$8:C1023,C1023)&amp;C1023)</f>
        <v>0</v>
      </c>
    </row>
    <row r="1024" spans="2:24" ht="23.1" customHeight="1">
      <c r="B1024" s="31">
        <v>44926</v>
      </c>
      <c r="C1024" s="9"/>
      <c r="D1024" s="9" t="s">
        <v>624</v>
      </c>
      <c r="E1024" s="7"/>
      <c r="F1024" s="7"/>
      <c r="G1024" s="7"/>
      <c r="H1024" s="7" t="s">
        <v>617</v>
      </c>
      <c r="I1024" s="7" t="s">
        <v>582</v>
      </c>
      <c r="J1024" s="39">
        <v>98576200</v>
      </c>
      <c r="L1024" s="16">
        <f t="shared" si="781"/>
        <v>1</v>
      </c>
      <c r="M1024" s="16" t="str">
        <f t="shared" si="782"/>
        <v>December</v>
      </c>
      <c r="N1024" s="16" t="str">
        <f t="shared" si="783"/>
        <v/>
      </c>
      <c r="O1024" s="16" t="str">
        <f>IF(N1024="","",COUNTIF($N$8:N1024,N1024))</f>
        <v/>
      </c>
      <c r="P1024" s="34" t="str">
        <f t="shared" si="784"/>
        <v>outBeban</v>
      </c>
      <c r="Q1024" s="34" t="str">
        <f t="shared" si="785"/>
        <v>outDecemberBeban</v>
      </c>
      <c r="R1024" s="34" t="str">
        <f t="shared" si="786"/>
        <v>Beban</v>
      </c>
      <c r="S1024" s="34" t="str">
        <f t="shared" si="787"/>
        <v>Kas</v>
      </c>
      <c r="T1024" s="34" t="str">
        <f t="shared" si="788"/>
        <v/>
      </c>
      <c r="U1024" s="34" t="str">
        <f>IF(AND(L1024=1,bp_kode=T1024,T1024&lt;&gt;""),COUNTIF($T$8:T1024,T1024),"")</f>
        <v/>
      </c>
      <c r="V1024" s="34" t="str">
        <f t="shared" si="789"/>
        <v>db</v>
      </c>
      <c r="W1024" s="34" t="str">
        <f t="shared" si="790"/>
        <v>db</v>
      </c>
      <c r="X1024" s="34" t="str">
        <f>IF(B1024="","",COUNTIF($C$8:C1024,C1024)&amp;C1024)</f>
        <v>0</v>
      </c>
    </row>
    <row r="1025" spans="2:24" ht="23.1" customHeight="1">
      <c r="B1025" s="31">
        <v>44926</v>
      </c>
      <c r="C1025" s="9"/>
      <c r="D1025" s="9" t="s">
        <v>625</v>
      </c>
      <c r="E1025" s="7"/>
      <c r="F1025" s="7"/>
      <c r="G1025" s="7"/>
      <c r="H1025" s="7" t="s">
        <v>618</v>
      </c>
      <c r="I1025" s="7" t="s">
        <v>582</v>
      </c>
      <c r="J1025" s="39">
        <v>213755046</v>
      </c>
      <c r="L1025" s="16">
        <f t="shared" si="781"/>
        <v>1</v>
      </c>
      <c r="M1025" s="16" t="str">
        <f t="shared" si="782"/>
        <v>December</v>
      </c>
      <c r="N1025" s="16" t="str">
        <f t="shared" si="783"/>
        <v/>
      </c>
      <c r="O1025" s="16" t="str">
        <f>IF(N1025="","",COUNTIF($N$8:N1025,N1025))</f>
        <v/>
      </c>
      <c r="P1025" s="34" t="str">
        <f t="shared" si="784"/>
        <v>outBeban</v>
      </c>
      <c r="Q1025" s="34" t="str">
        <f t="shared" si="785"/>
        <v>outDecemberBeban</v>
      </c>
      <c r="R1025" s="34" t="str">
        <f t="shared" si="786"/>
        <v>Beban</v>
      </c>
      <c r="S1025" s="34" t="str">
        <f t="shared" si="787"/>
        <v>Kas</v>
      </c>
      <c r="T1025" s="34" t="str">
        <f t="shared" si="788"/>
        <v/>
      </c>
      <c r="U1025" s="34" t="str">
        <f>IF(AND(L1025=1,bp_kode=T1025,T1025&lt;&gt;""),COUNTIF($T$8:T1025,T1025),"")</f>
        <v/>
      </c>
      <c r="V1025" s="34" t="str">
        <f t="shared" si="789"/>
        <v>db</v>
      </c>
      <c r="W1025" s="34" t="str">
        <f t="shared" si="790"/>
        <v>db</v>
      </c>
      <c r="X1025" s="34" t="str">
        <f>IF(B1025="","",COUNTIF($C$8:C1025,C1025)&amp;C1025)</f>
        <v>0</v>
      </c>
    </row>
    <row r="1026" spans="2:24" ht="23.1" customHeight="1">
      <c r="B1026" s="31">
        <v>44926</v>
      </c>
      <c r="C1026" s="9"/>
      <c r="D1026" s="9" t="s">
        <v>626</v>
      </c>
      <c r="E1026" s="7"/>
      <c r="F1026" s="7"/>
      <c r="G1026" s="7"/>
      <c r="H1026" s="7" t="s">
        <v>619</v>
      </c>
      <c r="I1026" s="7" t="s">
        <v>582</v>
      </c>
      <c r="J1026" s="39">
        <v>215793862</v>
      </c>
      <c r="L1026" s="16">
        <f t="shared" si="781"/>
        <v>1</v>
      </c>
      <c r="M1026" s="16" t="str">
        <f t="shared" si="782"/>
        <v>December</v>
      </c>
      <c r="N1026" s="16" t="str">
        <f t="shared" si="783"/>
        <v/>
      </c>
      <c r="O1026" s="16" t="str">
        <f>IF(N1026="","",COUNTIF($N$8:N1026,N1026))</f>
        <v/>
      </c>
      <c r="P1026" s="34" t="str">
        <f t="shared" si="784"/>
        <v>outBeban</v>
      </c>
      <c r="Q1026" s="34" t="str">
        <f t="shared" si="785"/>
        <v>outDecemberBeban</v>
      </c>
      <c r="R1026" s="34" t="str">
        <f t="shared" si="786"/>
        <v>Beban</v>
      </c>
      <c r="S1026" s="34" t="str">
        <f t="shared" si="787"/>
        <v>Kas</v>
      </c>
      <c r="T1026" s="34" t="str">
        <f t="shared" si="788"/>
        <v/>
      </c>
      <c r="U1026" s="34" t="str">
        <f>IF(AND(L1026=1,bp_kode=T1026,T1026&lt;&gt;""),COUNTIF($T$8:T1026,T1026),"")</f>
        <v/>
      </c>
      <c r="V1026" s="34" t="str">
        <f t="shared" si="789"/>
        <v>db</v>
      </c>
      <c r="W1026" s="34" t="str">
        <f t="shared" si="790"/>
        <v>db</v>
      </c>
      <c r="X1026" s="34" t="str">
        <f>IF(B1026="","",COUNTIF($C$8:C1026,C1026)&amp;C1026)</f>
        <v>0</v>
      </c>
    </row>
    <row r="1027" spans="2:24" ht="23.1" customHeight="1">
      <c r="B1027" s="31">
        <v>44926</v>
      </c>
      <c r="C1027" s="9"/>
      <c r="D1027" s="9" t="s">
        <v>627</v>
      </c>
      <c r="E1027" s="7"/>
      <c r="F1027" s="7"/>
      <c r="G1027" s="7"/>
      <c r="H1027" s="7" t="s">
        <v>620</v>
      </c>
      <c r="I1027" s="7" t="s">
        <v>582</v>
      </c>
      <c r="J1027" s="39">
        <v>32714838</v>
      </c>
      <c r="L1027" s="16">
        <f t="shared" si="781"/>
        <v>1</v>
      </c>
      <c r="M1027" s="16" t="str">
        <f t="shared" si="782"/>
        <v>December</v>
      </c>
      <c r="N1027" s="16" t="str">
        <f t="shared" si="783"/>
        <v/>
      </c>
      <c r="O1027" s="16" t="str">
        <f>IF(N1027="","",COUNTIF($N$8:N1027,N1027))</f>
        <v/>
      </c>
      <c r="P1027" s="34" t="str">
        <f t="shared" si="784"/>
        <v>outBeban</v>
      </c>
      <c r="Q1027" s="34" t="str">
        <f t="shared" si="785"/>
        <v>outDecemberBeban</v>
      </c>
      <c r="R1027" s="34" t="str">
        <f t="shared" si="786"/>
        <v>Beban</v>
      </c>
      <c r="S1027" s="34" t="str">
        <f t="shared" si="787"/>
        <v>Kas</v>
      </c>
      <c r="T1027" s="34" t="str">
        <f t="shared" si="788"/>
        <v/>
      </c>
      <c r="U1027" s="34" t="str">
        <f>IF(AND(L1027=1,bp_kode=T1027,T1027&lt;&gt;""),COUNTIF($T$8:T1027,T1027),"")</f>
        <v/>
      </c>
      <c r="V1027" s="34" t="str">
        <f t="shared" si="789"/>
        <v>db</v>
      </c>
      <c r="W1027" s="34" t="str">
        <f t="shared" si="790"/>
        <v>db</v>
      </c>
      <c r="X1027" s="34" t="str">
        <f>IF(B1027="","",COUNTIF($C$8:C1027,C1027)&amp;C1027)</f>
        <v>0</v>
      </c>
    </row>
    <row r="1028" spans="2:24" ht="23.1" customHeight="1">
      <c r="B1028" s="31">
        <v>44926</v>
      </c>
      <c r="C1028" s="9"/>
      <c r="D1028" s="9" t="s">
        <v>780</v>
      </c>
      <c r="E1028" s="7"/>
      <c r="F1028" s="7"/>
      <c r="G1028" s="7"/>
      <c r="H1028" s="7" t="s">
        <v>778</v>
      </c>
      <c r="I1028" s="7" t="s">
        <v>582</v>
      </c>
      <c r="J1028" s="39">
        <v>5000000</v>
      </c>
      <c r="L1028" s="16">
        <f t="shared" si="781"/>
        <v>1</v>
      </c>
      <c r="M1028" s="16" t="str">
        <f t="shared" si="782"/>
        <v>December</v>
      </c>
      <c r="N1028" s="16" t="str">
        <f t="shared" si="783"/>
        <v/>
      </c>
      <c r="O1028" s="16" t="str">
        <f>IF(N1028="","",COUNTIF($N$8:N1028,N1028))</f>
        <v/>
      </c>
      <c r="P1028" s="34" t="str">
        <f t="shared" si="784"/>
        <v>outBeban</v>
      </c>
      <c r="Q1028" s="34" t="str">
        <f t="shared" si="785"/>
        <v>outDecemberBeban</v>
      </c>
      <c r="R1028" s="34" t="str">
        <f t="shared" si="786"/>
        <v>Beban</v>
      </c>
      <c r="S1028" s="34" t="str">
        <f t="shared" si="787"/>
        <v>Kas</v>
      </c>
      <c r="T1028" s="34" t="str">
        <f t="shared" si="788"/>
        <v/>
      </c>
      <c r="U1028" s="34" t="str">
        <f>IF(AND(L1028=1,bp_kode=T1028,T1028&lt;&gt;""),COUNTIF($T$8:T1028,T1028),"")</f>
        <v/>
      </c>
      <c r="V1028" s="34" t="str">
        <f t="shared" si="789"/>
        <v>db</v>
      </c>
      <c r="W1028" s="34" t="str">
        <f t="shared" si="790"/>
        <v>db</v>
      </c>
      <c r="X1028" s="34" t="str">
        <f>IF(B1028="","",COUNTIF($C$8:C1028,C1028)&amp;C1028)</f>
        <v>0</v>
      </c>
    </row>
    <row r="1029" spans="2:24" ht="23.1" customHeight="1">
      <c r="B1029" s="31">
        <v>44926</v>
      </c>
      <c r="C1029" s="9"/>
      <c r="D1029" s="9" t="s">
        <v>764</v>
      </c>
      <c r="E1029" s="7"/>
      <c r="F1029" s="7"/>
      <c r="G1029" s="7"/>
      <c r="H1029" s="7" t="s">
        <v>763</v>
      </c>
      <c r="I1029" s="7" t="s">
        <v>582</v>
      </c>
      <c r="J1029" s="39">
        <v>7654500</v>
      </c>
      <c r="L1029" s="16">
        <f t="shared" si="781"/>
        <v>1</v>
      </c>
      <c r="M1029" s="16" t="str">
        <f t="shared" si="782"/>
        <v>December</v>
      </c>
      <c r="N1029" s="16" t="str">
        <f t="shared" si="783"/>
        <v/>
      </c>
      <c r="O1029" s="16" t="str">
        <f>IF(N1029="","",COUNTIF($N$8:N1029,N1029))</f>
        <v/>
      </c>
      <c r="P1029" s="34" t="str">
        <f t="shared" si="784"/>
        <v>outBeban</v>
      </c>
      <c r="Q1029" s="34" t="str">
        <f t="shared" si="785"/>
        <v>outDecemberBeban</v>
      </c>
      <c r="R1029" s="34" t="str">
        <f t="shared" si="786"/>
        <v>Beban</v>
      </c>
      <c r="S1029" s="34" t="str">
        <f t="shared" si="787"/>
        <v>Kas</v>
      </c>
      <c r="T1029" s="34" t="str">
        <f t="shared" si="788"/>
        <v/>
      </c>
      <c r="U1029" s="34" t="str">
        <f>IF(AND(L1029=1,bp_kode=T1029,T1029&lt;&gt;""),COUNTIF($T$8:T1029,T1029),"")</f>
        <v/>
      </c>
      <c r="V1029" s="34" t="str">
        <f t="shared" si="789"/>
        <v>db</v>
      </c>
      <c r="W1029" s="34" t="str">
        <f t="shared" si="790"/>
        <v>db</v>
      </c>
      <c r="X1029" s="34" t="str">
        <f>IF(B1029="","",COUNTIF($C$8:C1029,C1029)&amp;C1029)</f>
        <v>0</v>
      </c>
    </row>
    <row r="1030" spans="2:24" ht="23.1" customHeight="1">
      <c r="B1030" s="31">
        <v>44926</v>
      </c>
      <c r="C1030" s="9"/>
      <c r="D1030" s="9" t="s">
        <v>766</v>
      </c>
      <c r="E1030" s="7"/>
      <c r="F1030" s="7"/>
      <c r="G1030" s="7"/>
      <c r="H1030" s="7" t="s">
        <v>765</v>
      </c>
      <c r="I1030" s="7" t="s">
        <v>582</v>
      </c>
      <c r="J1030" s="39">
        <v>69003340</v>
      </c>
      <c r="L1030" s="16">
        <f t="shared" si="781"/>
        <v>1</v>
      </c>
      <c r="M1030" s="16" t="str">
        <f t="shared" si="782"/>
        <v>December</v>
      </c>
      <c r="N1030" s="16" t="str">
        <f t="shared" si="783"/>
        <v/>
      </c>
      <c r="O1030" s="16" t="str">
        <f>IF(N1030="","",COUNTIF($N$8:N1030,N1030))</f>
        <v/>
      </c>
      <c r="P1030" s="34" t="str">
        <f t="shared" si="784"/>
        <v>outBeban</v>
      </c>
      <c r="Q1030" s="34" t="str">
        <f t="shared" si="785"/>
        <v>outDecemberBeban</v>
      </c>
      <c r="R1030" s="34" t="str">
        <f t="shared" si="786"/>
        <v>Beban</v>
      </c>
      <c r="S1030" s="34" t="str">
        <f t="shared" si="787"/>
        <v>Kas</v>
      </c>
      <c r="T1030" s="34" t="str">
        <f t="shared" si="788"/>
        <v/>
      </c>
      <c r="U1030" s="34" t="str">
        <f>IF(AND(L1030=1,bp_kode=T1030,T1030&lt;&gt;""),COUNTIF($T$8:T1030,T1030),"")</f>
        <v/>
      </c>
      <c r="V1030" s="34" t="str">
        <f t="shared" si="789"/>
        <v>db</v>
      </c>
      <c r="W1030" s="34" t="str">
        <f t="shared" si="790"/>
        <v>db</v>
      </c>
      <c r="X1030" s="34" t="str">
        <f>IF(B1030="","",COUNTIF($C$8:C1030,C1030)&amp;C1030)</f>
        <v>0</v>
      </c>
    </row>
    <row r="1031" spans="2:24" ht="23.1" customHeight="1">
      <c r="B1031" s="31">
        <v>44926</v>
      </c>
      <c r="C1031" s="9"/>
      <c r="D1031" s="9" t="s">
        <v>644</v>
      </c>
      <c r="E1031" s="7"/>
      <c r="F1031" s="7"/>
      <c r="G1031" s="7"/>
      <c r="H1031" s="7" t="s">
        <v>628</v>
      </c>
      <c r="I1031" s="7" t="s">
        <v>582</v>
      </c>
      <c r="J1031" s="39">
        <v>21900000</v>
      </c>
      <c r="L1031" s="16">
        <f t="shared" si="781"/>
        <v>1</v>
      </c>
      <c r="M1031" s="16" t="str">
        <f t="shared" si="782"/>
        <v>December</v>
      </c>
      <c r="N1031" s="16" t="str">
        <f t="shared" si="783"/>
        <v/>
      </c>
      <c r="O1031" s="16" t="str">
        <f>IF(N1031="","",COUNTIF($N$8:N1031,N1031))</f>
        <v/>
      </c>
      <c r="P1031" s="34" t="str">
        <f t="shared" si="784"/>
        <v>outBeban</v>
      </c>
      <c r="Q1031" s="34" t="str">
        <f t="shared" si="785"/>
        <v>outDecemberBeban</v>
      </c>
      <c r="R1031" s="34" t="str">
        <f t="shared" si="786"/>
        <v>Beban</v>
      </c>
      <c r="S1031" s="34" t="str">
        <f t="shared" si="787"/>
        <v>Kas</v>
      </c>
      <c r="T1031" s="34" t="str">
        <f t="shared" si="788"/>
        <v/>
      </c>
      <c r="U1031" s="34" t="str">
        <f>IF(AND(L1031=1,bp_kode=T1031,T1031&lt;&gt;""),COUNTIF($T$8:T1031,T1031),"")</f>
        <v/>
      </c>
      <c r="V1031" s="34" t="str">
        <f t="shared" si="789"/>
        <v>db</v>
      </c>
      <c r="W1031" s="34" t="str">
        <f t="shared" si="790"/>
        <v>db</v>
      </c>
      <c r="X1031" s="34" t="str">
        <f>IF(B1031="","",COUNTIF($C$8:C1031,C1031)&amp;C1031)</f>
        <v>0</v>
      </c>
    </row>
    <row r="1032" spans="2:24" ht="23.1" customHeight="1">
      <c r="B1032" s="31">
        <v>44926</v>
      </c>
      <c r="C1032" s="9"/>
      <c r="D1032" s="9" t="s">
        <v>693</v>
      </c>
      <c r="E1032" s="7"/>
      <c r="F1032" s="7"/>
      <c r="G1032" s="7"/>
      <c r="H1032" s="7" t="s">
        <v>694</v>
      </c>
      <c r="I1032" s="7" t="s">
        <v>582</v>
      </c>
      <c r="J1032" s="39">
        <v>2000000</v>
      </c>
      <c r="L1032" s="16">
        <f t="shared" si="781"/>
        <v>1</v>
      </c>
      <c r="M1032" s="16" t="str">
        <f t="shared" si="782"/>
        <v>December</v>
      </c>
      <c r="N1032" s="16" t="str">
        <f t="shared" si="783"/>
        <v/>
      </c>
      <c r="O1032" s="16" t="str">
        <f>IF(N1032="","",COUNTIF($N$8:N1032,N1032))</f>
        <v/>
      </c>
      <c r="P1032" s="34" t="str">
        <f t="shared" si="784"/>
        <v>outBeban</v>
      </c>
      <c r="Q1032" s="34" t="str">
        <f t="shared" si="785"/>
        <v>outDecemberBeban</v>
      </c>
      <c r="R1032" s="34" t="str">
        <f t="shared" si="786"/>
        <v>Beban</v>
      </c>
      <c r="S1032" s="34" t="str">
        <f t="shared" si="787"/>
        <v>Kas</v>
      </c>
      <c r="T1032" s="34" t="str">
        <f t="shared" si="788"/>
        <v/>
      </c>
      <c r="U1032" s="34" t="str">
        <f>IF(AND(L1032=1,bp_kode=T1032,T1032&lt;&gt;""),COUNTIF($T$8:T1032,T1032),"")</f>
        <v/>
      </c>
      <c r="V1032" s="34" t="str">
        <f t="shared" si="789"/>
        <v>db</v>
      </c>
      <c r="W1032" s="34" t="str">
        <f t="shared" si="790"/>
        <v>db</v>
      </c>
      <c r="X1032" s="34" t="str">
        <f>IF(B1032="","",COUNTIF($C$8:C1032,C1032)&amp;C1032)</f>
        <v>0</v>
      </c>
    </row>
    <row r="1033" spans="2:24" ht="23.1" customHeight="1">
      <c r="B1033" s="31">
        <v>44926</v>
      </c>
      <c r="C1033" s="9"/>
      <c r="D1033" s="9" t="s">
        <v>645</v>
      </c>
      <c r="E1033" s="7"/>
      <c r="F1033" s="7"/>
      <c r="G1033" s="7"/>
      <c r="H1033" s="7" t="s">
        <v>629</v>
      </c>
      <c r="I1033" s="7" t="s">
        <v>582</v>
      </c>
      <c r="J1033" s="39">
        <v>16230000</v>
      </c>
      <c r="L1033" s="16">
        <f t="shared" si="781"/>
        <v>1</v>
      </c>
      <c r="M1033" s="16" t="str">
        <f t="shared" si="782"/>
        <v>December</v>
      </c>
      <c r="N1033" s="16" t="str">
        <f t="shared" si="783"/>
        <v/>
      </c>
      <c r="O1033" s="16" t="str">
        <f>IF(N1033="","",COUNTIF($N$8:N1033,N1033))</f>
        <v/>
      </c>
      <c r="P1033" s="34" t="str">
        <f t="shared" si="784"/>
        <v>outBeban</v>
      </c>
      <c r="Q1033" s="34" t="str">
        <f t="shared" si="785"/>
        <v>outDecemberBeban</v>
      </c>
      <c r="R1033" s="34" t="str">
        <f t="shared" si="786"/>
        <v>Beban</v>
      </c>
      <c r="S1033" s="34" t="str">
        <f t="shared" si="787"/>
        <v>Kas</v>
      </c>
      <c r="T1033" s="34" t="str">
        <f t="shared" si="788"/>
        <v/>
      </c>
      <c r="U1033" s="34" t="str">
        <f>IF(AND(L1033=1,bp_kode=T1033,T1033&lt;&gt;""),COUNTIF($T$8:T1033,T1033),"")</f>
        <v/>
      </c>
      <c r="V1033" s="34" t="str">
        <f t="shared" si="789"/>
        <v>db</v>
      </c>
      <c r="W1033" s="34" t="str">
        <f t="shared" si="790"/>
        <v>db</v>
      </c>
      <c r="X1033" s="34" t="str">
        <f>IF(B1033="","",COUNTIF($C$8:C1033,C1033)&amp;C1033)</f>
        <v>0</v>
      </c>
    </row>
    <row r="1034" spans="2:24" ht="23.1" customHeight="1">
      <c r="B1034" s="31">
        <v>44926</v>
      </c>
      <c r="C1034" s="9"/>
      <c r="D1034" s="9" t="s">
        <v>646</v>
      </c>
      <c r="E1034" s="7"/>
      <c r="F1034" s="7"/>
      <c r="G1034" s="7"/>
      <c r="H1034" s="7" t="s">
        <v>630</v>
      </c>
      <c r="I1034" s="7" t="s">
        <v>582</v>
      </c>
      <c r="J1034" s="39">
        <v>3946200</v>
      </c>
      <c r="L1034" s="16">
        <f t="shared" si="781"/>
        <v>1</v>
      </c>
      <c r="M1034" s="16" t="str">
        <f t="shared" si="782"/>
        <v>December</v>
      </c>
      <c r="N1034" s="16" t="str">
        <f t="shared" si="783"/>
        <v/>
      </c>
      <c r="O1034" s="16" t="str">
        <f>IF(N1034="","",COUNTIF($N$8:N1034,N1034))</f>
        <v/>
      </c>
      <c r="P1034" s="34" t="str">
        <f t="shared" si="784"/>
        <v>outBeban</v>
      </c>
      <c r="Q1034" s="34" t="str">
        <f t="shared" si="785"/>
        <v>outDecemberBeban</v>
      </c>
      <c r="R1034" s="34" t="str">
        <f t="shared" si="786"/>
        <v>Beban</v>
      </c>
      <c r="S1034" s="34" t="str">
        <f t="shared" si="787"/>
        <v>Kas</v>
      </c>
      <c r="T1034" s="34" t="str">
        <f t="shared" si="788"/>
        <v/>
      </c>
      <c r="U1034" s="34" t="str">
        <f>IF(AND(L1034=1,bp_kode=T1034,T1034&lt;&gt;""),COUNTIF($T$8:T1034,T1034),"")</f>
        <v/>
      </c>
      <c r="V1034" s="34" t="str">
        <f t="shared" si="789"/>
        <v>db</v>
      </c>
      <c r="W1034" s="34" t="str">
        <f t="shared" si="790"/>
        <v>db</v>
      </c>
      <c r="X1034" s="34" t="str">
        <f>IF(B1034="","",COUNTIF($C$8:C1034,C1034)&amp;C1034)</f>
        <v>0</v>
      </c>
    </row>
    <row r="1035" spans="2:24" ht="23.1" customHeight="1">
      <c r="B1035" s="31">
        <v>44926</v>
      </c>
      <c r="C1035" s="9"/>
      <c r="D1035" s="9" t="s">
        <v>647</v>
      </c>
      <c r="E1035" s="7"/>
      <c r="F1035" s="7"/>
      <c r="G1035" s="7"/>
      <c r="H1035" s="7" t="s">
        <v>631</v>
      </c>
      <c r="I1035" s="7" t="s">
        <v>582</v>
      </c>
      <c r="J1035" s="39">
        <v>350000</v>
      </c>
      <c r="L1035" s="16">
        <f t="shared" si="781"/>
        <v>1</v>
      </c>
      <c r="M1035" s="16" t="str">
        <f t="shared" si="782"/>
        <v>December</v>
      </c>
      <c r="N1035" s="16" t="str">
        <f t="shared" si="783"/>
        <v/>
      </c>
      <c r="O1035" s="16" t="str">
        <f>IF(N1035="","",COUNTIF($N$8:N1035,N1035))</f>
        <v/>
      </c>
      <c r="P1035" s="34" t="str">
        <f t="shared" si="784"/>
        <v>outBeban</v>
      </c>
      <c r="Q1035" s="34" t="str">
        <f t="shared" si="785"/>
        <v>outDecemberBeban</v>
      </c>
      <c r="R1035" s="34" t="str">
        <f t="shared" si="786"/>
        <v>Beban</v>
      </c>
      <c r="S1035" s="34" t="str">
        <f t="shared" si="787"/>
        <v>Kas</v>
      </c>
      <c r="T1035" s="34" t="str">
        <f t="shared" si="788"/>
        <v/>
      </c>
      <c r="U1035" s="34" t="str">
        <f>IF(AND(L1035=1,bp_kode=T1035,T1035&lt;&gt;""),COUNTIF($T$8:T1035,T1035),"")</f>
        <v/>
      </c>
      <c r="V1035" s="34" t="str">
        <f t="shared" si="789"/>
        <v>db</v>
      </c>
      <c r="W1035" s="34" t="str">
        <f t="shared" si="790"/>
        <v>db</v>
      </c>
      <c r="X1035" s="34" t="str">
        <f>IF(B1035="","",COUNTIF($C$8:C1035,C1035)&amp;C1035)</f>
        <v>0</v>
      </c>
    </row>
    <row r="1036" spans="2:24" ht="23.1" customHeight="1">
      <c r="B1036" s="31">
        <v>44926</v>
      </c>
      <c r="C1036" s="9"/>
      <c r="D1036" s="9" t="s">
        <v>781</v>
      </c>
      <c r="E1036" s="7"/>
      <c r="F1036" s="7"/>
      <c r="G1036" s="7"/>
      <c r="H1036" s="7" t="s">
        <v>782</v>
      </c>
      <c r="I1036" s="7" t="s">
        <v>582</v>
      </c>
      <c r="J1036" s="39">
        <v>3150400</v>
      </c>
      <c r="L1036" s="16">
        <f t="shared" si="781"/>
        <v>1</v>
      </c>
      <c r="M1036" s="16" t="str">
        <f t="shared" si="782"/>
        <v>December</v>
      </c>
      <c r="N1036" s="16" t="str">
        <f t="shared" si="783"/>
        <v/>
      </c>
      <c r="O1036" s="16" t="str">
        <f>IF(N1036="","",COUNTIF($N$8:N1036,N1036))</f>
        <v/>
      </c>
      <c r="P1036" s="34" t="str">
        <f t="shared" si="784"/>
        <v>outBeban</v>
      </c>
      <c r="Q1036" s="34" t="str">
        <f t="shared" si="785"/>
        <v>outDecemberBeban</v>
      </c>
      <c r="R1036" s="34" t="str">
        <f t="shared" si="786"/>
        <v>Beban</v>
      </c>
      <c r="S1036" s="34" t="str">
        <f t="shared" si="787"/>
        <v>Kas</v>
      </c>
      <c r="T1036" s="34" t="str">
        <f t="shared" si="788"/>
        <v/>
      </c>
      <c r="U1036" s="34" t="str">
        <f>IF(AND(L1036=1,bp_kode=T1036,T1036&lt;&gt;""),COUNTIF($T$8:T1036,T1036),"")</f>
        <v/>
      </c>
      <c r="V1036" s="34" t="str">
        <f t="shared" si="789"/>
        <v>db</v>
      </c>
      <c r="W1036" s="34" t="str">
        <f t="shared" si="790"/>
        <v>db</v>
      </c>
      <c r="X1036" s="34" t="str">
        <f>IF(B1036="","",COUNTIF($C$8:C1036,C1036)&amp;C1036)</f>
        <v>0</v>
      </c>
    </row>
    <row r="1037" spans="2:24" ht="23.1" customHeight="1">
      <c r="B1037" s="31">
        <v>44926</v>
      </c>
      <c r="C1037" s="9"/>
      <c r="D1037" s="9" t="s">
        <v>648</v>
      </c>
      <c r="E1037" s="7"/>
      <c r="F1037" s="7"/>
      <c r="G1037" s="7"/>
      <c r="H1037" s="7" t="s">
        <v>632</v>
      </c>
      <c r="I1037" s="7" t="s">
        <v>582</v>
      </c>
      <c r="J1037" s="39">
        <v>175000</v>
      </c>
      <c r="L1037" s="16">
        <f t="shared" si="781"/>
        <v>1</v>
      </c>
      <c r="M1037" s="16" t="str">
        <f t="shared" si="782"/>
        <v>December</v>
      </c>
      <c r="N1037" s="16" t="str">
        <f t="shared" si="783"/>
        <v/>
      </c>
      <c r="O1037" s="16" t="str">
        <f>IF(N1037="","",COUNTIF($N$8:N1037,N1037))</f>
        <v/>
      </c>
      <c r="P1037" s="34" t="str">
        <f t="shared" si="784"/>
        <v>outBeban</v>
      </c>
      <c r="Q1037" s="34" t="str">
        <f t="shared" si="785"/>
        <v>outDecemberBeban</v>
      </c>
      <c r="R1037" s="34" t="str">
        <f t="shared" si="786"/>
        <v>Beban</v>
      </c>
      <c r="S1037" s="34" t="str">
        <f t="shared" si="787"/>
        <v>Kas</v>
      </c>
      <c r="T1037" s="34" t="str">
        <f t="shared" si="788"/>
        <v/>
      </c>
      <c r="U1037" s="34" t="str">
        <f>IF(AND(L1037=1,bp_kode=T1037,T1037&lt;&gt;""),COUNTIF($T$8:T1037,T1037),"")</f>
        <v/>
      </c>
      <c r="V1037" s="34" t="str">
        <f t="shared" si="789"/>
        <v>db</v>
      </c>
      <c r="W1037" s="34" t="str">
        <f t="shared" si="790"/>
        <v>db</v>
      </c>
      <c r="X1037" s="34" t="str">
        <f>IF(B1037="","",COUNTIF($C$8:C1037,C1037)&amp;C1037)</f>
        <v>0</v>
      </c>
    </row>
    <row r="1038" spans="2:24" ht="23.1" customHeight="1">
      <c r="B1038" s="31">
        <v>44926</v>
      </c>
      <c r="C1038" s="9"/>
      <c r="D1038" s="9" t="s">
        <v>649</v>
      </c>
      <c r="E1038" s="7"/>
      <c r="F1038" s="7"/>
      <c r="G1038" s="7"/>
      <c r="H1038" s="7" t="s">
        <v>633</v>
      </c>
      <c r="I1038" s="7" t="s">
        <v>582</v>
      </c>
      <c r="J1038" s="39">
        <v>2069611</v>
      </c>
      <c r="L1038" s="16">
        <f t="shared" si="781"/>
        <v>1</v>
      </c>
      <c r="M1038" s="16" t="str">
        <f t="shared" si="782"/>
        <v>December</v>
      </c>
      <c r="N1038" s="16" t="str">
        <f t="shared" si="783"/>
        <v/>
      </c>
      <c r="O1038" s="16" t="str">
        <f>IF(N1038="","",COUNTIF($N$8:N1038,N1038))</f>
        <v/>
      </c>
      <c r="P1038" s="34" t="str">
        <f t="shared" si="784"/>
        <v>outBeban</v>
      </c>
      <c r="Q1038" s="34" t="str">
        <f t="shared" si="785"/>
        <v>outDecemberBeban</v>
      </c>
      <c r="R1038" s="34" t="str">
        <f t="shared" si="786"/>
        <v>Beban</v>
      </c>
      <c r="S1038" s="34" t="str">
        <f t="shared" si="787"/>
        <v>Kas</v>
      </c>
      <c r="T1038" s="34" t="str">
        <f t="shared" si="788"/>
        <v/>
      </c>
      <c r="U1038" s="34" t="str">
        <f>IF(AND(L1038=1,bp_kode=T1038,T1038&lt;&gt;""),COUNTIF($T$8:T1038,T1038),"")</f>
        <v/>
      </c>
      <c r="V1038" s="34" t="str">
        <f t="shared" si="789"/>
        <v>db</v>
      </c>
      <c r="W1038" s="34" t="str">
        <f t="shared" si="790"/>
        <v>db</v>
      </c>
      <c r="X1038" s="34" t="str">
        <f>IF(B1038="","",COUNTIF($C$8:C1038,C1038)&amp;C1038)</f>
        <v>0</v>
      </c>
    </row>
    <row r="1039" spans="2:24" ht="23.1" customHeight="1">
      <c r="B1039" s="31">
        <v>44926</v>
      </c>
      <c r="C1039" s="9"/>
      <c r="D1039" s="9" t="s">
        <v>650</v>
      </c>
      <c r="E1039" s="7"/>
      <c r="F1039" s="7"/>
      <c r="G1039" s="7"/>
      <c r="H1039" s="7" t="s">
        <v>634</v>
      </c>
      <c r="I1039" s="7" t="s">
        <v>582</v>
      </c>
      <c r="J1039" s="39">
        <v>5831791</v>
      </c>
      <c r="L1039" s="16">
        <f t="shared" si="781"/>
        <v>1</v>
      </c>
      <c r="M1039" s="16" t="str">
        <f t="shared" si="782"/>
        <v>December</v>
      </c>
      <c r="N1039" s="16" t="str">
        <f t="shared" si="783"/>
        <v/>
      </c>
      <c r="O1039" s="16" t="str">
        <f>IF(N1039="","",COUNTIF($N$8:N1039,N1039))</f>
        <v/>
      </c>
      <c r="P1039" s="34" t="str">
        <f t="shared" si="784"/>
        <v>outBeban</v>
      </c>
      <c r="Q1039" s="34" t="str">
        <f t="shared" si="785"/>
        <v>outDecemberBeban</v>
      </c>
      <c r="R1039" s="34" t="str">
        <f t="shared" si="786"/>
        <v>Beban</v>
      </c>
      <c r="S1039" s="34" t="str">
        <f t="shared" si="787"/>
        <v>Kas</v>
      </c>
      <c r="T1039" s="34" t="str">
        <f t="shared" si="788"/>
        <v/>
      </c>
      <c r="U1039" s="34" t="str">
        <f>IF(AND(L1039=1,bp_kode=T1039,T1039&lt;&gt;""),COUNTIF($T$8:T1039,T1039),"")</f>
        <v/>
      </c>
      <c r="V1039" s="34" t="str">
        <f t="shared" si="789"/>
        <v>db</v>
      </c>
      <c r="W1039" s="34" t="str">
        <f t="shared" si="790"/>
        <v>db</v>
      </c>
      <c r="X1039" s="34" t="str">
        <f>IF(B1039="","",COUNTIF($C$8:C1039,C1039)&amp;C1039)</f>
        <v>0</v>
      </c>
    </row>
    <row r="1040" spans="2:24" ht="23.1" customHeight="1">
      <c r="B1040" s="31">
        <v>44926</v>
      </c>
      <c r="C1040" s="9"/>
      <c r="D1040" s="9" t="s">
        <v>651</v>
      </c>
      <c r="E1040" s="7"/>
      <c r="F1040" s="7"/>
      <c r="G1040" s="7"/>
      <c r="H1040" s="7" t="s">
        <v>635</v>
      </c>
      <c r="I1040" s="7" t="s">
        <v>582</v>
      </c>
      <c r="J1040" s="39">
        <v>742100</v>
      </c>
      <c r="L1040" s="16">
        <f t="shared" si="781"/>
        <v>1</v>
      </c>
      <c r="M1040" s="16" t="str">
        <f t="shared" si="782"/>
        <v>December</v>
      </c>
      <c r="N1040" s="16" t="str">
        <f t="shared" si="783"/>
        <v/>
      </c>
      <c r="O1040" s="16" t="str">
        <f>IF(N1040="","",COUNTIF($N$8:N1040,N1040))</f>
        <v/>
      </c>
      <c r="P1040" s="34" t="str">
        <f t="shared" si="784"/>
        <v>outBeban</v>
      </c>
      <c r="Q1040" s="34" t="str">
        <f t="shared" si="785"/>
        <v>outDecemberBeban</v>
      </c>
      <c r="R1040" s="34" t="str">
        <f t="shared" si="786"/>
        <v>Beban</v>
      </c>
      <c r="S1040" s="34" t="str">
        <f t="shared" si="787"/>
        <v>Kas</v>
      </c>
      <c r="T1040" s="34" t="str">
        <f t="shared" si="788"/>
        <v/>
      </c>
      <c r="U1040" s="34" t="str">
        <f>IF(AND(L1040=1,bp_kode=T1040,T1040&lt;&gt;""),COUNTIF($T$8:T1040,T1040),"")</f>
        <v/>
      </c>
      <c r="V1040" s="34" t="str">
        <f t="shared" si="789"/>
        <v>db</v>
      </c>
      <c r="W1040" s="34" t="str">
        <f t="shared" si="790"/>
        <v>db</v>
      </c>
      <c r="X1040" s="34" t="str">
        <f>IF(B1040="","",COUNTIF($C$8:C1040,C1040)&amp;C1040)</f>
        <v>0</v>
      </c>
    </row>
    <row r="1041" spans="2:24" ht="23.1" customHeight="1">
      <c r="B1041" s="31">
        <v>44926</v>
      </c>
      <c r="C1041" s="9"/>
      <c r="D1041" s="9" t="s">
        <v>652</v>
      </c>
      <c r="E1041" s="7"/>
      <c r="F1041" s="7"/>
      <c r="G1041" s="7"/>
      <c r="H1041" s="7" t="s">
        <v>636</v>
      </c>
      <c r="I1041" s="7" t="s">
        <v>582</v>
      </c>
      <c r="J1041" s="39">
        <v>4888330</v>
      </c>
      <c r="L1041" s="16">
        <f t="shared" si="781"/>
        <v>1</v>
      </c>
      <c r="M1041" s="16" t="str">
        <f t="shared" si="782"/>
        <v>December</v>
      </c>
      <c r="N1041" s="16" t="str">
        <f t="shared" si="783"/>
        <v/>
      </c>
      <c r="O1041" s="16" t="str">
        <f>IF(N1041="","",COUNTIF($N$8:N1041,N1041))</f>
        <v/>
      </c>
      <c r="P1041" s="34" t="str">
        <f t="shared" si="784"/>
        <v>outBeban</v>
      </c>
      <c r="Q1041" s="34" t="str">
        <f t="shared" si="785"/>
        <v>outDecemberBeban</v>
      </c>
      <c r="R1041" s="34" t="str">
        <f t="shared" si="786"/>
        <v>Beban</v>
      </c>
      <c r="S1041" s="34" t="str">
        <f t="shared" si="787"/>
        <v>Kas</v>
      </c>
      <c r="T1041" s="34" t="str">
        <f t="shared" si="788"/>
        <v/>
      </c>
      <c r="U1041" s="34" t="str">
        <f>IF(AND(L1041=1,bp_kode=T1041,T1041&lt;&gt;""),COUNTIF($T$8:T1041,T1041),"")</f>
        <v/>
      </c>
      <c r="V1041" s="34" t="str">
        <f t="shared" si="789"/>
        <v>db</v>
      </c>
      <c r="W1041" s="34" t="str">
        <f t="shared" si="790"/>
        <v>db</v>
      </c>
      <c r="X1041" s="34" t="str">
        <f>IF(B1041="","",COUNTIF($C$8:C1041,C1041)&amp;C1041)</f>
        <v>0</v>
      </c>
    </row>
    <row r="1042" spans="2:24" ht="23.1" customHeight="1">
      <c r="B1042" s="31">
        <v>44926</v>
      </c>
      <c r="C1042" s="9"/>
      <c r="D1042" s="9" t="s">
        <v>653</v>
      </c>
      <c r="E1042" s="7"/>
      <c r="F1042" s="7"/>
      <c r="G1042" s="7"/>
      <c r="H1042" s="7" t="s">
        <v>637</v>
      </c>
      <c r="I1042" s="7" t="s">
        <v>582</v>
      </c>
      <c r="J1042" s="39">
        <v>1205300</v>
      </c>
      <c r="L1042" s="16">
        <f t="shared" si="781"/>
        <v>1</v>
      </c>
      <c r="M1042" s="16" t="str">
        <f t="shared" si="782"/>
        <v>December</v>
      </c>
      <c r="N1042" s="16" t="str">
        <f t="shared" si="783"/>
        <v/>
      </c>
      <c r="O1042" s="16" t="str">
        <f>IF(N1042="","",COUNTIF($N$8:N1042,N1042))</f>
        <v/>
      </c>
      <c r="P1042" s="34" t="str">
        <f t="shared" si="784"/>
        <v>outBeban</v>
      </c>
      <c r="Q1042" s="34" t="str">
        <f t="shared" si="785"/>
        <v>outDecemberBeban</v>
      </c>
      <c r="R1042" s="34" t="str">
        <f t="shared" si="786"/>
        <v>Beban</v>
      </c>
      <c r="S1042" s="34" t="str">
        <f t="shared" si="787"/>
        <v>Kas</v>
      </c>
      <c r="T1042" s="34" t="str">
        <f t="shared" si="788"/>
        <v/>
      </c>
      <c r="U1042" s="34" t="str">
        <f>IF(AND(L1042=1,bp_kode=T1042,T1042&lt;&gt;""),COUNTIF($T$8:T1042,T1042),"")</f>
        <v/>
      </c>
      <c r="V1042" s="34" t="str">
        <f t="shared" si="789"/>
        <v>db</v>
      </c>
      <c r="W1042" s="34" t="str">
        <f t="shared" si="790"/>
        <v>db</v>
      </c>
      <c r="X1042" s="34" t="str">
        <f>IF(B1042="","",COUNTIF($C$8:C1042,C1042)&amp;C1042)</f>
        <v>0</v>
      </c>
    </row>
    <row r="1043" spans="2:24" ht="23.1" customHeight="1">
      <c r="B1043" s="31">
        <v>44926</v>
      </c>
      <c r="C1043" s="9"/>
      <c r="D1043" s="9" t="s">
        <v>750</v>
      </c>
      <c r="E1043" s="7"/>
      <c r="F1043" s="7"/>
      <c r="G1043" s="7"/>
      <c r="H1043" s="7" t="s">
        <v>749</v>
      </c>
      <c r="I1043" s="7" t="s">
        <v>582</v>
      </c>
      <c r="J1043" s="39">
        <v>11860000</v>
      </c>
      <c r="L1043" s="16">
        <f t="shared" si="781"/>
        <v>1</v>
      </c>
      <c r="M1043" s="16" t="str">
        <f t="shared" si="782"/>
        <v>December</v>
      </c>
      <c r="N1043" s="16" t="str">
        <f t="shared" si="783"/>
        <v/>
      </c>
      <c r="O1043" s="16" t="str">
        <f>IF(N1043="","",COUNTIF($N$8:N1043,N1043))</f>
        <v/>
      </c>
      <c r="P1043" s="34" t="str">
        <f t="shared" si="784"/>
        <v>outBeban</v>
      </c>
      <c r="Q1043" s="34" t="str">
        <f t="shared" si="785"/>
        <v>outDecemberBeban</v>
      </c>
      <c r="R1043" s="34" t="str">
        <f t="shared" si="786"/>
        <v>Beban</v>
      </c>
      <c r="S1043" s="34" t="str">
        <f t="shared" si="787"/>
        <v>Kas</v>
      </c>
      <c r="T1043" s="34" t="str">
        <f t="shared" si="788"/>
        <v/>
      </c>
      <c r="U1043" s="34" t="str">
        <f>IF(AND(L1043=1,bp_kode=T1043,T1043&lt;&gt;""),COUNTIF($T$8:T1043,T1043),"")</f>
        <v/>
      </c>
      <c r="V1043" s="34" t="str">
        <f t="shared" si="789"/>
        <v>db</v>
      </c>
      <c r="W1043" s="34" t="str">
        <f t="shared" si="790"/>
        <v>db</v>
      </c>
      <c r="X1043" s="34" t="str">
        <f>IF(B1043="","",COUNTIF($C$8:C1043,C1043)&amp;C1043)</f>
        <v>0</v>
      </c>
    </row>
    <row r="1044" spans="2:24" ht="23.1" customHeight="1">
      <c r="B1044" s="31">
        <v>44926</v>
      </c>
      <c r="C1044" s="9"/>
      <c r="D1044" s="9" t="s">
        <v>655</v>
      </c>
      <c r="E1044" s="7"/>
      <c r="F1044" s="7"/>
      <c r="G1044" s="7"/>
      <c r="H1044" s="7" t="s">
        <v>639</v>
      </c>
      <c r="I1044" s="7" t="s">
        <v>582</v>
      </c>
      <c r="J1044" s="39">
        <v>32582004</v>
      </c>
      <c r="L1044" s="16">
        <f t="shared" si="781"/>
        <v>1</v>
      </c>
      <c r="M1044" s="16" t="str">
        <f t="shared" si="782"/>
        <v>December</v>
      </c>
      <c r="N1044" s="16" t="str">
        <f t="shared" si="783"/>
        <v/>
      </c>
      <c r="O1044" s="16" t="str">
        <f>IF(N1044="","",COUNTIF($N$8:N1044,N1044))</f>
        <v/>
      </c>
      <c r="P1044" s="34" t="str">
        <f t="shared" si="784"/>
        <v>outBeban</v>
      </c>
      <c r="Q1044" s="34" t="str">
        <f t="shared" si="785"/>
        <v>outDecemberBeban</v>
      </c>
      <c r="R1044" s="34" t="str">
        <f t="shared" si="786"/>
        <v>Beban</v>
      </c>
      <c r="S1044" s="34" t="str">
        <f t="shared" si="787"/>
        <v>Kas</v>
      </c>
      <c r="T1044" s="34" t="str">
        <f t="shared" si="788"/>
        <v/>
      </c>
      <c r="U1044" s="34" t="str">
        <f>IF(AND(L1044=1,bp_kode=T1044,T1044&lt;&gt;""),COUNTIF($T$8:T1044,T1044),"")</f>
        <v/>
      </c>
      <c r="V1044" s="34" t="str">
        <f t="shared" si="789"/>
        <v>db</v>
      </c>
      <c r="W1044" s="34" t="str">
        <f t="shared" si="790"/>
        <v>db</v>
      </c>
      <c r="X1044" s="34" t="str">
        <f>IF(B1044="","",COUNTIF($C$8:C1044,C1044)&amp;C1044)</f>
        <v>0</v>
      </c>
    </row>
    <row r="1045" spans="2:24" ht="23.1" customHeight="1">
      <c r="B1045" s="31">
        <v>44926</v>
      </c>
      <c r="C1045" s="9"/>
      <c r="D1045" s="9" t="s">
        <v>720</v>
      </c>
      <c r="E1045" s="7"/>
      <c r="F1045" s="7"/>
      <c r="G1045" s="7"/>
      <c r="H1045" s="7" t="s">
        <v>825</v>
      </c>
      <c r="I1045" s="7" t="s">
        <v>582</v>
      </c>
      <c r="J1045" s="39">
        <v>31364000</v>
      </c>
      <c r="L1045" s="16">
        <f t="shared" ref="L1045" si="791">IF(AND(B1045&gt;=awal,B1045&lt;=akhir,B1045&lt;&gt;""),1,IF(AND(B1045&lt;&gt;"",B1045&lt;awal),2,""))</f>
        <v>1</v>
      </c>
      <c r="M1045" s="16" t="str">
        <f t="shared" ref="M1045" si="792">IF(B1045="","",TEXT(B1045,"mmmm"))</f>
        <v>December</v>
      </c>
      <c r="N1045" s="16" t="str">
        <f t="shared" ref="N1045" si="793">IF(AND(L1045=1,H1045=bb_akun),"Awe",IF(AND(L1045=1,I1045=bb_akun),"Awe",""))</f>
        <v/>
      </c>
      <c r="O1045" s="16" t="str">
        <f>IF(N1045="","",COUNTIF($N$8:N1045,N1045))</f>
        <v/>
      </c>
      <c r="P1045" s="34" t="str">
        <f t="shared" ref="P1045" si="794">IFERROR(IF(OR(INDEX(akun_type,MATCH(H1045,akun_kb,0))="Kas",INDEX(akun_type,MATCH(H1045,akun_kb,0))="Bank"),"In"&amp;INDEX(akun_type,MATCH(I1045,akun_kb,0)),IF(OR(INDEX(akun_type,MATCH(I1045,akun_kb,0))="Kas",INDEX(akun_type,MATCH(I1045,akun_kb,0))="Bank"),"out"&amp;INDEX(akun_type,MATCH(H1045,akun_kb,0)),"")),"")</f>
        <v>outBeban</v>
      </c>
      <c r="Q1045" s="34" t="str">
        <f t="shared" ref="Q1045" si="795">IFERROR(IF(OR(INDEX(akun_type,MATCH(H1045,akun_kb,0))="Kas",INDEX(akun_type,MATCH(H1045,akun_kb,0))="Bank"),"in"&amp;TEXT(B1045,"mmmm")&amp;INDEX(akun_type,MATCH(I1045,akun_kb,0)),IF(OR(INDEX(akun_type,MATCH(I1045,akun_kb,0))="Kas",INDEX(akun_type,MATCH(I1045,akun_kb,0))="Bank"),"out"&amp;TEXT(B1045,"mmmm")&amp;INDEX(akun_type,MATCH(H1045,akun_kb,0)),"")),"")</f>
        <v>outDecemberBeban</v>
      </c>
      <c r="R1045" s="34" t="str">
        <f t="shared" ref="R1045" si="796">IFERROR(INDEX(akun_type,MATCH(H1045,akun_kb,0)),"")</f>
        <v>Beban</v>
      </c>
      <c r="S1045" s="34" t="str">
        <f t="shared" ref="S1045" si="797">IFERROR(INDEX(akun_type,MATCH(I1045,akun_kb,0)),"")</f>
        <v>Kas</v>
      </c>
      <c r="T1045" s="34" t="str">
        <f t="shared" ref="T1045" si="798">IF(AND(L1045=1,OR(R1045="Akun Piutang",R1045="akun hutang",S1045="akun piutang",S1045="akun hutang")),E1045,"")</f>
        <v/>
      </c>
      <c r="U1045" s="34" t="str">
        <f>IF(AND(L1045=1,bp_kode=T1045,T1045&lt;&gt;""),COUNTIF($T$8:T1045,T1045),"")</f>
        <v/>
      </c>
      <c r="V1045" s="34" t="str">
        <f t="shared" ref="V1045" si="799">IF(OR(R1045="Pendapatan",R1045="Pendapatan Lainnya",R1045="Beban",R1045="Harga Pokok Penjualan",R1045="Beban Lainnya"),"db"&amp;F1045,IF(OR(S1045="Pendapatan",S1045="Pendapatan Lainnya",S1045="Beban",S1045="Harga Pokok Penjualan",S1045="Beban Lainnya"),"kr"&amp;F1045,""))</f>
        <v>db</v>
      </c>
      <c r="W1045" s="34" t="str">
        <f t="shared" ref="W1045" si="800">IF(OR(R1045="Pendapatan",R1045="Pendapatan Lainnya",R1045="Beban",R1045="Harga Pokok Penjualan",R1045="Beban Lainnya"),"db"&amp;G1045,IF(OR(S1045="Pendapatan",S1045="Pendapatan Lainnya",S1045="Beban",S1045="Harga Pokok Penjualan",S1045="Beban Lainnya"),"kr"&amp;G1045,""))</f>
        <v>db</v>
      </c>
      <c r="X1045" s="34" t="str">
        <f>IF(B1045="","",COUNTIF($C$8:C1045,C1045)&amp;C1045)</f>
        <v>0</v>
      </c>
    </row>
    <row r="1046" spans="2:24" ht="23.1" customHeight="1">
      <c r="B1046" s="31">
        <v>44926</v>
      </c>
      <c r="C1046" s="9"/>
      <c r="D1046" s="9" t="s">
        <v>720</v>
      </c>
      <c r="E1046" s="7"/>
      <c r="F1046" s="7"/>
      <c r="G1046" s="7"/>
      <c r="H1046" s="7" t="s">
        <v>719</v>
      </c>
      <c r="I1046" s="7" t="s">
        <v>582</v>
      </c>
      <c r="J1046" s="39">
        <v>200000</v>
      </c>
      <c r="L1046" s="16">
        <f t="shared" si="781"/>
        <v>1</v>
      </c>
      <c r="M1046" s="16" t="str">
        <f t="shared" si="782"/>
        <v>December</v>
      </c>
      <c r="N1046" s="16" t="str">
        <f t="shared" si="783"/>
        <v/>
      </c>
      <c r="O1046" s="16" t="str">
        <f>IF(N1046="","",COUNTIF($N$8:N1046,N1046))</f>
        <v/>
      </c>
      <c r="P1046" s="34" t="str">
        <f t="shared" si="784"/>
        <v>outBeban</v>
      </c>
      <c r="Q1046" s="34" t="str">
        <f t="shared" si="785"/>
        <v>outDecemberBeban</v>
      </c>
      <c r="R1046" s="34" t="str">
        <f t="shared" si="786"/>
        <v>Beban</v>
      </c>
      <c r="S1046" s="34" t="str">
        <f t="shared" si="787"/>
        <v>Kas</v>
      </c>
      <c r="T1046" s="34" t="str">
        <f t="shared" si="788"/>
        <v/>
      </c>
      <c r="U1046" s="34" t="str">
        <f>IF(AND(L1046=1,bp_kode=T1046,T1046&lt;&gt;""),COUNTIF($T$8:T1046,T1046),"")</f>
        <v/>
      </c>
      <c r="V1046" s="34" t="str">
        <f t="shared" si="789"/>
        <v>db</v>
      </c>
      <c r="W1046" s="34" t="str">
        <f t="shared" si="790"/>
        <v>db</v>
      </c>
      <c r="X1046" s="34" t="str">
        <f>IF(B1046="","",COUNTIF($C$8:C1046,C1046)&amp;C1046)</f>
        <v>0</v>
      </c>
    </row>
    <row r="1047" spans="2:24" ht="23.1" customHeight="1">
      <c r="B1047" s="31">
        <v>44926</v>
      </c>
      <c r="C1047" s="9"/>
      <c r="D1047" s="9" t="s">
        <v>768</v>
      </c>
      <c r="E1047" s="7"/>
      <c r="F1047" s="7"/>
      <c r="G1047" s="7"/>
      <c r="H1047" s="7" t="s">
        <v>767</v>
      </c>
      <c r="I1047" s="7" t="s">
        <v>582</v>
      </c>
      <c r="J1047" s="39">
        <v>2500000</v>
      </c>
      <c r="L1047" s="16">
        <f t="shared" si="781"/>
        <v>1</v>
      </c>
      <c r="M1047" s="16" t="str">
        <f t="shared" si="782"/>
        <v>December</v>
      </c>
      <c r="N1047" s="16" t="str">
        <f t="shared" si="783"/>
        <v/>
      </c>
      <c r="O1047" s="16" t="str">
        <f>IF(N1047="","",COUNTIF($N$8:N1047,N1047))</f>
        <v/>
      </c>
      <c r="P1047" s="34" t="str">
        <f t="shared" si="784"/>
        <v>outBeban</v>
      </c>
      <c r="Q1047" s="34" t="str">
        <f t="shared" si="785"/>
        <v>outDecemberBeban</v>
      </c>
      <c r="R1047" s="34" t="str">
        <f t="shared" si="786"/>
        <v>Beban</v>
      </c>
      <c r="S1047" s="34" t="str">
        <f t="shared" si="787"/>
        <v>Kas</v>
      </c>
      <c r="T1047" s="34" t="str">
        <f t="shared" si="788"/>
        <v/>
      </c>
      <c r="U1047" s="34" t="str">
        <f>IF(AND(L1047=1,bp_kode=T1047,T1047&lt;&gt;""),COUNTIF($T$8:T1047,T1047),"")</f>
        <v/>
      </c>
      <c r="V1047" s="34" t="str">
        <f t="shared" si="789"/>
        <v>db</v>
      </c>
      <c r="W1047" s="34" t="str">
        <f t="shared" si="790"/>
        <v>db</v>
      </c>
      <c r="X1047" s="34" t="str">
        <f>IF(B1047="","",COUNTIF($C$8:C1047,C1047)&amp;C1047)</f>
        <v>0</v>
      </c>
    </row>
    <row r="1048" spans="2:24" ht="23.1" customHeight="1">
      <c r="B1048" s="31">
        <v>44926</v>
      </c>
      <c r="C1048" s="9"/>
      <c r="D1048" s="9" t="s">
        <v>663</v>
      </c>
      <c r="E1048" s="7"/>
      <c r="F1048" s="7"/>
      <c r="G1048" s="7"/>
      <c r="H1048" s="7" t="s">
        <v>658</v>
      </c>
      <c r="I1048" s="7" t="s">
        <v>671</v>
      </c>
      <c r="J1048" s="39">
        <v>2806459</v>
      </c>
      <c r="L1048" s="16">
        <f t="shared" si="781"/>
        <v>1</v>
      </c>
      <c r="M1048" s="16" t="str">
        <f t="shared" si="782"/>
        <v>December</v>
      </c>
      <c r="N1048" s="16" t="str">
        <f t="shared" si="783"/>
        <v/>
      </c>
      <c r="O1048" s="16" t="str">
        <f>IF(N1048="","",COUNTIF($N$8:N1048,N1048))</f>
        <v/>
      </c>
      <c r="P1048" s="34" t="str">
        <f t="shared" si="784"/>
        <v/>
      </c>
      <c r="Q1048" s="34" t="str">
        <f t="shared" si="785"/>
        <v/>
      </c>
      <c r="R1048" s="34" t="str">
        <f t="shared" si="786"/>
        <v>Beban</v>
      </c>
      <c r="S1048" s="34" t="str">
        <f t="shared" si="787"/>
        <v>Depresiasi &amp; Amortisasi</v>
      </c>
      <c r="T1048" s="34" t="str">
        <f t="shared" si="788"/>
        <v/>
      </c>
      <c r="U1048" s="34" t="str">
        <f>IF(AND(L1048=1,bp_kode=T1048,T1048&lt;&gt;""),COUNTIF($T$8:T1048,T1048),"")</f>
        <v/>
      </c>
      <c r="V1048" s="34" t="str">
        <f t="shared" si="789"/>
        <v>db</v>
      </c>
      <c r="W1048" s="34" t="str">
        <f t="shared" si="790"/>
        <v>db</v>
      </c>
      <c r="X1048" s="34" t="str">
        <f>IF(B1048="","",COUNTIF($C$8:C1048,C1048)&amp;C1048)</f>
        <v>0</v>
      </c>
    </row>
    <row r="1049" spans="2:24" ht="23.1" customHeight="1">
      <c r="B1049" s="31">
        <v>44926</v>
      </c>
      <c r="C1049" s="9"/>
      <c r="D1049" s="9" t="s">
        <v>664</v>
      </c>
      <c r="E1049" s="7"/>
      <c r="F1049" s="7"/>
      <c r="G1049" s="7"/>
      <c r="H1049" s="7" t="s">
        <v>660</v>
      </c>
      <c r="I1049" s="7" t="s">
        <v>659</v>
      </c>
      <c r="J1049" s="39">
        <v>29031950</v>
      </c>
      <c r="L1049" s="16">
        <f t="shared" si="781"/>
        <v>1</v>
      </c>
      <c r="M1049" s="16" t="str">
        <f t="shared" si="782"/>
        <v>December</v>
      </c>
      <c r="N1049" s="16" t="str">
        <f t="shared" si="783"/>
        <v/>
      </c>
      <c r="O1049" s="16" t="str">
        <f>IF(N1049="","",COUNTIF($N$8:N1049,N1049))</f>
        <v/>
      </c>
      <c r="P1049" s="34" t="str">
        <f t="shared" si="784"/>
        <v/>
      </c>
      <c r="Q1049" s="34" t="str">
        <f t="shared" si="785"/>
        <v/>
      </c>
      <c r="R1049" s="34" t="str">
        <f t="shared" si="786"/>
        <v>Beban</v>
      </c>
      <c r="S1049" s="34" t="str">
        <f t="shared" si="787"/>
        <v>Depresiasi &amp; Amortisasi</v>
      </c>
      <c r="T1049" s="34" t="str">
        <f t="shared" si="788"/>
        <v/>
      </c>
      <c r="U1049" s="34" t="str">
        <f>IF(AND(L1049=1,bp_kode=T1049,T1049&lt;&gt;""),COUNTIF($T$8:T1049,T1049),"")</f>
        <v/>
      </c>
      <c r="V1049" s="34" t="str">
        <f t="shared" si="789"/>
        <v>db</v>
      </c>
      <c r="W1049" s="34" t="str">
        <f t="shared" si="790"/>
        <v>db</v>
      </c>
      <c r="X1049" s="34" t="str">
        <f>IF(B1049="","",COUNTIF($C$8:C1049,C1049)&amp;C1049)</f>
        <v>0</v>
      </c>
    </row>
    <row r="1050" spans="2:24" ht="23.1" customHeight="1">
      <c r="B1050" s="31">
        <v>44926</v>
      </c>
      <c r="C1050" s="9"/>
      <c r="D1050" s="9" t="s">
        <v>665</v>
      </c>
      <c r="E1050" s="7"/>
      <c r="F1050" s="7"/>
      <c r="G1050" s="7"/>
      <c r="H1050" s="7" t="s">
        <v>661</v>
      </c>
      <c r="I1050" s="7" t="s">
        <v>672</v>
      </c>
      <c r="J1050" s="39">
        <v>41666</v>
      </c>
      <c r="L1050" s="16">
        <f t="shared" si="781"/>
        <v>1</v>
      </c>
      <c r="M1050" s="16" t="str">
        <f t="shared" si="782"/>
        <v>December</v>
      </c>
      <c r="N1050" s="16" t="str">
        <f t="shared" si="783"/>
        <v/>
      </c>
      <c r="O1050" s="16" t="str">
        <f>IF(N1050="","",COUNTIF($N$8:N1050,N1050))</f>
        <v/>
      </c>
      <c r="P1050" s="34" t="str">
        <f t="shared" si="784"/>
        <v/>
      </c>
      <c r="Q1050" s="34" t="str">
        <f t="shared" si="785"/>
        <v/>
      </c>
      <c r="R1050" s="34" t="str">
        <f t="shared" si="786"/>
        <v>Beban</v>
      </c>
      <c r="S1050" s="34" t="str">
        <f t="shared" si="787"/>
        <v>Depresiasi &amp; Amortisasi</v>
      </c>
      <c r="T1050" s="34" t="str">
        <f t="shared" si="788"/>
        <v/>
      </c>
      <c r="U1050" s="34" t="str">
        <f>IF(AND(L1050=1,bp_kode=T1050,T1050&lt;&gt;""),COUNTIF($T$8:T1050,T1050),"")</f>
        <v/>
      </c>
      <c r="V1050" s="34" t="str">
        <f t="shared" si="789"/>
        <v>db</v>
      </c>
      <c r="W1050" s="34" t="str">
        <f t="shared" si="790"/>
        <v>db</v>
      </c>
      <c r="X1050" s="34" t="str">
        <f>IF(B1050="","",COUNTIF($C$8:C1050,C1050)&amp;C1050)</f>
        <v>0</v>
      </c>
    </row>
    <row r="1051" spans="2:24" ht="23.1" customHeight="1">
      <c r="B1051" s="31">
        <v>44926</v>
      </c>
      <c r="C1051" s="9"/>
      <c r="D1051" s="9" t="s">
        <v>666</v>
      </c>
      <c r="E1051" s="7"/>
      <c r="F1051" s="7"/>
      <c r="G1051" s="7"/>
      <c r="H1051" s="7" t="s">
        <v>662</v>
      </c>
      <c r="I1051" s="7" t="s">
        <v>673</v>
      </c>
      <c r="J1051" s="39">
        <v>5654493</v>
      </c>
      <c r="L1051" s="16">
        <f t="shared" si="781"/>
        <v>1</v>
      </c>
      <c r="M1051" s="16" t="str">
        <f t="shared" si="782"/>
        <v>December</v>
      </c>
      <c r="N1051" s="16" t="str">
        <f t="shared" si="783"/>
        <v/>
      </c>
      <c r="O1051" s="16" t="str">
        <f>IF(N1051="","",COUNTIF($N$8:N1051,N1051))</f>
        <v/>
      </c>
      <c r="P1051" s="34" t="str">
        <f t="shared" si="784"/>
        <v/>
      </c>
      <c r="Q1051" s="34" t="str">
        <f t="shared" si="785"/>
        <v/>
      </c>
      <c r="R1051" s="34" t="str">
        <f t="shared" si="786"/>
        <v>Beban</v>
      </c>
      <c r="S1051" s="34" t="str">
        <f t="shared" si="787"/>
        <v>Depresiasi &amp; Amortisasi</v>
      </c>
      <c r="T1051" s="34" t="str">
        <f t="shared" si="788"/>
        <v/>
      </c>
      <c r="U1051" s="34" t="str">
        <f>IF(AND(L1051=1,bp_kode=T1051,T1051&lt;&gt;""),COUNTIF($T$8:T1051,T1051),"")</f>
        <v/>
      </c>
      <c r="V1051" s="34" t="str">
        <f t="shared" si="789"/>
        <v>db</v>
      </c>
      <c r="W1051" s="34" t="str">
        <f t="shared" si="790"/>
        <v>db</v>
      </c>
      <c r="X1051" s="34" t="str">
        <f>IF(B1051="","",COUNTIF($C$8:C1051,C1051)&amp;C1051)</f>
        <v>0</v>
      </c>
    </row>
    <row r="1052" spans="2:24" ht="23.1" customHeight="1">
      <c r="B1052" s="31">
        <v>44926</v>
      </c>
      <c r="C1052" s="9"/>
      <c r="D1052" s="9" t="s">
        <v>669</v>
      </c>
      <c r="E1052" s="7"/>
      <c r="F1052" s="7"/>
      <c r="G1052" s="7"/>
      <c r="H1052" s="7" t="s">
        <v>667</v>
      </c>
      <c r="I1052" s="7" t="s">
        <v>674</v>
      </c>
      <c r="J1052" s="39">
        <v>17325231</v>
      </c>
      <c r="L1052" s="16">
        <f t="shared" si="781"/>
        <v>1</v>
      </c>
      <c r="M1052" s="16" t="str">
        <f t="shared" si="782"/>
        <v>December</v>
      </c>
      <c r="N1052" s="16" t="str">
        <f t="shared" si="783"/>
        <v/>
      </c>
      <c r="O1052" s="16" t="str">
        <f>IF(N1052="","",COUNTIF($N$8:N1052,N1052))</f>
        <v/>
      </c>
      <c r="P1052" s="34" t="str">
        <f t="shared" si="784"/>
        <v/>
      </c>
      <c r="Q1052" s="34" t="str">
        <f t="shared" si="785"/>
        <v/>
      </c>
      <c r="R1052" s="34" t="str">
        <f t="shared" si="786"/>
        <v>Beban</v>
      </c>
      <c r="S1052" s="34" t="str">
        <f t="shared" si="787"/>
        <v>Depresiasi &amp; Amortisasi</v>
      </c>
      <c r="T1052" s="34" t="str">
        <f t="shared" si="788"/>
        <v/>
      </c>
      <c r="U1052" s="34" t="str">
        <f>IF(AND(L1052=1,bp_kode=T1052,T1052&lt;&gt;""),COUNTIF($T$8:T1052,T1052),"")</f>
        <v/>
      </c>
      <c r="V1052" s="34" t="str">
        <f t="shared" si="789"/>
        <v>db</v>
      </c>
      <c r="W1052" s="34" t="str">
        <f t="shared" si="790"/>
        <v>db</v>
      </c>
      <c r="X1052" s="34" t="str">
        <f>IF(B1052="","",COUNTIF($C$8:C1052,C1052)&amp;C1052)</f>
        <v>0</v>
      </c>
    </row>
    <row r="1053" spans="2:24" ht="23.1" customHeight="1">
      <c r="B1053" s="31">
        <v>44926</v>
      </c>
      <c r="C1053" s="9"/>
      <c r="D1053" s="9" t="s">
        <v>670</v>
      </c>
      <c r="E1053" s="7"/>
      <c r="F1053" s="7"/>
      <c r="G1053" s="7"/>
      <c r="H1053" s="7" t="s">
        <v>668</v>
      </c>
      <c r="I1053" s="7" t="s">
        <v>675</v>
      </c>
      <c r="J1053" s="39">
        <v>5265000</v>
      </c>
      <c r="L1053" s="16">
        <f t="shared" si="781"/>
        <v>1</v>
      </c>
      <c r="M1053" s="16" t="str">
        <f t="shared" si="782"/>
        <v>December</v>
      </c>
      <c r="N1053" s="16" t="str">
        <f t="shared" si="783"/>
        <v/>
      </c>
      <c r="O1053" s="16" t="str">
        <f>IF(N1053="","",COUNTIF($N$8:N1053,N1053))</f>
        <v/>
      </c>
      <c r="P1053" s="34" t="str">
        <f t="shared" si="784"/>
        <v/>
      </c>
      <c r="Q1053" s="34" t="str">
        <f t="shared" si="785"/>
        <v/>
      </c>
      <c r="R1053" s="34" t="str">
        <f t="shared" si="786"/>
        <v>Beban</v>
      </c>
      <c r="S1053" s="34" t="str">
        <f t="shared" si="787"/>
        <v>Depresiasi &amp; Amortisasi</v>
      </c>
      <c r="T1053" s="34" t="str">
        <f t="shared" si="788"/>
        <v/>
      </c>
      <c r="U1053" s="34" t="str">
        <f>IF(AND(L1053=1,bp_kode=T1053,T1053&lt;&gt;""),COUNTIF($T$8:T1053,T1053),"")</f>
        <v/>
      </c>
      <c r="V1053" s="34" t="str">
        <f t="shared" si="789"/>
        <v>db</v>
      </c>
      <c r="W1053" s="34" t="str">
        <f t="shared" si="790"/>
        <v>db</v>
      </c>
      <c r="X1053" s="34" t="str">
        <f>IF(B1053="","",COUNTIF($C$8:C1053,C1053)&amp;C1053)</f>
        <v>0</v>
      </c>
    </row>
    <row r="1054" spans="2:24" ht="23.1" customHeight="1">
      <c r="B1054" s="31">
        <v>44926</v>
      </c>
      <c r="C1054" s="9"/>
      <c r="D1054" s="9" t="s">
        <v>670</v>
      </c>
      <c r="E1054" s="7"/>
      <c r="F1054" s="7"/>
      <c r="G1054" s="7"/>
      <c r="H1054" s="7" t="s">
        <v>668</v>
      </c>
      <c r="I1054" s="7" t="s">
        <v>675</v>
      </c>
      <c r="J1054" s="39">
        <v>186666.66666666666</v>
      </c>
      <c r="L1054" s="16">
        <f t="shared" si="781"/>
        <v>1</v>
      </c>
      <c r="M1054" s="16" t="str">
        <f t="shared" si="782"/>
        <v>December</v>
      </c>
      <c r="N1054" s="16" t="str">
        <f t="shared" si="783"/>
        <v/>
      </c>
      <c r="O1054" s="16" t="str">
        <f>IF(N1054="","",COUNTIF($N$8:N1054,N1054))</f>
        <v/>
      </c>
      <c r="P1054" s="34" t="str">
        <f t="shared" si="784"/>
        <v/>
      </c>
      <c r="Q1054" s="34" t="str">
        <f t="shared" si="785"/>
        <v/>
      </c>
      <c r="R1054" s="34" t="str">
        <f t="shared" si="786"/>
        <v>Beban</v>
      </c>
      <c r="S1054" s="34" t="str">
        <f t="shared" si="787"/>
        <v>Depresiasi &amp; Amortisasi</v>
      </c>
      <c r="T1054" s="34" t="str">
        <f t="shared" si="788"/>
        <v/>
      </c>
      <c r="U1054" s="34" t="str">
        <f>IF(AND(L1054=1,bp_kode=T1054,T1054&lt;&gt;""),COUNTIF($T$8:T1054,T1054),"")</f>
        <v/>
      </c>
      <c r="V1054" s="34" t="str">
        <f t="shared" si="789"/>
        <v>db</v>
      </c>
      <c r="W1054" s="34" t="str">
        <f t="shared" si="790"/>
        <v>db</v>
      </c>
      <c r="X1054" s="34" t="str">
        <f>IF(B1054="","",COUNTIF($C$8:C1054,C1054)&amp;C1054)</f>
        <v>0</v>
      </c>
    </row>
    <row r="1055" spans="2:24" ht="23.1" customHeight="1">
      <c r="B1055" s="31">
        <v>44926</v>
      </c>
      <c r="C1055" s="359"/>
      <c r="D1055" s="359" t="s">
        <v>666</v>
      </c>
      <c r="E1055" s="360"/>
      <c r="F1055" s="360"/>
      <c r="G1055" s="360"/>
      <c r="H1055" s="360" t="s">
        <v>662</v>
      </c>
      <c r="I1055" s="360" t="s">
        <v>673</v>
      </c>
      <c r="J1055" s="39">
        <v>1299316</v>
      </c>
      <c r="L1055" s="16">
        <f t="shared" si="781"/>
        <v>1</v>
      </c>
      <c r="M1055" s="16" t="str">
        <f t="shared" si="782"/>
        <v>December</v>
      </c>
      <c r="N1055" s="16" t="str">
        <f t="shared" si="783"/>
        <v/>
      </c>
      <c r="O1055" s="16" t="str">
        <f>IF(N1055="","",COUNTIF($N$8:N1055,N1055))</f>
        <v/>
      </c>
      <c r="P1055" s="34" t="str">
        <f t="shared" si="784"/>
        <v/>
      </c>
      <c r="Q1055" s="34" t="str">
        <f t="shared" si="785"/>
        <v/>
      </c>
      <c r="R1055" s="34" t="str">
        <f t="shared" si="786"/>
        <v>Beban</v>
      </c>
      <c r="S1055" s="34" t="str">
        <f t="shared" si="787"/>
        <v>Depresiasi &amp; Amortisasi</v>
      </c>
      <c r="T1055" s="34" t="str">
        <f t="shared" si="788"/>
        <v/>
      </c>
      <c r="U1055" s="34" t="str">
        <f>IF(AND(L1055=1,bp_kode=T1055,T1055&lt;&gt;""),COUNTIF($T$8:T1055,T1055),"")</f>
        <v/>
      </c>
      <c r="V1055" s="34" t="str">
        <f t="shared" si="789"/>
        <v>db</v>
      </c>
      <c r="W1055" s="34" t="str">
        <f t="shared" si="790"/>
        <v>db</v>
      </c>
      <c r="X1055" s="34" t="str">
        <f>IF(B1055="","",COUNTIF($C$8:C1055,C1055)&amp;C1055)</f>
        <v>0</v>
      </c>
    </row>
    <row r="1056" spans="2:24" ht="23.1" customHeight="1">
      <c r="B1056" s="31">
        <v>44926</v>
      </c>
      <c r="C1056" s="359"/>
      <c r="D1056" s="359" t="s">
        <v>826</v>
      </c>
      <c r="E1056" s="360"/>
      <c r="F1056" s="360"/>
      <c r="G1056" s="360"/>
      <c r="H1056" s="360" t="s">
        <v>677</v>
      </c>
      <c r="I1056" s="360" t="s">
        <v>582</v>
      </c>
      <c r="J1056" s="39">
        <v>4448947</v>
      </c>
      <c r="L1056" s="16">
        <f t="shared" si="781"/>
        <v>1</v>
      </c>
      <c r="M1056" s="16" t="str">
        <f t="shared" si="782"/>
        <v>December</v>
      </c>
      <c r="N1056" s="16" t="str">
        <f t="shared" si="783"/>
        <v/>
      </c>
      <c r="O1056" s="16" t="str">
        <f>IF(N1056="","",COUNTIF($N$8:N1056,N1056))</f>
        <v/>
      </c>
      <c r="P1056" s="34" t="str">
        <f t="shared" si="784"/>
        <v>outBeban</v>
      </c>
      <c r="Q1056" s="34" t="str">
        <f t="shared" si="785"/>
        <v>outDecemberBeban</v>
      </c>
      <c r="R1056" s="34" t="str">
        <f t="shared" si="786"/>
        <v>Beban</v>
      </c>
      <c r="S1056" s="34" t="str">
        <f t="shared" si="787"/>
        <v>Kas</v>
      </c>
      <c r="T1056" s="34" t="str">
        <f t="shared" si="788"/>
        <v/>
      </c>
      <c r="U1056" s="34" t="str">
        <f>IF(AND(L1056=1,bp_kode=T1056,T1056&lt;&gt;""),COUNTIF($T$8:T1056,T1056),"")</f>
        <v/>
      </c>
      <c r="V1056" s="34" t="str">
        <f t="shared" si="789"/>
        <v>db</v>
      </c>
      <c r="W1056" s="34" t="str">
        <f t="shared" si="790"/>
        <v>db</v>
      </c>
      <c r="X1056" s="34" t="str">
        <f>IF(B1056="","",COUNTIF($C$8:C1056,C1056)&amp;C1056)</f>
        <v>0</v>
      </c>
    </row>
    <row r="1057" spans="2:24" ht="23.1" customHeight="1">
      <c r="B1057" s="31">
        <v>44926</v>
      </c>
      <c r="C1057" s="9"/>
      <c r="D1057" s="9" t="s">
        <v>572</v>
      </c>
      <c r="E1057" s="7"/>
      <c r="F1057" s="7"/>
      <c r="G1057" s="7"/>
      <c r="H1057" s="7" t="s">
        <v>640</v>
      </c>
      <c r="I1057" s="7" t="s">
        <v>582</v>
      </c>
      <c r="J1057" s="39">
        <v>58000</v>
      </c>
      <c r="L1057" s="16">
        <f t="shared" ref="L1057" si="801">IF(AND(B1057&gt;=awal,B1057&lt;=akhir,B1057&lt;&gt;""),1,IF(AND(B1057&lt;&gt;"",B1057&lt;awal),2,""))</f>
        <v>1</v>
      </c>
      <c r="M1057" s="16" t="str">
        <f t="shared" ref="M1057" si="802">IF(B1057="","",TEXT(B1057,"mmmm"))</f>
        <v>December</v>
      </c>
      <c r="N1057" s="16" t="str">
        <f t="shared" ref="N1057" si="803">IF(AND(L1057=1,H1057=bb_akun),"Awe",IF(AND(L1057=1,I1057=bb_akun),"Awe",""))</f>
        <v/>
      </c>
      <c r="O1057" s="16" t="str">
        <f>IF(N1057="","",COUNTIF($N$8:N1057,N1057))</f>
        <v/>
      </c>
      <c r="P1057" s="34" t="str">
        <f t="shared" ref="P1057" si="804">IFERROR(IF(OR(INDEX(akun_type,MATCH(H1057,akun_kb,0))="Kas",INDEX(akun_type,MATCH(H1057,akun_kb,0))="Bank"),"In"&amp;INDEX(akun_type,MATCH(I1057,akun_kb,0)),IF(OR(INDEX(akun_type,MATCH(I1057,akun_kb,0))="Kas",INDEX(akun_type,MATCH(I1057,akun_kb,0))="Bank"),"out"&amp;INDEX(akun_type,MATCH(H1057,akun_kb,0)),"")),"")</f>
        <v>outBeban Lainnya</v>
      </c>
      <c r="Q1057" s="34" t="str">
        <f t="shared" ref="Q1057" si="805">IFERROR(IF(OR(INDEX(akun_type,MATCH(H1057,akun_kb,0))="Kas",INDEX(akun_type,MATCH(H1057,akun_kb,0))="Bank"),"in"&amp;TEXT(B1057,"mmmm")&amp;INDEX(akun_type,MATCH(I1057,akun_kb,0)),IF(OR(INDEX(akun_type,MATCH(I1057,akun_kb,0))="Kas",INDEX(akun_type,MATCH(I1057,akun_kb,0))="Bank"),"out"&amp;TEXT(B1057,"mmmm")&amp;INDEX(akun_type,MATCH(H1057,akun_kb,0)),"")),"")</f>
        <v>outDecemberBeban Lainnya</v>
      </c>
      <c r="R1057" s="34" t="str">
        <f t="shared" ref="R1057" si="806">IFERROR(INDEX(akun_type,MATCH(H1057,akun_kb,0)),"")</f>
        <v>Beban Lainnya</v>
      </c>
      <c r="S1057" s="34" t="str">
        <f t="shared" ref="S1057" si="807">IFERROR(INDEX(akun_type,MATCH(I1057,akun_kb,0)),"")</f>
        <v>Kas</v>
      </c>
      <c r="T1057" s="34" t="str">
        <f t="shared" ref="T1057" si="808">IF(AND(L1057=1,OR(R1057="Akun Piutang",R1057="akun hutang",S1057="akun piutang",S1057="akun hutang")),E1057,"")</f>
        <v/>
      </c>
      <c r="U1057" s="34" t="str">
        <f>IF(AND(L1057=1,bp_kode=T1057,T1057&lt;&gt;""),COUNTIF($T$8:T1057,T1057),"")</f>
        <v/>
      </c>
      <c r="V1057" s="34" t="str">
        <f t="shared" si="789"/>
        <v>db</v>
      </c>
      <c r="W1057" s="34" t="str">
        <f t="shared" si="790"/>
        <v>db</v>
      </c>
      <c r="X1057" s="34" t="str">
        <f>IF(B1057="","",COUNTIF($C$8:C1057,C1057)&amp;C1057)</f>
        <v>0</v>
      </c>
    </row>
    <row r="1058" spans="2:24" ht="23.1" customHeight="1">
      <c r="B1058" s="31">
        <v>44926</v>
      </c>
      <c r="C1058" s="9"/>
      <c r="D1058" s="9" t="s">
        <v>829</v>
      </c>
      <c r="E1058" s="7"/>
      <c r="F1058" s="7"/>
      <c r="G1058" s="7"/>
      <c r="H1058" s="7" t="s">
        <v>832</v>
      </c>
      <c r="I1058" s="7" t="s">
        <v>834</v>
      </c>
      <c r="J1058" s="39">
        <v>510000000</v>
      </c>
      <c r="L1058" s="16">
        <f t="shared" si="781"/>
        <v>1</v>
      </c>
      <c r="M1058" s="16" t="str">
        <f t="shared" si="782"/>
        <v>December</v>
      </c>
      <c r="N1058" s="16" t="str">
        <f t="shared" si="783"/>
        <v/>
      </c>
      <c r="O1058" s="16" t="str">
        <f>IF(N1058="","",COUNTIF($N$8:N1058,N1058))</f>
        <v/>
      </c>
      <c r="P1058" s="34" t="str">
        <f t="shared" si="784"/>
        <v/>
      </c>
      <c r="Q1058" s="34" t="str">
        <f t="shared" si="785"/>
        <v/>
      </c>
      <c r="R1058" s="34" t="str">
        <f t="shared" si="786"/>
        <v>Beban</v>
      </c>
      <c r="S1058" s="34" t="str">
        <f t="shared" si="787"/>
        <v>Aktiva Lainnya</v>
      </c>
      <c r="T1058" s="34" t="str">
        <f t="shared" si="788"/>
        <v/>
      </c>
      <c r="U1058" s="34" t="str">
        <f>IF(AND(L1058=1,bp_kode=T1058,T1058&lt;&gt;""),COUNTIF($T$8:T1058,T1058),"")</f>
        <v/>
      </c>
      <c r="V1058" s="34" t="str">
        <f t="shared" si="789"/>
        <v>db</v>
      </c>
      <c r="W1058" s="34" t="str">
        <f t="shared" si="790"/>
        <v>db</v>
      </c>
      <c r="X1058" s="34" t="str">
        <f>IF(B1058="","",COUNTIF($C$8:C1058,C1058)&amp;C1058)</f>
        <v>0</v>
      </c>
    </row>
    <row r="1059" spans="2:24" ht="23.1" customHeight="1">
      <c r="B1059" s="31">
        <v>44926</v>
      </c>
      <c r="C1059" s="9"/>
      <c r="D1059" s="9" t="s">
        <v>829</v>
      </c>
      <c r="E1059" s="7"/>
      <c r="F1059" s="7"/>
      <c r="G1059" s="7"/>
      <c r="H1059" s="7" t="s">
        <v>833</v>
      </c>
      <c r="I1059" s="7" t="s">
        <v>597</v>
      </c>
      <c r="J1059" s="39"/>
      <c r="L1059" s="16">
        <f t="shared" si="781"/>
        <v>1</v>
      </c>
      <c r="M1059" s="16" t="str">
        <f t="shared" si="782"/>
        <v>December</v>
      </c>
      <c r="N1059" s="16" t="str">
        <f t="shared" si="783"/>
        <v/>
      </c>
      <c r="O1059" s="16" t="str">
        <f>IF(N1059="","",COUNTIF($N$8:N1059,N1059))</f>
        <v/>
      </c>
      <c r="P1059" s="34" t="str">
        <f t="shared" si="784"/>
        <v/>
      </c>
      <c r="Q1059" s="34" t="str">
        <f t="shared" si="785"/>
        <v/>
      </c>
      <c r="R1059" s="34" t="str">
        <f t="shared" si="786"/>
        <v>Beban</v>
      </c>
      <c r="S1059" s="34" t="str">
        <f t="shared" si="787"/>
        <v>Aktiva Lainnya</v>
      </c>
      <c r="T1059" s="34" t="str">
        <f t="shared" si="788"/>
        <v/>
      </c>
      <c r="U1059" s="34" t="str">
        <f>IF(AND(L1059=1,bp_kode=T1059,T1059&lt;&gt;""),COUNTIF($T$8:T1059,T1059),"")</f>
        <v/>
      </c>
      <c r="V1059" s="34" t="str">
        <f t="shared" si="789"/>
        <v>db</v>
      </c>
      <c r="W1059" s="34" t="str">
        <f t="shared" si="790"/>
        <v>db</v>
      </c>
      <c r="X1059" s="34" t="str">
        <f>IF(B1059="","",COUNTIF($C$8:C1059,C1059)&amp;C1059)</f>
        <v>0</v>
      </c>
    </row>
    <row r="1060" spans="2:24" ht="23.1" customHeight="1">
      <c r="B1060" s="31">
        <v>44923</v>
      </c>
      <c r="C1060" s="9"/>
      <c r="D1060" s="9"/>
      <c r="E1060" s="7"/>
      <c r="F1060" s="7"/>
      <c r="G1060" s="7"/>
      <c r="H1060" s="7" t="s">
        <v>577</v>
      </c>
      <c r="I1060" s="7" t="s">
        <v>822</v>
      </c>
      <c r="J1060" s="39">
        <v>7500000</v>
      </c>
      <c r="L1060" s="16">
        <f t="shared" si="781"/>
        <v>1</v>
      </c>
      <c r="M1060" s="16" t="str">
        <f t="shared" si="782"/>
        <v>December</v>
      </c>
      <c r="N1060" s="16" t="str">
        <f t="shared" si="783"/>
        <v/>
      </c>
      <c r="O1060" s="16" t="str">
        <f>IF(N1060="","",COUNTIF($N$8:N1060,N1060))</f>
        <v/>
      </c>
      <c r="P1060" s="34" t="str">
        <f t="shared" si="784"/>
        <v>InAkun Hutang</v>
      </c>
      <c r="Q1060" s="34" t="str">
        <f t="shared" si="785"/>
        <v>inDecemberAkun Hutang</v>
      </c>
      <c r="R1060" s="34" t="str">
        <f t="shared" si="786"/>
        <v>Bank</v>
      </c>
      <c r="S1060" s="34" t="str">
        <f t="shared" si="787"/>
        <v>Akun Hutang</v>
      </c>
      <c r="T1060" s="34">
        <f t="shared" si="788"/>
        <v>0</v>
      </c>
      <c r="U1060" s="34" t="str">
        <f>IF(AND(L1060=1,bp_kode=T1060,T1060&lt;&gt;""),COUNTIF($T$8:T1060,T1060),"")</f>
        <v/>
      </c>
      <c r="V1060" s="34" t="str">
        <f t="shared" si="789"/>
        <v/>
      </c>
      <c r="W1060" s="34" t="str">
        <f t="shared" si="790"/>
        <v/>
      </c>
      <c r="X1060" s="34" t="str">
        <f>IF(B1060="","",COUNTIF($C$8:C1060,C1060)&amp;C1060)</f>
        <v>0</v>
      </c>
    </row>
    <row r="1061" spans="2:24" ht="23.1" customHeight="1">
      <c r="B1061" s="31">
        <v>44923</v>
      </c>
      <c r="C1061" s="9"/>
      <c r="D1061" s="9"/>
      <c r="E1061" s="7"/>
      <c r="F1061" s="7"/>
      <c r="G1061" s="7"/>
      <c r="H1061" s="7" t="s">
        <v>822</v>
      </c>
      <c r="I1061" s="7" t="s">
        <v>582</v>
      </c>
      <c r="J1061" s="39">
        <v>7500000</v>
      </c>
      <c r="L1061" s="16">
        <f t="shared" si="781"/>
        <v>1</v>
      </c>
      <c r="M1061" s="16" t="str">
        <f t="shared" si="782"/>
        <v>December</v>
      </c>
      <c r="N1061" s="16" t="str">
        <f t="shared" si="783"/>
        <v/>
      </c>
      <c r="O1061" s="16" t="str">
        <f>IF(N1061="","",COUNTIF($N$8:N1061,N1061))</f>
        <v/>
      </c>
      <c r="P1061" s="34" t="str">
        <f t="shared" si="784"/>
        <v>outAkun Hutang</v>
      </c>
      <c r="Q1061" s="34" t="str">
        <f t="shared" si="785"/>
        <v>outDecemberAkun Hutang</v>
      </c>
      <c r="R1061" s="34" t="str">
        <f t="shared" si="786"/>
        <v>Akun Hutang</v>
      </c>
      <c r="S1061" s="34" t="str">
        <f t="shared" si="787"/>
        <v>Kas</v>
      </c>
      <c r="T1061" s="34">
        <f t="shared" si="788"/>
        <v>0</v>
      </c>
      <c r="U1061" s="34" t="str">
        <f>IF(AND(L1061=1,bp_kode=T1061,T1061&lt;&gt;""),COUNTIF($T$8:T1061,T1061),"")</f>
        <v/>
      </c>
      <c r="V1061" s="34" t="str">
        <f t="shared" si="789"/>
        <v/>
      </c>
      <c r="W1061" s="34" t="str">
        <f t="shared" si="790"/>
        <v/>
      </c>
      <c r="X1061" s="34" t="str">
        <f>IF(B1061="","",COUNTIF($C$8:C1061,C1061)&amp;C1061)</f>
        <v>0</v>
      </c>
    </row>
    <row r="1062" spans="2:24" ht="23.1" customHeight="1">
      <c r="B1062" s="31">
        <v>44923</v>
      </c>
      <c r="C1062" s="9"/>
      <c r="D1062" s="9" t="s">
        <v>837</v>
      </c>
      <c r="E1062" s="7"/>
      <c r="F1062" s="7"/>
      <c r="G1062" s="7"/>
      <c r="H1062" s="7" t="s">
        <v>828</v>
      </c>
      <c r="I1062" s="7" t="s">
        <v>838</v>
      </c>
      <c r="J1062" s="39">
        <v>79053446</v>
      </c>
      <c r="L1062" s="16">
        <f t="shared" si="781"/>
        <v>1</v>
      </c>
      <c r="M1062" s="16" t="str">
        <f t="shared" si="782"/>
        <v>December</v>
      </c>
      <c r="N1062" s="16" t="str">
        <f t="shared" si="783"/>
        <v/>
      </c>
      <c r="O1062" s="16" t="str">
        <f>IF(N1062="","",COUNTIF($N$8:N1062,N1062))</f>
        <v/>
      </c>
      <c r="P1062" s="34" t="str">
        <f t="shared" si="784"/>
        <v/>
      </c>
      <c r="Q1062" s="34" t="str">
        <f t="shared" si="785"/>
        <v/>
      </c>
      <c r="R1062" s="34" t="str">
        <f t="shared" si="786"/>
        <v>Kewajiban Lancar Lainnya</v>
      </c>
      <c r="S1062" s="34" t="str">
        <f t="shared" si="787"/>
        <v>Ekuitas</v>
      </c>
      <c r="T1062" s="34" t="str">
        <f t="shared" si="788"/>
        <v/>
      </c>
      <c r="U1062" s="34" t="str">
        <f>IF(AND(L1062=1,bp_kode=T1062,T1062&lt;&gt;""),COUNTIF($T$8:T1062,T1062),"")</f>
        <v/>
      </c>
      <c r="V1062" s="34" t="str">
        <f t="shared" si="789"/>
        <v/>
      </c>
      <c r="W1062" s="34" t="str">
        <f t="shared" si="790"/>
        <v/>
      </c>
      <c r="X1062" s="34" t="str">
        <f>IF(B1062="","",COUNTIF($C$8:C1062,C1062)&amp;C1062)</f>
        <v>0</v>
      </c>
    </row>
    <row r="1063" spans="2:24" ht="23.1" customHeight="1">
      <c r="B1063" s="31">
        <v>44926</v>
      </c>
      <c r="C1063" s="9"/>
      <c r="D1063" s="9" t="s">
        <v>824</v>
      </c>
      <c r="E1063" s="7"/>
      <c r="F1063" s="7"/>
      <c r="G1063" s="7"/>
      <c r="H1063" s="7" t="s">
        <v>843</v>
      </c>
      <c r="I1063" s="7" t="s">
        <v>582</v>
      </c>
      <c r="J1063" s="39">
        <v>146000000</v>
      </c>
      <c r="L1063" s="16">
        <f t="shared" si="781"/>
        <v>1</v>
      </c>
      <c r="M1063" s="16" t="str">
        <f t="shared" si="782"/>
        <v>December</v>
      </c>
      <c r="N1063" s="16" t="str">
        <f t="shared" si="783"/>
        <v/>
      </c>
      <c r="O1063" s="16" t="str">
        <f>IF(N1063="","",COUNTIF($N$8:N1063,N1063))</f>
        <v/>
      </c>
      <c r="P1063" s="34" t="str">
        <f t="shared" si="784"/>
        <v>outAktiva Tetap</v>
      </c>
      <c r="Q1063" s="34" t="str">
        <f t="shared" si="785"/>
        <v>outDecemberAktiva Tetap</v>
      </c>
      <c r="R1063" s="34" t="str">
        <f t="shared" si="786"/>
        <v>Aktiva Tetap</v>
      </c>
      <c r="S1063" s="34" t="str">
        <f t="shared" si="787"/>
        <v>Kas</v>
      </c>
      <c r="T1063" s="34" t="str">
        <f t="shared" si="788"/>
        <v/>
      </c>
      <c r="U1063" s="34" t="str">
        <f>IF(AND(L1063=1,bp_kode=T1063,T1063&lt;&gt;""),COUNTIF($T$8:T1063,T1063),"")</f>
        <v/>
      </c>
      <c r="V1063" s="34" t="str">
        <f t="shared" si="789"/>
        <v/>
      </c>
      <c r="W1063" s="34" t="str">
        <f t="shared" si="790"/>
        <v/>
      </c>
      <c r="X1063" s="34" t="str">
        <f>IF(B1063="","",COUNTIF($C$8:C1063,C1063)&amp;C1063)</f>
        <v>0</v>
      </c>
    </row>
    <row r="1064" spans="2:24" ht="23.1" customHeight="1">
      <c r="B1064" s="31">
        <v>44926</v>
      </c>
      <c r="C1064" s="9"/>
      <c r="D1064" s="9" t="s">
        <v>848</v>
      </c>
      <c r="E1064" s="7"/>
      <c r="F1064" s="7"/>
      <c r="G1064" s="7"/>
      <c r="H1064" s="7" t="s">
        <v>695</v>
      </c>
      <c r="I1064" s="7" t="s">
        <v>738</v>
      </c>
      <c r="J1064" s="39">
        <v>11959000</v>
      </c>
      <c r="L1064" s="16">
        <f t="shared" si="781"/>
        <v>1</v>
      </c>
      <c r="M1064" s="16" t="str">
        <f t="shared" si="782"/>
        <v>December</v>
      </c>
      <c r="N1064" s="16" t="str">
        <f t="shared" si="783"/>
        <v>Awe</v>
      </c>
      <c r="O1064" s="16">
        <f>IF(N1064="","",COUNTIF($N$8:N1064,N1064))</f>
        <v>14</v>
      </c>
      <c r="P1064" s="34" t="str">
        <f t="shared" si="784"/>
        <v/>
      </c>
      <c r="Q1064" s="34" t="str">
        <f t="shared" si="785"/>
        <v/>
      </c>
      <c r="R1064" s="34" t="str">
        <f t="shared" si="786"/>
        <v>Harga Pokok Penjualan</v>
      </c>
      <c r="S1064" s="34" t="str">
        <f t="shared" si="787"/>
        <v>Persediaan</v>
      </c>
      <c r="T1064" s="34" t="str">
        <f t="shared" si="788"/>
        <v/>
      </c>
      <c r="U1064" s="34" t="str">
        <f>IF(AND(L1064=1,bp_kode=T1064,T1064&lt;&gt;""),COUNTIF($T$8:T1064,T1064),"")</f>
        <v/>
      </c>
      <c r="V1064" s="34" t="str">
        <f t="shared" si="789"/>
        <v>db</v>
      </c>
      <c r="W1064" s="34" t="str">
        <f t="shared" si="790"/>
        <v>db</v>
      </c>
      <c r="X1064" s="34" t="str">
        <f>IF(B1064="","",COUNTIF($C$8:C1064,C1064)&amp;C1064)</f>
        <v>0</v>
      </c>
    </row>
    <row r="1065" spans="2:24" ht="23.1" customHeight="1">
      <c r="B1065" s="31">
        <v>44926</v>
      </c>
      <c r="C1065" s="9"/>
      <c r="D1065" s="9" t="s">
        <v>849</v>
      </c>
      <c r="E1065" s="7"/>
      <c r="F1065" s="7"/>
      <c r="G1065" s="7"/>
      <c r="H1065" s="7" t="s">
        <v>695</v>
      </c>
      <c r="I1065" s="7" t="s">
        <v>739</v>
      </c>
      <c r="J1065" s="39">
        <v>10364000</v>
      </c>
      <c r="L1065" s="16">
        <f t="shared" si="781"/>
        <v>1</v>
      </c>
      <c r="M1065" s="16" t="str">
        <f t="shared" si="782"/>
        <v>December</v>
      </c>
      <c r="N1065" s="16" t="str">
        <f t="shared" si="783"/>
        <v>Awe</v>
      </c>
      <c r="O1065" s="16">
        <f>IF(N1065="","",COUNTIF($N$8:N1065,N1065))</f>
        <v>15</v>
      </c>
      <c r="P1065" s="34" t="str">
        <f t="shared" si="784"/>
        <v/>
      </c>
      <c r="Q1065" s="34" t="str">
        <f t="shared" si="785"/>
        <v/>
      </c>
      <c r="R1065" s="34" t="str">
        <f t="shared" si="786"/>
        <v>Harga Pokok Penjualan</v>
      </c>
      <c r="S1065" s="34" t="str">
        <f t="shared" si="787"/>
        <v>Persediaan</v>
      </c>
      <c r="T1065" s="34" t="str">
        <f t="shared" si="788"/>
        <v/>
      </c>
      <c r="U1065" s="34" t="str">
        <f>IF(AND(L1065=1,bp_kode=T1065,T1065&lt;&gt;""),COUNTIF($T$8:T1065,T1065),"")</f>
        <v/>
      </c>
      <c r="V1065" s="34" t="str">
        <f t="shared" si="789"/>
        <v>db</v>
      </c>
      <c r="W1065" s="34" t="str">
        <f t="shared" si="790"/>
        <v>db</v>
      </c>
      <c r="X1065" s="34" t="str">
        <f>IF(B1065="","",COUNTIF($C$8:C1065,C1065)&amp;C1065)</f>
        <v>0</v>
      </c>
    </row>
    <row r="1066" spans="2:24" ht="23.1" customHeight="1">
      <c r="B1066" s="31">
        <v>44926</v>
      </c>
      <c r="C1066" s="9"/>
      <c r="D1066" s="9" t="s">
        <v>850</v>
      </c>
      <c r="E1066" s="7"/>
      <c r="F1066" s="7"/>
      <c r="G1066" s="7"/>
      <c r="H1066" s="7" t="s">
        <v>659</v>
      </c>
      <c r="I1066" s="7" t="s">
        <v>851</v>
      </c>
      <c r="J1066" s="39">
        <v>332389200</v>
      </c>
      <c r="L1066" s="16">
        <f t="shared" si="781"/>
        <v>1</v>
      </c>
      <c r="M1066" s="16" t="str">
        <f t="shared" si="782"/>
        <v>December</v>
      </c>
      <c r="N1066" s="16" t="str">
        <f t="shared" si="783"/>
        <v/>
      </c>
      <c r="O1066" s="16" t="str">
        <f>IF(N1066="","",COUNTIF($N$8:N1066,N1066))</f>
        <v/>
      </c>
      <c r="P1066" s="34" t="str">
        <f t="shared" si="784"/>
        <v/>
      </c>
      <c r="Q1066" s="34" t="str">
        <f t="shared" si="785"/>
        <v/>
      </c>
      <c r="R1066" s="34" t="str">
        <f t="shared" si="786"/>
        <v>Depresiasi &amp; Amortisasi</v>
      </c>
      <c r="S1066" s="34" t="str">
        <f t="shared" si="787"/>
        <v>Aktiva Tetap</v>
      </c>
      <c r="T1066" s="34" t="str">
        <f t="shared" si="788"/>
        <v/>
      </c>
      <c r="U1066" s="34" t="str">
        <f>IF(AND(L1066=1,bp_kode=T1066,T1066&lt;&gt;""),COUNTIF($T$8:T1066,T1066),"")</f>
        <v/>
      </c>
      <c r="V1066" s="34" t="str">
        <f t="shared" si="789"/>
        <v/>
      </c>
      <c r="W1066" s="34" t="str">
        <f t="shared" si="790"/>
        <v/>
      </c>
      <c r="X1066" s="34" t="str">
        <f>IF(B1066="","",COUNTIF($C$8:C1066,C1066)&amp;C1066)</f>
        <v>0</v>
      </c>
    </row>
    <row r="1067" spans="2:24" ht="23.1" customHeight="1">
      <c r="B1067" s="31">
        <v>44926</v>
      </c>
      <c r="C1067" s="9"/>
      <c r="D1067" s="9" t="s">
        <v>852</v>
      </c>
      <c r="E1067" s="7"/>
      <c r="F1067" s="7"/>
      <c r="G1067" s="7"/>
      <c r="H1067" s="7" t="s">
        <v>712</v>
      </c>
      <c r="I1067" s="7" t="s">
        <v>838</v>
      </c>
      <c r="J1067" s="39">
        <v>13401000</v>
      </c>
      <c r="L1067" s="16">
        <f t="shared" si="781"/>
        <v>1</v>
      </c>
      <c r="M1067" s="16" t="str">
        <f t="shared" si="782"/>
        <v>December</v>
      </c>
      <c r="N1067" s="16" t="str">
        <f t="shared" si="783"/>
        <v/>
      </c>
      <c r="O1067" s="16" t="str">
        <f>IF(N1067="","",COUNTIF($N$8:N1067,N1067))</f>
        <v/>
      </c>
      <c r="P1067" s="34" t="str">
        <f t="shared" si="784"/>
        <v/>
      </c>
      <c r="Q1067" s="34" t="str">
        <f t="shared" si="785"/>
        <v/>
      </c>
      <c r="R1067" s="34" t="str">
        <f t="shared" si="786"/>
        <v>Aktiva Tetap</v>
      </c>
      <c r="S1067" s="34" t="str">
        <f t="shared" si="787"/>
        <v>Ekuitas</v>
      </c>
      <c r="T1067" s="34" t="str">
        <f t="shared" si="788"/>
        <v/>
      </c>
      <c r="U1067" s="34" t="str">
        <f>IF(AND(L1067=1,bp_kode=T1067,T1067&lt;&gt;""),COUNTIF($T$8:T1067,T1067),"")</f>
        <v/>
      </c>
      <c r="V1067" s="34" t="str">
        <f t="shared" si="789"/>
        <v/>
      </c>
      <c r="W1067" s="34" t="str">
        <f t="shared" si="790"/>
        <v/>
      </c>
      <c r="X1067" s="34" t="str">
        <f>IF(B1067="","",COUNTIF($C$8:C1067,C1067)&amp;C1067)</f>
        <v>0</v>
      </c>
    </row>
    <row r="1068" spans="2:24" ht="23.1" customHeight="1">
      <c r="B1068" s="31">
        <v>44926</v>
      </c>
      <c r="C1068" s="9"/>
      <c r="D1068" s="9" t="s">
        <v>857</v>
      </c>
      <c r="E1068" s="7"/>
      <c r="F1068" s="7"/>
      <c r="G1068" s="7"/>
      <c r="H1068" s="7" t="s">
        <v>838</v>
      </c>
      <c r="I1068" s="7" t="s">
        <v>706</v>
      </c>
      <c r="J1068" s="39">
        <v>92454446</v>
      </c>
      <c r="L1068" s="16">
        <f t="shared" ref="L1068:L1069" si="809">IF(AND(B1068&gt;=awal,B1068&lt;=akhir,B1068&lt;&gt;""),1,IF(AND(B1068&lt;&gt;"",B1068&lt;awal),2,""))</f>
        <v>1</v>
      </c>
      <c r="M1068" s="16" t="str">
        <f t="shared" ref="M1068:M1069" si="810">IF(B1068="","",TEXT(B1068,"mmmm"))</f>
        <v>December</v>
      </c>
      <c r="N1068" s="16" t="str">
        <f t="shared" ref="N1068:N1069" si="811">IF(AND(L1068=1,H1068=bb_akun),"Awe",IF(AND(L1068=1,I1068=bb_akun),"Awe",""))</f>
        <v/>
      </c>
      <c r="O1068" s="16" t="str">
        <f>IF(N1068="","",COUNTIF($N$8:N1068,N1068))</f>
        <v/>
      </c>
      <c r="P1068" s="34" t="str">
        <f t="shared" ref="P1068:P1069" si="812">IFERROR(IF(OR(INDEX(akun_type,MATCH(H1068,akun_kb,0))="Kas",INDEX(akun_type,MATCH(H1068,akun_kb,0))="Bank"),"In"&amp;INDEX(akun_type,MATCH(I1068,akun_kb,0)),IF(OR(INDEX(akun_type,MATCH(I1068,akun_kb,0))="Kas",INDEX(akun_type,MATCH(I1068,akun_kb,0))="Bank"),"out"&amp;INDEX(akun_type,MATCH(H1068,akun_kb,0)),"")),"")</f>
        <v/>
      </c>
      <c r="Q1068" s="34" t="str">
        <f t="shared" ref="Q1068:Q1069" si="813">IFERROR(IF(OR(INDEX(akun_type,MATCH(H1068,akun_kb,0))="Kas",INDEX(akun_type,MATCH(H1068,akun_kb,0))="Bank"),"in"&amp;TEXT(B1068,"mmmm")&amp;INDEX(akun_type,MATCH(I1068,akun_kb,0)),IF(OR(INDEX(akun_type,MATCH(I1068,akun_kb,0))="Kas",INDEX(akun_type,MATCH(I1068,akun_kb,0))="Bank"),"out"&amp;TEXT(B1068,"mmmm")&amp;INDEX(akun_type,MATCH(H1068,akun_kb,0)),"")),"")</f>
        <v/>
      </c>
      <c r="R1068" s="34" t="str">
        <f t="shared" ref="R1068:R1069" si="814">IFERROR(INDEX(akun_type,MATCH(H1068,akun_kb,0)),"")</f>
        <v>Ekuitas</v>
      </c>
      <c r="S1068" s="34" t="str">
        <f t="shared" ref="S1068:S1069" si="815">IFERROR(INDEX(akun_type,MATCH(I1068,akun_kb,0)),"")</f>
        <v>Ekuitas</v>
      </c>
      <c r="T1068" s="34" t="str">
        <f t="shared" ref="T1068:T1069" si="816">IF(AND(L1068=1,OR(R1068="Akun Piutang",R1068="akun hutang",S1068="akun piutang",S1068="akun hutang")),E1068,"")</f>
        <v/>
      </c>
      <c r="U1068" s="34" t="str">
        <f>IF(AND(L1068=1,bp_kode=T1068,T1068&lt;&gt;""),COUNTIF($T$8:T1068,T1068),"")</f>
        <v/>
      </c>
      <c r="V1068" s="34" t="str">
        <f t="shared" ref="V1068:V1069" si="817">IF(OR(R1068="Pendapatan",R1068="Pendapatan Lainnya",R1068="Beban",R1068="Harga Pokok Penjualan",R1068="Beban Lainnya"),"db"&amp;F1068,IF(OR(S1068="Pendapatan",S1068="Pendapatan Lainnya",S1068="Beban",S1068="Harga Pokok Penjualan",S1068="Beban Lainnya"),"kr"&amp;F1068,""))</f>
        <v/>
      </c>
      <c r="W1068" s="34" t="str">
        <f t="shared" ref="W1068:W1069" si="818">IF(OR(R1068="Pendapatan",R1068="Pendapatan Lainnya",R1068="Beban",R1068="Harga Pokok Penjualan",R1068="Beban Lainnya"),"db"&amp;G1068,IF(OR(S1068="Pendapatan",S1068="Pendapatan Lainnya",S1068="Beban",S1068="Harga Pokok Penjualan",S1068="Beban Lainnya"),"kr"&amp;G1068,""))</f>
        <v/>
      </c>
      <c r="X1068" s="34" t="str">
        <f>IF(B1068="","",COUNTIF($C$8:C1068,C1068)&amp;C1068)</f>
        <v>0</v>
      </c>
    </row>
    <row r="1069" spans="2:24" ht="23.1" customHeight="1">
      <c r="B1069" s="31">
        <v>44926</v>
      </c>
      <c r="C1069" s="9"/>
      <c r="D1069" s="9" t="s">
        <v>858</v>
      </c>
      <c r="E1069" s="7"/>
      <c r="F1069" s="7"/>
      <c r="G1069" s="7"/>
      <c r="H1069" s="7" t="s">
        <v>859</v>
      </c>
      <c r="I1069" s="7" t="s">
        <v>706</v>
      </c>
      <c r="J1069" s="39">
        <v>492031167</v>
      </c>
      <c r="L1069" s="16">
        <f t="shared" si="809"/>
        <v>1</v>
      </c>
      <c r="M1069" s="16" t="str">
        <f t="shared" si="810"/>
        <v>December</v>
      </c>
      <c r="N1069" s="16" t="str">
        <f t="shared" si="811"/>
        <v/>
      </c>
      <c r="O1069" s="16" t="str">
        <f>IF(N1069="","",COUNTIF($N$8:N1069,N1069))</f>
        <v/>
      </c>
      <c r="P1069" s="34" t="str">
        <f t="shared" si="812"/>
        <v/>
      </c>
      <c r="Q1069" s="34" t="str">
        <f t="shared" si="813"/>
        <v/>
      </c>
      <c r="R1069" s="34" t="str">
        <f t="shared" si="814"/>
        <v>Ekuitas</v>
      </c>
      <c r="S1069" s="34" t="str">
        <f t="shared" si="815"/>
        <v>Ekuitas</v>
      </c>
      <c r="T1069" s="34" t="str">
        <f t="shared" si="816"/>
        <v/>
      </c>
      <c r="U1069" s="34" t="str">
        <f>IF(AND(L1069=1,bp_kode=T1069,T1069&lt;&gt;""),COUNTIF($T$8:T1069,T1069),"")</f>
        <v/>
      </c>
      <c r="V1069" s="34" t="str">
        <f t="shared" si="817"/>
        <v/>
      </c>
      <c r="W1069" s="34" t="str">
        <f t="shared" si="818"/>
        <v/>
      </c>
      <c r="X1069" s="34" t="str">
        <f>IF(B1069="","",COUNTIF($C$8:C1069,C1069)&amp;C1069)</f>
        <v>0</v>
      </c>
    </row>
    <row r="1070" spans="2:24" ht="23.1" customHeight="1">
      <c r="B1070" s="31"/>
      <c r="C1070" s="9"/>
      <c r="D1070" s="9"/>
      <c r="E1070" s="7"/>
      <c r="F1070" s="7"/>
      <c r="G1070" s="7"/>
      <c r="H1070" s="7"/>
      <c r="I1070" s="7"/>
      <c r="J1070" s="39"/>
      <c r="L1070" s="16" t="str">
        <f t="shared" si="781"/>
        <v/>
      </c>
      <c r="M1070" s="16" t="str">
        <f t="shared" si="782"/>
        <v/>
      </c>
      <c r="N1070" s="16" t="str">
        <f t="shared" si="783"/>
        <v/>
      </c>
      <c r="O1070" s="16" t="str">
        <f>IF(N1070="","",COUNTIF($N$8:N1070,N1070))</f>
        <v/>
      </c>
      <c r="P1070" s="34" t="str">
        <f t="shared" si="784"/>
        <v/>
      </c>
      <c r="Q1070" s="34" t="str">
        <f t="shared" si="785"/>
        <v/>
      </c>
      <c r="R1070" s="34" t="str">
        <f t="shared" si="786"/>
        <v/>
      </c>
      <c r="S1070" s="34" t="str">
        <f t="shared" si="787"/>
        <v/>
      </c>
      <c r="T1070" s="34" t="str">
        <f t="shared" si="788"/>
        <v/>
      </c>
      <c r="U1070" s="34" t="str">
        <f>IF(AND(L1070=1,bp_kode=T1070,T1070&lt;&gt;""),COUNTIF($T$8:T1070,T1070),"")</f>
        <v/>
      </c>
      <c r="V1070" s="34" t="str">
        <f t="shared" si="789"/>
        <v/>
      </c>
      <c r="W1070" s="34" t="str">
        <f t="shared" si="790"/>
        <v/>
      </c>
      <c r="X1070" s="34" t="str">
        <f>IF(B1070="","",COUNTIF($C$8:C1070,C1070)&amp;C1070)</f>
        <v/>
      </c>
    </row>
    <row r="1071" spans="2:24" ht="23.1" customHeight="1">
      <c r="B1071" s="31"/>
      <c r="C1071" s="9"/>
      <c r="D1071" s="9"/>
      <c r="E1071" s="7"/>
      <c r="F1071" s="7"/>
      <c r="G1071" s="7"/>
      <c r="H1071" s="7"/>
      <c r="I1071" s="7"/>
      <c r="J1071" s="39"/>
      <c r="L1071" s="16" t="str">
        <f t="shared" si="781"/>
        <v/>
      </c>
      <c r="M1071" s="16" t="str">
        <f t="shared" si="782"/>
        <v/>
      </c>
      <c r="N1071" s="16" t="str">
        <f t="shared" si="783"/>
        <v/>
      </c>
      <c r="O1071" s="16" t="str">
        <f>IF(N1071="","",COUNTIF($N$8:N1071,N1071))</f>
        <v/>
      </c>
      <c r="P1071" s="34" t="str">
        <f t="shared" si="784"/>
        <v/>
      </c>
      <c r="Q1071" s="34" t="str">
        <f t="shared" si="785"/>
        <v/>
      </c>
      <c r="R1071" s="34" t="str">
        <f t="shared" si="786"/>
        <v/>
      </c>
      <c r="S1071" s="34" t="str">
        <f t="shared" si="787"/>
        <v/>
      </c>
      <c r="T1071" s="34" t="str">
        <f t="shared" si="788"/>
        <v/>
      </c>
      <c r="U1071" s="34" t="str">
        <f>IF(AND(L1071=1,bp_kode=T1071,T1071&lt;&gt;""),COUNTIF($T$8:T1071,T1071),"")</f>
        <v/>
      </c>
      <c r="V1071" s="34" t="str">
        <f t="shared" si="789"/>
        <v/>
      </c>
      <c r="W1071" s="34" t="str">
        <f t="shared" si="790"/>
        <v/>
      </c>
      <c r="X1071" s="34" t="str">
        <f>IF(B1071="","",COUNTIF($C$8:C1071,C1071)&amp;C1071)</f>
        <v/>
      </c>
    </row>
    <row r="1072" spans="2:24" ht="23.1" customHeight="1">
      <c r="B1072" s="31"/>
      <c r="C1072" s="9"/>
      <c r="D1072" s="9"/>
      <c r="E1072" s="7"/>
      <c r="F1072" s="7"/>
      <c r="G1072" s="7"/>
      <c r="H1072" s="7"/>
      <c r="I1072" s="7"/>
      <c r="J1072" s="39"/>
      <c r="L1072" s="16" t="str">
        <f t="shared" si="781"/>
        <v/>
      </c>
      <c r="M1072" s="16" t="str">
        <f t="shared" si="782"/>
        <v/>
      </c>
      <c r="N1072" s="16" t="str">
        <f t="shared" si="783"/>
        <v/>
      </c>
      <c r="O1072" s="16" t="str">
        <f>IF(N1072="","",COUNTIF($N$8:N1072,N1072))</f>
        <v/>
      </c>
      <c r="P1072" s="34" t="str">
        <f t="shared" si="784"/>
        <v/>
      </c>
      <c r="Q1072" s="34" t="str">
        <f t="shared" si="785"/>
        <v/>
      </c>
      <c r="R1072" s="34" t="str">
        <f t="shared" si="786"/>
        <v/>
      </c>
      <c r="S1072" s="34" t="str">
        <f t="shared" si="787"/>
        <v/>
      </c>
      <c r="T1072" s="34" t="str">
        <f t="shared" si="788"/>
        <v/>
      </c>
      <c r="U1072" s="34" t="str">
        <f>IF(AND(L1072=1,bp_kode=T1072,T1072&lt;&gt;""),COUNTIF($T$8:T1072,T1072),"")</f>
        <v/>
      </c>
      <c r="V1072" s="34" t="str">
        <f t="shared" si="789"/>
        <v/>
      </c>
      <c r="W1072" s="34" t="str">
        <f t="shared" si="790"/>
        <v/>
      </c>
      <c r="X1072" s="34" t="str">
        <f>IF(B1072="","",COUNTIF($C$8:C1072,C1072)&amp;C1072)</f>
        <v/>
      </c>
    </row>
    <row r="1073" spans="2:24" ht="23.1" customHeight="1">
      <c r="B1073" s="31"/>
      <c r="C1073" s="9"/>
      <c r="D1073" s="9"/>
      <c r="E1073" s="7"/>
      <c r="F1073" s="7"/>
      <c r="G1073" s="7"/>
      <c r="H1073" s="7"/>
      <c r="I1073" s="7"/>
      <c r="J1073" s="39"/>
      <c r="L1073" s="16" t="str">
        <f t="shared" si="781"/>
        <v/>
      </c>
      <c r="M1073" s="16" t="str">
        <f t="shared" si="782"/>
        <v/>
      </c>
      <c r="N1073" s="16" t="str">
        <f t="shared" si="783"/>
        <v/>
      </c>
      <c r="O1073" s="16" t="str">
        <f>IF(N1073="","",COUNTIF($N$8:N1073,N1073))</f>
        <v/>
      </c>
      <c r="P1073" s="34" t="str">
        <f t="shared" si="784"/>
        <v/>
      </c>
      <c r="Q1073" s="34" t="str">
        <f t="shared" si="785"/>
        <v/>
      </c>
      <c r="R1073" s="34" t="str">
        <f t="shared" si="786"/>
        <v/>
      </c>
      <c r="S1073" s="34" t="str">
        <f t="shared" si="787"/>
        <v/>
      </c>
      <c r="T1073" s="34" t="str">
        <f t="shared" si="788"/>
        <v/>
      </c>
      <c r="U1073" s="34" t="str">
        <f>IF(AND(L1073=1,bp_kode=T1073,T1073&lt;&gt;""),COUNTIF($T$8:T1073,T1073),"")</f>
        <v/>
      </c>
      <c r="V1073" s="34" t="str">
        <f t="shared" si="789"/>
        <v/>
      </c>
      <c r="W1073" s="34" t="str">
        <f t="shared" si="790"/>
        <v/>
      </c>
      <c r="X1073" s="34" t="str">
        <f>IF(B1073="","",COUNTIF($C$8:C1073,C1073)&amp;C1073)</f>
        <v/>
      </c>
    </row>
    <row r="1074" spans="2:24" ht="23.1" customHeight="1">
      <c r="B1074" s="31"/>
      <c r="C1074" s="9"/>
      <c r="D1074" s="9"/>
      <c r="E1074" s="7"/>
      <c r="F1074" s="7"/>
      <c r="G1074" s="7"/>
      <c r="H1074" s="7"/>
      <c r="I1074" s="7"/>
      <c r="J1074" s="39"/>
      <c r="L1074" s="16" t="str">
        <f t="shared" si="781"/>
        <v/>
      </c>
      <c r="M1074" s="16" t="str">
        <f t="shared" si="782"/>
        <v/>
      </c>
      <c r="N1074" s="16" t="str">
        <f t="shared" si="783"/>
        <v/>
      </c>
      <c r="O1074" s="16" t="str">
        <f>IF(N1074="","",COUNTIF($N$8:N1074,N1074))</f>
        <v/>
      </c>
      <c r="P1074" s="34" t="str">
        <f t="shared" si="784"/>
        <v/>
      </c>
      <c r="Q1074" s="34" t="str">
        <f t="shared" si="785"/>
        <v/>
      </c>
      <c r="R1074" s="34" t="str">
        <f t="shared" si="786"/>
        <v/>
      </c>
      <c r="S1074" s="34" t="str">
        <f t="shared" si="787"/>
        <v/>
      </c>
      <c r="T1074" s="34" t="str">
        <f t="shared" si="788"/>
        <v/>
      </c>
      <c r="U1074" s="34" t="str">
        <f>IF(AND(L1074=1,bp_kode=T1074,T1074&lt;&gt;""),COUNTIF($T$8:T1074,T1074),"")</f>
        <v/>
      </c>
      <c r="V1074" s="34" t="str">
        <f t="shared" si="789"/>
        <v/>
      </c>
      <c r="W1074" s="34" t="str">
        <f t="shared" si="790"/>
        <v/>
      </c>
      <c r="X1074" s="34" t="str">
        <f>IF(B1074="","",COUNTIF($C$8:C1074,C1074)&amp;C1074)</f>
        <v/>
      </c>
    </row>
    <row r="1075" spans="2:24" ht="23.1" customHeight="1">
      <c r="B1075" s="31"/>
      <c r="C1075" s="9"/>
      <c r="D1075" s="9"/>
      <c r="E1075" s="7"/>
      <c r="F1075" s="7"/>
      <c r="G1075" s="7"/>
      <c r="H1075" s="7"/>
      <c r="I1075" s="7"/>
      <c r="J1075" s="39"/>
      <c r="L1075" s="16" t="str">
        <f t="shared" si="781"/>
        <v/>
      </c>
      <c r="M1075" s="16" t="str">
        <f t="shared" si="782"/>
        <v/>
      </c>
      <c r="N1075" s="16" t="str">
        <f t="shared" si="783"/>
        <v/>
      </c>
      <c r="O1075" s="16" t="str">
        <f>IF(N1075="","",COUNTIF($N$8:N1075,N1075))</f>
        <v/>
      </c>
      <c r="P1075" s="34" t="str">
        <f t="shared" si="784"/>
        <v/>
      </c>
      <c r="Q1075" s="34" t="str">
        <f t="shared" si="785"/>
        <v/>
      </c>
      <c r="R1075" s="34" t="str">
        <f t="shared" si="786"/>
        <v/>
      </c>
      <c r="S1075" s="34" t="str">
        <f t="shared" si="787"/>
        <v/>
      </c>
      <c r="T1075" s="34" t="str">
        <f t="shared" si="788"/>
        <v/>
      </c>
      <c r="U1075" s="34" t="str">
        <f>IF(AND(L1075=1,bp_kode=T1075,T1075&lt;&gt;""),COUNTIF($T$8:T1075,T1075),"")</f>
        <v/>
      </c>
      <c r="V1075" s="34" t="str">
        <f t="shared" si="789"/>
        <v/>
      </c>
      <c r="W1075" s="34" t="str">
        <f t="shared" si="790"/>
        <v/>
      </c>
      <c r="X1075" s="34" t="str">
        <f>IF(B1075="","",COUNTIF($C$8:C1075,C1075)&amp;C1075)</f>
        <v/>
      </c>
    </row>
    <row r="1076" spans="2:24" ht="23.1" customHeight="1">
      <c r="B1076" s="31"/>
      <c r="C1076" s="9"/>
      <c r="D1076" s="9"/>
      <c r="E1076" s="7"/>
      <c r="F1076" s="7"/>
      <c r="G1076" s="7"/>
      <c r="H1076" s="7"/>
      <c r="I1076" s="7"/>
      <c r="J1076" s="39"/>
      <c r="L1076" s="16" t="str">
        <f t="shared" si="781"/>
        <v/>
      </c>
      <c r="M1076" s="16" t="str">
        <f t="shared" si="782"/>
        <v/>
      </c>
      <c r="N1076" s="16" t="str">
        <f t="shared" si="783"/>
        <v/>
      </c>
      <c r="O1076" s="16" t="str">
        <f>IF(N1076="","",COUNTIF($N$8:N1076,N1076))</f>
        <v/>
      </c>
      <c r="P1076" s="34" t="str">
        <f t="shared" si="784"/>
        <v/>
      </c>
      <c r="Q1076" s="34" t="str">
        <f t="shared" si="785"/>
        <v/>
      </c>
      <c r="R1076" s="34" t="str">
        <f t="shared" si="786"/>
        <v/>
      </c>
      <c r="S1076" s="34" t="str">
        <f t="shared" si="787"/>
        <v/>
      </c>
      <c r="T1076" s="34" t="str">
        <f t="shared" si="788"/>
        <v/>
      </c>
      <c r="U1076" s="34" t="str">
        <f>IF(AND(L1076=1,bp_kode=T1076,T1076&lt;&gt;""),COUNTIF($T$8:T1076,T1076),"")</f>
        <v/>
      </c>
      <c r="V1076" s="34" t="str">
        <f t="shared" si="789"/>
        <v/>
      </c>
      <c r="W1076" s="34" t="str">
        <f t="shared" si="790"/>
        <v/>
      </c>
      <c r="X1076" s="34" t="str">
        <f>IF(B1076="","",COUNTIF($C$8:C1076,C1076)&amp;C1076)</f>
        <v/>
      </c>
    </row>
    <row r="1077" spans="2:24" ht="23.1" customHeight="1">
      <c r="B1077" s="31"/>
      <c r="C1077" s="9"/>
      <c r="D1077" s="9"/>
      <c r="E1077" s="7"/>
      <c r="F1077" s="7"/>
      <c r="G1077" s="7"/>
      <c r="H1077" s="7"/>
      <c r="I1077" s="7"/>
      <c r="J1077" s="39"/>
      <c r="L1077" s="16" t="str">
        <f t="shared" si="781"/>
        <v/>
      </c>
      <c r="M1077" s="16" t="str">
        <f t="shared" si="782"/>
        <v/>
      </c>
      <c r="N1077" s="16" t="str">
        <f t="shared" si="783"/>
        <v/>
      </c>
      <c r="O1077" s="16" t="str">
        <f>IF(N1077="","",COUNTIF($N$8:N1077,N1077))</f>
        <v/>
      </c>
      <c r="P1077" s="34" t="str">
        <f t="shared" si="784"/>
        <v/>
      </c>
      <c r="Q1077" s="34" t="str">
        <f t="shared" si="785"/>
        <v/>
      </c>
      <c r="R1077" s="34" t="str">
        <f t="shared" si="786"/>
        <v/>
      </c>
      <c r="S1077" s="34" t="str">
        <f t="shared" si="787"/>
        <v/>
      </c>
      <c r="T1077" s="34" t="str">
        <f t="shared" si="788"/>
        <v/>
      </c>
      <c r="U1077" s="34" t="str">
        <f>IF(AND(L1077=1,bp_kode=T1077,T1077&lt;&gt;""),COUNTIF($T$8:T1077,T1077),"")</f>
        <v/>
      </c>
      <c r="V1077" s="34" t="str">
        <f t="shared" si="789"/>
        <v/>
      </c>
      <c r="W1077" s="34" t="str">
        <f t="shared" si="790"/>
        <v/>
      </c>
      <c r="X1077" s="34" t="str">
        <f>IF(B1077="","",COUNTIF($C$8:C1077,C1077)&amp;C1077)</f>
        <v/>
      </c>
    </row>
    <row r="1078" spans="2:24" ht="23.1" customHeight="1">
      <c r="B1078" s="31"/>
      <c r="C1078" s="9"/>
      <c r="D1078" s="9"/>
      <c r="E1078" s="7"/>
      <c r="F1078" s="7"/>
      <c r="G1078" s="7"/>
      <c r="H1078" s="7"/>
      <c r="I1078" s="7"/>
      <c r="J1078" s="39"/>
      <c r="L1078" s="16" t="str">
        <f t="shared" si="781"/>
        <v/>
      </c>
      <c r="M1078" s="16" t="str">
        <f t="shared" si="782"/>
        <v/>
      </c>
      <c r="N1078" s="16" t="str">
        <f t="shared" si="783"/>
        <v/>
      </c>
      <c r="O1078" s="16" t="str">
        <f>IF(N1078="","",COUNTIF($N$8:N1078,N1078))</f>
        <v/>
      </c>
      <c r="P1078" s="34" t="str">
        <f t="shared" si="784"/>
        <v/>
      </c>
      <c r="Q1078" s="34" t="str">
        <f t="shared" si="785"/>
        <v/>
      </c>
      <c r="R1078" s="34" t="str">
        <f t="shared" si="786"/>
        <v/>
      </c>
      <c r="S1078" s="34" t="str">
        <f t="shared" si="787"/>
        <v/>
      </c>
      <c r="T1078" s="34" t="str">
        <f t="shared" si="788"/>
        <v/>
      </c>
      <c r="U1078" s="34" t="str">
        <f>IF(AND(L1078=1,bp_kode=T1078,T1078&lt;&gt;""),COUNTIF($T$8:T1078,T1078),"")</f>
        <v/>
      </c>
      <c r="V1078" s="34" t="str">
        <f t="shared" si="789"/>
        <v/>
      </c>
      <c r="W1078" s="34" t="str">
        <f t="shared" si="790"/>
        <v/>
      </c>
      <c r="X1078" s="34" t="str">
        <f>IF(B1078="","",COUNTIF($C$8:C1078,C1078)&amp;C1078)</f>
        <v/>
      </c>
    </row>
    <row r="1079" spans="2:24" ht="23.1" customHeight="1">
      <c r="B1079" s="31"/>
      <c r="C1079" s="9"/>
      <c r="D1079" s="9"/>
      <c r="E1079" s="7"/>
      <c r="F1079" s="7"/>
      <c r="G1079" s="7"/>
      <c r="H1079" s="7"/>
      <c r="I1079" s="7"/>
      <c r="J1079" s="39"/>
      <c r="L1079" s="16" t="str">
        <f t="shared" si="781"/>
        <v/>
      </c>
      <c r="M1079" s="16" t="str">
        <f t="shared" si="782"/>
        <v/>
      </c>
      <c r="N1079" s="16" t="str">
        <f t="shared" si="783"/>
        <v/>
      </c>
      <c r="O1079" s="16" t="str">
        <f>IF(N1079="","",COUNTIF($N$8:N1079,N1079))</f>
        <v/>
      </c>
      <c r="P1079" s="34" t="str">
        <f t="shared" si="784"/>
        <v/>
      </c>
      <c r="Q1079" s="34" t="str">
        <f t="shared" si="785"/>
        <v/>
      </c>
      <c r="R1079" s="34" t="str">
        <f t="shared" si="786"/>
        <v/>
      </c>
      <c r="S1079" s="34" t="str">
        <f t="shared" si="787"/>
        <v/>
      </c>
      <c r="T1079" s="34" t="str">
        <f t="shared" si="788"/>
        <v/>
      </c>
      <c r="U1079" s="34" t="str">
        <f>IF(AND(L1079=1,bp_kode=T1079,T1079&lt;&gt;""),COUNTIF($T$8:T1079,T1079),"")</f>
        <v/>
      </c>
      <c r="V1079" s="34" t="str">
        <f t="shared" si="789"/>
        <v/>
      </c>
      <c r="W1079" s="34" t="str">
        <f t="shared" si="790"/>
        <v/>
      </c>
      <c r="X1079" s="34" t="str">
        <f>IF(B1079="","",COUNTIF($C$8:C1079,C1079)&amp;C1079)</f>
        <v/>
      </c>
    </row>
    <row r="1080" spans="2:24" ht="23.1" customHeight="1">
      <c r="B1080" s="31"/>
      <c r="C1080" s="9"/>
      <c r="D1080" s="9"/>
      <c r="E1080" s="7"/>
      <c r="F1080" s="7"/>
      <c r="G1080" s="7"/>
      <c r="H1080" s="7"/>
      <c r="I1080" s="7"/>
      <c r="J1080" s="39"/>
      <c r="L1080" s="16" t="str">
        <f t="shared" si="781"/>
        <v/>
      </c>
      <c r="M1080" s="16" t="str">
        <f t="shared" si="782"/>
        <v/>
      </c>
      <c r="N1080" s="16" t="str">
        <f t="shared" si="783"/>
        <v/>
      </c>
      <c r="O1080" s="16" t="str">
        <f>IF(N1080="","",COUNTIF($N$8:N1080,N1080))</f>
        <v/>
      </c>
      <c r="P1080" s="34" t="str">
        <f t="shared" si="784"/>
        <v/>
      </c>
      <c r="Q1080" s="34" t="str">
        <f t="shared" si="785"/>
        <v/>
      </c>
      <c r="R1080" s="34" t="str">
        <f t="shared" si="786"/>
        <v/>
      </c>
      <c r="S1080" s="34" t="str">
        <f t="shared" si="787"/>
        <v/>
      </c>
      <c r="T1080" s="34" t="str">
        <f t="shared" si="788"/>
        <v/>
      </c>
      <c r="U1080" s="34" t="str">
        <f>IF(AND(L1080=1,bp_kode=T1080,T1080&lt;&gt;""),COUNTIF($T$8:T1080,T1080),"")</f>
        <v/>
      </c>
      <c r="V1080" s="34" t="str">
        <f t="shared" si="789"/>
        <v/>
      </c>
      <c r="W1080" s="34" t="str">
        <f t="shared" si="790"/>
        <v/>
      </c>
      <c r="X1080" s="34" t="str">
        <f>IF(B1080="","",COUNTIF($C$8:C1080,C1080)&amp;C1080)</f>
        <v/>
      </c>
    </row>
    <row r="1081" spans="2:24" ht="23.1" customHeight="1">
      <c r="B1081" s="31"/>
      <c r="C1081" s="9"/>
      <c r="D1081" s="9"/>
      <c r="E1081" s="7"/>
      <c r="F1081" s="7"/>
      <c r="G1081" s="7"/>
      <c r="H1081" s="7"/>
      <c r="I1081" s="7"/>
      <c r="J1081" s="39"/>
      <c r="L1081" s="16" t="str">
        <f t="shared" si="781"/>
        <v/>
      </c>
      <c r="M1081" s="16" t="str">
        <f t="shared" si="782"/>
        <v/>
      </c>
      <c r="N1081" s="16" t="str">
        <f t="shared" si="783"/>
        <v/>
      </c>
      <c r="O1081" s="16" t="str">
        <f>IF(N1081="","",COUNTIF($N$8:N1081,N1081))</f>
        <v/>
      </c>
      <c r="P1081" s="34" t="str">
        <f t="shared" si="784"/>
        <v/>
      </c>
      <c r="Q1081" s="34" t="str">
        <f t="shared" si="785"/>
        <v/>
      </c>
      <c r="R1081" s="34" t="str">
        <f t="shared" si="786"/>
        <v/>
      </c>
      <c r="S1081" s="34" t="str">
        <f t="shared" si="787"/>
        <v/>
      </c>
      <c r="T1081" s="34" t="str">
        <f t="shared" si="788"/>
        <v/>
      </c>
      <c r="U1081" s="34" t="str">
        <f>IF(AND(L1081=1,bp_kode=T1081,T1081&lt;&gt;""),COUNTIF($T$8:T1081,T1081),"")</f>
        <v/>
      </c>
      <c r="V1081" s="34" t="str">
        <f t="shared" si="789"/>
        <v/>
      </c>
      <c r="W1081" s="34" t="str">
        <f t="shared" si="790"/>
        <v/>
      </c>
      <c r="X1081" s="34" t="str">
        <f>IF(B1081="","",COUNTIF($C$8:C1081,C1081)&amp;C1081)</f>
        <v/>
      </c>
    </row>
    <row r="1082" spans="2:24" ht="23.1" customHeight="1">
      <c r="B1082" s="31"/>
      <c r="C1082" s="9"/>
      <c r="D1082" s="9"/>
      <c r="E1082" s="7"/>
      <c r="F1082" s="7"/>
      <c r="G1082" s="7"/>
      <c r="H1082" s="7"/>
      <c r="I1082" s="7"/>
      <c r="J1082" s="39"/>
      <c r="L1082" s="16" t="str">
        <f t="shared" si="781"/>
        <v/>
      </c>
      <c r="M1082" s="16" t="str">
        <f t="shared" si="782"/>
        <v/>
      </c>
      <c r="N1082" s="16" t="str">
        <f t="shared" si="783"/>
        <v/>
      </c>
      <c r="O1082" s="16" t="str">
        <f>IF(N1082="","",COUNTIF($N$8:N1082,N1082))</f>
        <v/>
      </c>
      <c r="P1082" s="34" t="str">
        <f t="shared" si="784"/>
        <v/>
      </c>
      <c r="Q1082" s="34" t="str">
        <f t="shared" si="785"/>
        <v/>
      </c>
      <c r="R1082" s="34" t="str">
        <f t="shared" si="786"/>
        <v/>
      </c>
      <c r="S1082" s="34" t="str">
        <f t="shared" si="787"/>
        <v/>
      </c>
      <c r="T1082" s="34" t="str">
        <f t="shared" si="788"/>
        <v/>
      </c>
      <c r="U1082" s="34" t="str">
        <f>IF(AND(L1082=1,bp_kode=T1082,T1082&lt;&gt;""),COUNTIF($T$8:T1082,T1082),"")</f>
        <v/>
      </c>
      <c r="V1082" s="34" t="str">
        <f t="shared" si="789"/>
        <v/>
      </c>
      <c r="W1082" s="34" t="str">
        <f t="shared" si="790"/>
        <v/>
      </c>
      <c r="X1082" s="34" t="str">
        <f>IF(B1082="","",COUNTIF($C$8:C1082,C1082)&amp;C1082)</f>
        <v/>
      </c>
    </row>
    <row r="1083" spans="2:24" ht="23.1" customHeight="1">
      <c r="B1083" s="31"/>
      <c r="C1083" s="9"/>
      <c r="D1083" s="9"/>
      <c r="E1083" s="7"/>
      <c r="F1083" s="7"/>
      <c r="G1083" s="7"/>
      <c r="H1083" s="7"/>
      <c r="I1083" s="7"/>
      <c r="J1083" s="39"/>
      <c r="L1083" s="16" t="str">
        <f t="shared" si="781"/>
        <v/>
      </c>
      <c r="M1083" s="16" t="str">
        <f t="shared" si="782"/>
        <v/>
      </c>
      <c r="N1083" s="16" t="str">
        <f t="shared" si="783"/>
        <v/>
      </c>
      <c r="O1083" s="16" t="str">
        <f>IF(N1083="","",COUNTIF($N$8:N1083,N1083))</f>
        <v/>
      </c>
      <c r="P1083" s="34" t="str">
        <f t="shared" si="784"/>
        <v/>
      </c>
      <c r="Q1083" s="34" t="str">
        <f t="shared" si="785"/>
        <v/>
      </c>
      <c r="R1083" s="34" t="str">
        <f t="shared" si="786"/>
        <v/>
      </c>
      <c r="S1083" s="34" t="str">
        <f t="shared" si="787"/>
        <v/>
      </c>
      <c r="T1083" s="34" t="str">
        <f t="shared" si="788"/>
        <v/>
      </c>
      <c r="U1083" s="34" t="str">
        <f>IF(AND(L1083=1,bp_kode=T1083,T1083&lt;&gt;""),COUNTIF($T$8:T1083,T1083),"")</f>
        <v/>
      </c>
      <c r="V1083" s="34" t="str">
        <f t="shared" si="789"/>
        <v/>
      </c>
      <c r="W1083" s="34" t="str">
        <f t="shared" si="790"/>
        <v/>
      </c>
      <c r="X1083" s="34" t="str">
        <f>IF(B1083="","",COUNTIF($C$8:C1083,C1083)&amp;C1083)</f>
        <v/>
      </c>
    </row>
    <row r="1084" spans="2:24" ht="23.1" customHeight="1">
      <c r="B1084" s="31"/>
      <c r="C1084" s="9"/>
      <c r="D1084" s="9"/>
      <c r="E1084" s="7"/>
      <c r="F1084" s="7"/>
      <c r="G1084" s="7"/>
      <c r="H1084" s="7"/>
      <c r="I1084" s="7"/>
      <c r="J1084" s="39"/>
      <c r="L1084" s="16" t="str">
        <f t="shared" ref="L1084:L1147" si="819">IF(AND(B1084&gt;=awal,B1084&lt;=akhir,B1084&lt;&gt;""),1,IF(AND(B1084&lt;&gt;"",B1084&lt;awal),2,""))</f>
        <v/>
      </c>
      <c r="M1084" s="16" t="str">
        <f t="shared" ref="M1084:M1147" si="820">IF(B1084="","",TEXT(B1084,"mmmm"))</f>
        <v/>
      </c>
      <c r="N1084" s="16" t="str">
        <f t="shared" ref="N1084:N1147" si="821">IF(AND(L1084=1,H1084=bb_akun),"Awe",IF(AND(L1084=1,I1084=bb_akun),"Awe",""))</f>
        <v/>
      </c>
      <c r="O1084" s="16" t="str">
        <f>IF(N1084="","",COUNTIF($N$8:N1084,N1084))</f>
        <v/>
      </c>
      <c r="P1084" s="34" t="str">
        <f t="shared" ref="P1084:P1147" si="822">IFERROR(IF(OR(INDEX(akun_type,MATCH(H1084,akun_kb,0))="Kas",INDEX(akun_type,MATCH(H1084,akun_kb,0))="Bank"),"In"&amp;INDEX(akun_type,MATCH(I1084,akun_kb,0)),IF(OR(INDEX(akun_type,MATCH(I1084,akun_kb,0))="Kas",INDEX(akun_type,MATCH(I1084,akun_kb,0))="Bank"),"out"&amp;INDEX(akun_type,MATCH(H1084,akun_kb,0)),"")),"")</f>
        <v/>
      </c>
      <c r="Q1084" s="34" t="str">
        <f t="shared" ref="Q1084:Q1147" si="823">IFERROR(IF(OR(INDEX(akun_type,MATCH(H1084,akun_kb,0))="Kas",INDEX(akun_type,MATCH(H1084,akun_kb,0))="Bank"),"in"&amp;TEXT(B1084,"mmmm")&amp;INDEX(akun_type,MATCH(I1084,akun_kb,0)),IF(OR(INDEX(akun_type,MATCH(I1084,akun_kb,0))="Kas",INDEX(akun_type,MATCH(I1084,akun_kb,0))="Bank"),"out"&amp;TEXT(B1084,"mmmm")&amp;INDEX(akun_type,MATCH(H1084,akun_kb,0)),"")),"")</f>
        <v/>
      </c>
      <c r="R1084" s="34" t="str">
        <f t="shared" ref="R1084:R1147" si="824">IFERROR(INDEX(akun_type,MATCH(H1084,akun_kb,0)),"")</f>
        <v/>
      </c>
      <c r="S1084" s="34" t="str">
        <f t="shared" ref="S1084:S1147" si="825">IFERROR(INDEX(akun_type,MATCH(I1084,akun_kb,0)),"")</f>
        <v/>
      </c>
      <c r="T1084" s="34" t="str">
        <f t="shared" ref="T1084:T1147" si="826">IF(AND(L1084=1,OR(R1084="Akun Piutang",R1084="akun hutang",S1084="akun piutang",S1084="akun hutang")),E1084,"")</f>
        <v/>
      </c>
      <c r="U1084" s="34" t="str">
        <f>IF(AND(L1084=1,bp_kode=T1084,T1084&lt;&gt;""),COUNTIF($T$8:T1084,T1084),"")</f>
        <v/>
      </c>
      <c r="V1084" s="34" t="str">
        <f t="shared" ref="V1084:V1147" si="827">IF(OR(R1084="Pendapatan",R1084="Pendapatan Lainnya",R1084="Beban",R1084="Harga Pokok Penjualan",R1084="Beban Lainnya"),"db"&amp;F1084,IF(OR(S1084="Pendapatan",S1084="Pendapatan Lainnya",S1084="Beban",S1084="Harga Pokok Penjualan",S1084="Beban Lainnya"),"kr"&amp;F1084,""))</f>
        <v/>
      </c>
      <c r="W1084" s="34" t="str">
        <f t="shared" ref="W1084:W1147" si="828">IF(OR(R1084="Pendapatan",R1084="Pendapatan Lainnya",R1084="Beban",R1084="Harga Pokok Penjualan",R1084="Beban Lainnya"),"db"&amp;G1084,IF(OR(S1084="Pendapatan",S1084="Pendapatan Lainnya",S1084="Beban",S1084="Harga Pokok Penjualan",S1084="Beban Lainnya"),"kr"&amp;G1084,""))</f>
        <v/>
      </c>
      <c r="X1084" s="34" t="str">
        <f>IF(B1084="","",COUNTIF($C$8:C1084,C1084)&amp;C1084)</f>
        <v/>
      </c>
    </row>
    <row r="1085" spans="2:24" ht="23.1" customHeight="1">
      <c r="B1085" s="31"/>
      <c r="C1085" s="9"/>
      <c r="D1085" s="9"/>
      <c r="E1085" s="7"/>
      <c r="F1085" s="7"/>
      <c r="G1085" s="7"/>
      <c r="H1085" s="7"/>
      <c r="I1085" s="7"/>
      <c r="J1085" s="39"/>
      <c r="L1085" s="16" t="str">
        <f t="shared" si="819"/>
        <v/>
      </c>
      <c r="M1085" s="16" t="str">
        <f t="shared" si="820"/>
        <v/>
      </c>
      <c r="N1085" s="16" t="str">
        <f t="shared" si="821"/>
        <v/>
      </c>
      <c r="O1085" s="16" t="str">
        <f>IF(N1085="","",COUNTIF($N$8:N1085,N1085))</f>
        <v/>
      </c>
      <c r="P1085" s="34" t="str">
        <f t="shared" si="822"/>
        <v/>
      </c>
      <c r="Q1085" s="34" t="str">
        <f t="shared" si="823"/>
        <v/>
      </c>
      <c r="R1085" s="34" t="str">
        <f t="shared" si="824"/>
        <v/>
      </c>
      <c r="S1085" s="34" t="str">
        <f t="shared" si="825"/>
        <v/>
      </c>
      <c r="T1085" s="34" t="str">
        <f t="shared" si="826"/>
        <v/>
      </c>
      <c r="U1085" s="34" t="str">
        <f>IF(AND(L1085=1,bp_kode=T1085,T1085&lt;&gt;""),COUNTIF($T$8:T1085,T1085),"")</f>
        <v/>
      </c>
      <c r="V1085" s="34" t="str">
        <f t="shared" si="827"/>
        <v/>
      </c>
      <c r="W1085" s="34" t="str">
        <f t="shared" si="828"/>
        <v/>
      </c>
      <c r="X1085" s="34" t="str">
        <f>IF(B1085="","",COUNTIF($C$8:C1085,C1085)&amp;C1085)</f>
        <v/>
      </c>
    </row>
    <row r="1086" spans="2:24" ht="23.1" customHeight="1">
      <c r="B1086" s="31"/>
      <c r="C1086" s="9"/>
      <c r="D1086" s="9"/>
      <c r="E1086" s="7"/>
      <c r="F1086" s="7"/>
      <c r="G1086" s="7"/>
      <c r="H1086" s="7"/>
      <c r="I1086" s="7"/>
      <c r="J1086" s="39"/>
      <c r="L1086" s="16" t="str">
        <f t="shared" si="819"/>
        <v/>
      </c>
      <c r="M1086" s="16" t="str">
        <f t="shared" si="820"/>
        <v/>
      </c>
      <c r="N1086" s="16" t="str">
        <f t="shared" si="821"/>
        <v/>
      </c>
      <c r="O1086" s="16" t="str">
        <f>IF(N1086="","",COUNTIF($N$8:N1086,N1086))</f>
        <v/>
      </c>
      <c r="P1086" s="34" t="str">
        <f t="shared" si="822"/>
        <v/>
      </c>
      <c r="Q1086" s="34" t="str">
        <f t="shared" si="823"/>
        <v/>
      </c>
      <c r="R1086" s="34" t="str">
        <f t="shared" si="824"/>
        <v/>
      </c>
      <c r="S1086" s="34" t="str">
        <f t="shared" si="825"/>
        <v/>
      </c>
      <c r="T1086" s="34" t="str">
        <f t="shared" si="826"/>
        <v/>
      </c>
      <c r="U1086" s="34" t="str">
        <f>IF(AND(L1086=1,bp_kode=T1086,T1086&lt;&gt;""),COUNTIF($T$8:T1086,T1086),"")</f>
        <v/>
      </c>
      <c r="V1086" s="34" t="str">
        <f t="shared" si="827"/>
        <v/>
      </c>
      <c r="W1086" s="34" t="str">
        <f t="shared" si="828"/>
        <v/>
      </c>
      <c r="X1086" s="34" t="str">
        <f>IF(B1086="","",COUNTIF($C$8:C1086,C1086)&amp;C1086)</f>
        <v/>
      </c>
    </row>
    <row r="1087" spans="2:24" ht="23.1" customHeight="1">
      <c r="B1087" s="31"/>
      <c r="C1087" s="9"/>
      <c r="D1087" s="9"/>
      <c r="E1087" s="7"/>
      <c r="F1087" s="7"/>
      <c r="G1087" s="7"/>
      <c r="H1087" s="7"/>
      <c r="I1087" s="7"/>
      <c r="J1087" s="39"/>
      <c r="L1087" s="16" t="str">
        <f t="shared" si="819"/>
        <v/>
      </c>
      <c r="M1087" s="16" t="str">
        <f t="shared" si="820"/>
        <v/>
      </c>
      <c r="N1087" s="16" t="str">
        <f t="shared" si="821"/>
        <v/>
      </c>
      <c r="O1087" s="16" t="str">
        <f>IF(N1087="","",COUNTIF($N$8:N1087,N1087))</f>
        <v/>
      </c>
      <c r="P1087" s="34" t="str">
        <f t="shared" si="822"/>
        <v/>
      </c>
      <c r="Q1087" s="34" t="str">
        <f t="shared" si="823"/>
        <v/>
      </c>
      <c r="R1087" s="34" t="str">
        <f t="shared" si="824"/>
        <v/>
      </c>
      <c r="S1087" s="34" t="str">
        <f t="shared" si="825"/>
        <v/>
      </c>
      <c r="T1087" s="34" t="str">
        <f t="shared" si="826"/>
        <v/>
      </c>
      <c r="U1087" s="34" t="str">
        <f>IF(AND(L1087=1,bp_kode=T1087,T1087&lt;&gt;""),COUNTIF($T$8:T1087,T1087),"")</f>
        <v/>
      </c>
      <c r="V1087" s="34" t="str">
        <f t="shared" si="827"/>
        <v/>
      </c>
      <c r="W1087" s="34" t="str">
        <f t="shared" si="828"/>
        <v/>
      </c>
      <c r="X1087" s="34" t="str">
        <f>IF(B1087="","",COUNTIF($C$8:C1087,C1087)&amp;C1087)</f>
        <v/>
      </c>
    </row>
    <row r="1088" spans="2:24" ht="23.1" customHeight="1">
      <c r="B1088" s="31"/>
      <c r="C1088" s="9"/>
      <c r="D1088" s="9"/>
      <c r="E1088" s="7"/>
      <c r="F1088" s="7"/>
      <c r="G1088" s="7"/>
      <c r="H1088" s="7"/>
      <c r="I1088" s="7"/>
      <c r="J1088" s="39"/>
      <c r="L1088" s="16" t="str">
        <f t="shared" si="819"/>
        <v/>
      </c>
      <c r="M1088" s="16" t="str">
        <f t="shared" si="820"/>
        <v/>
      </c>
      <c r="N1088" s="16" t="str">
        <f t="shared" si="821"/>
        <v/>
      </c>
      <c r="O1088" s="16" t="str">
        <f>IF(N1088="","",COUNTIF($N$8:N1088,N1088))</f>
        <v/>
      </c>
      <c r="P1088" s="34" t="str">
        <f t="shared" si="822"/>
        <v/>
      </c>
      <c r="Q1088" s="34" t="str">
        <f t="shared" si="823"/>
        <v/>
      </c>
      <c r="R1088" s="34" t="str">
        <f t="shared" si="824"/>
        <v/>
      </c>
      <c r="S1088" s="34" t="str">
        <f t="shared" si="825"/>
        <v/>
      </c>
      <c r="T1088" s="34" t="str">
        <f t="shared" si="826"/>
        <v/>
      </c>
      <c r="U1088" s="34" t="str">
        <f>IF(AND(L1088=1,bp_kode=T1088,T1088&lt;&gt;""),COUNTIF($T$8:T1088,T1088),"")</f>
        <v/>
      </c>
      <c r="V1088" s="34" t="str">
        <f t="shared" si="827"/>
        <v/>
      </c>
      <c r="W1088" s="34" t="str">
        <f t="shared" si="828"/>
        <v/>
      </c>
      <c r="X1088" s="34" t="str">
        <f>IF(B1088="","",COUNTIF($C$8:C1088,C1088)&amp;C1088)</f>
        <v/>
      </c>
    </row>
    <row r="1089" spans="2:24" ht="23.1" customHeight="1">
      <c r="B1089" s="31"/>
      <c r="C1089" s="9"/>
      <c r="D1089" s="9"/>
      <c r="E1089" s="7"/>
      <c r="F1089" s="7"/>
      <c r="G1089" s="7"/>
      <c r="H1089" s="7"/>
      <c r="I1089" s="7"/>
      <c r="J1089" s="39"/>
      <c r="L1089" s="16" t="str">
        <f t="shared" si="819"/>
        <v/>
      </c>
      <c r="M1089" s="16" t="str">
        <f t="shared" si="820"/>
        <v/>
      </c>
      <c r="N1089" s="16" t="str">
        <f t="shared" si="821"/>
        <v/>
      </c>
      <c r="O1089" s="16" t="str">
        <f>IF(N1089="","",COUNTIF($N$8:N1089,N1089))</f>
        <v/>
      </c>
      <c r="P1089" s="34" t="str">
        <f t="shared" si="822"/>
        <v/>
      </c>
      <c r="Q1089" s="34" t="str">
        <f t="shared" si="823"/>
        <v/>
      </c>
      <c r="R1089" s="34" t="str">
        <f t="shared" si="824"/>
        <v/>
      </c>
      <c r="S1089" s="34" t="str">
        <f t="shared" si="825"/>
        <v/>
      </c>
      <c r="T1089" s="34" t="str">
        <f t="shared" si="826"/>
        <v/>
      </c>
      <c r="U1089" s="34" t="str">
        <f>IF(AND(L1089=1,bp_kode=T1089,T1089&lt;&gt;""),COUNTIF($T$8:T1089,T1089),"")</f>
        <v/>
      </c>
      <c r="V1089" s="34" t="str">
        <f t="shared" si="827"/>
        <v/>
      </c>
      <c r="W1089" s="34" t="str">
        <f t="shared" si="828"/>
        <v/>
      </c>
      <c r="X1089" s="34" t="str">
        <f>IF(B1089="","",COUNTIF($C$8:C1089,C1089)&amp;C1089)</f>
        <v/>
      </c>
    </row>
    <row r="1090" spans="2:24" ht="23.1" customHeight="1">
      <c r="B1090" s="31"/>
      <c r="C1090" s="9"/>
      <c r="D1090" s="9"/>
      <c r="E1090" s="7"/>
      <c r="F1090" s="7"/>
      <c r="G1090" s="7"/>
      <c r="H1090" s="7"/>
      <c r="I1090" s="7"/>
      <c r="J1090" s="39"/>
      <c r="L1090" s="16" t="str">
        <f t="shared" si="819"/>
        <v/>
      </c>
      <c r="M1090" s="16" t="str">
        <f t="shared" si="820"/>
        <v/>
      </c>
      <c r="N1090" s="16" t="str">
        <f t="shared" si="821"/>
        <v/>
      </c>
      <c r="O1090" s="16" t="str">
        <f>IF(N1090="","",COUNTIF($N$8:N1090,N1090))</f>
        <v/>
      </c>
      <c r="P1090" s="34" t="str">
        <f t="shared" si="822"/>
        <v/>
      </c>
      <c r="Q1090" s="34" t="str">
        <f t="shared" si="823"/>
        <v/>
      </c>
      <c r="R1090" s="34" t="str">
        <f t="shared" si="824"/>
        <v/>
      </c>
      <c r="S1090" s="34" t="str">
        <f t="shared" si="825"/>
        <v/>
      </c>
      <c r="T1090" s="34" t="str">
        <f t="shared" si="826"/>
        <v/>
      </c>
      <c r="U1090" s="34" t="str">
        <f>IF(AND(L1090=1,bp_kode=T1090,T1090&lt;&gt;""),COUNTIF($T$8:T1090,T1090),"")</f>
        <v/>
      </c>
      <c r="V1090" s="34" t="str">
        <f t="shared" si="827"/>
        <v/>
      </c>
      <c r="W1090" s="34" t="str">
        <f t="shared" si="828"/>
        <v/>
      </c>
      <c r="X1090" s="34" t="str">
        <f>IF(B1090="","",COUNTIF($C$8:C1090,C1090)&amp;C1090)</f>
        <v/>
      </c>
    </row>
    <row r="1091" spans="2:24" ht="23.1" customHeight="1">
      <c r="B1091" s="31"/>
      <c r="C1091" s="9"/>
      <c r="D1091" s="9"/>
      <c r="E1091" s="7"/>
      <c r="F1091" s="7"/>
      <c r="G1091" s="7"/>
      <c r="H1091" s="7"/>
      <c r="I1091" s="7"/>
      <c r="J1091" s="39"/>
      <c r="L1091" s="16" t="str">
        <f t="shared" si="819"/>
        <v/>
      </c>
      <c r="M1091" s="16" t="str">
        <f t="shared" si="820"/>
        <v/>
      </c>
      <c r="N1091" s="16" t="str">
        <f t="shared" si="821"/>
        <v/>
      </c>
      <c r="O1091" s="16" t="str">
        <f>IF(N1091="","",COUNTIF($N$8:N1091,N1091))</f>
        <v/>
      </c>
      <c r="P1091" s="34" t="str">
        <f t="shared" si="822"/>
        <v/>
      </c>
      <c r="Q1091" s="34" t="str">
        <f t="shared" si="823"/>
        <v/>
      </c>
      <c r="R1091" s="34" t="str">
        <f t="shared" si="824"/>
        <v/>
      </c>
      <c r="S1091" s="34" t="str">
        <f t="shared" si="825"/>
        <v/>
      </c>
      <c r="T1091" s="34" t="str">
        <f t="shared" si="826"/>
        <v/>
      </c>
      <c r="U1091" s="34" t="str">
        <f>IF(AND(L1091=1,bp_kode=T1091,T1091&lt;&gt;""),COUNTIF($T$8:T1091,T1091),"")</f>
        <v/>
      </c>
      <c r="V1091" s="34" t="str">
        <f t="shared" si="827"/>
        <v/>
      </c>
      <c r="W1091" s="34" t="str">
        <f t="shared" si="828"/>
        <v/>
      </c>
      <c r="X1091" s="34" t="str">
        <f>IF(B1091="","",COUNTIF($C$8:C1091,C1091)&amp;C1091)</f>
        <v/>
      </c>
    </row>
    <row r="1092" spans="2:24" ht="23.1" customHeight="1">
      <c r="B1092" s="31"/>
      <c r="C1092" s="9"/>
      <c r="D1092" s="9"/>
      <c r="E1092" s="7"/>
      <c r="F1092" s="7"/>
      <c r="G1092" s="7"/>
      <c r="H1092" s="7"/>
      <c r="I1092" s="7"/>
      <c r="J1092" s="39"/>
      <c r="L1092" s="16" t="str">
        <f t="shared" si="819"/>
        <v/>
      </c>
      <c r="M1092" s="16" t="str">
        <f t="shared" si="820"/>
        <v/>
      </c>
      <c r="N1092" s="16" t="str">
        <f t="shared" si="821"/>
        <v/>
      </c>
      <c r="O1092" s="16" t="str">
        <f>IF(N1092="","",COUNTIF($N$8:N1092,N1092))</f>
        <v/>
      </c>
      <c r="P1092" s="34" t="str">
        <f t="shared" si="822"/>
        <v/>
      </c>
      <c r="Q1092" s="34" t="str">
        <f t="shared" si="823"/>
        <v/>
      </c>
      <c r="R1092" s="34" t="str">
        <f t="shared" si="824"/>
        <v/>
      </c>
      <c r="S1092" s="34" t="str">
        <f t="shared" si="825"/>
        <v/>
      </c>
      <c r="T1092" s="34" t="str">
        <f t="shared" si="826"/>
        <v/>
      </c>
      <c r="U1092" s="34" t="str">
        <f>IF(AND(L1092=1,bp_kode=T1092,T1092&lt;&gt;""),COUNTIF($T$8:T1092,T1092),"")</f>
        <v/>
      </c>
      <c r="V1092" s="34" t="str">
        <f t="shared" si="827"/>
        <v/>
      </c>
      <c r="W1092" s="34" t="str">
        <f t="shared" si="828"/>
        <v/>
      </c>
      <c r="X1092" s="34" t="str">
        <f>IF(B1092="","",COUNTIF($C$8:C1092,C1092)&amp;C1092)</f>
        <v/>
      </c>
    </row>
    <row r="1093" spans="2:24" ht="23.1" customHeight="1">
      <c r="B1093" s="31"/>
      <c r="C1093" s="9"/>
      <c r="D1093" s="9"/>
      <c r="E1093" s="7"/>
      <c r="F1093" s="7"/>
      <c r="G1093" s="7"/>
      <c r="H1093" s="7"/>
      <c r="I1093" s="7"/>
      <c r="J1093" s="39"/>
      <c r="L1093" s="16" t="str">
        <f t="shared" si="819"/>
        <v/>
      </c>
      <c r="M1093" s="16" t="str">
        <f t="shared" si="820"/>
        <v/>
      </c>
      <c r="N1093" s="16" t="str">
        <f t="shared" si="821"/>
        <v/>
      </c>
      <c r="O1093" s="16" t="str">
        <f>IF(N1093="","",COUNTIF($N$8:N1093,N1093))</f>
        <v/>
      </c>
      <c r="P1093" s="34" t="str">
        <f t="shared" si="822"/>
        <v/>
      </c>
      <c r="Q1093" s="34" t="str">
        <f t="shared" si="823"/>
        <v/>
      </c>
      <c r="R1093" s="34" t="str">
        <f t="shared" si="824"/>
        <v/>
      </c>
      <c r="S1093" s="34" t="str">
        <f t="shared" si="825"/>
        <v/>
      </c>
      <c r="T1093" s="34" t="str">
        <f t="shared" si="826"/>
        <v/>
      </c>
      <c r="U1093" s="34" t="str">
        <f>IF(AND(L1093=1,bp_kode=T1093,T1093&lt;&gt;""),COUNTIF($T$8:T1093,T1093),"")</f>
        <v/>
      </c>
      <c r="V1093" s="34" t="str">
        <f t="shared" si="827"/>
        <v/>
      </c>
      <c r="W1093" s="34" t="str">
        <f t="shared" si="828"/>
        <v/>
      </c>
      <c r="X1093" s="34" t="str">
        <f>IF(B1093="","",COUNTIF($C$8:C1093,C1093)&amp;C1093)</f>
        <v/>
      </c>
    </row>
    <row r="1094" spans="2:24" ht="23.1" customHeight="1">
      <c r="B1094" s="31"/>
      <c r="C1094" s="9"/>
      <c r="D1094" s="9"/>
      <c r="E1094" s="7"/>
      <c r="F1094" s="7"/>
      <c r="G1094" s="7"/>
      <c r="H1094" s="7"/>
      <c r="I1094" s="7"/>
      <c r="J1094" s="39"/>
      <c r="L1094" s="16" t="str">
        <f t="shared" si="819"/>
        <v/>
      </c>
      <c r="M1094" s="16" t="str">
        <f t="shared" si="820"/>
        <v/>
      </c>
      <c r="N1094" s="16" t="str">
        <f t="shared" si="821"/>
        <v/>
      </c>
      <c r="O1094" s="16" t="str">
        <f>IF(N1094="","",COUNTIF($N$8:N1094,N1094))</f>
        <v/>
      </c>
      <c r="P1094" s="34" t="str">
        <f t="shared" si="822"/>
        <v/>
      </c>
      <c r="Q1094" s="34" t="str">
        <f t="shared" si="823"/>
        <v/>
      </c>
      <c r="R1094" s="34" t="str">
        <f t="shared" si="824"/>
        <v/>
      </c>
      <c r="S1094" s="34" t="str">
        <f t="shared" si="825"/>
        <v/>
      </c>
      <c r="T1094" s="34" t="str">
        <f t="shared" si="826"/>
        <v/>
      </c>
      <c r="U1094" s="34" t="str">
        <f>IF(AND(L1094=1,bp_kode=T1094,T1094&lt;&gt;""),COUNTIF($T$8:T1094,T1094),"")</f>
        <v/>
      </c>
      <c r="V1094" s="34" t="str">
        <f t="shared" si="827"/>
        <v/>
      </c>
      <c r="W1094" s="34" t="str">
        <f t="shared" si="828"/>
        <v/>
      </c>
      <c r="X1094" s="34" t="str">
        <f>IF(B1094="","",COUNTIF($C$8:C1094,C1094)&amp;C1094)</f>
        <v/>
      </c>
    </row>
    <row r="1095" spans="2:24" ht="23.1" customHeight="1">
      <c r="B1095" s="31"/>
      <c r="C1095" s="9"/>
      <c r="D1095" s="9"/>
      <c r="E1095" s="7"/>
      <c r="F1095" s="7"/>
      <c r="G1095" s="7"/>
      <c r="H1095" s="7"/>
      <c r="I1095" s="7"/>
      <c r="J1095" s="39"/>
      <c r="L1095" s="16" t="str">
        <f t="shared" si="819"/>
        <v/>
      </c>
      <c r="M1095" s="16" t="str">
        <f t="shared" si="820"/>
        <v/>
      </c>
      <c r="N1095" s="16" t="str">
        <f t="shared" si="821"/>
        <v/>
      </c>
      <c r="O1095" s="16" t="str">
        <f>IF(N1095="","",COUNTIF($N$8:N1095,N1095))</f>
        <v/>
      </c>
      <c r="P1095" s="34" t="str">
        <f t="shared" si="822"/>
        <v/>
      </c>
      <c r="Q1095" s="34" t="str">
        <f t="shared" si="823"/>
        <v/>
      </c>
      <c r="R1095" s="34" t="str">
        <f t="shared" si="824"/>
        <v/>
      </c>
      <c r="S1095" s="34" t="str">
        <f t="shared" si="825"/>
        <v/>
      </c>
      <c r="T1095" s="34" t="str">
        <f t="shared" si="826"/>
        <v/>
      </c>
      <c r="U1095" s="34" t="str">
        <f>IF(AND(L1095=1,bp_kode=T1095,T1095&lt;&gt;""),COUNTIF($T$8:T1095,T1095),"")</f>
        <v/>
      </c>
      <c r="V1095" s="34" t="str">
        <f t="shared" si="827"/>
        <v/>
      </c>
      <c r="W1095" s="34" t="str">
        <f t="shared" si="828"/>
        <v/>
      </c>
      <c r="X1095" s="34" t="str">
        <f>IF(B1095="","",COUNTIF($C$8:C1095,C1095)&amp;C1095)</f>
        <v/>
      </c>
    </row>
    <row r="1096" spans="2:24" ht="23.1" customHeight="1">
      <c r="B1096" s="31"/>
      <c r="C1096" s="9"/>
      <c r="D1096" s="9"/>
      <c r="E1096" s="7"/>
      <c r="F1096" s="7"/>
      <c r="G1096" s="7"/>
      <c r="H1096" s="7"/>
      <c r="I1096" s="7"/>
      <c r="J1096" s="39"/>
      <c r="L1096" s="16" t="str">
        <f t="shared" si="819"/>
        <v/>
      </c>
      <c r="M1096" s="16" t="str">
        <f t="shared" si="820"/>
        <v/>
      </c>
      <c r="N1096" s="16" t="str">
        <f t="shared" si="821"/>
        <v/>
      </c>
      <c r="O1096" s="16" t="str">
        <f>IF(N1096="","",COUNTIF($N$8:N1096,N1096))</f>
        <v/>
      </c>
      <c r="P1096" s="34" t="str">
        <f t="shared" si="822"/>
        <v/>
      </c>
      <c r="Q1096" s="34" t="str">
        <f t="shared" si="823"/>
        <v/>
      </c>
      <c r="R1096" s="34" t="str">
        <f t="shared" si="824"/>
        <v/>
      </c>
      <c r="S1096" s="34" t="str">
        <f t="shared" si="825"/>
        <v/>
      </c>
      <c r="T1096" s="34" t="str">
        <f t="shared" si="826"/>
        <v/>
      </c>
      <c r="U1096" s="34" t="str">
        <f>IF(AND(L1096=1,bp_kode=T1096,T1096&lt;&gt;""),COUNTIF($T$8:T1096,T1096),"")</f>
        <v/>
      </c>
      <c r="V1096" s="34" t="str">
        <f t="shared" si="827"/>
        <v/>
      </c>
      <c r="W1096" s="34" t="str">
        <f t="shared" si="828"/>
        <v/>
      </c>
      <c r="X1096" s="34" t="str">
        <f>IF(B1096="","",COUNTIF($C$8:C1096,C1096)&amp;C1096)</f>
        <v/>
      </c>
    </row>
    <row r="1097" spans="2:24" ht="23.1" customHeight="1">
      <c r="B1097" s="31"/>
      <c r="C1097" s="9"/>
      <c r="D1097" s="9"/>
      <c r="E1097" s="7"/>
      <c r="F1097" s="7"/>
      <c r="G1097" s="7"/>
      <c r="H1097" s="7"/>
      <c r="I1097" s="7"/>
      <c r="J1097" s="39"/>
      <c r="L1097" s="16" t="str">
        <f t="shared" si="819"/>
        <v/>
      </c>
      <c r="M1097" s="16" t="str">
        <f t="shared" si="820"/>
        <v/>
      </c>
      <c r="N1097" s="16" t="str">
        <f t="shared" si="821"/>
        <v/>
      </c>
      <c r="O1097" s="16" t="str">
        <f>IF(N1097="","",COUNTIF($N$8:N1097,N1097))</f>
        <v/>
      </c>
      <c r="P1097" s="34" t="str">
        <f t="shared" si="822"/>
        <v/>
      </c>
      <c r="Q1097" s="34" t="str">
        <f t="shared" si="823"/>
        <v/>
      </c>
      <c r="R1097" s="34" t="str">
        <f t="shared" si="824"/>
        <v/>
      </c>
      <c r="S1097" s="34" t="str">
        <f t="shared" si="825"/>
        <v/>
      </c>
      <c r="T1097" s="34" t="str">
        <f t="shared" si="826"/>
        <v/>
      </c>
      <c r="U1097" s="34" t="str">
        <f>IF(AND(L1097=1,bp_kode=T1097,T1097&lt;&gt;""),COUNTIF($T$8:T1097,T1097),"")</f>
        <v/>
      </c>
      <c r="V1097" s="34" t="str">
        <f t="shared" si="827"/>
        <v/>
      </c>
      <c r="W1097" s="34" t="str">
        <f t="shared" si="828"/>
        <v/>
      </c>
      <c r="X1097" s="34" t="str">
        <f>IF(B1097="","",COUNTIF($C$8:C1097,C1097)&amp;C1097)</f>
        <v/>
      </c>
    </row>
    <row r="1098" spans="2:24" ht="23.1" customHeight="1">
      <c r="B1098" s="31"/>
      <c r="C1098" s="9"/>
      <c r="D1098" s="9"/>
      <c r="E1098" s="7"/>
      <c r="F1098" s="7"/>
      <c r="G1098" s="7"/>
      <c r="H1098" s="7"/>
      <c r="I1098" s="7"/>
      <c r="J1098" s="39"/>
      <c r="L1098" s="16" t="str">
        <f t="shared" si="819"/>
        <v/>
      </c>
      <c r="M1098" s="16" t="str">
        <f t="shared" si="820"/>
        <v/>
      </c>
      <c r="N1098" s="16" t="str">
        <f t="shared" si="821"/>
        <v/>
      </c>
      <c r="O1098" s="16" t="str">
        <f>IF(N1098="","",COUNTIF($N$8:N1098,N1098))</f>
        <v/>
      </c>
      <c r="P1098" s="34" t="str">
        <f t="shared" si="822"/>
        <v/>
      </c>
      <c r="Q1098" s="34" t="str">
        <f t="shared" si="823"/>
        <v/>
      </c>
      <c r="R1098" s="34" t="str">
        <f t="shared" si="824"/>
        <v/>
      </c>
      <c r="S1098" s="34" t="str">
        <f t="shared" si="825"/>
        <v/>
      </c>
      <c r="T1098" s="34" t="str">
        <f t="shared" si="826"/>
        <v/>
      </c>
      <c r="U1098" s="34" t="str">
        <f>IF(AND(L1098=1,bp_kode=T1098,T1098&lt;&gt;""),COUNTIF($T$8:T1098,T1098),"")</f>
        <v/>
      </c>
      <c r="V1098" s="34" t="str">
        <f t="shared" si="827"/>
        <v/>
      </c>
      <c r="W1098" s="34" t="str">
        <f t="shared" si="828"/>
        <v/>
      </c>
      <c r="X1098" s="34" t="str">
        <f>IF(B1098="","",COUNTIF($C$8:C1098,C1098)&amp;C1098)</f>
        <v/>
      </c>
    </row>
    <row r="1099" spans="2:24" ht="23.1" customHeight="1">
      <c r="B1099" s="31"/>
      <c r="C1099" s="9"/>
      <c r="D1099" s="9"/>
      <c r="E1099" s="7"/>
      <c r="F1099" s="7"/>
      <c r="G1099" s="7"/>
      <c r="H1099" s="7"/>
      <c r="I1099" s="7"/>
      <c r="J1099" s="39"/>
      <c r="L1099" s="16" t="str">
        <f t="shared" si="819"/>
        <v/>
      </c>
      <c r="M1099" s="16" t="str">
        <f t="shared" si="820"/>
        <v/>
      </c>
      <c r="N1099" s="16" t="str">
        <f t="shared" si="821"/>
        <v/>
      </c>
      <c r="O1099" s="16" t="str">
        <f>IF(N1099="","",COUNTIF($N$8:N1099,N1099))</f>
        <v/>
      </c>
      <c r="P1099" s="34" t="str">
        <f t="shared" si="822"/>
        <v/>
      </c>
      <c r="Q1099" s="34" t="str">
        <f t="shared" si="823"/>
        <v/>
      </c>
      <c r="R1099" s="34" t="str">
        <f t="shared" si="824"/>
        <v/>
      </c>
      <c r="S1099" s="34" t="str">
        <f t="shared" si="825"/>
        <v/>
      </c>
      <c r="T1099" s="34" t="str">
        <f t="shared" si="826"/>
        <v/>
      </c>
      <c r="U1099" s="34" t="str">
        <f>IF(AND(L1099=1,bp_kode=T1099,T1099&lt;&gt;""),COUNTIF($T$8:T1099,T1099),"")</f>
        <v/>
      </c>
      <c r="V1099" s="34" t="str">
        <f t="shared" si="827"/>
        <v/>
      </c>
      <c r="W1099" s="34" t="str">
        <f t="shared" si="828"/>
        <v/>
      </c>
      <c r="X1099" s="34" t="str">
        <f>IF(B1099="","",COUNTIF($C$8:C1099,C1099)&amp;C1099)</f>
        <v/>
      </c>
    </row>
    <row r="1100" spans="2:24" ht="23.1" customHeight="1">
      <c r="B1100" s="31"/>
      <c r="C1100" s="9"/>
      <c r="D1100" s="9"/>
      <c r="E1100" s="7"/>
      <c r="F1100" s="7"/>
      <c r="G1100" s="7"/>
      <c r="H1100" s="7"/>
      <c r="I1100" s="7"/>
      <c r="J1100" s="39"/>
      <c r="L1100" s="16" t="str">
        <f t="shared" si="819"/>
        <v/>
      </c>
      <c r="M1100" s="16" t="str">
        <f t="shared" si="820"/>
        <v/>
      </c>
      <c r="N1100" s="16" t="str">
        <f t="shared" si="821"/>
        <v/>
      </c>
      <c r="O1100" s="16" t="str">
        <f>IF(N1100="","",COUNTIF($N$8:N1100,N1100))</f>
        <v/>
      </c>
      <c r="P1100" s="34" t="str">
        <f t="shared" si="822"/>
        <v/>
      </c>
      <c r="Q1100" s="34" t="str">
        <f t="shared" si="823"/>
        <v/>
      </c>
      <c r="R1100" s="34" t="str">
        <f t="shared" si="824"/>
        <v/>
      </c>
      <c r="S1100" s="34" t="str">
        <f t="shared" si="825"/>
        <v/>
      </c>
      <c r="T1100" s="34" t="str">
        <f t="shared" si="826"/>
        <v/>
      </c>
      <c r="U1100" s="34" t="str">
        <f>IF(AND(L1100=1,bp_kode=T1100,T1100&lt;&gt;""),COUNTIF($T$8:T1100,T1100),"")</f>
        <v/>
      </c>
      <c r="V1100" s="34" t="str">
        <f t="shared" si="827"/>
        <v/>
      </c>
      <c r="W1100" s="34" t="str">
        <f t="shared" si="828"/>
        <v/>
      </c>
      <c r="X1100" s="34" t="str">
        <f>IF(B1100="","",COUNTIF($C$8:C1100,C1100)&amp;C1100)</f>
        <v/>
      </c>
    </row>
    <row r="1101" spans="2:24" ht="23.1" customHeight="1">
      <c r="B1101" s="31"/>
      <c r="C1101" s="9"/>
      <c r="D1101" s="9"/>
      <c r="E1101" s="7"/>
      <c r="F1101" s="7"/>
      <c r="G1101" s="7"/>
      <c r="H1101" s="7"/>
      <c r="I1101" s="7"/>
      <c r="J1101" s="39"/>
      <c r="L1101" s="16" t="str">
        <f t="shared" si="819"/>
        <v/>
      </c>
      <c r="M1101" s="16" t="str">
        <f t="shared" si="820"/>
        <v/>
      </c>
      <c r="N1101" s="16" t="str">
        <f t="shared" si="821"/>
        <v/>
      </c>
      <c r="O1101" s="16" t="str">
        <f>IF(N1101="","",COUNTIF($N$8:N1101,N1101))</f>
        <v/>
      </c>
      <c r="P1101" s="34" t="str">
        <f t="shared" si="822"/>
        <v/>
      </c>
      <c r="Q1101" s="34" t="str">
        <f t="shared" si="823"/>
        <v/>
      </c>
      <c r="R1101" s="34" t="str">
        <f t="shared" si="824"/>
        <v/>
      </c>
      <c r="S1101" s="34" t="str">
        <f t="shared" si="825"/>
        <v/>
      </c>
      <c r="T1101" s="34" t="str">
        <f t="shared" si="826"/>
        <v/>
      </c>
      <c r="U1101" s="34" t="str">
        <f>IF(AND(L1101=1,bp_kode=T1101,T1101&lt;&gt;""),COUNTIF($T$8:T1101,T1101),"")</f>
        <v/>
      </c>
      <c r="V1101" s="34" t="str">
        <f t="shared" si="827"/>
        <v/>
      </c>
      <c r="W1101" s="34" t="str">
        <f t="shared" si="828"/>
        <v/>
      </c>
      <c r="X1101" s="34" t="str">
        <f>IF(B1101="","",COUNTIF($C$8:C1101,C1101)&amp;C1101)</f>
        <v/>
      </c>
    </row>
    <row r="1102" spans="2:24" ht="23.1" customHeight="1">
      <c r="B1102" s="31"/>
      <c r="C1102" s="9"/>
      <c r="D1102" s="9"/>
      <c r="E1102" s="7"/>
      <c r="F1102" s="7"/>
      <c r="G1102" s="7"/>
      <c r="H1102" s="7"/>
      <c r="I1102" s="7"/>
      <c r="J1102" s="39"/>
      <c r="L1102" s="16" t="str">
        <f t="shared" si="819"/>
        <v/>
      </c>
      <c r="M1102" s="16" t="str">
        <f t="shared" si="820"/>
        <v/>
      </c>
      <c r="N1102" s="16" t="str">
        <f t="shared" si="821"/>
        <v/>
      </c>
      <c r="O1102" s="16" t="str">
        <f>IF(N1102="","",COUNTIF($N$8:N1102,N1102))</f>
        <v/>
      </c>
      <c r="P1102" s="34" t="str">
        <f t="shared" si="822"/>
        <v/>
      </c>
      <c r="Q1102" s="34" t="str">
        <f t="shared" si="823"/>
        <v/>
      </c>
      <c r="R1102" s="34" t="str">
        <f t="shared" si="824"/>
        <v/>
      </c>
      <c r="S1102" s="34" t="str">
        <f t="shared" si="825"/>
        <v/>
      </c>
      <c r="T1102" s="34" t="str">
        <f t="shared" si="826"/>
        <v/>
      </c>
      <c r="U1102" s="34" t="str">
        <f>IF(AND(L1102=1,bp_kode=T1102,T1102&lt;&gt;""),COUNTIF($T$8:T1102,T1102),"")</f>
        <v/>
      </c>
      <c r="V1102" s="34" t="str">
        <f t="shared" si="827"/>
        <v/>
      </c>
      <c r="W1102" s="34" t="str">
        <f t="shared" si="828"/>
        <v/>
      </c>
      <c r="X1102" s="34" t="str">
        <f>IF(B1102="","",COUNTIF($C$8:C1102,C1102)&amp;C1102)</f>
        <v/>
      </c>
    </row>
    <row r="1103" spans="2:24" ht="23.1" customHeight="1">
      <c r="B1103" s="31"/>
      <c r="C1103" s="9"/>
      <c r="D1103" s="9"/>
      <c r="E1103" s="7"/>
      <c r="F1103" s="7"/>
      <c r="G1103" s="7"/>
      <c r="H1103" s="7"/>
      <c r="I1103" s="7"/>
      <c r="J1103" s="39"/>
      <c r="L1103" s="16" t="str">
        <f t="shared" si="819"/>
        <v/>
      </c>
      <c r="M1103" s="16" t="str">
        <f t="shared" si="820"/>
        <v/>
      </c>
      <c r="N1103" s="16" t="str">
        <f t="shared" si="821"/>
        <v/>
      </c>
      <c r="O1103" s="16" t="str">
        <f>IF(N1103="","",COUNTIF($N$8:N1103,N1103))</f>
        <v/>
      </c>
      <c r="P1103" s="34" t="str">
        <f t="shared" si="822"/>
        <v/>
      </c>
      <c r="Q1103" s="34" t="str">
        <f t="shared" si="823"/>
        <v/>
      </c>
      <c r="R1103" s="34" t="str">
        <f t="shared" si="824"/>
        <v/>
      </c>
      <c r="S1103" s="34" t="str">
        <f t="shared" si="825"/>
        <v/>
      </c>
      <c r="T1103" s="34" t="str">
        <f t="shared" si="826"/>
        <v/>
      </c>
      <c r="U1103" s="34" t="str">
        <f>IF(AND(L1103=1,bp_kode=T1103,T1103&lt;&gt;""),COUNTIF($T$8:T1103,T1103),"")</f>
        <v/>
      </c>
      <c r="V1103" s="34" t="str">
        <f t="shared" si="827"/>
        <v/>
      </c>
      <c r="W1103" s="34" t="str">
        <f t="shared" si="828"/>
        <v/>
      </c>
      <c r="X1103" s="34" t="str">
        <f>IF(B1103="","",COUNTIF($C$8:C1103,C1103)&amp;C1103)</f>
        <v/>
      </c>
    </row>
    <row r="1104" spans="2:24" ht="23.1" customHeight="1">
      <c r="B1104" s="31"/>
      <c r="C1104" s="9"/>
      <c r="D1104" s="9"/>
      <c r="E1104" s="7"/>
      <c r="F1104" s="7"/>
      <c r="G1104" s="7"/>
      <c r="H1104" s="7"/>
      <c r="I1104" s="7"/>
      <c r="J1104" s="39"/>
      <c r="L1104" s="16" t="str">
        <f t="shared" si="819"/>
        <v/>
      </c>
      <c r="M1104" s="16" t="str">
        <f t="shared" si="820"/>
        <v/>
      </c>
      <c r="N1104" s="16" t="str">
        <f t="shared" si="821"/>
        <v/>
      </c>
      <c r="O1104" s="16" t="str">
        <f>IF(N1104="","",COUNTIF($N$8:N1104,N1104))</f>
        <v/>
      </c>
      <c r="P1104" s="34" t="str">
        <f t="shared" si="822"/>
        <v/>
      </c>
      <c r="Q1104" s="34" t="str">
        <f t="shared" si="823"/>
        <v/>
      </c>
      <c r="R1104" s="34" t="str">
        <f t="shared" si="824"/>
        <v/>
      </c>
      <c r="S1104" s="34" t="str">
        <f t="shared" si="825"/>
        <v/>
      </c>
      <c r="T1104" s="34" t="str">
        <f t="shared" si="826"/>
        <v/>
      </c>
      <c r="U1104" s="34" t="str">
        <f>IF(AND(L1104=1,bp_kode=T1104,T1104&lt;&gt;""),COUNTIF($T$8:T1104,T1104),"")</f>
        <v/>
      </c>
      <c r="V1104" s="34" t="str">
        <f t="shared" si="827"/>
        <v/>
      </c>
      <c r="W1104" s="34" t="str">
        <f t="shared" si="828"/>
        <v/>
      </c>
      <c r="X1104" s="34" t="str">
        <f>IF(B1104="","",COUNTIF($C$8:C1104,C1104)&amp;C1104)</f>
        <v/>
      </c>
    </row>
    <row r="1105" spans="2:24" ht="23.1" customHeight="1">
      <c r="B1105" s="31"/>
      <c r="C1105" s="9"/>
      <c r="D1105" s="9"/>
      <c r="E1105" s="7"/>
      <c r="F1105" s="7"/>
      <c r="G1105" s="7"/>
      <c r="H1105" s="7"/>
      <c r="I1105" s="7"/>
      <c r="J1105" s="39"/>
      <c r="L1105" s="16" t="str">
        <f t="shared" si="819"/>
        <v/>
      </c>
      <c r="M1105" s="16" t="str">
        <f t="shared" si="820"/>
        <v/>
      </c>
      <c r="N1105" s="16" t="str">
        <f t="shared" si="821"/>
        <v/>
      </c>
      <c r="O1105" s="16" t="str">
        <f>IF(N1105="","",COUNTIF($N$8:N1105,N1105))</f>
        <v/>
      </c>
      <c r="P1105" s="34" t="str">
        <f t="shared" si="822"/>
        <v/>
      </c>
      <c r="Q1105" s="34" t="str">
        <f t="shared" si="823"/>
        <v/>
      </c>
      <c r="R1105" s="34" t="str">
        <f t="shared" si="824"/>
        <v/>
      </c>
      <c r="S1105" s="34" t="str">
        <f t="shared" si="825"/>
        <v/>
      </c>
      <c r="T1105" s="34" t="str">
        <f t="shared" si="826"/>
        <v/>
      </c>
      <c r="U1105" s="34" t="str">
        <f>IF(AND(L1105=1,bp_kode=T1105,T1105&lt;&gt;""),COUNTIF($T$8:T1105,T1105),"")</f>
        <v/>
      </c>
      <c r="V1105" s="34" t="str">
        <f t="shared" si="827"/>
        <v/>
      </c>
      <c r="W1105" s="34" t="str">
        <f t="shared" si="828"/>
        <v/>
      </c>
      <c r="X1105" s="34" t="str">
        <f>IF(B1105="","",COUNTIF($C$8:C1105,C1105)&amp;C1105)</f>
        <v/>
      </c>
    </row>
    <row r="1106" spans="2:24" ht="23.1" customHeight="1">
      <c r="B1106" s="31"/>
      <c r="C1106" s="9"/>
      <c r="D1106" s="9"/>
      <c r="E1106" s="7"/>
      <c r="F1106" s="7"/>
      <c r="G1106" s="7"/>
      <c r="H1106" s="7"/>
      <c r="I1106" s="7"/>
      <c r="J1106" s="39"/>
      <c r="L1106" s="16" t="str">
        <f t="shared" si="819"/>
        <v/>
      </c>
      <c r="M1106" s="16" t="str">
        <f t="shared" si="820"/>
        <v/>
      </c>
      <c r="N1106" s="16" t="str">
        <f t="shared" si="821"/>
        <v/>
      </c>
      <c r="O1106" s="16" t="str">
        <f>IF(N1106="","",COUNTIF($N$8:N1106,N1106))</f>
        <v/>
      </c>
      <c r="P1106" s="34" t="str">
        <f t="shared" si="822"/>
        <v/>
      </c>
      <c r="Q1106" s="34" t="str">
        <f t="shared" si="823"/>
        <v/>
      </c>
      <c r="R1106" s="34" t="str">
        <f t="shared" si="824"/>
        <v/>
      </c>
      <c r="S1106" s="34" t="str">
        <f t="shared" si="825"/>
        <v/>
      </c>
      <c r="T1106" s="34" t="str">
        <f t="shared" si="826"/>
        <v/>
      </c>
      <c r="U1106" s="34" t="str">
        <f>IF(AND(L1106=1,bp_kode=T1106,T1106&lt;&gt;""),COUNTIF($T$8:T1106,T1106),"")</f>
        <v/>
      </c>
      <c r="V1106" s="34" t="str">
        <f t="shared" si="827"/>
        <v/>
      </c>
      <c r="W1106" s="34" t="str">
        <f t="shared" si="828"/>
        <v/>
      </c>
      <c r="X1106" s="34" t="str">
        <f>IF(B1106="","",COUNTIF($C$8:C1106,C1106)&amp;C1106)</f>
        <v/>
      </c>
    </row>
    <row r="1107" spans="2:24" ht="23.1" customHeight="1">
      <c r="B1107" s="31"/>
      <c r="C1107" s="9"/>
      <c r="D1107" s="9"/>
      <c r="E1107" s="7"/>
      <c r="F1107" s="7"/>
      <c r="G1107" s="7"/>
      <c r="H1107" s="7"/>
      <c r="I1107" s="7"/>
      <c r="J1107" s="39"/>
      <c r="L1107" s="16" t="str">
        <f t="shared" si="819"/>
        <v/>
      </c>
      <c r="M1107" s="16" t="str">
        <f t="shared" si="820"/>
        <v/>
      </c>
      <c r="N1107" s="16" t="str">
        <f t="shared" si="821"/>
        <v/>
      </c>
      <c r="O1107" s="16" t="str">
        <f>IF(N1107="","",COUNTIF($N$8:N1107,N1107))</f>
        <v/>
      </c>
      <c r="P1107" s="34" t="str">
        <f t="shared" si="822"/>
        <v/>
      </c>
      <c r="Q1107" s="34" t="str">
        <f t="shared" si="823"/>
        <v/>
      </c>
      <c r="R1107" s="34" t="str">
        <f t="shared" si="824"/>
        <v/>
      </c>
      <c r="S1107" s="34" t="str">
        <f t="shared" si="825"/>
        <v/>
      </c>
      <c r="T1107" s="34" t="str">
        <f t="shared" si="826"/>
        <v/>
      </c>
      <c r="U1107" s="34" t="str">
        <f>IF(AND(L1107=1,bp_kode=T1107,T1107&lt;&gt;""),COUNTIF($T$8:T1107,T1107),"")</f>
        <v/>
      </c>
      <c r="V1107" s="34" t="str">
        <f t="shared" si="827"/>
        <v/>
      </c>
      <c r="W1107" s="34" t="str">
        <f t="shared" si="828"/>
        <v/>
      </c>
      <c r="X1107" s="34" t="str">
        <f>IF(B1107="","",COUNTIF($C$8:C1107,C1107)&amp;C1107)</f>
        <v/>
      </c>
    </row>
    <row r="1108" spans="2:24" ht="23.1" customHeight="1">
      <c r="B1108" s="31"/>
      <c r="C1108" s="9"/>
      <c r="D1108" s="9"/>
      <c r="E1108" s="7"/>
      <c r="F1108" s="7"/>
      <c r="G1108" s="7"/>
      <c r="H1108" s="7"/>
      <c r="I1108" s="7"/>
      <c r="J1108" s="39"/>
      <c r="L1108" s="16" t="str">
        <f t="shared" si="819"/>
        <v/>
      </c>
      <c r="M1108" s="16" t="str">
        <f t="shared" si="820"/>
        <v/>
      </c>
      <c r="N1108" s="16" t="str">
        <f t="shared" si="821"/>
        <v/>
      </c>
      <c r="O1108" s="16" t="str">
        <f>IF(N1108="","",COUNTIF($N$8:N1108,N1108))</f>
        <v/>
      </c>
      <c r="P1108" s="34" t="str">
        <f t="shared" si="822"/>
        <v/>
      </c>
      <c r="Q1108" s="34" t="str">
        <f t="shared" si="823"/>
        <v/>
      </c>
      <c r="R1108" s="34" t="str">
        <f t="shared" si="824"/>
        <v/>
      </c>
      <c r="S1108" s="34" t="str">
        <f t="shared" si="825"/>
        <v/>
      </c>
      <c r="T1108" s="34" t="str">
        <f t="shared" si="826"/>
        <v/>
      </c>
      <c r="U1108" s="34" t="str">
        <f>IF(AND(L1108=1,bp_kode=T1108,T1108&lt;&gt;""),COUNTIF($T$8:T1108,T1108),"")</f>
        <v/>
      </c>
      <c r="V1108" s="34" t="str">
        <f t="shared" si="827"/>
        <v/>
      </c>
      <c r="W1108" s="34" t="str">
        <f t="shared" si="828"/>
        <v/>
      </c>
      <c r="X1108" s="34" t="str">
        <f>IF(B1108="","",COUNTIF($C$8:C1108,C1108)&amp;C1108)</f>
        <v/>
      </c>
    </row>
    <row r="1109" spans="2:24" ht="23.1" customHeight="1">
      <c r="B1109" s="31"/>
      <c r="C1109" s="9"/>
      <c r="D1109" s="9"/>
      <c r="E1109" s="7"/>
      <c r="F1109" s="7"/>
      <c r="G1109" s="7"/>
      <c r="H1109" s="7"/>
      <c r="I1109" s="7"/>
      <c r="J1109" s="39"/>
      <c r="L1109" s="16" t="str">
        <f t="shared" si="819"/>
        <v/>
      </c>
      <c r="M1109" s="16" t="str">
        <f t="shared" si="820"/>
        <v/>
      </c>
      <c r="N1109" s="16" t="str">
        <f t="shared" si="821"/>
        <v/>
      </c>
      <c r="O1109" s="16" t="str">
        <f>IF(N1109="","",COUNTIF($N$8:N1109,N1109))</f>
        <v/>
      </c>
      <c r="P1109" s="34" t="str">
        <f t="shared" si="822"/>
        <v/>
      </c>
      <c r="Q1109" s="34" t="str">
        <f t="shared" si="823"/>
        <v/>
      </c>
      <c r="R1109" s="34" t="str">
        <f t="shared" si="824"/>
        <v/>
      </c>
      <c r="S1109" s="34" t="str">
        <f t="shared" si="825"/>
        <v/>
      </c>
      <c r="T1109" s="34" t="str">
        <f t="shared" si="826"/>
        <v/>
      </c>
      <c r="U1109" s="34" t="str">
        <f>IF(AND(L1109=1,bp_kode=T1109,T1109&lt;&gt;""),COUNTIF($T$8:T1109,T1109),"")</f>
        <v/>
      </c>
      <c r="V1109" s="34" t="str">
        <f t="shared" si="827"/>
        <v/>
      </c>
      <c r="W1109" s="34" t="str">
        <f t="shared" si="828"/>
        <v/>
      </c>
      <c r="X1109" s="34" t="str">
        <f>IF(B1109="","",COUNTIF($C$8:C1109,C1109)&amp;C1109)</f>
        <v/>
      </c>
    </row>
    <row r="1110" spans="2:24" ht="23.1" customHeight="1">
      <c r="B1110" s="31"/>
      <c r="C1110" s="9"/>
      <c r="D1110" s="9"/>
      <c r="E1110" s="7"/>
      <c r="F1110" s="7"/>
      <c r="G1110" s="7"/>
      <c r="H1110" s="7"/>
      <c r="I1110" s="7"/>
      <c r="J1110" s="39"/>
      <c r="L1110" s="16" t="str">
        <f t="shared" si="819"/>
        <v/>
      </c>
      <c r="M1110" s="16" t="str">
        <f t="shared" si="820"/>
        <v/>
      </c>
      <c r="N1110" s="16" t="str">
        <f t="shared" si="821"/>
        <v/>
      </c>
      <c r="O1110" s="16" t="str">
        <f>IF(N1110="","",COUNTIF($N$8:N1110,N1110))</f>
        <v/>
      </c>
      <c r="P1110" s="34" t="str">
        <f t="shared" si="822"/>
        <v/>
      </c>
      <c r="Q1110" s="34" t="str">
        <f t="shared" si="823"/>
        <v/>
      </c>
      <c r="R1110" s="34" t="str">
        <f t="shared" si="824"/>
        <v/>
      </c>
      <c r="S1110" s="34" t="str">
        <f t="shared" si="825"/>
        <v/>
      </c>
      <c r="T1110" s="34" t="str">
        <f t="shared" si="826"/>
        <v/>
      </c>
      <c r="U1110" s="34" t="str">
        <f>IF(AND(L1110=1,bp_kode=T1110,T1110&lt;&gt;""),COUNTIF($T$8:T1110,T1110),"")</f>
        <v/>
      </c>
      <c r="V1110" s="34" t="str">
        <f t="shared" si="827"/>
        <v/>
      </c>
      <c r="W1110" s="34" t="str">
        <f t="shared" si="828"/>
        <v/>
      </c>
      <c r="X1110" s="34" t="str">
        <f>IF(B1110="","",COUNTIF($C$8:C1110,C1110)&amp;C1110)</f>
        <v/>
      </c>
    </row>
    <row r="1111" spans="2:24" ht="23.1" customHeight="1">
      <c r="B1111" s="31"/>
      <c r="C1111" s="9"/>
      <c r="D1111" s="9"/>
      <c r="E1111" s="7"/>
      <c r="F1111" s="7"/>
      <c r="G1111" s="7"/>
      <c r="H1111" s="7"/>
      <c r="I1111" s="7"/>
      <c r="J1111" s="39"/>
      <c r="L1111" s="16" t="str">
        <f t="shared" si="819"/>
        <v/>
      </c>
      <c r="M1111" s="16" t="str">
        <f t="shared" si="820"/>
        <v/>
      </c>
      <c r="N1111" s="16" t="str">
        <f t="shared" si="821"/>
        <v/>
      </c>
      <c r="O1111" s="16" t="str">
        <f>IF(N1111="","",COUNTIF($N$8:N1111,N1111))</f>
        <v/>
      </c>
      <c r="P1111" s="34" t="str">
        <f t="shared" si="822"/>
        <v/>
      </c>
      <c r="Q1111" s="34" t="str">
        <f t="shared" si="823"/>
        <v/>
      </c>
      <c r="R1111" s="34" t="str">
        <f t="shared" si="824"/>
        <v/>
      </c>
      <c r="S1111" s="34" t="str">
        <f t="shared" si="825"/>
        <v/>
      </c>
      <c r="T1111" s="34" t="str">
        <f t="shared" si="826"/>
        <v/>
      </c>
      <c r="U1111" s="34" t="str">
        <f>IF(AND(L1111=1,bp_kode=T1111,T1111&lt;&gt;""),COUNTIF($T$8:T1111,T1111),"")</f>
        <v/>
      </c>
      <c r="V1111" s="34" t="str">
        <f t="shared" si="827"/>
        <v/>
      </c>
      <c r="W1111" s="34" t="str">
        <f t="shared" si="828"/>
        <v/>
      </c>
      <c r="X1111" s="34" t="str">
        <f>IF(B1111="","",COUNTIF($C$8:C1111,C1111)&amp;C1111)</f>
        <v/>
      </c>
    </row>
    <row r="1112" spans="2:24" ht="23.1" customHeight="1">
      <c r="B1112" s="31"/>
      <c r="C1112" s="9"/>
      <c r="D1112" s="9"/>
      <c r="E1112" s="7"/>
      <c r="F1112" s="7"/>
      <c r="G1112" s="7"/>
      <c r="H1112" s="7"/>
      <c r="I1112" s="7"/>
      <c r="J1112" s="39"/>
      <c r="L1112" s="16" t="str">
        <f t="shared" si="819"/>
        <v/>
      </c>
      <c r="M1112" s="16" t="str">
        <f t="shared" si="820"/>
        <v/>
      </c>
      <c r="N1112" s="16" t="str">
        <f t="shared" si="821"/>
        <v/>
      </c>
      <c r="O1112" s="16" t="str">
        <f>IF(N1112="","",COUNTIF($N$8:N1112,N1112))</f>
        <v/>
      </c>
      <c r="P1112" s="34" t="str">
        <f t="shared" si="822"/>
        <v/>
      </c>
      <c r="Q1112" s="34" t="str">
        <f t="shared" si="823"/>
        <v/>
      </c>
      <c r="R1112" s="34" t="str">
        <f t="shared" si="824"/>
        <v/>
      </c>
      <c r="S1112" s="34" t="str">
        <f t="shared" si="825"/>
        <v/>
      </c>
      <c r="T1112" s="34" t="str">
        <f t="shared" si="826"/>
        <v/>
      </c>
      <c r="U1112" s="34" t="str">
        <f>IF(AND(L1112=1,bp_kode=T1112,T1112&lt;&gt;""),COUNTIF($T$8:T1112,T1112),"")</f>
        <v/>
      </c>
      <c r="V1112" s="34" t="str">
        <f t="shared" si="827"/>
        <v/>
      </c>
      <c r="W1112" s="34" t="str">
        <f t="shared" si="828"/>
        <v/>
      </c>
      <c r="X1112" s="34" t="str">
        <f>IF(B1112="","",COUNTIF($C$8:C1112,C1112)&amp;C1112)</f>
        <v/>
      </c>
    </row>
    <row r="1113" spans="2:24" ht="23.1" customHeight="1">
      <c r="B1113" s="31"/>
      <c r="C1113" s="9"/>
      <c r="D1113" s="9"/>
      <c r="E1113" s="7"/>
      <c r="F1113" s="7"/>
      <c r="G1113" s="7"/>
      <c r="H1113" s="7"/>
      <c r="I1113" s="7"/>
      <c r="J1113" s="39"/>
      <c r="L1113" s="16" t="str">
        <f t="shared" si="819"/>
        <v/>
      </c>
      <c r="M1113" s="16" t="str">
        <f t="shared" si="820"/>
        <v/>
      </c>
      <c r="N1113" s="16" t="str">
        <f t="shared" si="821"/>
        <v/>
      </c>
      <c r="O1113" s="16" t="str">
        <f>IF(N1113="","",COUNTIF($N$8:N1113,N1113))</f>
        <v/>
      </c>
      <c r="P1113" s="34" t="str">
        <f t="shared" si="822"/>
        <v/>
      </c>
      <c r="Q1113" s="34" t="str">
        <f t="shared" si="823"/>
        <v/>
      </c>
      <c r="R1113" s="34" t="str">
        <f t="shared" si="824"/>
        <v/>
      </c>
      <c r="S1113" s="34" t="str">
        <f t="shared" si="825"/>
        <v/>
      </c>
      <c r="T1113" s="34" t="str">
        <f t="shared" si="826"/>
        <v/>
      </c>
      <c r="U1113" s="34" t="str">
        <f>IF(AND(L1113=1,bp_kode=T1113,T1113&lt;&gt;""),COUNTIF($T$8:T1113,T1113),"")</f>
        <v/>
      </c>
      <c r="V1113" s="34" t="str">
        <f t="shared" si="827"/>
        <v/>
      </c>
      <c r="W1113" s="34" t="str">
        <f t="shared" si="828"/>
        <v/>
      </c>
      <c r="X1113" s="34" t="str">
        <f>IF(B1113="","",COUNTIF($C$8:C1113,C1113)&amp;C1113)</f>
        <v/>
      </c>
    </row>
    <row r="1114" spans="2:24" ht="23.1" customHeight="1">
      <c r="B1114" s="31"/>
      <c r="C1114" s="9"/>
      <c r="D1114" s="9"/>
      <c r="E1114" s="7"/>
      <c r="F1114" s="7"/>
      <c r="G1114" s="7"/>
      <c r="H1114" s="7"/>
      <c r="I1114" s="7"/>
      <c r="J1114" s="39"/>
      <c r="L1114" s="16" t="str">
        <f t="shared" si="819"/>
        <v/>
      </c>
      <c r="M1114" s="16" t="str">
        <f t="shared" si="820"/>
        <v/>
      </c>
      <c r="N1114" s="16" t="str">
        <f t="shared" si="821"/>
        <v/>
      </c>
      <c r="O1114" s="16" t="str">
        <f>IF(N1114="","",COUNTIF($N$8:N1114,N1114))</f>
        <v/>
      </c>
      <c r="P1114" s="34" t="str">
        <f t="shared" si="822"/>
        <v/>
      </c>
      <c r="Q1114" s="34" t="str">
        <f t="shared" si="823"/>
        <v/>
      </c>
      <c r="R1114" s="34" t="str">
        <f t="shared" si="824"/>
        <v/>
      </c>
      <c r="S1114" s="34" t="str">
        <f t="shared" si="825"/>
        <v/>
      </c>
      <c r="T1114" s="34" t="str">
        <f t="shared" si="826"/>
        <v/>
      </c>
      <c r="U1114" s="34" t="str">
        <f>IF(AND(L1114=1,bp_kode=T1114,T1114&lt;&gt;""),COUNTIF($T$8:T1114,T1114),"")</f>
        <v/>
      </c>
      <c r="V1114" s="34" t="str">
        <f t="shared" si="827"/>
        <v/>
      </c>
      <c r="W1114" s="34" t="str">
        <f t="shared" si="828"/>
        <v/>
      </c>
      <c r="X1114" s="34" t="str">
        <f>IF(B1114="","",COUNTIF($C$8:C1114,C1114)&amp;C1114)</f>
        <v/>
      </c>
    </row>
    <row r="1115" spans="2:24" ht="23.1" customHeight="1">
      <c r="B1115" s="31"/>
      <c r="C1115" s="9"/>
      <c r="D1115" s="9"/>
      <c r="E1115" s="7"/>
      <c r="F1115" s="7"/>
      <c r="G1115" s="7"/>
      <c r="H1115" s="7"/>
      <c r="I1115" s="7"/>
      <c r="J1115" s="39"/>
      <c r="L1115" s="16" t="str">
        <f t="shared" si="819"/>
        <v/>
      </c>
      <c r="M1115" s="16" t="str">
        <f t="shared" si="820"/>
        <v/>
      </c>
      <c r="N1115" s="16" t="str">
        <f t="shared" si="821"/>
        <v/>
      </c>
      <c r="O1115" s="16" t="str">
        <f>IF(N1115="","",COUNTIF($N$8:N1115,N1115))</f>
        <v/>
      </c>
      <c r="P1115" s="34" t="str">
        <f t="shared" si="822"/>
        <v/>
      </c>
      <c r="Q1115" s="34" t="str">
        <f t="shared" si="823"/>
        <v/>
      </c>
      <c r="R1115" s="34" t="str">
        <f t="shared" si="824"/>
        <v/>
      </c>
      <c r="S1115" s="34" t="str">
        <f t="shared" si="825"/>
        <v/>
      </c>
      <c r="T1115" s="34" t="str">
        <f t="shared" si="826"/>
        <v/>
      </c>
      <c r="U1115" s="34" t="str">
        <f>IF(AND(L1115=1,bp_kode=T1115,T1115&lt;&gt;""),COUNTIF($T$8:T1115,T1115),"")</f>
        <v/>
      </c>
      <c r="V1115" s="34" t="str">
        <f t="shared" si="827"/>
        <v/>
      </c>
      <c r="W1115" s="34" t="str">
        <f t="shared" si="828"/>
        <v/>
      </c>
      <c r="X1115" s="34" t="str">
        <f>IF(B1115="","",COUNTIF($C$8:C1115,C1115)&amp;C1115)</f>
        <v/>
      </c>
    </row>
    <row r="1116" spans="2:24" ht="23.1" customHeight="1">
      <c r="B1116" s="31"/>
      <c r="C1116" s="9"/>
      <c r="D1116" s="9"/>
      <c r="E1116" s="7"/>
      <c r="F1116" s="7"/>
      <c r="G1116" s="7"/>
      <c r="H1116" s="7"/>
      <c r="I1116" s="7"/>
      <c r="J1116" s="39"/>
      <c r="L1116" s="16" t="str">
        <f t="shared" si="819"/>
        <v/>
      </c>
      <c r="M1116" s="16" t="str">
        <f t="shared" si="820"/>
        <v/>
      </c>
      <c r="N1116" s="16" t="str">
        <f t="shared" si="821"/>
        <v/>
      </c>
      <c r="O1116" s="16" t="str">
        <f>IF(N1116="","",COUNTIF($N$8:N1116,N1116))</f>
        <v/>
      </c>
      <c r="P1116" s="34" t="str">
        <f t="shared" si="822"/>
        <v/>
      </c>
      <c r="Q1116" s="34" t="str">
        <f t="shared" si="823"/>
        <v/>
      </c>
      <c r="R1116" s="34" t="str">
        <f t="shared" si="824"/>
        <v/>
      </c>
      <c r="S1116" s="34" t="str">
        <f t="shared" si="825"/>
        <v/>
      </c>
      <c r="T1116" s="34" t="str">
        <f t="shared" si="826"/>
        <v/>
      </c>
      <c r="U1116" s="34" t="str">
        <f>IF(AND(L1116=1,bp_kode=T1116,T1116&lt;&gt;""),COUNTIF($T$8:T1116,T1116),"")</f>
        <v/>
      </c>
      <c r="V1116" s="34" t="str">
        <f t="shared" si="827"/>
        <v/>
      </c>
      <c r="W1116" s="34" t="str">
        <f t="shared" si="828"/>
        <v/>
      </c>
      <c r="X1116" s="34" t="str">
        <f>IF(B1116="","",COUNTIF($C$8:C1116,C1116)&amp;C1116)</f>
        <v/>
      </c>
    </row>
    <row r="1117" spans="2:24" ht="23.1" customHeight="1">
      <c r="B1117" s="31"/>
      <c r="C1117" s="9"/>
      <c r="D1117" s="9"/>
      <c r="E1117" s="7"/>
      <c r="F1117" s="7"/>
      <c r="G1117" s="7"/>
      <c r="H1117" s="7"/>
      <c r="I1117" s="7"/>
      <c r="J1117" s="39"/>
      <c r="L1117" s="16" t="str">
        <f t="shared" si="819"/>
        <v/>
      </c>
      <c r="M1117" s="16" t="str">
        <f t="shared" si="820"/>
        <v/>
      </c>
      <c r="N1117" s="16" t="str">
        <f t="shared" si="821"/>
        <v/>
      </c>
      <c r="O1117" s="16" t="str">
        <f>IF(N1117="","",COUNTIF($N$8:N1117,N1117))</f>
        <v/>
      </c>
      <c r="P1117" s="34" t="str">
        <f t="shared" si="822"/>
        <v/>
      </c>
      <c r="Q1117" s="34" t="str">
        <f t="shared" si="823"/>
        <v/>
      </c>
      <c r="R1117" s="34" t="str">
        <f t="shared" si="824"/>
        <v/>
      </c>
      <c r="S1117" s="34" t="str">
        <f t="shared" si="825"/>
        <v/>
      </c>
      <c r="T1117" s="34" t="str">
        <f t="shared" si="826"/>
        <v/>
      </c>
      <c r="U1117" s="34" t="str">
        <f>IF(AND(L1117=1,bp_kode=T1117,T1117&lt;&gt;""),COUNTIF($T$8:T1117,T1117),"")</f>
        <v/>
      </c>
      <c r="V1117" s="34" t="str">
        <f t="shared" si="827"/>
        <v/>
      </c>
      <c r="W1117" s="34" t="str">
        <f t="shared" si="828"/>
        <v/>
      </c>
      <c r="X1117" s="34" t="str">
        <f>IF(B1117="","",COUNTIF($C$8:C1117,C1117)&amp;C1117)</f>
        <v/>
      </c>
    </row>
    <row r="1118" spans="2:24" ht="23.1" customHeight="1">
      <c r="B1118" s="31"/>
      <c r="C1118" s="9"/>
      <c r="D1118" s="9"/>
      <c r="E1118" s="7"/>
      <c r="F1118" s="7"/>
      <c r="G1118" s="7"/>
      <c r="H1118" s="7"/>
      <c r="I1118" s="7"/>
      <c r="J1118" s="39"/>
      <c r="L1118" s="16" t="str">
        <f t="shared" si="819"/>
        <v/>
      </c>
      <c r="M1118" s="16" t="str">
        <f t="shared" si="820"/>
        <v/>
      </c>
      <c r="N1118" s="16" t="str">
        <f t="shared" si="821"/>
        <v/>
      </c>
      <c r="O1118" s="16" t="str">
        <f>IF(N1118="","",COUNTIF($N$8:N1118,N1118))</f>
        <v/>
      </c>
      <c r="P1118" s="34" t="str">
        <f t="shared" si="822"/>
        <v/>
      </c>
      <c r="Q1118" s="34" t="str">
        <f t="shared" si="823"/>
        <v/>
      </c>
      <c r="R1118" s="34" t="str">
        <f t="shared" si="824"/>
        <v/>
      </c>
      <c r="S1118" s="34" t="str">
        <f t="shared" si="825"/>
        <v/>
      </c>
      <c r="T1118" s="34" t="str">
        <f t="shared" si="826"/>
        <v/>
      </c>
      <c r="U1118" s="34" t="str">
        <f>IF(AND(L1118=1,bp_kode=T1118,T1118&lt;&gt;""),COUNTIF($T$8:T1118,T1118),"")</f>
        <v/>
      </c>
      <c r="V1118" s="34" t="str">
        <f t="shared" si="827"/>
        <v/>
      </c>
      <c r="W1118" s="34" t="str">
        <f t="shared" si="828"/>
        <v/>
      </c>
      <c r="X1118" s="34" t="str">
        <f>IF(B1118="","",COUNTIF($C$8:C1118,C1118)&amp;C1118)</f>
        <v/>
      </c>
    </row>
    <row r="1119" spans="2:24" ht="23.1" customHeight="1">
      <c r="B1119" s="31"/>
      <c r="C1119" s="9"/>
      <c r="D1119" s="9"/>
      <c r="E1119" s="7"/>
      <c r="F1119" s="7"/>
      <c r="G1119" s="7"/>
      <c r="H1119" s="7"/>
      <c r="I1119" s="7"/>
      <c r="J1119" s="39"/>
      <c r="L1119" s="16" t="str">
        <f t="shared" si="819"/>
        <v/>
      </c>
      <c r="M1119" s="16" t="str">
        <f t="shared" si="820"/>
        <v/>
      </c>
      <c r="N1119" s="16" t="str">
        <f t="shared" si="821"/>
        <v/>
      </c>
      <c r="O1119" s="16" t="str">
        <f>IF(N1119="","",COUNTIF($N$8:N1119,N1119))</f>
        <v/>
      </c>
      <c r="P1119" s="34" t="str">
        <f t="shared" si="822"/>
        <v/>
      </c>
      <c r="Q1119" s="34" t="str">
        <f t="shared" si="823"/>
        <v/>
      </c>
      <c r="R1119" s="34" t="str">
        <f t="shared" si="824"/>
        <v/>
      </c>
      <c r="S1119" s="34" t="str">
        <f t="shared" si="825"/>
        <v/>
      </c>
      <c r="T1119" s="34" t="str">
        <f t="shared" si="826"/>
        <v/>
      </c>
      <c r="U1119" s="34" t="str">
        <f>IF(AND(L1119=1,bp_kode=T1119,T1119&lt;&gt;""),COUNTIF($T$8:T1119,T1119),"")</f>
        <v/>
      </c>
      <c r="V1119" s="34" t="str">
        <f t="shared" si="827"/>
        <v/>
      </c>
      <c r="W1119" s="34" t="str">
        <f t="shared" si="828"/>
        <v/>
      </c>
      <c r="X1119" s="34" t="str">
        <f>IF(B1119="","",COUNTIF($C$8:C1119,C1119)&amp;C1119)</f>
        <v/>
      </c>
    </row>
    <row r="1120" spans="2:24" ht="23.1" customHeight="1">
      <c r="B1120" s="31"/>
      <c r="C1120" s="9"/>
      <c r="D1120" s="9"/>
      <c r="E1120" s="7"/>
      <c r="F1120" s="7"/>
      <c r="G1120" s="7"/>
      <c r="H1120" s="7"/>
      <c r="I1120" s="7"/>
      <c r="J1120" s="39"/>
      <c r="L1120" s="16" t="str">
        <f t="shared" si="819"/>
        <v/>
      </c>
      <c r="M1120" s="16" t="str">
        <f t="shared" si="820"/>
        <v/>
      </c>
      <c r="N1120" s="16" t="str">
        <f t="shared" si="821"/>
        <v/>
      </c>
      <c r="O1120" s="16" t="str">
        <f>IF(N1120="","",COUNTIF($N$8:N1120,N1120))</f>
        <v/>
      </c>
      <c r="P1120" s="34" t="str">
        <f t="shared" si="822"/>
        <v/>
      </c>
      <c r="Q1120" s="34" t="str">
        <f t="shared" si="823"/>
        <v/>
      </c>
      <c r="R1120" s="34" t="str">
        <f t="shared" si="824"/>
        <v/>
      </c>
      <c r="S1120" s="34" t="str">
        <f t="shared" si="825"/>
        <v/>
      </c>
      <c r="T1120" s="34" t="str">
        <f t="shared" si="826"/>
        <v/>
      </c>
      <c r="U1120" s="34" t="str">
        <f>IF(AND(L1120=1,bp_kode=T1120,T1120&lt;&gt;""),COUNTIF($T$8:T1120,T1120),"")</f>
        <v/>
      </c>
      <c r="V1120" s="34" t="str">
        <f t="shared" si="827"/>
        <v/>
      </c>
      <c r="W1120" s="34" t="str">
        <f t="shared" si="828"/>
        <v/>
      </c>
      <c r="X1120" s="34" t="str">
        <f>IF(B1120="","",COUNTIF($C$8:C1120,C1120)&amp;C1120)</f>
        <v/>
      </c>
    </row>
    <row r="1121" spans="2:24" ht="23.1" customHeight="1">
      <c r="B1121" s="31"/>
      <c r="C1121" s="9"/>
      <c r="D1121" s="9"/>
      <c r="E1121" s="7"/>
      <c r="F1121" s="7"/>
      <c r="G1121" s="7"/>
      <c r="H1121" s="7"/>
      <c r="I1121" s="7"/>
      <c r="J1121" s="39"/>
      <c r="L1121" s="16" t="str">
        <f t="shared" si="819"/>
        <v/>
      </c>
      <c r="M1121" s="16" t="str">
        <f t="shared" si="820"/>
        <v/>
      </c>
      <c r="N1121" s="16" t="str">
        <f t="shared" si="821"/>
        <v/>
      </c>
      <c r="O1121" s="16" t="str">
        <f>IF(N1121="","",COUNTIF($N$8:N1121,N1121))</f>
        <v/>
      </c>
      <c r="P1121" s="34" t="str">
        <f t="shared" si="822"/>
        <v/>
      </c>
      <c r="Q1121" s="34" t="str">
        <f t="shared" si="823"/>
        <v/>
      </c>
      <c r="R1121" s="34" t="str">
        <f t="shared" si="824"/>
        <v/>
      </c>
      <c r="S1121" s="34" t="str">
        <f t="shared" si="825"/>
        <v/>
      </c>
      <c r="T1121" s="34" t="str">
        <f t="shared" si="826"/>
        <v/>
      </c>
      <c r="U1121" s="34" t="str">
        <f>IF(AND(L1121=1,bp_kode=T1121,T1121&lt;&gt;""),COUNTIF($T$8:T1121,T1121),"")</f>
        <v/>
      </c>
      <c r="V1121" s="34" t="str">
        <f t="shared" si="827"/>
        <v/>
      </c>
      <c r="W1121" s="34" t="str">
        <f t="shared" si="828"/>
        <v/>
      </c>
      <c r="X1121" s="34" t="str">
        <f>IF(B1121="","",COUNTIF($C$8:C1121,C1121)&amp;C1121)</f>
        <v/>
      </c>
    </row>
    <row r="1122" spans="2:24" ht="23.1" customHeight="1">
      <c r="B1122" s="31"/>
      <c r="C1122" s="9"/>
      <c r="D1122" s="9"/>
      <c r="E1122" s="7"/>
      <c r="F1122" s="7"/>
      <c r="G1122" s="7"/>
      <c r="H1122" s="7"/>
      <c r="I1122" s="7"/>
      <c r="J1122" s="39"/>
      <c r="L1122" s="16" t="str">
        <f t="shared" si="819"/>
        <v/>
      </c>
      <c r="M1122" s="16" t="str">
        <f t="shared" si="820"/>
        <v/>
      </c>
      <c r="N1122" s="16" t="str">
        <f t="shared" si="821"/>
        <v/>
      </c>
      <c r="O1122" s="16" t="str">
        <f>IF(N1122="","",COUNTIF($N$8:N1122,N1122))</f>
        <v/>
      </c>
      <c r="P1122" s="34" t="str">
        <f t="shared" si="822"/>
        <v/>
      </c>
      <c r="Q1122" s="34" t="str">
        <f t="shared" si="823"/>
        <v/>
      </c>
      <c r="R1122" s="34" t="str">
        <f t="shared" si="824"/>
        <v/>
      </c>
      <c r="S1122" s="34" t="str">
        <f t="shared" si="825"/>
        <v/>
      </c>
      <c r="T1122" s="34" t="str">
        <f t="shared" si="826"/>
        <v/>
      </c>
      <c r="U1122" s="34" t="str">
        <f>IF(AND(L1122=1,bp_kode=T1122,T1122&lt;&gt;""),COUNTIF($T$8:T1122,T1122),"")</f>
        <v/>
      </c>
      <c r="V1122" s="34" t="str">
        <f t="shared" si="827"/>
        <v/>
      </c>
      <c r="W1122" s="34" t="str">
        <f t="shared" si="828"/>
        <v/>
      </c>
      <c r="X1122" s="34" t="str">
        <f>IF(B1122="","",COUNTIF($C$8:C1122,C1122)&amp;C1122)</f>
        <v/>
      </c>
    </row>
    <row r="1123" spans="2:24" ht="23.1" customHeight="1">
      <c r="B1123" s="31"/>
      <c r="C1123" s="9"/>
      <c r="D1123" s="9"/>
      <c r="E1123" s="7"/>
      <c r="F1123" s="7"/>
      <c r="G1123" s="7"/>
      <c r="H1123" s="7"/>
      <c r="I1123" s="7"/>
      <c r="J1123" s="39"/>
      <c r="L1123" s="16" t="str">
        <f t="shared" si="819"/>
        <v/>
      </c>
      <c r="M1123" s="16" t="str">
        <f t="shared" si="820"/>
        <v/>
      </c>
      <c r="N1123" s="16" t="str">
        <f t="shared" si="821"/>
        <v/>
      </c>
      <c r="O1123" s="16" t="str">
        <f>IF(N1123="","",COUNTIF($N$8:N1123,N1123))</f>
        <v/>
      </c>
      <c r="P1123" s="34" t="str">
        <f t="shared" si="822"/>
        <v/>
      </c>
      <c r="Q1123" s="34" t="str">
        <f t="shared" si="823"/>
        <v/>
      </c>
      <c r="R1123" s="34" t="str">
        <f t="shared" si="824"/>
        <v/>
      </c>
      <c r="S1123" s="34" t="str">
        <f t="shared" si="825"/>
        <v/>
      </c>
      <c r="T1123" s="34" t="str">
        <f t="shared" si="826"/>
        <v/>
      </c>
      <c r="U1123" s="34" t="str">
        <f>IF(AND(L1123=1,bp_kode=T1123,T1123&lt;&gt;""),COUNTIF($T$8:T1123,T1123),"")</f>
        <v/>
      </c>
      <c r="V1123" s="34" t="str">
        <f t="shared" si="827"/>
        <v/>
      </c>
      <c r="W1123" s="34" t="str">
        <f t="shared" si="828"/>
        <v/>
      </c>
      <c r="X1123" s="34" t="str">
        <f>IF(B1123="","",COUNTIF($C$8:C1123,C1123)&amp;C1123)</f>
        <v/>
      </c>
    </row>
    <row r="1124" spans="2:24" ht="23.1" customHeight="1">
      <c r="B1124" s="31"/>
      <c r="C1124" s="9"/>
      <c r="D1124" s="9"/>
      <c r="E1124" s="7"/>
      <c r="F1124" s="7"/>
      <c r="G1124" s="7"/>
      <c r="H1124" s="7"/>
      <c r="I1124" s="7"/>
      <c r="J1124" s="39"/>
      <c r="L1124" s="16" t="str">
        <f t="shared" si="819"/>
        <v/>
      </c>
      <c r="M1124" s="16" t="str">
        <f t="shared" si="820"/>
        <v/>
      </c>
      <c r="N1124" s="16" t="str">
        <f t="shared" si="821"/>
        <v/>
      </c>
      <c r="O1124" s="16" t="str">
        <f>IF(N1124="","",COUNTIF($N$8:N1124,N1124))</f>
        <v/>
      </c>
      <c r="P1124" s="34" t="str">
        <f t="shared" si="822"/>
        <v/>
      </c>
      <c r="Q1124" s="34" t="str">
        <f t="shared" si="823"/>
        <v/>
      </c>
      <c r="R1124" s="34" t="str">
        <f t="shared" si="824"/>
        <v/>
      </c>
      <c r="S1124" s="34" t="str">
        <f t="shared" si="825"/>
        <v/>
      </c>
      <c r="T1124" s="34" t="str">
        <f t="shared" si="826"/>
        <v/>
      </c>
      <c r="U1124" s="34" t="str">
        <f>IF(AND(L1124=1,bp_kode=T1124,T1124&lt;&gt;""),COUNTIF($T$8:T1124,T1124),"")</f>
        <v/>
      </c>
      <c r="V1124" s="34" t="str">
        <f t="shared" si="827"/>
        <v/>
      </c>
      <c r="W1124" s="34" t="str">
        <f t="shared" si="828"/>
        <v/>
      </c>
      <c r="X1124" s="34" t="str">
        <f>IF(B1124="","",COUNTIF($C$8:C1124,C1124)&amp;C1124)</f>
        <v/>
      </c>
    </row>
    <row r="1125" spans="2:24" ht="23.1" customHeight="1">
      <c r="B1125" s="31"/>
      <c r="C1125" s="9"/>
      <c r="D1125" s="9"/>
      <c r="E1125" s="7"/>
      <c r="F1125" s="7"/>
      <c r="G1125" s="7"/>
      <c r="H1125" s="7"/>
      <c r="I1125" s="7"/>
      <c r="J1125" s="39"/>
      <c r="L1125" s="16" t="str">
        <f t="shared" si="819"/>
        <v/>
      </c>
      <c r="M1125" s="16" t="str">
        <f t="shared" si="820"/>
        <v/>
      </c>
      <c r="N1125" s="16" t="str">
        <f t="shared" si="821"/>
        <v/>
      </c>
      <c r="O1125" s="16" t="str">
        <f>IF(N1125="","",COUNTIF($N$8:N1125,N1125))</f>
        <v/>
      </c>
      <c r="P1125" s="34" t="str">
        <f t="shared" si="822"/>
        <v/>
      </c>
      <c r="Q1125" s="34" t="str">
        <f t="shared" si="823"/>
        <v/>
      </c>
      <c r="R1125" s="34" t="str">
        <f t="shared" si="824"/>
        <v/>
      </c>
      <c r="S1125" s="34" t="str">
        <f t="shared" si="825"/>
        <v/>
      </c>
      <c r="T1125" s="34" t="str">
        <f t="shared" si="826"/>
        <v/>
      </c>
      <c r="U1125" s="34" t="str">
        <f>IF(AND(L1125=1,bp_kode=T1125,T1125&lt;&gt;""),COUNTIF($T$8:T1125,T1125),"")</f>
        <v/>
      </c>
      <c r="V1125" s="34" t="str">
        <f t="shared" si="827"/>
        <v/>
      </c>
      <c r="W1125" s="34" t="str">
        <f t="shared" si="828"/>
        <v/>
      </c>
      <c r="X1125" s="34" t="str">
        <f>IF(B1125="","",COUNTIF($C$8:C1125,C1125)&amp;C1125)</f>
        <v/>
      </c>
    </row>
    <row r="1126" spans="2:24" ht="23.1" customHeight="1">
      <c r="B1126" s="31"/>
      <c r="C1126" s="9"/>
      <c r="D1126" s="9"/>
      <c r="E1126" s="7"/>
      <c r="F1126" s="7"/>
      <c r="G1126" s="7"/>
      <c r="H1126" s="7"/>
      <c r="I1126" s="7"/>
      <c r="J1126" s="39"/>
      <c r="L1126" s="16" t="str">
        <f t="shared" si="819"/>
        <v/>
      </c>
      <c r="M1126" s="16" t="str">
        <f t="shared" si="820"/>
        <v/>
      </c>
      <c r="N1126" s="16" t="str">
        <f t="shared" si="821"/>
        <v/>
      </c>
      <c r="O1126" s="16" t="str">
        <f>IF(N1126="","",COUNTIF($N$8:N1126,N1126))</f>
        <v/>
      </c>
      <c r="P1126" s="34" t="str">
        <f t="shared" si="822"/>
        <v/>
      </c>
      <c r="Q1126" s="34" t="str">
        <f t="shared" si="823"/>
        <v/>
      </c>
      <c r="R1126" s="34" t="str">
        <f t="shared" si="824"/>
        <v/>
      </c>
      <c r="S1126" s="34" t="str">
        <f t="shared" si="825"/>
        <v/>
      </c>
      <c r="T1126" s="34" t="str">
        <f t="shared" si="826"/>
        <v/>
      </c>
      <c r="U1126" s="34" t="str">
        <f>IF(AND(L1126=1,bp_kode=T1126,T1126&lt;&gt;""),COUNTIF($T$8:T1126,T1126),"")</f>
        <v/>
      </c>
      <c r="V1126" s="34" t="str">
        <f t="shared" si="827"/>
        <v/>
      </c>
      <c r="W1126" s="34" t="str">
        <f t="shared" si="828"/>
        <v/>
      </c>
      <c r="X1126" s="34" t="str">
        <f>IF(B1126="","",COUNTIF($C$8:C1126,C1126)&amp;C1126)</f>
        <v/>
      </c>
    </row>
    <row r="1127" spans="2:24" ht="23.1" customHeight="1">
      <c r="B1127" s="31"/>
      <c r="C1127" s="9"/>
      <c r="D1127" s="9"/>
      <c r="E1127" s="7"/>
      <c r="F1127" s="7"/>
      <c r="G1127" s="7"/>
      <c r="H1127" s="7"/>
      <c r="I1127" s="7"/>
      <c r="J1127" s="39"/>
      <c r="L1127" s="16" t="str">
        <f t="shared" si="819"/>
        <v/>
      </c>
      <c r="M1127" s="16" t="str">
        <f t="shared" si="820"/>
        <v/>
      </c>
      <c r="N1127" s="16" t="str">
        <f t="shared" si="821"/>
        <v/>
      </c>
      <c r="O1127" s="16" t="str">
        <f>IF(N1127="","",COUNTIF($N$8:N1127,N1127))</f>
        <v/>
      </c>
      <c r="P1127" s="34" t="str">
        <f t="shared" si="822"/>
        <v/>
      </c>
      <c r="Q1127" s="34" t="str">
        <f t="shared" si="823"/>
        <v/>
      </c>
      <c r="R1127" s="34" t="str">
        <f t="shared" si="824"/>
        <v/>
      </c>
      <c r="S1127" s="34" t="str">
        <f t="shared" si="825"/>
        <v/>
      </c>
      <c r="T1127" s="34" t="str">
        <f t="shared" si="826"/>
        <v/>
      </c>
      <c r="U1127" s="34" t="str">
        <f>IF(AND(L1127=1,bp_kode=T1127,T1127&lt;&gt;""),COUNTIF($T$8:T1127,T1127),"")</f>
        <v/>
      </c>
      <c r="V1127" s="34" t="str">
        <f t="shared" si="827"/>
        <v/>
      </c>
      <c r="W1127" s="34" t="str">
        <f t="shared" si="828"/>
        <v/>
      </c>
      <c r="X1127" s="34" t="str">
        <f>IF(B1127="","",COUNTIF($C$8:C1127,C1127)&amp;C1127)</f>
        <v/>
      </c>
    </row>
    <row r="1128" spans="2:24" ht="23.1" customHeight="1">
      <c r="B1128" s="31"/>
      <c r="C1128" s="9"/>
      <c r="D1128" s="9"/>
      <c r="E1128" s="7"/>
      <c r="F1128" s="7"/>
      <c r="G1128" s="7"/>
      <c r="H1128" s="7"/>
      <c r="I1128" s="7"/>
      <c r="J1128" s="39"/>
      <c r="L1128" s="16" t="str">
        <f t="shared" si="819"/>
        <v/>
      </c>
      <c r="M1128" s="16" t="str">
        <f t="shared" si="820"/>
        <v/>
      </c>
      <c r="N1128" s="16" t="str">
        <f t="shared" si="821"/>
        <v/>
      </c>
      <c r="O1128" s="16" t="str">
        <f>IF(N1128="","",COUNTIF($N$8:N1128,N1128))</f>
        <v/>
      </c>
      <c r="P1128" s="34" t="str">
        <f t="shared" si="822"/>
        <v/>
      </c>
      <c r="Q1128" s="34" t="str">
        <f t="shared" si="823"/>
        <v/>
      </c>
      <c r="R1128" s="34" t="str">
        <f t="shared" si="824"/>
        <v/>
      </c>
      <c r="S1128" s="34" t="str">
        <f t="shared" si="825"/>
        <v/>
      </c>
      <c r="T1128" s="34" t="str">
        <f t="shared" si="826"/>
        <v/>
      </c>
      <c r="U1128" s="34" t="str">
        <f>IF(AND(L1128=1,bp_kode=T1128,T1128&lt;&gt;""),COUNTIF($T$8:T1128,T1128),"")</f>
        <v/>
      </c>
      <c r="V1128" s="34" t="str">
        <f t="shared" si="827"/>
        <v/>
      </c>
      <c r="W1128" s="34" t="str">
        <f t="shared" si="828"/>
        <v/>
      </c>
      <c r="X1128" s="34" t="str">
        <f>IF(B1128="","",COUNTIF($C$8:C1128,C1128)&amp;C1128)</f>
        <v/>
      </c>
    </row>
    <row r="1129" spans="2:24" ht="23.1" customHeight="1">
      <c r="B1129" s="31"/>
      <c r="C1129" s="9"/>
      <c r="D1129" s="9"/>
      <c r="E1129" s="7"/>
      <c r="F1129" s="7"/>
      <c r="G1129" s="7"/>
      <c r="H1129" s="7"/>
      <c r="I1129" s="7"/>
      <c r="J1129" s="39"/>
      <c r="L1129" s="16" t="str">
        <f t="shared" si="819"/>
        <v/>
      </c>
      <c r="M1129" s="16" t="str">
        <f t="shared" si="820"/>
        <v/>
      </c>
      <c r="N1129" s="16" t="str">
        <f t="shared" si="821"/>
        <v/>
      </c>
      <c r="O1129" s="16" t="str">
        <f>IF(N1129="","",COUNTIF($N$8:N1129,N1129))</f>
        <v/>
      </c>
      <c r="P1129" s="34" t="str">
        <f t="shared" si="822"/>
        <v/>
      </c>
      <c r="Q1129" s="34" t="str">
        <f t="shared" si="823"/>
        <v/>
      </c>
      <c r="R1129" s="34" t="str">
        <f t="shared" si="824"/>
        <v/>
      </c>
      <c r="S1129" s="34" t="str">
        <f t="shared" si="825"/>
        <v/>
      </c>
      <c r="T1129" s="34" t="str">
        <f t="shared" si="826"/>
        <v/>
      </c>
      <c r="U1129" s="34" t="str">
        <f>IF(AND(L1129=1,bp_kode=T1129,T1129&lt;&gt;""),COUNTIF($T$8:T1129,T1129),"")</f>
        <v/>
      </c>
      <c r="V1129" s="34" t="str">
        <f t="shared" si="827"/>
        <v/>
      </c>
      <c r="W1129" s="34" t="str">
        <f t="shared" si="828"/>
        <v/>
      </c>
      <c r="X1129" s="34" t="str">
        <f>IF(B1129="","",COUNTIF($C$8:C1129,C1129)&amp;C1129)</f>
        <v/>
      </c>
    </row>
    <row r="1130" spans="2:24" ht="23.1" customHeight="1">
      <c r="B1130" s="31"/>
      <c r="C1130" s="9"/>
      <c r="D1130" s="9"/>
      <c r="E1130" s="7"/>
      <c r="F1130" s="7"/>
      <c r="G1130" s="7"/>
      <c r="H1130" s="7"/>
      <c r="I1130" s="7"/>
      <c r="J1130" s="39"/>
      <c r="L1130" s="16" t="str">
        <f t="shared" si="819"/>
        <v/>
      </c>
      <c r="M1130" s="16" t="str">
        <f t="shared" si="820"/>
        <v/>
      </c>
      <c r="N1130" s="16" t="str">
        <f t="shared" si="821"/>
        <v/>
      </c>
      <c r="O1130" s="16" t="str">
        <f>IF(N1130="","",COUNTIF($N$8:N1130,N1130))</f>
        <v/>
      </c>
      <c r="P1130" s="34" t="str">
        <f t="shared" si="822"/>
        <v/>
      </c>
      <c r="Q1130" s="34" t="str">
        <f t="shared" si="823"/>
        <v/>
      </c>
      <c r="R1130" s="34" t="str">
        <f t="shared" si="824"/>
        <v/>
      </c>
      <c r="S1130" s="34" t="str">
        <f t="shared" si="825"/>
        <v/>
      </c>
      <c r="T1130" s="34" t="str">
        <f t="shared" si="826"/>
        <v/>
      </c>
      <c r="U1130" s="34" t="str">
        <f>IF(AND(L1130=1,bp_kode=T1130,T1130&lt;&gt;""),COUNTIF($T$8:T1130,T1130),"")</f>
        <v/>
      </c>
      <c r="V1130" s="34" t="str">
        <f t="shared" si="827"/>
        <v/>
      </c>
      <c r="W1130" s="34" t="str">
        <f t="shared" si="828"/>
        <v/>
      </c>
      <c r="X1130" s="34" t="str">
        <f>IF(B1130="","",COUNTIF($C$8:C1130,C1130)&amp;C1130)</f>
        <v/>
      </c>
    </row>
    <row r="1131" spans="2:24" ht="23.1" customHeight="1">
      <c r="B1131" s="31"/>
      <c r="C1131" s="9"/>
      <c r="D1131" s="9"/>
      <c r="E1131" s="7"/>
      <c r="F1131" s="7"/>
      <c r="G1131" s="7"/>
      <c r="H1131" s="7"/>
      <c r="I1131" s="7"/>
      <c r="J1131" s="39"/>
      <c r="L1131" s="16" t="str">
        <f t="shared" si="819"/>
        <v/>
      </c>
      <c r="M1131" s="16" t="str">
        <f t="shared" si="820"/>
        <v/>
      </c>
      <c r="N1131" s="16" t="str">
        <f t="shared" si="821"/>
        <v/>
      </c>
      <c r="O1131" s="16" t="str">
        <f>IF(N1131="","",COUNTIF($N$8:N1131,N1131))</f>
        <v/>
      </c>
      <c r="P1131" s="34" t="str">
        <f t="shared" si="822"/>
        <v/>
      </c>
      <c r="Q1131" s="34" t="str">
        <f t="shared" si="823"/>
        <v/>
      </c>
      <c r="R1131" s="34" t="str">
        <f t="shared" si="824"/>
        <v/>
      </c>
      <c r="S1131" s="34" t="str">
        <f t="shared" si="825"/>
        <v/>
      </c>
      <c r="T1131" s="34" t="str">
        <f t="shared" si="826"/>
        <v/>
      </c>
      <c r="U1131" s="34" t="str">
        <f>IF(AND(L1131=1,bp_kode=T1131,T1131&lt;&gt;""),COUNTIF($T$8:T1131,T1131),"")</f>
        <v/>
      </c>
      <c r="V1131" s="34" t="str">
        <f t="shared" si="827"/>
        <v/>
      </c>
      <c r="W1131" s="34" t="str">
        <f t="shared" si="828"/>
        <v/>
      </c>
      <c r="X1131" s="34" t="str">
        <f>IF(B1131="","",COUNTIF($C$8:C1131,C1131)&amp;C1131)</f>
        <v/>
      </c>
    </row>
    <row r="1132" spans="2:24" ht="23.1" customHeight="1">
      <c r="B1132" s="31"/>
      <c r="C1132" s="9"/>
      <c r="D1132" s="9"/>
      <c r="E1132" s="7"/>
      <c r="F1132" s="7"/>
      <c r="G1132" s="7"/>
      <c r="H1132" s="7"/>
      <c r="I1132" s="7"/>
      <c r="J1132" s="39"/>
      <c r="L1132" s="16" t="str">
        <f t="shared" si="819"/>
        <v/>
      </c>
      <c r="M1132" s="16" t="str">
        <f t="shared" si="820"/>
        <v/>
      </c>
      <c r="N1132" s="16" t="str">
        <f t="shared" si="821"/>
        <v/>
      </c>
      <c r="O1132" s="16" t="str">
        <f>IF(N1132="","",COUNTIF($N$8:N1132,N1132))</f>
        <v/>
      </c>
      <c r="P1132" s="34" t="str">
        <f t="shared" si="822"/>
        <v/>
      </c>
      <c r="Q1132" s="34" t="str">
        <f t="shared" si="823"/>
        <v/>
      </c>
      <c r="R1132" s="34" t="str">
        <f t="shared" si="824"/>
        <v/>
      </c>
      <c r="S1132" s="34" t="str">
        <f t="shared" si="825"/>
        <v/>
      </c>
      <c r="T1132" s="34" t="str">
        <f t="shared" si="826"/>
        <v/>
      </c>
      <c r="U1132" s="34" t="str">
        <f>IF(AND(L1132=1,bp_kode=T1132,T1132&lt;&gt;""),COUNTIF($T$8:T1132,T1132),"")</f>
        <v/>
      </c>
      <c r="V1132" s="34" t="str">
        <f t="shared" si="827"/>
        <v/>
      </c>
      <c r="W1132" s="34" t="str">
        <f t="shared" si="828"/>
        <v/>
      </c>
      <c r="X1132" s="34" t="str">
        <f>IF(B1132="","",COUNTIF($C$8:C1132,C1132)&amp;C1132)</f>
        <v/>
      </c>
    </row>
    <row r="1133" spans="2:24" ht="23.1" customHeight="1">
      <c r="B1133" s="31"/>
      <c r="C1133" s="9"/>
      <c r="D1133" s="9"/>
      <c r="E1133" s="7"/>
      <c r="F1133" s="7"/>
      <c r="G1133" s="7"/>
      <c r="H1133" s="7"/>
      <c r="I1133" s="7"/>
      <c r="J1133" s="39"/>
      <c r="L1133" s="16" t="str">
        <f t="shared" si="819"/>
        <v/>
      </c>
      <c r="M1133" s="16" t="str">
        <f t="shared" si="820"/>
        <v/>
      </c>
      <c r="N1133" s="16" t="str">
        <f t="shared" si="821"/>
        <v/>
      </c>
      <c r="O1133" s="16" t="str">
        <f>IF(N1133="","",COUNTIF($N$8:N1133,N1133))</f>
        <v/>
      </c>
      <c r="P1133" s="34" t="str">
        <f t="shared" si="822"/>
        <v/>
      </c>
      <c r="Q1133" s="34" t="str">
        <f t="shared" si="823"/>
        <v/>
      </c>
      <c r="R1133" s="34" t="str">
        <f t="shared" si="824"/>
        <v/>
      </c>
      <c r="S1133" s="34" t="str">
        <f t="shared" si="825"/>
        <v/>
      </c>
      <c r="T1133" s="34" t="str">
        <f t="shared" si="826"/>
        <v/>
      </c>
      <c r="U1133" s="34" t="str">
        <f>IF(AND(L1133=1,bp_kode=T1133,T1133&lt;&gt;""),COUNTIF($T$8:T1133,T1133),"")</f>
        <v/>
      </c>
      <c r="V1133" s="34" t="str">
        <f t="shared" si="827"/>
        <v/>
      </c>
      <c r="W1133" s="34" t="str">
        <f t="shared" si="828"/>
        <v/>
      </c>
      <c r="X1133" s="34" t="str">
        <f>IF(B1133="","",COUNTIF($C$8:C1133,C1133)&amp;C1133)</f>
        <v/>
      </c>
    </row>
    <row r="1134" spans="2:24" ht="23.1" customHeight="1">
      <c r="B1134" s="31"/>
      <c r="C1134" s="9"/>
      <c r="D1134" s="9"/>
      <c r="E1134" s="7"/>
      <c r="F1134" s="7"/>
      <c r="G1134" s="7"/>
      <c r="H1134" s="7"/>
      <c r="I1134" s="7"/>
      <c r="J1134" s="39"/>
      <c r="L1134" s="16" t="str">
        <f t="shared" si="819"/>
        <v/>
      </c>
      <c r="M1134" s="16" t="str">
        <f t="shared" si="820"/>
        <v/>
      </c>
      <c r="N1134" s="16" t="str">
        <f t="shared" si="821"/>
        <v/>
      </c>
      <c r="O1134" s="16" t="str">
        <f>IF(N1134="","",COUNTIF($N$8:N1134,N1134))</f>
        <v/>
      </c>
      <c r="P1134" s="34" t="str">
        <f t="shared" si="822"/>
        <v/>
      </c>
      <c r="Q1134" s="34" t="str">
        <f t="shared" si="823"/>
        <v/>
      </c>
      <c r="R1134" s="34" t="str">
        <f t="shared" si="824"/>
        <v/>
      </c>
      <c r="S1134" s="34" t="str">
        <f t="shared" si="825"/>
        <v/>
      </c>
      <c r="T1134" s="34" t="str">
        <f t="shared" si="826"/>
        <v/>
      </c>
      <c r="U1134" s="34" t="str">
        <f>IF(AND(L1134=1,bp_kode=T1134,T1134&lt;&gt;""),COUNTIF($T$8:T1134,T1134),"")</f>
        <v/>
      </c>
      <c r="V1134" s="34" t="str">
        <f t="shared" si="827"/>
        <v/>
      </c>
      <c r="W1134" s="34" t="str">
        <f t="shared" si="828"/>
        <v/>
      </c>
      <c r="X1134" s="34" t="str">
        <f>IF(B1134="","",COUNTIF($C$8:C1134,C1134)&amp;C1134)</f>
        <v/>
      </c>
    </row>
    <row r="1135" spans="2:24" ht="23.1" customHeight="1">
      <c r="B1135" s="31"/>
      <c r="C1135" s="9"/>
      <c r="D1135" s="9"/>
      <c r="E1135" s="7"/>
      <c r="F1135" s="7"/>
      <c r="G1135" s="7"/>
      <c r="H1135" s="7"/>
      <c r="I1135" s="7"/>
      <c r="J1135" s="39"/>
      <c r="L1135" s="16" t="str">
        <f t="shared" si="819"/>
        <v/>
      </c>
      <c r="M1135" s="16" t="str">
        <f t="shared" si="820"/>
        <v/>
      </c>
      <c r="N1135" s="16" t="str">
        <f t="shared" si="821"/>
        <v/>
      </c>
      <c r="O1135" s="16" t="str">
        <f>IF(N1135="","",COUNTIF($N$8:N1135,N1135))</f>
        <v/>
      </c>
      <c r="P1135" s="34" t="str">
        <f t="shared" si="822"/>
        <v/>
      </c>
      <c r="Q1135" s="34" t="str">
        <f t="shared" si="823"/>
        <v/>
      </c>
      <c r="R1135" s="34" t="str">
        <f t="shared" si="824"/>
        <v/>
      </c>
      <c r="S1135" s="34" t="str">
        <f t="shared" si="825"/>
        <v/>
      </c>
      <c r="T1135" s="34" t="str">
        <f t="shared" si="826"/>
        <v/>
      </c>
      <c r="U1135" s="34" t="str">
        <f>IF(AND(L1135=1,bp_kode=T1135,T1135&lt;&gt;""),COUNTIF($T$8:T1135,T1135),"")</f>
        <v/>
      </c>
      <c r="V1135" s="34" t="str">
        <f t="shared" si="827"/>
        <v/>
      </c>
      <c r="W1135" s="34" t="str">
        <f t="shared" si="828"/>
        <v/>
      </c>
      <c r="X1135" s="34" t="str">
        <f>IF(B1135="","",COUNTIF($C$8:C1135,C1135)&amp;C1135)</f>
        <v/>
      </c>
    </row>
    <row r="1136" spans="2:24" ht="23.1" customHeight="1">
      <c r="B1136" s="31"/>
      <c r="C1136" s="9"/>
      <c r="D1136" s="9"/>
      <c r="E1136" s="7"/>
      <c r="F1136" s="7"/>
      <c r="G1136" s="7"/>
      <c r="H1136" s="7"/>
      <c r="I1136" s="7"/>
      <c r="J1136" s="39"/>
      <c r="L1136" s="16" t="str">
        <f t="shared" si="819"/>
        <v/>
      </c>
      <c r="M1136" s="16" t="str">
        <f t="shared" si="820"/>
        <v/>
      </c>
      <c r="N1136" s="16" t="str">
        <f t="shared" si="821"/>
        <v/>
      </c>
      <c r="O1136" s="16" t="str">
        <f>IF(N1136="","",COUNTIF($N$8:N1136,N1136))</f>
        <v/>
      </c>
      <c r="P1136" s="34" t="str">
        <f t="shared" si="822"/>
        <v/>
      </c>
      <c r="Q1136" s="34" t="str">
        <f t="shared" si="823"/>
        <v/>
      </c>
      <c r="R1136" s="34" t="str">
        <f t="shared" si="824"/>
        <v/>
      </c>
      <c r="S1136" s="34" t="str">
        <f t="shared" si="825"/>
        <v/>
      </c>
      <c r="T1136" s="34" t="str">
        <f t="shared" si="826"/>
        <v/>
      </c>
      <c r="U1136" s="34" t="str">
        <f>IF(AND(L1136=1,bp_kode=T1136,T1136&lt;&gt;""),COUNTIF($T$8:T1136,T1136),"")</f>
        <v/>
      </c>
      <c r="V1136" s="34" t="str">
        <f t="shared" si="827"/>
        <v/>
      </c>
      <c r="W1136" s="34" t="str">
        <f t="shared" si="828"/>
        <v/>
      </c>
      <c r="X1136" s="34" t="str">
        <f>IF(B1136="","",COUNTIF($C$8:C1136,C1136)&amp;C1136)</f>
        <v/>
      </c>
    </row>
    <row r="1137" spans="2:24" ht="23.1" customHeight="1">
      <c r="B1137" s="31"/>
      <c r="C1137" s="9"/>
      <c r="D1137" s="9"/>
      <c r="E1137" s="7"/>
      <c r="F1137" s="7"/>
      <c r="G1137" s="7"/>
      <c r="H1137" s="7"/>
      <c r="I1137" s="7"/>
      <c r="J1137" s="39"/>
      <c r="L1137" s="16" t="str">
        <f t="shared" si="819"/>
        <v/>
      </c>
      <c r="M1137" s="16" t="str">
        <f t="shared" si="820"/>
        <v/>
      </c>
      <c r="N1137" s="16" t="str">
        <f t="shared" si="821"/>
        <v/>
      </c>
      <c r="O1137" s="16" t="str">
        <f>IF(N1137="","",COUNTIF($N$8:N1137,N1137))</f>
        <v/>
      </c>
      <c r="P1137" s="34" t="str">
        <f t="shared" si="822"/>
        <v/>
      </c>
      <c r="Q1137" s="34" t="str">
        <f t="shared" si="823"/>
        <v/>
      </c>
      <c r="R1137" s="34" t="str">
        <f t="shared" si="824"/>
        <v/>
      </c>
      <c r="S1137" s="34" t="str">
        <f t="shared" si="825"/>
        <v/>
      </c>
      <c r="T1137" s="34" t="str">
        <f t="shared" si="826"/>
        <v/>
      </c>
      <c r="U1137" s="34" t="str">
        <f>IF(AND(L1137=1,bp_kode=T1137,T1137&lt;&gt;""),COUNTIF($T$8:T1137,T1137),"")</f>
        <v/>
      </c>
      <c r="V1137" s="34" t="str">
        <f t="shared" si="827"/>
        <v/>
      </c>
      <c r="W1137" s="34" t="str">
        <f t="shared" si="828"/>
        <v/>
      </c>
      <c r="X1137" s="34" t="str">
        <f>IF(B1137="","",COUNTIF($C$8:C1137,C1137)&amp;C1137)</f>
        <v/>
      </c>
    </row>
    <row r="1138" spans="2:24" ht="23.1" customHeight="1">
      <c r="B1138" s="31"/>
      <c r="C1138" s="9"/>
      <c r="D1138" s="9"/>
      <c r="E1138" s="7"/>
      <c r="F1138" s="7"/>
      <c r="G1138" s="7"/>
      <c r="H1138" s="7"/>
      <c r="I1138" s="7"/>
      <c r="J1138" s="39"/>
      <c r="L1138" s="16" t="str">
        <f t="shared" si="819"/>
        <v/>
      </c>
      <c r="M1138" s="16" t="str">
        <f t="shared" si="820"/>
        <v/>
      </c>
      <c r="N1138" s="16" t="str">
        <f t="shared" si="821"/>
        <v/>
      </c>
      <c r="O1138" s="16" t="str">
        <f>IF(N1138="","",COUNTIF($N$8:N1138,N1138))</f>
        <v/>
      </c>
      <c r="P1138" s="34" t="str">
        <f t="shared" si="822"/>
        <v/>
      </c>
      <c r="Q1138" s="34" t="str">
        <f t="shared" si="823"/>
        <v/>
      </c>
      <c r="R1138" s="34" t="str">
        <f t="shared" si="824"/>
        <v/>
      </c>
      <c r="S1138" s="34" t="str">
        <f t="shared" si="825"/>
        <v/>
      </c>
      <c r="T1138" s="34" t="str">
        <f t="shared" si="826"/>
        <v/>
      </c>
      <c r="U1138" s="34" t="str">
        <f>IF(AND(L1138=1,bp_kode=T1138,T1138&lt;&gt;""),COUNTIF($T$8:T1138,T1138),"")</f>
        <v/>
      </c>
      <c r="V1138" s="34" t="str">
        <f t="shared" si="827"/>
        <v/>
      </c>
      <c r="W1138" s="34" t="str">
        <f t="shared" si="828"/>
        <v/>
      </c>
      <c r="X1138" s="34" t="str">
        <f>IF(B1138="","",COUNTIF($C$8:C1138,C1138)&amp;C1138)</f>
        <v/>
      </c>
    </row>
    <row r="1139" spans="2:24" ht="23.1" customHeight="1">
      <c r="B1139" s="31"/>
      <c r="C1139" s="9"/>
      <c r="D1139" s="9"/>
      <c r="E1139" s="7"/>
      <c r="F1139" s="7"/>
      <c r="G1139" s="7"/>
      <c r="H1139" s="7"/>
      <c r="I1139" s="7"/>
      <c r="J1139" s="39"/>
      <c r="L1139" s="16" t="str">
        <f t="shared" si="819"/>
        <v/>
      </c>
      <c r="M1139" s="16" t="str">
        <f t="shared" si="820"/>
        <v/>
      </c>
      <c r="N1139" s="16" t="str">
        <f t="shared" si="821"/>
        <v/>
      </c>
      <c r="O1139" s="16" t="str">
        <f>IF(N1139="","",COUNTIF($N$8:N1139,N1139))</f>
        <v/>
      </c>
      <c r="P1139" s="34" t="str">
        <f t="shared" si="822"/>
        <v/>
      </c>
      <c r="Q1139" s="34" t="str">
        <f t="shared" si="823"/>
        <v/>
      </c>
      <c r="R1139" s="34" t="str">
        <f t="shared" si="824"/>
        <v/>
      </c>
      <c r="S1139" s="34" t="str">
        <f t="shared" si="825"/>
        <v/>
      </c>
      <c r="T1139" s="34" t="str">
        <f t="shared" si="826"/>
        <v/>
      </c>
      <c r="U1139" s="34" t="str">
        <f>IF(AND(L1139=1,bp_kode=T1139,T1139&lt;&gt;""),COUNTIF($T$8:T1139,T1139),"")</f>
        <v/>
      </c>
      <c r="V1139" s="34" t="str">
        <f t="shared" si="827"/>
        <v/>
      </c>
      <c r="W1139" s="34" t="str">
        <f t="shared" si="828"/>
        <v/>
      </c>
      <c r="X1139" s="34" t="str">
        <f>IF(B1139="","",COUNTIF($C$8:C1139,C1139)&amp;C1139)</f>
        <v/>
      </c>
    </row>
    <row r="1140" spans="2:24" ht="23.1" customHeight="1">
      <c r="B1140" s="31"/>
      <c r="C1140" s="9"/>
      <c r="D1140" s="9"/>
      <c r="E1140" s="7"/>
      <c r="F1140" s="7"/>
      <c r="G1140" s="7"/>
      <c r="H1140" s="7"/>
      <c r="I1140" s="7"/>
      <c r="J1140" s="39"/>
      <c r="L1140" s="16" t="str">
        <f t="shared" si="819"/>
        <v/>
      </c>
      <c r="M1140" s="16" t="str">
        <f t="shared" si="820"/>
        <v/>
      </c>
      <c r="N1140" s="16" t="str">
        <f t="shared" si="821"/>
        <v/>
      </c>
      <c r="O1140" s="16" t="str">
        <f>IF(N1140="","",COUNTIF($N$8:N1140,N1140))</f>
        <v/>
      </c>
      <c r="P1140" s="34" t="str">
        <f t="shared" si="822"/>
        <v/>
      </c>
      <c r="Q1140" s="34" t="str">
        <f t="shared" si="823"/>
        <v/>
      </c>
      <c r="R1140" s="34" t="str">
        <f t="shared" si="824"/>
        <v/>
      </c>
      <c r="S1140" s="34" t="str">
        <f t="shared" si="825"/>
        <v/>
      </c>
      <c r="T1140" s="34" t="str">
        <f t="shared" si="826"/>
        <v/>
      </c>
      <c r="U1140" s="34" t="str">
        <f>IF(AND(L1140=1,bp_kode=T1140,T1140&lt;&gt;""),COUNTIF($T$8:T1140,T1140),"")</f>
        <v/>
      </c>
      <c r="V1140" s="34" t="str">
        <f t="shared" si="827"/>
        <v/>
      </c>
      <c r="W1140" s="34" t="str">
        <f t="shared" si="828"/>
        <v/>
      </c>
      <c r="X1140" s="34" t="str">
        <f>IF(B1140="","",COUNTIF($C$8:C1140,C1140)&amp;C1140)</f>
        <v/>
      </c>
    </row>
    <row r="1141" spans="2:24" ht="23.1" customHeight="1">
      <c r="B1141" s="31"/>
      <c r="C1141" s="9"/>
      <c r="D1141" s="9"/>
      <c r="E1141" s="7"/>
      <c r="F1141" s="7"/>
      <c r="G1141" s="7"/>
      <c r="H1141" s="7"/>
      <c r="I1141" s="7"/>
      <c r="J1141" s="39"/>
      <c r="L1141" s="16" t="str">
        <f t="shared" si="819"/>
        <v/>
      </c>
      <c r="M1141" s="16" t="str">
        <f t="shared" si="820"/>
        <v/>
      </c>
      <c r="N1141" s="16" t="str">
        <f t="shared" si="821"/>
        <v/>
      </c>
      <c r="O1141" s="16" t="str">
        <f>IF(N1141="","",COUNTIF($N$8:N1141,N1141))</f>
        <v/>
      </c>
      <c r="P1141" s="34" t="str">
        <f t="shared" si="822"/>
        <v/>
      </c>
      <c r="Q1141" s="34" t="str">
        <f t="shared" si="823"/>
        <v/>
      </c>
      <c r="R1141" s="34" t="str">
        <f t="shared" si="824"/>
        <v/>
      </c>
      <c r="S1141" s="34" t="str">
        <f t="shared" si="825"/>
        <v/>
      </c>
      <c r="T1141" s="34" t="str">
        <f t="shared" si="826"/>
        <v/>
      </c>
      <c r="U1141" s="34" t="str">
        <f>IF(AND(L1141=1,bp_kode=T1141,T1141&lt;&gt;""),COUNTIF($T$8:T1141,T1141),"")</f>
        <v/>
      </c>
      <c r="V1141" s="34" t="str">
        <f t="shared" si="827"/>
        <v/>
      </c>
      <c r="W1141" s="34" t="str">
        <f t="shared" si="828"/>
        <v/>
      </c>
      <c r="X1141" s="34" t="str">
        <f>IF(B1141="","",COUNTIF($C$8:C1141,C1141)&amp;C1141)</f>
        <v/>
      </c>
    </row>
    <row r="1142" spans="2:24" ht="23.1" customHeight="1">
      <c r="B1142" s="31"/>
      <c r="C1142" s="9"/>
      <c r="D1142" s="9"/>
      <c r="E1142" s="7"/>
      <c r="F1142" s="7"/>
      <c r="G1142" s="7"/>
      <c r="H1142" s="7"/>
      <c r="I1142" s="7"/>
      <c r="J1142" s="39"/>
      <c r="L1142" s="16" t="str">
        <f t="shared" si="819"/>
        <v/>
      </c>
      <c r="M1142" s="16" t="str">
        <f t="shared" si="820"/>
        <v/>
      </c>
      <c r="N1142" s="16" t="str">
        <f t="shared" si="821"/>
        <v/>
      </c>
      <c r="O1142" s="16" t="str">
        <f>IF(N1142="","",COUNTIF($N$8:N1142,N1142))</f>
        <v/>
      </c>
      <c r="P1142" s="34" t="str">
        <f t="shared" si="822"/>
        <v/>
      </c>
      <c r="Q1142" s="34" t="str">
        <f t="shared" si="823"/>
        <v/>
      </c>
      <c r="R1142" s="34" t="str">
        <f t="shared" si="824"/>
        <v/>
      </c>
      <c r="S1142" s="34" t="str">
        <f t="shared" si="825"/>
        <v/>
      </c>
      <c r="T1142" s="34" t="str">
        <f t="shared" si="826"/>
        <v/>
      </c>
      <c r="U1142" s="34" t="str">
        <f>IF(AND(L1142=1,bp_kode=T1142,T1142&lt;&gt;""),COUNTIF($T$8:T1142,T1142),"")</f>
        <v/>
      </c>
      <c r="V1142" s="34" t="str">
        <f t="shared" si="827"/>
        <v/>
      </c>
      <c r="W1142" s="34" t="str">
        <f t="shared" si="828"/>
        <v/>
      </c>
      <c r="X1142" s="34" t="str">
        <f>IF(B1142="","",COUNTIF($C$8:C1142,C1142)&amp;C1142)</f>
        <v/>
      </c>
    </row>
    <row r="1143" spans="2:24" ht="23.1" customHeight="1">
      <c r="B1143" s="31"/>
      <c r="C1143" s="9"/>
      <c r="D1143" s="9"/>
      <c r="E1143" s="7"/>
      <c r="F1143" s="7"/>
      <c r="G1143" s="7"/>
      <c r="H1143" s="7"/>
      <c r="I1143" s="7"/>
      <c r="J1143" s="39"/>
      <c r="L1143" s="16" t="str">
        <f t="shared" si="819"/>
        <v/>
      </c>
      <c r="M1143" s="16" t="str">
        <f t="shared" si="820"/>
        <v/>
      </c>
      <c r="N1143" s="16" t="str">
        <f t="shared" si="821"/>
        <v/>
      </c>
      <c r="O1143" s="16" t="str">
        <f>IF(N1143="","",COUNTIF($N$8:N1143,N1143))</f>
        <v/>
      </c>
      <c r="P1143" s="34" t="str">
        <f t="shared" si="822"/>
        <v/>
      </c>
      <c r="Q1143" s="34" t="str">
        <f t="shared" si="823"/>
        <v/>
      </c>
      <c r="R1143" s="34" t="str">
        <f t="shared" si="824"/>
        <v/>
      </c>
      <c r="S1143" s="34" t="str">
        <f t="shared" si="825"/>
        <v/>
      </c>
      <c r="T1143" s="34" t="str">
        <f t="shared" si="826"/>
        <v/>
      </c>
      <c r="U1143" s="34" t="str">
        <f>IF(AND(L1143=1,bp_kode=T1143,T1143&lt;&gt;""),COUNTIF($T$8:T1143,T1143),"")</f>
        <v/>
      </c>
      <c r="V1143" s="34" t="str">
        <f t="shared" si="827"/>
        <v/>
      </c>
      <c r="W1143" s="34" t="str">
        <f t="shared" si="828"/>
        <v/>
      </c>
      <c r="X1143" s="34" t="str">
        <f>IF(B1143="","",COUNTIF($C$8:C1143,C1143)&amp;C1143)</f>
        <v/>
      </c>
    </row>
    <row r="1144" spans="2:24" ht="23.1" customHeight="1">
      <c r="B1144" s="31"/>
      <c r="C1144" s="9"/>
      <c r="D1144" s="9"/>
      <c r="E1144" s="7"/>
      <c r="F1144" s="7"/>
      <c r="G1144" s="7"/>
      <c r="H1144" s="7"/>
      <c r="I1144" s="7"/>
      <c r="J1144" s="39"/>
      <c r="L1144" s="16" t="str">
        <f t="shared" si="819"/>
        <v/>
      </c>
      <c r="M1144" s="16" t="str">
        <f t="shared" si="820"/>
        <v/>
      </c>
      <c r="N1144" s="16" t="str">
        <f t="shared" si="821"/>
        <v/>
      </c>
      <c r="O1144" s="16" t="str">
        <f>IF(N1144="","",COUNTIF($N$8:N1144,N1144))</f>
        <v/>
      </c>
      <c r="P1144" s="34" t="str">
        <f t="shared" si="822"/>
        <v/>
      </c>
      <c r="Q1144" s="34" t="str">
        <f t="shared" si="823"/>
        <v/>
      </c>
      <c r="R1144" s="34" t="str">
        <f t="shared" si="824"/>
        <v/>
      </c>
      <c r="S1144" s="34" t="str">
        <f t="shared" si="825"/>
        <v/>
      </c>
      <c r="T1144" s="34" t="str">
        <f t="shared" si="826"/>
        <v/>
      </c>
      <c r="U1144" s="34" t="str">
        <f>IF(AND(L1144=1,bp_kode=T1144,T1144&lt;&gt;""),COUNTIF($T$8:T1144,T1144),"")</f>
        <v/>
      </c>
      <c r="V1144" s="34" t="str">
        <f t="shared" si="827"/>
        <v/>
      </c>
      <c r="W1144" s="34" t="str">
        <f t="shared" si="828"/>
        <v/>
      </c>
      <c r="X1144" s="34" t="str">
        <f>IF(B1144="","",COUNTIF($C$8:C1144,C1144)&amp;C1144)</f>
        <v/>
      </c>
    </row>
    <row r="1145" spans="2:24" ht="23.1" customHeight="1">
      <c r="B1145" s="31"/>
      <c r="C1145" s="9"/>
      <c r="D1145" s="9"/>
      <c r="E1145" s="7"/>
      <c r="F1145" s="7"/>
      <c r="G1145" s="7"/>
      <c r="H1145" s="7"/>
      <c r="I1145" s="7"/>
      <c r="J1145" s="39"/>
      <c r="L1145" s="16" t="str">
        <f t="shared" si="819"/>
        <v/>
      </c>
      <c r="M1145" s="16" t="str">
        <f t="shared" si="820"/>
        <v/>
      </c>
      <c r="N1145" s="16" t="str">
        <f t="shared" si="821"/>
        <v/>
      </c>
      <c r="O1145" s="16" t="str">
        <f>IF(N1145="","",COUNTIF($N$8:N1145,N1145))</f>
        <v/>
      </c>
      <c r="P1145" s="34" t="str">
        <f t="shared" si="822"/>
        <v/>
      </c>
      <c r="Q1145" s="34" t="str">
        <f t="shared" si="823"/>
        <v/>
      </c>
      <c r="R1145" s="34" t="str">
        <f t="shared" si="824"/>
        <v/>
      </c>
      <c r="S1145" s="34" t="str">
        <f t="shared" si="825"/>
        <v/>
      </c>
      <c r="T1145" s="34" t="str">
        <f t="shared" si="826"/>
        <v/>
      </c>
      <c r="U1145" s="34" t="str">
        <f>IF(AND(L1145=1,bp_kode=T1145,T1145&lt;&gt;""),COUNTIF($T$8:T1145,T1145),"")</f>
        <v/>
      </c>
      <c r="V1145" s="34" t="str">
        <f t="shared" si="827"/>
        <v/>
      </c>
      <c r="W1145" s="34" t="str">
        <f t="shared" si="828"/>
        <v/>
      </c>
      <c r="X1145" s="34" t="str">
        <f>IF(B1145="","",COUNTIF($C$8:C1145,C1145)&amp;C1145)</f>
        <v/>
      </c>
    </row>
    <row r="1146" spans="2:24" ht="23.1" customHeight="1">
      <c r="B1146" s="31"/>
      <c r="C1146" s="9"/>
      <c r="D1146" s="9"/>
      <c r="E1146" s="7"/>
      <c r="F1146" s="7"/>
      <c r="G1146" s="7"/>
      <c r="H1146" s="7"/>
      <c r="I1146" s="7"/>
      <c r="J1146" s="39"/>
      <c r="L1146" s="16" t="str">
        <f t="shared" si="819"/>
        <v/>
      </c>
      <c r="M1146" s="16" t="str">
        <f t="shared" si="820"/>
        <v/>
      </c>
      <c r="N1146" s="16" t="str">
        <f t="shared" si="821"/>
        <v/>
      </c>
      <c r="O1146" s="16" t="str">
        <f>IF(N1146="","",COUNTIF($N$8:N1146,N1146))</f>
        <v/>
      </c>
      <c r="P1146" s="34" t="str">
        <f t="shared" si="822"/>
        <v/>
      </c>
      <c r="Q1146" s="34" t="str">
        <f t="shared" si="823"/>
        <v/>
      </c>
      <c r="R1146" s="34" t="str">
        <f t="shared" si="824"/>
        <v/>
      </c>
      <c r="S1146" s="34" t="str">
        <f t="shared" si="825"/>
        <v/>
      </c>
      <c r="T1146" s="34" t="str">
        <f t="shared" si="826"/>
        <v/>
      </c>
      <c r="U1146" s="34" t="str">
        <f>IF(AND(L1146=1,bp_kode=T1146,T1146&lt;&gt;""),COUNTIF($T$8:T1146,T1146),"")</f>
        <v/>
      </c>
      <c r="V1146" s="34" t="str">
        <f t="shared" si="827"/>
        <v/>
      </c>
      <c r="W1146" s="34" t="str">
        <f t="shared" si="828"/>
        <v/>
      </c>
      <c r="X1146" s="34" t="str">
        <f>IF(B1146="","",COUNTIF($C$8:C1146,C1146)&amp;C1146)</f>
        <v/>
      </c>
    </row>
    <row r="1147" spans="2:24" ht="23.1" customHeight="1">
      <c r="B1147" s="31"/>
      <c r="C1147" s="9"/>
      <c r="D1147" s="9"/>
      <c r="E1147" s="7"/>
      <c r="F1147" s="7"/>
      <c r="G1147" s="7"/>
      <c r="H1147" s="7"/>
      <c r="I1147" s="7"/>
      <c r="J1147" s="39"/>
      <c r="L1147" s="16" t="str">
        <f t="shared" si="819"/>
        <v/>
      </c>
      <c r="M1147" s="16" t="str">
        <f t="shared" si="820"/>
        <v/>
      </c>
      <c r="N1147" s="16" t="str">
        <f t="shared" si="821"/>
        <v/>
      </c>
      <c r="O1147" s="16" t="str">
        <f>IF(N1147="","",COUNTIF($N$8:N1147,N1147))</f>
        <v/>
      </c>
      <c r="P1147" s="34" t="str">
        <f t="shared" si="822"/>
        <v/>
      </c>
      <c r="Q1147" s="34" t="str">
        <f t="shared" si="823"/>
        <v/>
      </c>
      <c r="R1147" s="34" t="str">
        <f t="shared" si="824"/>
        <v/>
      </c>
      <c r="S1147" s="34" t="str">
        <f t="shared" si="825"/>
        <v/>
      </c>
      <c r="T1147" s="34" t="str">
        <f t="shared" si="826"/>
        <v/>
      </c>
      <c r="U1147" s="34" t="str">
        <f>IF(AND(L1147=1,bp_kode=T1147,T1147&lt;&gt;""),COUNTIF($T$8:T1147,T1147),"")</f>
        <v/>
      </c>
      <c r="V1147" s="34" t="str">
        <f t="shared" si="827"/>
        <v/>
      </c>
      <c r="W1147" s="34" t="str">
        <f t="shared" si="828"/>
        <v/>
      </c>
      <c r="X1147" s="34" t="str">
        <f>IF(B1147="","",COUNTIF($C$8:C1147,C1147)&amp;C1147)</f>
        <v/>
      </c>
    </row>
    <row r="1148" spans="2:24" ht="23.1" customHeight="1">
      <c r="B1148" s="31"/>
      <c r="C1148" s="9"/>
      <c r="D1148" s="9"/>
      <c r="E1148" s="7"/>
      <c r="F1148" s="7"/>
      <c r="G1148" s="7"/>
      <c r="H1148" s="7"/>
      <c r="I1148" s="7"/>
      <c r="J1148" s="39"/>
      <c r="L1148" s="16" t="str">
        <f t="shared" ref="L1148:L1211" si="829">IF(AND(B1148&gt;=awal,B1148&lt;=akhir,B1148&lt;&gt;""),1,IF(AND(B1148&lt;&gt;"",B1148&lt;awal),2,""))</f>
        <v/>
      </c>
      <c r="M1148" s="16" t="str">
        <f t="shared" ref="M1148:M1211" si="830">IF(B1148="","",TEXT(B1148,"mmmm"))</f>
        <v/>
      </c>
      <c r="N1148" s="16" t="str">
        <f t="shared" ref="N1148:N1211" si="831">IF(AND(L1148=1,H1148=bb_akun),"Awe",IF(AND(L1148=1,I1148=bb_akun),"Awe",""))</f>
        <v/>
      </c>
      <c r="O1148" s="16" t="str">
        <f>IF(N1148="","",COUNTIF($N$8:N1148,N1148))</f>
        <v/>
      </c>
      <c r="P1148" s="34" t="str">
        <f t="shared" ref="P1148:P1211" si="832">IFERROR(IF(OR(INDEX(akun_type,MATCH(H1148,akun_kb,0))="Kas",INDEX(akun_type,MATCH(H1148,akun_kb,0))="Bank"),"In"&amp;INDEX(akun_type,MATCH(I1148,akun_kb,0)),IF(OR(INDEX(akun_type,MATCH(I1148,akun_kb,0))="Kas",INDEX(akun_type,MATCH(I1148,akun_kb,0))="Bank"),"out"&amp;INDEX(akun_type,MATCH(H1148,akun_kb,0)),"")),"")</f>
        <v/>
      </c>
      <c r="Q1148" s="34" t="str">
        <f t="shared" ref="Q1148:Q1211" si="833">IFERROR(IF(OR(INDEX(akun_type,MATCH(H1148,akun_kb,0))="Kas",INDEX(akun_type,MATCH(H1148,akun_kb,0))="Bank"),"in"&amp;TEXT(B1148,"mmmm")&amp;INDEX(akun_type,MATCH(I1148,akun_kb,0)),IF(OR(INDEX(akun_type,MATCH(I1148,akun_kb,0))="Kas",INDEX(akun_type,MATCH(I1148,akun_kb,0))="Bank"),"out"&amp;TEXT(B1148,"mmmm")&amp;INDEX(akun_type,MATCH(H1148,akun_kb,0)),"")),"")</f>
        <v/>
      </c>
      <c r="R1148" s="34" t="str">
        <f t="shared" ref="R1148:R1211" si="834">IFERROR(INDEX(akun_type,MATCH(H1148,akun_kb,0)),"")</f>
        <v/>
      </c>
      <c r="S1148" s="34" t="str">
        <f t="shared" ref="S1148:S1211" si="835">IFERROR(INDEX(akun_type,MATCH(I1148,akun_kb,0)),"")</f>
        <v/>
      </c>
      <c r="T1148" s="34" t="str">
        <f t="shared" ref="T1148:T1211" si="836">IF(AND(L1148=1,OR(R1148="Akun Piutang",R1148="akun hutang",S1148="akun piutang",S1148="akun hutang")),E1148,"")</f>
        <v/>
      </c>
      <c r="U1148" s="34" t="str">
        <f>IF(AND(L1148=1,bp_kode=T1148,T1148&lt;&gt;""),COUNTIF($T$8:T1148,T1148),"")</f>
        <v/>
      </c>
      <c r="V1148" s="34" t="str">
        <f t="shared" ref="V1148:V1211" si="837">IF(OR(R1148="Pendapatan",R1148="Pendapatan Lainnya",R1148="Beban",R1148="Harga Pokok Penjualan",R1148="Beban Lainnya"),"db"&amp;F1148,IF(OR(S1148="Pendapatan",S1148="Pendapatan Lainnya",S1148="Beban",S1148="Harga Pokok Penjualan",S1148="Beban Lainnya"),"kr"&amp;F1148,""))</f>
        <v/>
      </c>
      <c r="W1148" s="34" t="str">
        <f t="shared" ref="W1148:W1211" si="838">IF(OR(R1148="Pendapatan",R1148="Pendapatan Lainnya",R1148="Beban",R1148="Harga Pokok Penjualan",R1148="Beban Lainnya"),"db"&amp;G1148,IF(OR(S1148="Pendapatan",S1148="Pendapatan Lainnya",S1148="Beban",S1148="Harga Pokok Penjualan",S1148="Beban Lainnya"),"kr"&amp;G1148,""))</f>
        <v/>
      </c>
      <c r="X1148" s="34" t="str">
        <f>IF(B1148="","",COUNTIF($C$8:C1148,C1148)&amp;C1148)</f>
        <v/>
      </c>
    </row>
    <row r="1149" spans="2:24" ht="23.1" customHeight="1">
      <c r="B1149" s="31"/>
      <c r="C1149" s="9"/>
      <c r="D1149" s="9"/>
      <c r="E1149" s="7"/>
      <c r="F1149" s="7"/>
      <c r="G1149" s="7"/>
      <c r="H1149" s="7"/>
      <c r="I1149" s="7"/>
      <c r="J1149" s="39"/>
      <c r="L1149" s="16" t="str">
        <f t="shared" si="829"/>
        <v/>
      </c>
      <c r="M1149" s="16" t="str">
        <f t="shared" si="830"/>
        <v/>
      </c>
      <c r="N1149" s="16" t="str">
        <f t="shared" si="831"/>
        <v/>
      </c>
      <c r="O1149" s="16" t="str">
        <f>IF(N1149="","",COUNTIF($N$8:N1149,N1149))</f>
        <v/>
      </c>
      <c r="P1149" s="34" t="str">
        <f t="shared" si="832"/>
        <v/>
      </c>
      <c r="Q1149" s="34" t="str">
        <f t="shared" si="833"/>
        <v/>
      </c>
      <c r="R1149" s="34" t="str">
        <f t="shared" si="834"/>
        <v/>
      </c>
      <c r="S1149" s="34" t="str">
        <f t="shared" si="835"/>
        <v/>
      </c>
      <c r="T1149" s="34" t="str">
        <f t="shared" si="836"/>
        <v/>
      </c>
      <c r="U1149" s="34" t="str">
        <f>IF(AND(L1149=1,bp_kode=T1149,T1149&lt;&gt;""),COUNTIF($T$8:T1149,T1149),"")</f>
        <v/>
      </c>
      <c r="V1149" s="34" t="str">
        <f t="shared" si="837"/>
        <v/>
      </c>
      <c r="W1149" s="34" t="str">
        <f t="shared" si="838"/>
        <v/>
      </c>
      <c r="X1149" s="34" t="str">
        <f>IF(B1149="","",COUNTIF($C$8:C1149,C1149)&amp;C1149)</f>
        <v/>
      </c>
    </row>
    <row r="1150" spans="2:24" ht="23.1" customHeight="1">
      <c r="B1150" s="31"/>
      <c r="C1150" s="9"/>
      <c r="D1150" s="9"/>
      <c r="E1150" s="7"/>
      <c r="F1150" s="7"/>
      <c r="G1150" s="7"/>
      <c r="H1150" s="7"/>
      <c r="I1150" s="7"/>
      <c r="J1150" s="39"/>
      <c r="L1150" s="16" t="str">
        <f t="shared" si="829"/>
        <v/>
      </c>
      <c r="M1150" s="16" t="str">
        <f t="shared" si="830"/>
        <v/>
      </c>
      <c r="N1150" s="16" t="str">
        <f t="shared" si="831"/>
        <v/>
      </c>
      <c r="O1150" s="16" t="str">
        <f>IF(N1150="","",COUNTIF($N$8:N1150,N1150))</f>
        <v/>
      </c>
      <c r="P1150" s="34" t="str">
        <f t="shared" si="832"/>
        <v/>
      </c>
      <c r="Q1150" s="34" t="str">
        <f t="shared" si="833"/>
        <v/>
      </c>
      <c r="R1150" s="34" t="str">
        <f t="shared" si="834"/>
        <v/>
      </c>
      <c r="S1150" s="34" t="str">
        <f t="shared" si="835"/>
        <v/>
      </c>
      <c r="T1150" s="34" t="str">
        <f t="shared" si="836"/>
        <v/>
      </c>
      <c r="U1150" s="34" t="str">
        <f>IF(AND(L1150=1,bp_kode=T1150,T1150&lt;&gt;""),COUNTIF($T$8:T1150,T1150),"")</f>
        <v/>
      </c>
      <c r="V1150" s="34" t="str">
        <f t="shared" si="837"/>
        <v/>
      </c>
      <c r="W1150" s="34" t="str">
        <f t="shared" si="838"/>
        <v/>
      </c>
      <c r="X1150" s="34" t="str">
        <f>IF(B1150="","",COUNTIF($C$8:C1150,C1150)&amp;C1150)</f>
        <v/>
      </c>
    </row>
    <row r="1151" spans="2:24" ht="23.1" customHeight="1">
      <c r="B1151" s="31"/>
      <c r="C1151" s="9"/>
      <c r="D1151" s="9"/>
      <c r="E1151" s="7"/>
      <c r="F1151" s="7"/>
      <c r="G1151" s="7"/>
      <c r="H1151" s="7"/>
      <c r="I1151" s="7"/>
      <c r="J1151" s="39"/>
      <c r="L1151" s="16" t="str">
        <f t="shared" si="829"/>
        <v/>
      </c>
      <c r="M1151" s="16" t="str">
        <f t="shared" si="830"/>
        <v/>
      </c>
      <c r="N1151" s="16" t="str">
        <f t="shared" si="831"/>
        <v/>
      </c>
      <c r="O1151" s="16" t="str">
        <f>IF(N1151="","",COUNTIF($N$8:N1151,N1151))</f>
        <v/>
      </c>
      <c r="P1151" s="34" t="str">
        <f t="shared" si="832"/>
        <v/>
      </c>
      <c r="Q1151" s="34" t="str">
        <f t="shared" si="833"/>
        <v/>
      </c>
      <c r="R1151" s="34" t="str">
        <f t="shared" si="834"/>
        <v/>
      </c>
      <c r="S1151" s="34" t="str">
        <f t="shared" si="835"/>
        <v/>
      </c>
      <c r="T1151" s="34" t="str">
        <f t="shared" si="836"/>
        <v/>
      </c>
      <c r="U1151" s="34" t="str">
        <f>IF(AND(L1151=1,bp_kode=T1151,T1151&lt;&gt;""),COUNTIF($T$8:T1151,T1151),"")</f>
        <v/>
      </c>
      <c r="V1151" s="34" t="str">
        <f t="shared" si="837"/>
        <v/>
      </c>
      <c r="W1151" s="34" t="str">
        <f t="shared" si="838"/>
        <v/>
      </c>
      <c r="X1151" s="34" t="str">
        <f>IF(B1151="","",COUNTIF($C$8:C1151,C1151)&amp;C1151)</f>
        <v/>
      </c>
    </row>
    <row r="1152" spans="2:24" ht="23.1" customHeight="1">
      <c r="B1152" s="31"/>
      <c r="C1152" s="9"/>
      <c r="D1152" s="9"/>
      <c r="E1152" s="7"/>
      <c r="F1152" s="7"/>
      <c r="G1152" s="7"/>
      <c r="H1152" s="7"/>
      <c r="I1152" s="7"/>
      <c r="J1152" s="39"/>
      <c r="L1152" s="16" t="str">
        <f t="shared" si="829"/>
        <v/>
      </c>
      <c r="M1152" s="16" t="str">
        <f t="shared" si="830"/>
        <v/>
      </c>
      <c r="N1152" s="16" t="str">
        <f t="shared" si="831"/>
        <v/>
      </c>
      <c r="O1152" s="16" t="str">
        <f>IF(N1152="","",COUNTIF($N$8:N1152,N1152))</f>
        <v/>
      </c>
      <c r="P1152" s="34" t="str">
        <f t="shared" si="832"/>
        <v/>
      </c>
      <c r="Q1152" s="34" t="str">
        <f t="shared" si="833"/>
        <v/>
      </c>
      <c r="R1152" s="34" t="str">
        <f t="shared" si="834"/>
        <v/>
      </c>
      <c r="S1152" s="34" t="str">
        <f t="shared" si="835"/>
        <v/>
      </c>
      <c r="T1152" s="34" t="str">
        <f t="shared" si="836"/>
        <v/>
      </c>
      <c r="U1152" s="34" t="str">
        <f>IF(AND(L1152=1,bp_kode=T1152,T1152&lt;&gt;""),COUNTIF($T$8:T1152,T1152),"")</f>
        <v/>
      </c>
      <c r="V1152" s="34" t="str">
        <f t="shared" si="837"/>
        <v/>
      </c>
      <c r="W1152" s="34" t="str">
        <f t="shared" si="838"/>
        <v/>
      </c>
      <c r="X1152" s="34" t="str">
        <f>IF(B1152="","",COUNTIF($C$8:C1152,C1152)&amp;C1152)</f>
        <v/>
      </c>
    </row>
    <row r="1153" spans="2:24" ht="23.1" customHeight="1">
      <c r="B1153" s="31"/>
      <c r="C1153" s="9"/>
      <c r="D1153" s="9"/>
      <c r="E1153" s="7"/>
      <c r="F1153" s="7"/>
      <c r="G1153" s="7"/>
      <c r="H1153" s="7"/>
      <c r="I1153" s="7"/>
      <c r="J1153" s="39"/>
      <c r="L1153" s="16" t="str">
        <f t="shared" si="829"/>
        <v/>
      </c>
      <c r="M1153" s="16" t="str">
        <f t="shared" si="830"/>
        <v/>
      </c>
      <c r="N1153" s="16" t="str">
        <f t="shared" si="831"/>
        <v/>
      </c>
      <c r="O1153" s="16" t="str">
        <f>IF(N1153="","",COUNTIF($N$8:N1153,N1153))</f>
        <v/>
      </c>
      <c r="P1153" s="34" t="str">
        <f t="shared" si="832"/>
        <v/>
      </c>
      <c r="Q1153" s="34" t="str">
        <f t="shared" si="833"/>
        <v/>
      </c>
      <c r="R1153" s="34" t="str">
        <f t="shared" si="834"/>
        <v/>
      </c>
      <c r="S1153" s="34" t="str">
        <f t="shared" si="835"/>
        <v/>
      </c>
      <c r="T1153" s="34" t="str">
        <f t="shared" si="836"/>
        <v/>
      </c>
      <c r="U1153" s="34" t="str">
        <f>IF(AND(L1153=1,bp_kode=T1153,T1153&lt;&gt;""),COUNTIF($T$8:T1153,T1153),"")</f>
        <v/>
      </c>
      <c r="V1153" s="34" t="str">
        <f t="shared" si="837"/>
        <v/>
      </c>
      <c r="W1153" s="34" t="str">
        <f t="shared" si="838"/>
        <v/>
      </c>
      <c r="X1153" s="34" t="str">
        <f>IF(B1153="","",COUNTIF($C$8:C1153,C1153)&amp;C1153)</f>
        <v/>
      </c>
    </row>
    <row r="1154" spans="2:24" ht="23.1" customHeight="1">
      <c r="B1154" s="31"/>
      <c r="C1154" s="9"/>
      <c r="D1154" s="9"/>
      <c r="E1154" s="7"/>
      <c r="F1154" s="7"/>
      <c r="G1154" s="7"/>
      <c r="H1154" s="7"/>
      <c r="I1154" s="7"/>
      <c r="J1154" s="39"/>
      <c r="L1154" s="16" t="str">
        <f t="shared" si="829"/>
        <v/>
      </c>
      <c r="M1154" s="16" t="str">
        <f t="shared" si="830"/>
        <v/>
      </c>
      <c r="N1154" s="16" t="str">
        <f t="shared" si="831"/>
        <v/>
      </c>
      <c r="O1154" s="16" t="str">
        <f>IF(N1154="","",COUNTIF($N$8:N1154,N1154))</f>
        <v/>
      </c>
      <c r="P1154" s="34" t="str">
        <f t="shared" si="832"/>
        <v/>
      </c>
      <c r="Q1154" s="34" t="str">
        <f t="shared" si="833"/>
        <v/>
      </c>
      <c r="R1154" s="34" t="str">
        <f t="shared" si="834"/>
        <v/>
      </c>
      <c r="S1154" s="34" t="str">
        <f t="shared" si="835"/>
        <v/>
      </c>
      <c r="T1154" s="34" t="str">
        <f t="shared" si="836"/>
        <v/>
      </c>
      <c r="U1154" s="34" t="str">
        <f>IF(AND(L1154=1,bp_kode=T1154,T1154&lt;&gt;""),COUNTIF($T$8:T1154,T1154),"")</f>
        <v/>
      </c>
      <c r="V1154" s="34" t="str">
        <f t="shared" si="837"/>
        <v/>
      </c>
      <c r="W1154" s="34" t="str">
        <f t="shared" si="838"/>
        <v/>
      </c>
      <c r="X1154" s="34" t="str">
        <f>IF(B1154="","",COUNTIF($C$8:C1154,C1154)&amp;C1154)</f>
        <v/>
      </c>
    </row>
    <row r="1155" spans="2:24" ht="23.1" customHeight="1">
      <c r="B1155" s="31"/>
      <c r="C1155" s="9"/>
      <c r="D1155" s="9"/>
      <c r="E1155" s="7"/>
      <c r="F1155" s="7"/>
      <c r="G1155" s="7"/>
      <c r="H1155" s="7"/>
      <c r="I1155" s="7"/>
      <c r="J1155" s="39"/>
      <c r="L1155" s="16" t="str">
        <f t="shared" si="829"/>
        <v/>
      </c>
      <c r="M1155" s="16" t="str">
        <f t="shared" si="830"/>
        <v/>
      </c>
      <c r="N1155" s="16" t="str">
        <f t="shared" si="831"/>
        <v/>
      </c>
      <c r="O1155" s="16" t="str">
        <f>IF(N1155="","",COUNTIF($N$8:N1155,N1155))</f>
        <v/>
      </c>
      <c r="P1155" s="34" t="str">
        <f t="shared" si="832"/>
        <v/>
      </c>
      <c r="Q1155" s="34" t="str">
        <f t="shared" si="833"/>
        <v/>
      </c>
      <c r="R1155" s="34" t="str">
        <f t="shared" si="834"/>
        <v/>
      </c>
      <c r="S1155" s="34" t="str">
        <f t="shared" si="835"/>
        <v/>
      </c>
      <c r="T1155" s="34" t="str">
        <f t="shared" si="836"/>
        <v/>
      </c>
      <c r="U1155" s="34" t="str">
        <f>IF(AND(L1155=1,bp_kode=T1155,T1155&lt;&gt;""),COUNTIF($T$8:T1155,T1155),"")</f>
        <v/>
      </c>
      <c r="V1155" s="34" t="str">
        <f t="shared" si="837"/>
        <v/>
      </c>
      <c r="W1155" s="34" t="str">
        <f t="shared" si="838"/>
        <v/>
      </c>
      <c r="X1155" s="34" t="str">
        <f>IF(B1155="","",COUNTIF($C$8:C1155,C1155)&amp;C1155)</f>
        <v/>
      </c>
    </row>
    <row r="1156" spans="2:24" ht="23.1" customHeight="1">
      <c r="B1156" s="31"/>
      <c r="C1156" s="9"/>
      <c r="D1156" s="9"/>
      <c r="E1156" s="7"/>
      <c r="F1156" s="7"/>
      <c r="G1156" s="7"/>
      <c r="H1156" s="7"/>
      <c r="I1156" s="7"/>
      <c r="J1156" s="39"/>
      <c r="L1156" s="16" t="str">
        <f t="shared" si="829"/>
        <v/>
      </c>
      <c r="M1156" s="16" t="str">
        <f t="shared" si="830"/>
        <v/>
      </c>
      <c r="N1156" s="16" t="str">
        <f t="shared" si="831"/>
        <v/>
      </c>
      <c r="O1156" s="16" t="str">
        <f>IF(N1156="","",COUNTIF($N$8:N1156,N1156))</f>
        <v/>
      </c>
      <c r="P1156" s="34" t="str">
        <f t="shared" si="832"/>
        <v/>
      </c>
      <c r="Q1156" s="34" t="str">
        <f t="shared" si="833"/>
        <v/>
      </c>
      <c r="R1156" s="34" t="str">
        <f t="shared" si="834"/>
        <v/>
      </c>
      <c r="S1156" s="34" t="str">
        <f t="shared" si="835"/>
        <v/>
      </c>
      <c r="T1156" s="34" t="str">
        <f t="shared" si="836"/>
        <v/>
      </c>
      <c r="U1156" s="34" t="str">
        <f>IF(AND(L1156=1,bp_kode=T1156,T1156&lt;&gt;""),COUNTIF($T$8:T1156,T1156),"")</f>
        <v/>
      </c>
      <c r="V1156" s="34" t="str">
        <f t="shared" si="837"/>
        <v/>
      </c>
      <c r="W1156" s="34" t="str">
        <f t="shared" si="838"/>
        <v/>
      </c>
      <c r="X1156" s="34" t="str">
        <f>IF(B1156="","",COUNTIF($C$8:C1156,C1156)&amp;C1156)</f>
        <v/>
      </c>
    </row>
    <row r="1157" spans="2:24" ht="23.1" customHeight="1">
      <c r="B1157" s="31"/>
      <c r="C1157" s="9"/>
      <c r="D1157" s="9"/>
      <c r="E1157" s="7"/>
      <c r="F1157" s="7"/>
      <c r="G1157" s="7"/>
      <c r="H1157" s="7"/>
      <c r="I1157" s="7"/>
      <c r="J1157" s="39"/>
      <c r="L1157" s="16" t="str">
        <f t="shared" si="829"/>
        <v/>
      </c>
      <c r="M1157" s="16" t="str">
        <f t="shared" si="830"/>
        <v/>
      </c>
      <c r="N1157" s="16" t="str">
        <f t="shared" si="831"/>
        <v/>
      </c>
      <c r="O1157" s="16" t="str">
        <f>IF(N1157="","",COUNTIF($N$8:N1157,N1157))</f>
        <v/>
      </c>
      <c r="P1157" s="34" t="str">
        <f t="shared" si="832"/>
        <v/>
      </c>
      <c r="Q1157" s="34" t="str">
        <f t="shared" si="833"/>
        <v/>
      </c>
      <c r="R1157" s="34" t="str">
        <f t="shared" si="834"/>
        <v/>
      </c>
      <c r="S1157" s="34" t="str">
        <f t="shared" si="835"/>
        <v/>
      </c>
      <c r="T1157" s="34" t="str">
        <f t="shared" si="836"/>
        <v/>
      </c>
      <c r="U1157" s="34" t="str">
        <f>IF(AND(L1157=1,bp_kode=T1157,T1157&lt;&gt;""),COUNTIF($T$8:T1157,T1157),"")</f>
        <v/>
      </c>
      <c r="V1157" s="34" t="str">
        <f t="shared" si="837"/>
        <v/>
      </c>
      <c r="W1157" s="34" t="str">
        <f t="shared" si="838"/>
        <v/>
      </c>
      <c r="X1157" s="34" t="str">
        <f>IF(B1157="","",COUNTIF($C$8:C1157,C1157)&amp;C1157)</f>
        <v/>
      </c>
    </row>
    <row r="1158" spans="2:24" ht="23.1" customHeight="1">
      <c r="B1158" s="31"/>
      <c r="C1158" s="9"/>
      <c r="D1158" s="9"/>
      <c r="E1158" s="7"/>
      <c r="F1158" s="7"/>
      <c r="G1158" s="7"/>
      <c r="H1158" s="7"/>
      <c r="I1158" s="7"/>
      <c r="J1158" s="39"/>
      <c r="L1158" s="16" t="str">
        <f t="shared" si="829"/>
        <v/>
      </c>
      <c r="M1158" s="16" t="str">
        <f t="shared" si="830"/>
        <v/>
      </c>
      <c r="N1158" s="16" t="str">
        <f t="shared" si="831"/>
        <v/>
      </c>
      <c r="O1158" s="16" t="str">
        <f>IF(N1158="","",COUNTIF($N$8:N1158,N1158))</f>
        <v/>
      </c>
      <c r="P1158" s="34" t="str">
        <f t="shared" si="832"/>
        <v/>
      </c>
      <c r="Q1158" s="34" t="str">
        <f t="shared" si="833"/>
        <v/>
      </c>
      <c r="R1158" s="34" t="str">
        <f t="shared" si="834"/>
        <v/>
      </c>
      <c r="S1158" s="34" t="str">
        <f t="shared" si="835"/>
        <v/>
      </c>
      <c r="T1158" s="34" t="str">
        <f t="shared" si="836"/>
        <v/>
      </c>
      <c r="U1158" s="34" t="str">
        <f>IF(AND(L1158=1,bp_kode=T1158,T1158&lt;&gt;""),COUNTIF($T$8:T1158,T1158),"")</f>
        <v/>
      </c>
      <c r="V1158" s="34" t="str">
        <f t="shared" si="837"/>
        <v/>
      </c>
      <c r="W1158" s="34" t="str">
        <f t="shared" si="838"/>
        <v/>
      </c>
      <c r="X1158" s="34" t="str">
        <f>IF(B1158="","",COUNTIF($C$8:C1158,C1158)&amp;C1158)</f>
        <v/>
      </c>
    </row>
    <row r="1159" spans="2:24" ht="23.1" customHeight="1">
      <c r="B1159" s="31"/>
      <c r="C1159" s="9"/>
      <c r="D1159" s="9"/>
      <c r="E1159" s="7"/>
      <c r="F1159" s="7"/>
      <c r="G1159" s="7"/>
      <c r="H1159" s="7"/>
      <c r="I1159" s="7"/>
      <c r="J1159" s="39"/>
      <c r="L1159" s="16" t="str">
        <f t="shared" si="829"/>
        <v/>
      </c>
      <c r="M1159" s="16" t="str">
        <f t="shared" si="830"/>
        <v/>
      </c>
      <c r="N1159" s="16" t="str">
        <f t="shared" si="831"/>
        <v/>
      </c>
      <c r="O1159" s="16" t="str">
        <f>IF(N1159="","",COUNTIF($N$8:N1159,N1159))</f>
        <v/>
      </c>
      <c r="P1159" s="34" t="str">
        <f t="shared" si="832"/>
        <v/>
      </c>
      <c r="Q1159" s="34" t="str">
        <f t="shared" si="833"/>
        <v/>
      </c>
      <c r="R1159" s="34" t="str">
        <f t="shared" si="834"/>
        <v/>
      </c>
      <c r="S1159" s="34" t="str">
        <f t="shared" si="835"/>
        <v/>
      </c>
      <c r="T1159" s="34" t="str">
        <f t="shared" si="836"/>
        <v/>
      </c>
      <c r="U1159" s="34" t="str">
        <f>IF(AND(L1159=1,bp_kode=T1159,T1159&lt;&gt;""),COUNTIF($T$8:T1159,T1159),"")</f>
        <v/>
      </c>
      <c r="V1159" s="34" t="str">
        <f t="shared" si="837"/>
        <v/>
      </c>
      <c r="W1159" s="34" t="str">
        <f t="shared" si="838"/>
        <v/>
      </c>
      <c r="X1159" s="34" t="str">
        <f>IF(B1159="","",COUNTIF($C$8:C1159,C1159)&amp;C1159)</f>
        <v/>
      </c>
    </row>
    <row r="1160" spans="2:24" ht="23.1" customHeight="1">
      <c r="B1160" s="31"/>
      <c r="C1160" s="9"/>
      <c r="D1160" s="9"/>
      <c r="E1160" s="7"/>
      <c r="F1160" s="7"/>
      <c r="G1160" s="7"/>
      <c r="H1160" s="7"/>
      <c r="I1160" s="7"/>
      <c r="J1160" s="39"/>
      <c r="L1160" s="16" t="str">
        <f t="shared" si="829"/>
        <v/>
      </c>
      <c r="M1160" s="16" t="str">
        <f t="shared" si="830"/>
        <v/>
      </c>
      <c r="N1160" s="16" t="str">
        <f t="shared" si="831"/>
        <v/>
      </c>
      <c r="O1160" s="16" t="str">
        <f>IF(N1160="","",COUNTIF($N$8:N1160,N1160))</f>
        <v/>
      </c>
      <c r="P1160" s="34" t="str">
        <f t="shared" si="832"/>
        <v/>
      </c>
      <c r="Q1160" s="34" t="str">
        <f t="shared" si="833"/>
        <v/>
      </c>
      <c r="R1160" s="34" t="str">
        <f t="shared" si="834"/>
        <v/>
      </c>
      <c r="S1160" s="34" t="str">
        <f t="shared" si="835"/>
        <v/>
      </c>
      <c r="T1160" s="34" t="str">
        <f t="shared" si="836"/>
        <v/>
      </c>
      <c r="U1160" s="34" t="str">
        <f>IF(AND(L1160=1,bp_kode=T1160,T1160&lt;&gt;""),COUNTIF($T$8:T1160,T1160),"")</f>
        <v/>
      </c>
      <c r="V1160" s="34" t="str">
        <f t="shared" si="837"/>
        <v/>
      </c>
      <c r="W1160" s="34" t="str">
        <f t="shared" si="838"/>
        <v/>
      </c>
      <c r="X1160" s="34" t="str">
        <f>IF(B1160="","",COUNTIF($C$8:C1160,C1160)&amp;C1160)</f>
        <v/>
      </c>
    </row>
    <row r="1161" spans="2:24" ht="23.1" customHeight="1">
      <c r="B1161" s="31"/>
      <c r="C1161" s="9"/>
      <c r="D1161" s="9"/>
      <c r="E1161" s="7"/>
      <c r="F1161" s="7"/>
      <c r="G1161" s="7"/>
      <c r="H1161" s="7"/>
      <c r="I1161" s="7"/>
      <c r="J1161" s="39"/>
      <c r="L1161" s="16" t="str">
        <f t="shared" si="829"/>
        <v/>
      </c>
      <c r="M1161" s="16" t="str">
        <f t="shared" si="830"/>
        <v/>
      </c>
      <c r="N1161" s="16" t="str">
        <f t="shared" si="831"/>
        <v/>
      </c>
      <c r="O1161" s="16" t="str">
        <f>IF(N1161="","",COUNTIF($N$8:N1161,N1161))</f>
        <v/>
      </c>
      <c r="P1161" s="34" t="str">
        <f t="shared" si="832"/>
        <v/>
      </c>
      <c r="Q1161" s="34" t="str">
        <f t="shared" si="833"/>
        <v/>
      </c>
      <c r="R1161" s="34" t="str">
        <f t="shared" si="834"/>
        <v/>
      </c>
      <c r="S1161" s="34" t="str">
        <f t="shared" si="835"/>
        <v/>
      </c>
      <c r="T1161" s="34" t="str">
        <f t="shared" si="836"/>
        <v/>
      </c>
      <c r="U1161" s="34" t="str">
        <f>IF(AND(L1161=1,bp_kode=T1161,T1161&lt;&gt;""),COUNTIF($T$8:T1161,T1161),"")</f>
        <v/>
      </c>
      <c r="V1161" s="34" t="str">
        <f t="shared" si="837"/>
        <v/>
      </c>
      <c r="W1161" s="34" t="str">
        <f t="shared" si="838"/>
        <v/>
      </c>
      <c r="X1161" s="34" t="str">
        <f>IF(B1161="","",COUNTIF($C$8:C1161,C1161)&amp;C1161)</f>
        <v/>
      </c>
    </row>
    <row r="1162" spans="2:24" ht="23.1" customHeight="1">
      <c r="B1162" s="31"/>
      <c r="C1162" s="9"/>
      <c r="D1162" s="9"/>
      <c r="E1162" s="7"/>
      <c r="F1162" s="7"/>
      <c r="G1162" s="7"/>
      <c r="H1162" s="7"/>
      <c r="I1162" s="7"/>
      <c r="J1162" s="39"/>
      <c r="L1162" s="16" t="str">
        <f t="shared" si="829"/>
        <v/>
      </c>
      <c r="M1162" s="16" t="str">
        <f t="shared" si="830"/>
        <v/>
      </c>
      <c r="N1162" s="16" t="str">
        <f t="shared" si="831"/>
        <v/>
      </c>
      <c r="O1162" s="16" t="str">
        <f>IF(N1162="","",COUNTIF($N$8:N1162,N1162))</f>
        <v/>
      </c>
      <c r="P1162" s="34" t="str">
        <f t="shared" si="832"/>
        <v/>
      </c>
      <c r="Q1162" s="34" t="str">
        <f t="shared" si="833"/>
        <v/>
      </c>
      <c r="R1162" s="34" t="str">
        <f t="shared" si="834"/>
        <v/>
      </c>
      <c r="S1162" s="34" t="str">
        <f t="shared" si="835"/>
        <v/>
      </c>
      <c r="T1162" s="34" t="str">
        <f t="shared" si="836"/>
        <v/>
      </c>
      <c r="U1162" s="34" t="str">
        <f>IF(AND(L1162=1,bp_kode=T1162,T1162&lt;&gt;""),COUNTIF($T$8:T1162,T1162),"")</f>
        <v/>
      </c>
      <c r="V1162" s="34" t="str">
        <f t="shared" si="837"/>
        <v/>
      </c>
      <c r="W1162" s="34" t="str">
        <f t="shared" si="838"/>
        <v/>
      </c>
      <c r="X1162" s="34" t="str">
        <f>IF(B1162="","",COUNTIF($C$8:C1162,C1162)&amp;C1162)</f>
        <v/>
      </c>
    </row>
    <row r="1163" spans="2:24" ht="23.1" customHeight="1">
      <c r="B1163" s="31"/>
      <c r="C1163" s="9"/>
      <c r="D1163" s="9"/>
      <c r="E1163" s="7"/>
      <c r="F1163" s="7"/>
      <c r="G1163" s="7"/>
      <c r="H1163" s="7"/>
      <c r="I1163" s="7"/>
      <c r="J1163" s="39"/>
      <c r="L1163" s="16" t="str">
        <f t="shared" si="829"/>
        <v/>
      </c>
      <c r="M1163" s="16" t="str">
        <f t="shared" si="830"/>
        <v/>
      </c>
      <c r="N1163" s="16" t="str">
        <f t="shared" si="831"/>
        <v/>
      </c>
      <c r="O1163" s="16" t="str">
        <f>IF(N1163="","",COUNTIF($N$8:N1163,N1163))</f>
        <v/>
      </c>
      <c r="P1163" s="34" t="str">
        <f t="shared" si="832"/>
        <v/>
      </c>
      <c r="Q1163" s="34" t="str">
        <f t="shared" si="833"/>
        <v/>
      </c>
      <c r="R1163" s="34" t="str">
        <f t="shared" si="834"/>
        <v/>
      </c>
      <c r="S1163" s="34" t="str">
        <f t="shared" si="835"/>
        <v/>
      </c>
      <c r="T1163" s="34" t="str">
        <f t="shared" si="836"/>
        <v/>
      </c>
      <c r="U1163" s="34" t="str">
        <f>IF(AND(L1163=1,bp_kode=T1163,T1163&lt;&gt;""),COUNTIF($T$8:T1163,T1163),"")</f>
        <v/>
      </c>
      <c r="V1163" s="34" t="str">
        <f t="shared" si="837"/>
        <v/>
      </c>
      <c r="W1163" s="34" t="str">
        <f t="shared" si="838"/>
        <v/>
      </c>
      <c r="X1163" s="34" t="str">
        <f>IF(B1163="","",COUNTIF($C$8:C1163,C1163)&amp;C1163)</f>
        <v/>
      </c>
    </row>
    <row r="1164" spans="2:24" ht="23.1" customHeight="1">
      <c r="B1164" s="31"/>
      <c r="C1164" s="9"/>
      <c r="D1164" s="9"/>
      <c r="E1164" s="7"/>
      <c r="F1164" s="7"/>
      <c r="G1164" s="7"/>
      <c r="H1164" s="7"/>
      <c r="I1164" s="7"/>
      <c r="J1164" s="39"/>
      <c r="L1164" s="16" t="str">
        <f t="shared" si="829"/>
        <v/>
      </c>
      <c r="M1164" s="16" t="str">
        <f t="shared" si="830"/>
        <v/>
      </c>
      <c r="N1164" s="16" t="str">
        <f t="shared" si="831"/>
        <v/>
      </c>
      <c r="O1164" s="16" t="str">
        <f>IF(N1164="","",COUNTIF($N$8:N1164,N1164))</f>
        <v/>
      </c>
      <c r="P1164" s="34" t="str">
        <f t="shared" si="832"/>
        <v/>
      </c>
      <c r="Q1164" s="34" t="str">
        <f t="shared" si="833"/>
        <v/>
      </c>
      <c r="R1164" s="34" t="str">
        <f t="shared" si="834"/>
        <v/>
      </c>
      <c r="S1164" s="34" t="str">
        <f t="shared" si="835"/>
        <v/>
      </c>
      <c r="T1164" s="34" t="str">
        <f t="shared" si="836"/>
        <v/>
      </c>
      <c r="U1164" s="34" t="str">
        <f>IF(AND(L1164=1,bp_kode=T1164,T1164&lt;&gt;""),COUNTIF($T$8:T1164,T1164),"")</f>
        <v/>
      </c>
      <c r="V1164" s="34" t="str">
        <f t="shared" si="837"/>
        <v/>
      </c>
      <c r="W1164" s="34" t="str">
        <f t="shared" si="838"/>
        <v/>
      </c>
      <c r="X1164" s="34" t="str">
        <f>IF(B1164="","",COUNTIF($C$8:C1164,C1164)&amp;C1164)</f>
        <v/>
      </c>
    </row>
    <row r="1165" spans="2:24" ht="23.1" customHeight="1">
      <c r="B1165" s="31"/>
      <c r="C1165" s="9"/>
      <c r="D1165" s="9"/>
      <c r="E1165" s="7"/>
      <c r="F1165" s="7"/>
      <c r="G1165" s="7"/>
      <c r="H1165" s="7"/>
      <c r="I1165" s="7"/>
      <c r="J1165" s="39"/>
      <c r="L1165" s="16" t="str">
        <f t="shared" si="829"/>
        <v/>
      </c>
      <c r="M1165" s="16" t="str">
        <f t="shared" si="830"/>
        <v/>
      </c>
      <c r="N1165" s="16" t="str">
        <f t="shared" si="831"/>
        <v/>
      </c>
      <c r="O1165" s="16" t="str">
        <f>IF(N1165="","",COUNTIF($N$8:N1165,N1165))</f>
        <v/>
      </c>
      <c r="P1165" s="34" t="str">
        <f t="shared" si="832"/>
        <v/>
      </c>
      <c r="Q1165" s="34" t="str">
        <f t="shared" si="833"/>
        <v/>
      </c>
      <c r="R1165" s="34" t="str">
        <f t="shared" si="834"/>
        <v/>
      </c>
      <c r="S1165" s="34" t="str">
        <f t="shared" si="835"/>
        <v/>
      </c>
      <c r="T1165" s="34" t="str">
        <f t="shared" si="836"/>
        <v/>
      </c>
      <c r="U1165" s="34" t="str">
        <f>IF(AND(L1165=1,bp_kode=T1165,T1165&lt;&gt;""),COUNTIF($T$8:T1165,T1165),"")</f>
        <v/>
      </c>
      <c r="V1165" s="34" t="str">
        <f t="shared" si="837"/>
        <v/>
      </c>
      <c r="W1165" s="34" t="str">
        <f t="shared" si="838"/>
        <v/>
      </c>
      <c r="X1165" s="34" t="str">
        <f>IF(B1165="","",COUNTIF($C$8:C1165,C1165)&amp;C1165)</f>
        <v/>
      </c>
    </row>
    <row r="1166" spans="2:24" ht="23.1" customHeight="1">
      <c r="B1166" s="31"/>
      <c r="C1166" s="9"/>
      <c r="D1166" s="9"/>
      <c r="E1166" s="7"/>
      <c r="F1166" s="7"/>
      <c r="G1166" s="7"/>
      <c r="H1166" s="7"/>
      <c r="I1166" s="7"/>
      <c r="J1166" s="39"/>
      <c r="L1166" s="16" t="str">
        <f t="shared" si="829"/>
        <v/>
      </c>
      <c r="M1166" s="16" t="str">
        <f t="shared" si="830"/>
        <v/>
      </c>
      <c r="N1166" s="16" t="str">
        <f t="shared" si="831"/>
        <v/>
      </c>
      <c r="O1166" s="16" t="str">
        <f>IF(N1166="","",COUNTIF($N$8:N1166,N1166))</f>
        <v/>
      </c>
      <c r="P1166" s="34" t="str">
        <f t="shared" si="832"/>
        <v/>
      </c>
      <c r="Q1166" s="34" t="str">
        <f t="shared" si="833"/>
        <v/>
      </c>
      <c r="R1166" s="34" t="str">
        <f t="shared" si="834"/>
        <v/>
      </c>
      <c r="S1166" s="34" t="str">
        <f t="shared" si="835"/>
        <v/>
      </c>
      <c r="T1166" s="34" t="str">
        <f t="shared" si="836"/>
        <v/>
      </c>
      <c r="U1166" s="34" t="str">
        <f>IF(AND(L1166=1,bp_kode=T1166,T1166&lt;&gt;""),COUNTIF($T$8:T1166,T1166),"")</f>
        <v/>
      </c>
      <c r="V1166" s="34" t="str">
        <f t="shared" si="837"/>
        <v/>
      </c>
      <c r="W1166" s="34" t="str">
        <f t="shared" si="838"/>
        <v/>
      </c>
      <c r="X1166" s="34" t="str">
        <f>IF(B1166="","",COUNTIF($C$8:C1166,C1166)&amp;C1166)</f>
        <v/>
      </c>
    </row>
    <row r="1167" spans="2:24" ht="23.1" customHeight="1">
      <c r="B1167" s="31"/>
      <c r="C1167" s="9"/>
      <c r="D1167" s="9"/>
      <c r="E1167" s="7"/>
      <c r="F1167" s="7"/>
      <c r="G1167" s="7"/>
      <c r="H1167" s="7"/>
      <c r="I1167" s="7"/>
      <c r="J1167" s="39"/>
      <c r="L1167" s="16" t="str">
        <f t="shared" si="829"/>
        <v/>
      </c>
      <c r="M1167" s="16" t="str">
        <f t="shared" si="830"/>
        <v/>
      </c>
      <c r="N1167" s="16" t="str">
        <f t="shared" si="831"/>
        <v/>
      </c>
      <c r="O1167" s="16" t="str">
        <f>IF(N1167="","",COUNTIF($N$8:N1167,N1167))</f>
        <v/>
      </c>
      <c r="P1167" s="34" t="str">
        <f t="shared" si="832"/>
        <v/>
      </c>
      <c r="Q1167" s="34" t="str">
        <f t="shared" si="833"/>
        <v/>
      </c>
      <c r="R1167" s="34" t="str">
        <f t="shared" si="834"/>
        <v/>
      </c>
      <c r="S1167" s="34" t="str">
        <f t="shared" si="835"/>
        <v/>
      </c>
      <c r="T1167" s="34" t="str">
        <f t="shared" si="836"/>
        <v/>
      </c>
      <c r="U1167" s="34" t="str">
        <f>IF(AND(L1167=1,bp_kode=T1167,T1167&lt;&gt;""),COUNTIF($T$8:T1167,T1167),"")</f>
        <v/>
      </c>
      <c r="V1167" s="34" t="str">
        <f t="shared" si="837"/>
        <v/>
      </c>
      <c r="W1167" s="34" t="str">
        <f t="shared" si="838"/>
        <v/>
      </c>
      <c r="X1167" s="34" t="str">
        <f>IF(B1167="","",COUNTIF($C$8:C1167,C1167)&amp;C1167)</f>
        <v/>
      </c>
    </row>
    <row r="1168" spans="2:24" ht="23.1" customHeight="1">
      <c r="B1168" s="31"/>
      <c r="C1168" s="9"/>
      <c r="D1168" s="9"/>
      <c r="E1168" s="7"/>
      <c r="F1168" s="7"/>
      <c r="G1168" s="7"/>
      <c r="H1168" s="7"/>
      <c r="I1168" s="7"/>
      <c r="J1168" s="39"/>
      <c r="L1168" s="16" t="str">
        <f t="shared" si="829"/>
        <v/>
      </c>
      <c r="M1168" s="16" t="str">
        <f t="shared" si="830"/>
        <v/>
      </c>
      <c r="N1168" s="16" t="str">
        <f t="shared" si="831"/>
        <v/>
      </c>
      <c r="O1168" s="16" t="str">
        <f>IF(N1168="","",COUNTIF($N$8:N1168,N1168))</f>
        <v/>
      </c>
      <c r="P1168" s="34" t="str">
        <f t="shared" si="832"/>
        <v/>
      </c>
      <c r="Q1168" s="34" t="str">
        <f t="shared" si="833"/>
        <v/>
      </c>
      <c r="R1168" s="34" t="str">
        <f t="shared" si="834"/>
        <v/>
      </c>
      <c r="S1168" s="34" t="str">
        <f t="shared" si="835"/>
        <v/>
      </c>
      <c r="T1168" s="34" t="str">
        <f t="shared" si="836"/>
        <v/>
      </c>
      <c r="U1168" s="34" t="str">
        <f>IF(AND(L1168=1,bp_kode=T1168,T1168&lt;&gt;""),COUNTIF($T$8:T1168,T1168),"")</f>
        <v/>
      </c>
      <c r="V1168" s="34" t="str">
        <f t="shared" si="837"/>
        <v/>
      </c>
      <c r="W1168" s="34" t="str">
        <f t="shared" si="838"/>
        <v/>
      </c>
      <c r="X1168" s="34" t="str">
        <f>IF(B1168="","",COUNTIF($C$8:C1168,C1168)&amp;C1168)</f>
        <v/>
      </c>
    </row>
    <row r="1169" spans="2:24" ht="23.1" customHeight="1">
      <c r="B1169" s="31"/>
      <c r="C1169" s="9"/>
      <c r="D1169" s="9"/>
      <c r="E1169" s="7"/>
      <c r="F1169" s="7"/>
      <c r="G1169" s="7"/>
      <c r="H1169" s="7"/>
      <c r="I1169" s="7"/>
      <c r="J1169" s="39"/>
      <c r="L1169" s="16" t="str">
        <f t="shared" si="829"/>
        <v/>
      </c>
      <c r="M1169" s="16" t="str">
        <f t="shared" si="830"/>
        <v/>
      </c>
      <c r="N1169" s="16" t="str">
        <f t="shared" si="831"/>
        <v/>
      </c>
      <c r="O1169" s="16" t="str">
        <f>IF(N1169="","",COUNTIF($N$8:N1169,N1169))</f>
        <v/>
      </c>
      <c r="P1169" s="34" t="str">
        <f t="shared" si="832"/>
        <v/>
      </c>
      <c r="Q1169" s="34" t="str">
        <f t="shared" si="833"/>
        <v/>
      </c>
      <c r="R1169" s="34" t="str">
        <f t="shared" si="834"/>
        <v/>
      </c>
      <c r="S1169" s="34" t="str">
        <f t="shared" si="835"/>
        <v/>
      </c>
      <c r="T1169" s="34" t="str">
        <f t="shared" si="836"/>
        <v/>
      </c>
      <c r="U1169" s="34" t="str">
        <f>IF(AND(L1169=1,bp_kode=T1169,T1169&lt;&gt;""),COUNTIF($T$8:T1169,T1169),"")</f>
        <v/>
      </c>
      <c r="V1169" s="34" t="str">
        <f t="shared" si="837"/>
        <v/>
      </c>
      <c r="W1169" s="34" t="str">
        <f t="shared" si="838"/>
        <v/>
      </c>
      <c r="X1169" s="34" t="str">
        <f>IF(B1169="","",COUNTIF($C$8:C1169,C1169)&amp;C1169)</f>
        <v/>
      </c>
    </row>
    <row r="1170" spans="2:24" ht="23.1" customHeight="1">
      <c r="B1170" s="31"/>
      <c r="C1170" s="9"/>
      <c r="D1170" s="9"/>
      <c r="E1170" s="7"/>
      <c r="F1170" s="7"/>
      <c r="G1170" s="7"/>
      <c r="H1170" s="7"/>
      <c r="I1170" s="7"/>
      <c r="J1170" s="39"/>
      <c r="L1170" s="16" t="str">
        <f t="shared" si="829"/>
        <v/>
      </c>
      <c r="M1170" s="16" t="str">
        <f t="shared" si="830"/>
        <v/>
      </c>
      <c r="N1170" s="16" t="str">
        <f t="shared" si="831"/>
        <v/>
      </c>
      <c r="O1170" s="16" t="str">
        <f>IF(N1170="","",COUNTIF($N$8:N1170,N1170))</f>
        <v/>
      </c>
      <c r="P1170" s="34" t="str">
        <f t="shared" si="832"/>
        <v/>
      </c>
      <c r="Q1170" s="34" t="str">
        <f t="shared" si="833"/>
        <v/>
      </c>
      <c r="R1170" s="34" t="str">
        <f t="shared" si="834"/>
        <v/>
      </c>
      <c r="S1170" s="34" t="str">
        <f t="shared" si="835"/>
        <v/>
      </c>
      <c r="T1170" s="34" t="str">
        <f t="shared" si="836"/>
        <v/>
      </c>
      <c r="U1170" s="34" t="str">
        <f>IF(AND(L1170=1,bp_kode=T1170,T1170&lt;&gt;""),COUNTIF($T$8:T1170,T1170),"")</f>
        <v/>
      </c>
      <c r="V1170" s="34" t="str">
        <f t="shared" si="837"/>
        <v/>
      </c>
      <c r="W1170" s="34" t="str">
        <f t="shared" si="838"/>
        <v/>
      </c>
      <c r="X1170" s="34" t="str">
        <f>IF(B1170="","",COUNTIF($C$8:C1170,C1170)&amp;C1170)</f>
        <v/>
      </c>
    </row>
    <row r="1171" spans="2:24" ht="23.1" customHeight="1">
      <c r="B1171" s="31"/>
      <c r="C1171" s="9"/>
      <c r="D1171" s="9"/>
      <c r="E1171" s="7"/>
      <c r="F1171" s="7"/>
      <c r="G1171" s="7"/>
      <c r="H1171" s="7"/>
      <c r="I1171" s="7"/>
      <c r="J1171" s="39"/>
      <c r="L1171" s="16" t="str">
        <f t="shared" si="829"/>
        <v/>
      </c>
      <c r="M1171" s="16" t="str">
        <f t="shared" si="830"/>
        <v/>
      </c>
      <c r="N1171" s="16" t="str">
        <f t="shared" si="831"/>
        <v/>
      </c>
      <c r="O1171" s="16" t="str">
        <f>IF(N1171="","",COUNTIF($N$8:N1171,N1171))</f>
        <v/>
      </c>
      <c r="P1171" s="34" t="str">
        <f t="shared" si="832"/>
        <v/>
      </c>
      <c r="Q1171" s="34" t="str">
        <f t="shared" si="833"/>
        <v/>
      </c>
      <c r="R1171" s="34" t="str">
        <f t="shared" si="834"/>
        <v/>
      </c>
      <c r="S1171" s="34" t="str">
        <f t="shared" si="835"/>
        <v/>
      </c>
      <c r="T1171" s="34" t="str">
        <f t="shared" si="836"/>
        <v/>
      </c>
      <c r="U1171" s="34" t="str">
        <f>IF(AND(L1171=1,bp_kode=T1171,T1171&lt;&gt;""),COUNTIF($T$8:T1171,T1171),"")</f>
        <v/>
      </c>
      <c r="V1171" s="34" t="str">
        <f t="shared" si="837"/>
        <v/>
      </c>
      <c r="W1171" s="34" t="str">
        <f t="shared" si="838"/>
        <v/>
      </c>
      <c r="X1171" s="34" t="str">
        <f>IF(B1171="","",COUNTIF($C$8:C1171,C1171)&amp;C1171)</f>
        <v/>
      </c>
    </row>
    <row r="1172" spans="2:24" ht="23.1" customHeight="1">
      <c r="B1172" s="31"/>
      <c r="C1172" s="9"/>
      <c r="D1172" s="9"/>
      <c r="E1172" s="7"/>
      <c r="F1172" s="7"/>
      <c r="G1172" s="7"/>
      <c r="H1172" s="7"/>
      <c r="I1172" s="7"/>
      <c r="J1172" s="39"/>
      <c r="L1172" s="16" t="str">
        <f t="shared" si="829"/>
        <v/>
      </c>
      <c r="M1172" s="16" t="str">
        <f t="shared" si="830"/>
        <v/>
      </c>
      <c r="N1172" s="16" t="str">
        <f t="shared" si="831"/>
        <v/>
      </c>
      <c r="O1172" s="16" t="str">
        <f>IF(N1172="","",COUNTIF($N$8:N1172,N1172))</f>
        <v/>
      </c>
      <c r="P1172" s="34" t="str">
        <f t="shared" si="832"/>
        <v/>
      </c>
      <c r="Q1172" s="34" t="str">
        <f t="shared" si="833"/>
        <v/>
      </c>
      <c r="R1172" s="34" t="str">
        <f t="shared" si="834"/>
        <v/>
      </c>
      <c r="S1172" s="34" t="str">
        <f t="shared" si="835"/>
        <v/>
      </c>
      <c r="T1172" s="34" t="str">
        <f t="shared" si="836"/>
        <v/>
      </c>
      <c r="U1172" s="34" t="str">
        <f>IF(AND(L1172=1,bp_kode=T1172,T1172&lt;&gt;""),COUNTIF($T$8:T1172,T1172),"")</f>
        <v/>
      </c>
      <c r="V1172" s="34" t="str">
        <f t="shared" si="837"/>
        <v/>
      </c>
      <c r="W1172" s="34" t="str">
        <f t="shared" si="838"/>
        <v/>
      </c>
      <c r="X1172" s="34" t="str">
        <f>IF(B1172="","",COUNTIF($C$8:C1172,C1172)&amp;C1172)</f>
        <v/>
      </c>
    </row>
    <row r="1173" spans="2:24" ht="23.1" customHeight="1">
      <c r="B1173" s="31"/>
      <c r="C1173" s="9"/>
      <c r="D1173" s="9"/>
      <c r="E1173" s="7"/>
      <c r="F1173" s="7"/>
      <c r="G1173" s="7"/>
      <c r="H1173" s="7"/>
      <c r="I1173" s="7"/>
      <c r="J1173" s="39"/>
      <c r="L1173" s="16" t="str">
        <f t="shared" si="829"/>
        <v/>
      </c>
      <c r="M1173" s="16" t="str">
        <f t="shared" si="830"/>
        <v/>
      </c>
      <c r="N1173" s="16" t="str">
        <f t="shared" si="831"/>
        <v/>
      </c>
      <c r="O1173" s="16" t="str">
        <f>IF(N1173="","",COUNTIF($N$8:N1173,N1173))</f>
        <v/>
      </c>
      <c r="P1173" s="34" t="str">
        <f t="shared" si="832"/>
        <v/>
      </c>
      <c r="Q1173" s="34" t="str">
        <f t="shared" si="833"/>
        <v/>
      </c>
      <c r="R1173" s="34" t="str">
        <f t="shared" si="834"/>
        <v/>
      </c>
      <c r="S1173" s="34" t="str">
        <f t="shared" si="835"/>
        <v/>
      </c>
      <c r="T1173" s="34" t="str">
        <f t="shared" si="836"/>
        <v/>
      </c>
      <c r="U1173" s="34" t="str">
        <f>IF(AND(L1173=1,bp_kode=T1173,T1173&lt;&gt;""),COUNTIF($T$8:T1173,T1173),"")</f>
        <v/>
      </c>
      <c r="V1173" s="34" t="str">
        <f t="shared" si="837"/>
        <v/>
      </c>
      <c r="W1173" s="34" t="str">
        <f t="shared" si="838"/>
        <v/>
      </c>
      <c r="X1173" s="34" t="str">
        <f>IF(B1173="","",COUNTIF($C$8:C1173,C1173)&amp;C1173)</f>
        <v/>
      </c>
    </row>
    <row r="1174" spans="2:24" ht="23.1" customHeight="1">
      <c r="B1174" s="31"/>
      <c r="C1174" s="9"/>
      <c r="D1174" s="9"/>
      <c r="E1174" s="7"/>
      <c r="F1174" s="7"/>
      <c r="G1174" s="7"/>
      <c r="H1174" s="7"/>
      <c r="I1174" s="7"/>
      <c r="J1174" s="39"/>
      <c r="L1174" s="16" t="str">
        <f t="shared" si="829"/>
        <v/>
      </c>
      <c r="M1174" s="16" t="str">
        <f t="shared" si="830"/>
        <v/>
      </c>
      <c r="N1174" s="16" t="str">
        <f t="shared" si="831"/>
        <v/>
      </c>
      <c r="O1174" s="16" t="str">
        <f>IF(N1174="","",COUNTIF($N$8:N1174,N1174))</f>
        <v/>
      </c>
      <c r="P1174" s="34" t="str">
        <f t="shared" si="832"/>
        <v/>
      </c>
      <c r="Q1174" s="34" t="str">
        <f t="shared" si="833"/>
        <v/>
      </c>
      <c r="R1174" s="34" t="str">
        <f t="shared" si="834"/>
        <v/>
      </c>
      <c r="S1174" s="34" t="str">
        <f t="shared" si="835"/>
        <v/>
      </c>
      <c r="T1174" s="34" t="str">
        <f t="shared" si="836"/>
        <v/>
      </c>
      <c r="U1174" s="34" t="str">
        <f>IF(AND(L1174=1,bp_kode=T1174,T1174&lt;&gt;""),COUNTIF($T$8:T1174,T1174),"")</f>
        <v/>
      </c>
      <c r="V1174" s="34" t="str">
        <f t="shared" si="837"/>
        <v/>
      </c>
      <c r="W1174" s="34" t="str">
        <f t="shared" si="838"/>
        <v/>
      </c>
      <c r="X1174" s="34" t="str">
        <f>IF(B1174="","",COUNTIF($C$8:C1174,C1174)&amp;C1174)</f>
        <v/>
      </c>
    </row>
    <row r="1175" spans="2:24" ht="23.1" customHeight="1">
      <c r="B1175" s="31"/>
      <c r="C1175" s="9"/>
      <c r="D1175" s="9"/>
      <c r="E1175" s="7"/>
      <c r="F1175" s="7"/>
      <c r="G1175" s="7"/>
      <c r="H1175" s="7"/>
      <c r="I1175" s="7"/>
      <c r="J1175" s="39"/>
      <c r="L1175" s="16" t="str">
        <f t="shared" si="829"/>
        <v/>
      </c>
      <c r="M1175" s="16" t="str">
        <f t="shared" si="830"/>
        <v/>
      </c>
      <c r="N1175" s="16" t="str">
        <f t="shared" si="831"/>
        <v/>
      </c>
      <c r="O1175" s="16" t="str">
        <f>IF(N1175="","",COUNTIF($N$8:N1175,N1175))</f>
        <v/>
      </c>
      <c r="P1175" s="34" t="str">
        <f t="shared" si="832"/>
        <v/>
      </c>
      <c r="Q1175" s="34" t="str">
        <f t="shared" si="833"/>
        <v/>
      </c>
      <c r="R1175" s="34" t="str">
        <f t="shared" si="834"/>
        <v/>
      </c>
      <c r="S1175" s="34" t="str">
        <f t="shared" si="835"/>
        <v/>
      </c>
      <c r="T1175" s="34" t="str">
        <f t="shared" si="836"/>
        <v/>
      </c>
      <c r="U1175" s="34" t="str">
        <f>IF(AND(L1175=1,bp_kode=T1175,T1175&lt;&gt;""),COUNTIF($T$8:T1175,T1175),"")</f>
        <v/>
      </c>
      <c r="V1175" s="34" t="str">
        <f t="shared" si="837"/>
        <v/>
      </c>
      <c r="W1175" s="34" t="str">
        <f t="shared" si="838"/>
        <v/>
      </c>
      <c r="X1175" s="34" t="str">
        <f>IF(B1175="","",COUNTIF($C$8:C1175,C1175)&amp;C1175)</f>
        <v/>
      </c>
    </row>
    <row r="1176" spans="2:24" ht="23.1" customHeight="1">
      <c r="B1176" s="31"/>
      <c r="C1176" s="9"/>
      <c r="D1176" s="9"/>
      <c r="E1176" s="7"/>
      <c r="F1176" s="7"/>
      <c r="G1176" s="7"/>
      <c r="H1176" s="7"/>
      <c r="I1176" s="7"/>
      <c r="J1176" s="39"/>
      <c r="L1176" s="16" t="str">
        <f t="shared" si="829"/>
        <v/>
      </c>
      <c r="M1176" s="16" t="str">
        <f t="shared" si="830"/>
        <v/>
      </c>
      <c r="N1176" s="16" t="str">
        <f t="shared" si="831"/>
        <v/>
      </c>
      <c r="O1176" s="16" t="str">
        <f>IF(N1176="","",COUNTIF($N$8:N1176,N1176))</f>
        <v/>
      </c>
      <c r="P1176" s="34" t="str">
        <f t="shared" si="832"/>
        <v/>
      </c>
      <c r="Q1176" s="34" t="str">
        <f t="shared" si="833"/>
        <v/>
      </c>
      <c r="R1176" s="34" t="str">
        <f t="shared" si="834"/>
        <v/>
      </c>
      <c r="S1176" s="34" t="str">
        <f t="shared" si="835"/>
        <v/>
      </c>
      <c r="T1176" s="34" t="str">
        <f t="shared" si="836"/>
        <v/>
      </c>
      <c r="U1176" s="34" t="str">
        <f>IF(AND(L1176=1,bp_kode=T1176,T1176&lt;&gt;""),COUNTIF($T$8:T1176,T1176),"")</f>
        <v/>
      </c>
      <c r="V1176" s="34" t="str">
        <f t="shared" si="837"/>
        <v/>
      </c>
      <c r="W1176" s="34" t="str">
        <f t="shared" si="838"/>
        <v/>
      </c>
      <c r="X1176" s="34" t="str">
        <f>IF(B1176="","",COUNTIF($C$8:C1176,C1176)&amp;C1176)</f>
        <v/>
      </c>
    </row>
    <row r="1177" spans="2:24" ht="23.1" customHeight="1">
      <c r="B1177" s="31"/>
      <c r="C1177" s="9"/>
      <c r="D1177" s="9"/>
      <c r="E1177" s="7"/>
      <c r="F1177" s="7"/>
      <c r="G1177" s="7"/>
      <c r="H1177" s="7"/>
      <c r="I1177" s="7"/>
      <c r="J1177" s="39"/>
      <c r="L1177" s="16" t="str">
        <f t="shared" si="829"/>
        <v/>
      </c>
      <c r="M1177" s="16" t="str">
        <f t="shared" si="830"/>
        <v/>
      </c>
      <c r="N1177" s="16" t="str">
        <f t="shared" si="831"/>
        <v/>
      </c>
      <c r="O1177" s="16" t="str">
        <f>IF(N1177="","",COUNTIF($N$8:N1177,N1177))</f>
        <v/>
      </c>
      <c r="P1177" s="34" t="str">
        <f t="shared" si="832"/>
        <v/>
      </c>
      <c r="Q1177" s="34" t="str">
        <f t="shared" si="833"/>
        <v/>
      </c>
      <c r="R1177" s="34" t="str">
        <f t="shared" si="834"/>
        <v/>
      </c>
      <c r="S1177" s="34" t="str">
        <f t="shared" si="835"/>
        <v/>
      </c>
      <c r="T1177" s="34" t="str">
        <f t="shared" si="836"/>
        <v/>
      </c>
      <c r="U1177" s="34" t="str">
        <f>IF(AND(L1177=1,bp_kode=T1177,T1177&lt;&gt;""),COUNTIF($T$8:T1177,T1177),"")</f>
        <v/>
      </c>
      <c r="V1177" s="34" t="str">
        <f t="shared" si="837"/>
        <v/>
      </c>
      <c r="W1177" s="34" t="str">
        <f t="shared" si="838"/>
        <v/>
      </c>
      <c r="X1177" s="34" t="str">
        <f>IF(B1177="","",COUNTIF($C$8:C1177,C1177)&amp;C1177)</f>
        <v/>
      </c>
    </row>
    <row r="1178" spans="2:24" ht="23.1" customHeight="1">
      <c r="B1178" s="31"/>
      <c r="C1178" s="9"/>
      <c r="D1178" s="9"/>
      <c r="E1178" s="7"/>
      <c r="F1178" s="7"/>
      <c r="G1178" s="7"/>
      <c r="H1178" s="7"/>
      <c r="I1178" s="7"/>
      <c r="J1178" s="39"/>
      <c r="L1178" s="16" t="str">
        <f t="shared" si="829"/>
        <v/>
      </c>
      <c r="M1178" s="16" t="str">
        <f t="shared" si="830"/>
        <v/>
      </c>
      <c r="N1178" s="16" t="str">
        <f t="shared" si="831"/>
        <v/>
      </c>
      <c r="O1178" s="16" t="str">
        <f>IF(N1178="","",COUNTIF($N$8:N1178,N1178))</f>
        <v/>
      </c>
      <c r="P1178" s="34" t="str">
        <f t="shared" si="832"/>
        <v/>
      </c>
      <c r="Q1178" s="34" t="str">
        <f t="shared" si="833"/>
        <v/>
      </c>
      <c r="R1178" s="34" t="str">
        <f t="shared" si="834"/>
        <v/>
      </c>
      <c r="S1178" s="34" t="str">
        <f t="shared" si="835"/>
        <v/>
      </c>
      <c r="T1178" s="34" t="str">
        <f t="shared" si="836"/>
        <v/>
      </c>
      <c r="U1178" s="34" t="str">
        <f>IF(AND(L1178=1,bp_kode=T1178,T1178&lt;&gt;""),COUNTIF($T$8:T1178,T1178),"")</f>
        <v/>
      </c>
      <c r="V1178" s="34" t="str">
        <f t="shared" si="837"/>
        <v/>
      </c>
      <c r="W1178" s="34" t="str">
        <f t="shared" si="838"/>
        <v/>
      </c>
      <c r="X1178" s="34" t="str">
        <f>IF(B1178="","",COUNTIF($C$8:C1178,C1178)&amp;C1178)</f>
        <v/>
      </c>
    </row>
    <row r="1179" spans="2:24" ht="23.1" customHeight="1">
      <c r="B1179" s="31"/>
      <c r="C1179" s="9"/>
      <c r="D1179" s="9"/>
      <c r="E1179" s="7"/>
      <c r="F1179" s="7"/>
      <c r="G1179" s="7"/>
      <c r="H1179" s="7"/>
      <c r="I1179" s="7"/>
      <c r="J1179" s="39"/>
      <c r="L1179" s="16" t="str">
        <f t="shared" si="829"/>
        <v/>
      </c>
      <c r="M1179" s="16" t="str">
        <f t="shared" si="830"/>
        <v/>
      </c>
      <c r="N1179" s="16" t="str">
        <f t="shared" si="831"/>
        <v/>
      </c>
      <c r="O1179" s="16" t="str">
        <f>IF(N1179="","",COUNTIF($N$8:N1179,N1179))</f>
        <v/>
      </c>
      <c r="P1179" s="34" t="str">
        <f t="shared" si="832"/>
        <v/>
      </c>
      <c r="Q1179" s="34" t="str">
        <f t="shared" si="833"/>
        <v/>
      </c>
      <c r="R1179" s="34" t="str">
        <f t="shared" si="834"/>
        <v/>
      </c>
      <c r="S1179" s="34" t="str">
        <f t="shared" si="835"/>
        <v/>
      </c>
      <c r="T1179" s="34" t="str">
        <f t="shared" si="836"/>
        <v/>
      </c>
      <c r="U1179" s="34" t="str">
        <f>IF(AND(L1179=1,bp_kode=T1179,T1179&lt;&gt;""),COUNTIF($T$8:T1179,T1179),"")</f>
        <v/>
      </c>
      <c r="V1179" s="34" t="str">
        <f t="shared" si="837"/>
        <v/>
      </c>
      <c r="W1179" s="34" t="str">
        <f t="shared" si="838"/>
        <v/>
      </c>
      <c r="X1179" s="34" t="str">
        <f>IF(B1179="","",COUNTIF($C$8:C1179,C1179)&amp;C1179)</f>
        <v/>
      </c>
    </row>
    <row r="1180" spans="2:24" ht="23.1" customHeight="1">
      <c r="B1180" s="31"/>
      <c r="C1180" s="9"/>
      <c r="D1180" s="9"/>
      <c r="E1180" s="7"/>
      <c r="F1180" s="7"/>
      <c r="G1180" s="7"/>
      <c r="H1180" s="7"/>
      <c r="I1180" s="7"/>
      <c r="J1180" s="39"/>
      <c r="L1180" s="16" t="str">
        <f t="shared" si="829"/>
        <v/>
      </c>
      <c r="M1180" s="16" t="str">
        <f t="shared" si="830"/>
        <v/>
      </c>
      <c r="N1180" s="16" t="str">
        <f t="shared" si="831"/>
        <v/>
      </c>
      <c r="O1180" s="16" t="str">
        <f>IF(N1180="","",COUNTIF($N$8:N1180,N1180))</f>
        <v/>
      </c>
      <c r="P1180" s="34" t="str">
        <f t="shared" si="832"/>
        <v/>
      </c>
      <c r="Q1180" s="34" t="str">
        <f t="shared" si="833"/>
        <v/>
      </c>
      <c r="R1180" s="34" t="str">
        <f t="shared" si="834"/>
        <v/>
      </c>
      <c r="S1180" s="34" t="str">
        <f t="shared" si="835"/>
        <v/>
      </c>
      <c r="T1180" s="34" t="str">
        <f t="shared" si="836"/>
        <v/>
      </c>
      <c r="U1180" s="34" t="str">
        <f>IF(AND(L1180=1,bp_kode=T1180,T1180&lt;&gt;""),COUNTIF($T$8:T1180,T1180),"")</f>
        <v/>
      </c>
      <c r="V1180" s="34" t="str">
        <f t="shared" si="837"/>
        <v/>
      </c>
      <c r="W1180" s="34" t="str">
        <f t="shared" si="838"/>
        <v/>
      </c>
      <c r="X1180" s="34" t="str">
        <f>IF(B1180="","",COUNTIF($C$8:C1180,C1180)&amp;C1180)</f>
        <v/>
      </c>
    </row>
    <row r="1181" spans="2:24" ht="23.1" customHeight="1">
      <c r="B1181" s="31"/>
      <c r="C1181" s="9"/>
      <c r="D1181" s="9"/>
      <c r="E1181" s="7"/>
      <c r="F1181" s="7"/>
      <c r="G1181" s="7"/>
      <c r="H1181" s="7"/>
      <c r="I1181" s="7"/>
      <c r="J1181" s="39"/>
      <c r="L1181" s="16" t="str">
        <f t="shared" si="829"/>
        <v/>
      </c>
      <c r="M1181" s="16" t="str">
        <f t="shared" si="830"/>
        <v/>
      </c>
      <c r="N1181" s="16" t="str">
        <f t="shared" si="831"/>
        <v/>
      </c>
      <c r="O1181" s="16" t="str">
        <f>IF(N1181="","",COUNTIF($N$8:N1181,N1181))</f>
        <v/>
      </c>
      <c r="P1181" s="34" t="str">
        <f t="shared" si="832"/>
        <v/>
      </c>
      <c r="Q1181" s="34" t="str">
        <f t="shared" si="833"/>
        <v/>
      </c>
      <c r="R1181" s="34" t="str">
        <f t="shared" si="834"/>
        <v/>
      </c>
      <c r="S1181" s="34" t="str">
        <f t="shared" si="835"/>
        <v/>
      </c>
      <c r="T1181" s="34" t="str">
        <f t="shared" si="836"/>
        <v/>
      </c>
      <c r="U1181" s="34" t="str">
        <f>IF(AND(L1181=1,bp_kode=T1181,T1181&lt;&gt;""),COUNTIF($T$8:T1181,T1181),"")</f>
        <v/>
      </c>
      <c r="V1181" s="34" t="str">
        <f t="shared" si="837"/>
        <v/>
      </c>
      <c r="W1181" s="34" t="str">
        <f t="shared" si="838"/>
        <v/>
      </c>
      <c r="X1181" s="34" t="str">
        <f>IF(B1181="","",COUNTIF($C$8:C1181,C1181)&amp;C1181)</f>
        <v/>
      </c>
    </row>
    <row r="1182" spans="2:24" ht="23.1" customHeight="1">
      <c r="B1182" s="31"/>
      <c r="C1182" s="9"/>
      <c r="D1182" s="9"/>
      <c r="E1182" s="7"/>
      <c r="F1182" s="7"/>
      <c r="G1182" s="7"/>
      <c r="H1182" s="7"/>
      <c r="I1182" s="7"/>
      <c r="J1182" s="39"/>
      <c r="L1182" s="16" t="str">
        <f t="shared" si="829"/>
        <v/>
      </c>
      <c r="M1182" s="16" t="str">
        <f t="shared" si="830"/>
        <v/>
      </c>
      <c r="N1182" s="16" t="str">
        <f t="shared" si="831"/>
        <v/>
      </c>
      <c r="O1182" s="16" t="str">
        <f>IF(N1182="","",COUNTIF($N$8:N1182,N1182))</f>
        <v/>
      </c>
      <c r="P1182" s="34" t="str">
        <f t="shared" si="832"/>
        <v/>
      </c>
      <c r="Q1182" s="34" t="str">
        <f t="shared" si="833"/>
        <v/>
      </c>
      <c r="R1182" s="34" t="str">
        <f t="shared" si="834"/>
        <v/>
      </c>
      <c r="S1182" s="34" t="str">
        <f t="shared" si="835"/>
        <v/>
      </c>
      <c r="T1182" s="34" t="str">
        <f t="shared" si="836"/>
        <v/>
      </c>
      <c r="U1182" s="34" t="str">
        <f>IF(AND(L1182=1,bp_kode=T1182,T1182&lt;&gt;""),COUNTIF($T$8:T1182,T1182),"")</f>
        <v/>
      </c>
      <c r="V1182" s="34" t="str">
        <f t="shared" si="837"/>
        <v/>
      </c>
      <c r="W1182" s="34" t="str">
        <f t="shared" si="838"/>
        <v/>
      </c>
      <c r="X1182" s="34" t="str">
        <f>IF(B1182="","",COUNTIF($C$8:C1182,C1182)&amp;C1182)</f>
        <v/>
      </c>
    </row>
    <row r="1183" spans="2:24" ht="23.1" customHeight="1">
      <c r="B1183" s="31"/>
      <c r="C1183" s="9"/>
      <c r="D1183" s="9"/>
      <c r="E1183" s="7"/>
      <c r="F1183" s="7"/>
      <c r="G1183" s="7"/>
      <c r="H1183" s="7"/>
      <c r="I1183" s="7"/>
      <c r="J1183" s="39"/>
      <c r="L1183" s="16" t="str">
        <f t="shared" si="829"/>
        <v/>
      </c>
      <c r="M1183" s="16" t="str">
        <f t="shared" si="830"/>
        <v/>
      </c>
      <c r="N1183" s="16" t="str">
        <f t="shared" si="831"/>
        <v/>
      </c>
      <c r="O1183" s="16" t="str">
        <f>IF(N1183="","",COUNTIF($N$8:N1183,N1183))</f>
        <v/>
      </c>
      <c r="P1183" s="34" t="str">
        <f t="shared" si="832"/>
        <v/>
      </c>
      <c r="Q1183" s="34" t="str">
        <f t="shared" si="833"/>
        <v/>
      </c>
      <c r="R1183" s="34" t="str">
        <f t="shared" si="834"/>
        <v/>
      </c>
      <c r="S1183" s="34" t="str">
        <f t="shared" si="835"/>
        <v/>
      </c>
      <c r="T1183" s="34" t="str">
        <f t="shared" si="836"/>
        <v/>
      </c>
      <c r="U1183" s="34" t="str">
        <f>IF(AND(L1183=1,bp_kode=T1183,T1183&lt;&gt;""),COUNTIF($T$8:T1183,T1183),"")</f>
        <v/>
      </c>
      <c r="V1183" s="34" t="str">
        <f t="shared" si="837"/>
        <v/>
      </c>
      <c r="W1183" s="34" t="str">
        <f t="shared" si="838"/>
        <v/>
      </c>
      <c r="X1183" s="34" t="str">
        <f>IF(B1183="","",COUNTIF($C$8:C1183,C1183)&amp;C1183)</f>
        <v/>
      </c>
    </row>
    <row r="1184" spans="2:24" ht="23.1" customHeight="1">
      <c r="B1184" s="31"/>
      <c r="C1184" s="9"/>
      <c r="D1184" s="9"/>
      <c r="E1184" s="7"/>
      <c r="F1184" s="7"/>
      <c r="G1184" s="7"/>
      <c r="H1184" s="7"/>
      <c r="I1184" s="7"/>
      <c r="J1184" s="39"/>
      <c r="L1184" s="16" t="str">
        <f t="shared" si="829"/>
        <v/>
      </c>
      <c r="M1184" s="16" t="str">
        <f t="shared" si="830"/>
        <v/>
      </c>
      <c r="N1184" s="16" t="str">
        <f t="shared" si="831"/>
        <v/>
      </c>
      <c r="O1184" s="16" t="str">
        <f>IF(N1184="","",COUNTIF($N$8:N1184,N1184))</f>
        <v/>
      </c>
      <c r="P1184" s="34" t="str">
        <f t="shared" si="832"/>
        <v/>
      </c>
      <c r="Q1184" s="34" t="str">
        <f t="shared" si="833"/>
        <v/>
      </c>
      <c r="R1184" s="34" t="str">
        <f t="shared" si="834"/>
        <v/>
      </c>
      <c r="S1184" s="34" t="str">
        <f t="shared" si="835"/>
        <v/>
      </c>
      <c r="T1184" s="34" t="str">
        <f t="shared" si="836"/>
        <v/>
      </c>
      <c r="U1184" s="34" t="str">
        <f>IF(AND(L1184=1,bp_kode=T1184,T1184&lt;&gt;""),COUNTIF($T$8:T1184,T1184),"")</f>
        <v/>
      </c>
      <c r="V1184" s="34" t="str">
        <f t="shared" si="837"/>
        <v/>
      </c>
      <c r="W1184" s="34" t="str">
        <f t="shared" si="838"/>
        <v/>
      </c>
      <c r="X1184" s="34" t="str">
        <f>IF(B1184="","",COUNTIF($C$8:C1184,C1184)&amp;C1184)</f>
        <v/>
      </c>
    </row>
    <row r="1185" spans="2:24" ht="23.1" customHeight="1">
      <c r="B1185" s="31"/>
      <c r="C1185" s="9"/>
      <c r="D1185" s="9"/>
      <c r="E1185" s="7"/>
      <c r="F1185" s="7"/>
      <c r="G1185" s="7"/>
      <c r="H1185" s="7"/>
      <c r="I1185" s="7"/>
      <c r="J1185" s="39"/>
      <c r="L1185" s="16" t="str">
        <f t="shared" si="829"/>
        <v/>
      </c>
      <c r="M1185" s="16" t="str">
        <f t="shared" si="830"/>
        <v/>
      </c>
      <c r="N1185" s="16" t="str">
        <f t="shared" si="831"/>
        <v/>
      </c>
      <c r="O1185" s="16" t="str">
        <f>IF(N1185="","",COUNTIF($N$8:N1185,N1185))</f>
        <v/>
      </c>
      <c r="P1185" s="34" t="str">
        <f t="shared" si="832"/>
        <v/>
      </c>
      <c r="Q1185" s="34" t="str">
        <f t="shared" si="833"/>
        <v/>
      </c>
      <c r="R1185" s="34" t="str">
        <f t="shared" si="834"/>
        <v/>
      </c>
      <c r="S1185" s="34" t="str">
        <f t="shared" si="835"/>
        <v/>
      </c>
      <c r="T1185" s="34" t="str">
        <f t="shared" si="836"/>
        <v/>
      </c>
      <c r="U1185" s="34" t="str">
        <f>IF(AND(L1185=1,bp_kode=T1185,T1185&lt;&gt;""),COUNTIF($T$8:T1185,T1185),"")</f>
        <v/>
      </c>
      <c r="V1185" s="34" t="str">
        <f t="shared" si="837"/>
        <v/>
      </c>
      <c r="W1185" s="34" t="str">
        <f t="shared" si="838"/>
        <v/>
      </c>
      <c r="X1185" s="34" t="str">
        <f>IF(B1185="","",COUNTIF($C$8:C1185,C1185)&amp;C1185)</f>
        <v/>
      </c>
    </row>
    <row r="1186" spans="2:24" ht="23.1" customHeight="1">
      <c r="B1186" s="31"/>
      <c r="C1186" s="9"/>
      <c r="D1186" s="9"/>
      <c r="E1186" s="7"/>
      <c r="F1186" s="7"/>
      <c r="G1186" s="7"/>
      <c r="H1186" s="7"/>
      <c r="I1186" s="7"/>
      <c r="J1186" s="39"/>
      <c r="L1186" s="16" t="str">
        <f t="shared" si="829"/>
        <v/>
      </c>
      <c r="M1186" s="16" t="str">
        <f t="shared" si="830"/>
        <v/>
      </c>
      <c r="N1186" s="16" t="str">
        <f t="shared" si="831"/>
        <v/>
      </c>
      <c r="O1186" s="16" t="str">
        <f>IF(N1186="","",COUNTIF($N$8:N1186,N1186))</f>
        <v/>
      </c>
      <c r="P1186" s="34" t="str">
        <f t="shared" si="832"/>
        <v/>
      </c>
      <c r="Q1186" s="34" t="str">
        <f t="shared" si="833"/>
        <v/>
      </c>
      <c r="R1186" s="34" t="str">
        <f t="shared" si="834"/>
        <v/>
      </c>
      <c r="S1186" s="34" t="str">
        <f t="shared" si="835"/>
        <v/>
      </c>
      <c r="T1186" s="34" t="str">
        <f t="shared" si="836"/>
        <v/>
      </c>
      <c r="U1186" s="34" t="str">
        <f>IF(AND(L1186=1,bp_kode=T1186,T1186&lt;&gt;""),COUNTIF($T$8:T1186,T1186),"")</f>
        <v/>
      </c>
      <c r="V1186" s="34" t="str">
        <f t="shared" si="837"/>
        <v/>
      </c>
      <c r="W1186" s="34" t="str">
        <f t="shared" si="838"/>
        <v/>
      </c>
      <c r="X1186" s="34" t="str">
        <f>IF(B1186="","",COUNTIF($C$8:C1186,C1186)&amp;C1186)</f>
        <v/>
      </c>
    </row>
    <row r="1187" spans="2:24" ht="23.1" customHeight="1">
      <c r="B1187" s="31"/>
      <c r="C1187" s="9"/>
      <c r="D1187" s="9"/>
      <c r="E1187" s="7"/>
      <c r="F1187" s="7"/>
      <c r="G1187" s="7"/>
      <c r="H1187" s="7"/>
      <c r="I1187" s="7"/>
      <c r="J1187" s="39"/>
      <c r="L1187" s="16" t="str">
        <f t="shared" si="829"/>
        <v/>
      </c>
      <c r="M1187" s="16" t="str">
        <f t="shared" si="830"/>
        <v/>
      </c>
      <c r="N1187" s="16" t="str">
        <f t="shared" si="831"/>
        <v/>
      </c>
      <c r="O1187" s="16" t="str">
        <f>IF(N1187="","",COUNTIF($N$8:N1187,N1187))</f>
        <v/>
      </c>
      <c r="P1187" s="34" t="str">
        <f t="shared" si="832"/>
        <v/>
      </c>
      <c r="Q1187" s="34" t="str">
        <f t="shared" si="833"/>
        <v/>
      </c>
      <c r="R1187" s="34" t="str">
        <f t="shared" si="834"/>
        <v/>
      </c>
      <c r="S1187" s="34" t="str">
        <f t="shared" si="835"/>
        <v/>
      </c>
      <c r="T1187" s="34" t="str">
        <f t="shared" si="836"/>
        <v/>
      </c>
      <c r="U1187" s="34" t="str">
        <f>IF(AND(L1187=1,bp_kode=T1187,T1187&lt;&gt;""),COUNTIF($T$8:T1187,T1187),"")</f>
        <v/>
      </c>
      <c r="V1187" s="34" t="str">
        <f t="shared" si="837"/>
        <v/>
      </c>
      <c r="W1187" s="34" t="str">
        <f t="shared" si="838"/>
        <v/>
      </c>
      <c r="X1187" s="34" t="str">
        <f>IF(B1187="","",COUNTIF($C$8:C1187,C1187)&amp;C1187)</f>
        <v/>
      </c>
    </row>
    <row r="1188" spans="2:24" ht="23.1" customHeight="1">
      <c r="B1188" s="31"/>
      <c r="C1188" s="9"/>
      <c r="D1188" s="9"/>
      <c r="E1188" s="7"/>
      <c r="F1188" s="7"/>
      <c r="G1188" s="7"/>
      <c r="H1188" s="7"/>
      <c r="I1188" s="7"/>
      <c r="J1188" s="39"/>
      <c r="L1188" s="16" t="str">
        <f t="shared" si="829"/>
        <v/>
      </c>
      <c r="M1188" s="16" t="str">
        <f t="shared" si="830"/>
        <v/>
      </c>
      <c r="N1188" s="16" t="str">
        <f t="shared" si="831"/>
        <v/>
      </c>
      <c r="O1188" s="16" t="str">
        <f>IF(N1188="","",COUNTIF($N$8:N1188,N1188))</f>
        <v/>
      </c>
      <c r="P1188" s="34" t="str">
        <f t="shared" si="832"/>
        <v/>
      </c>
      <c r="Q1188" s="34" t="str">
        <f t="shared" si="833"/>
        <v/>
      </c>
      <c r="R1188" s="34" t="str">
        <f t="shared" si="834"/>
        <v/>
      </c>
      <c r="S1188" s="34" t="str">
        <f t="shared" si="835"/>
        <v/>
      </c>
      <c r="T1188" s="34" t="str">
        <f t="shared" si="836"/>
        <v/>
      </c>
      <c r="U1188" s="34" t="str">
        <f>IF(AND(L1188=1,bp_kode=T1188,T1188&lt;&gt;""),COUNTIF($T$8:T1188,T1188),"")</f>
        <v/>
      </c>
      <c r="V1188" s="34" t="str">
        <f t="shared" si="837"/>
        <v/>
      </c>
      <c r="W1188" s="34" t="str">
        <f t="shared" si="838"/>
        <v/>
      </c>
      <c r="X1188" s="34" t="str">
        <f>IF(B1188="","",COUNTIF($C$8:C1188,C1188)&amp;C1188)</f>
        <v/>
      </c>
    </row>
    <row r="1189" spans="2:24" ht="23.1" customHeight="1">
      <c r="B1189" s="31"/>
      <c r="C1189" s="9"/>
      <c r="D1189" s="9"/>
      <c r="E1189" s="7"/>
      <c r="F1189" s="7"/>
      <c r="G1189" s="7"/>
      <c r="H1189" s="7"/>
      <c r="I1189" s="7"/>
      <c r="J1189" s="39"/>
      <c r="L1189" s="16" t="str">
        <f t="shared" si="829"/>
        <v/>
      </c>
      <c r="M1189" s="16" t="str">
        <f t="shared" si="830"/>
        <v/>
      </c>
      <c r="N1189" s="16" t="str">
        <f t="shared" si="831"/>
        <v/>
      </c>
      <c r="O1189" s="16" t="str">
        <f>IF(N1189="","",COUNTIF($N$8:N1189,N1189))</f>
        <v/>
      </c>
      <c r="P1189" s="34" t="str">
        <f t="shared" si="832"/>
        <v/>
      </c>
      <c r="Q1189" s="34" t="str">
        <f t="shared" si="833"/>
        <v/>
      </c>
      <c r="R1189" s="34" t="str">
        <f t="shared" si="834"/>
        <v/>
      </c>
      <c r="S1189" s="34" t="str">
        <f t="shared" si="835"/>
        <v/>
      </c>
      <c r="T1189" s="34" t="str">
        <f t="shared" si="836"/>
        <v/>
      </c>
      <c r="U1189" s="34" t="str">
        <f>IF(AND(L1189=1,bp_kode=T1189,T1189&lt;&gt;""),COUNTIF($T$8:T1189,T1189),"")</f>
        <v/>
      </c>
      <c r="V1189" s="34" t="str">
        <f t="shared" si="837"/>
        <v/>
      </c>
      <c r="W1189" s="34" t="str">
        <f t="shared" si="838"/>
        <v/>
      </c>
      <c r="X1189" s="34" t="str">
        <f>IF(B1189="","",COUNTIF($C$8:C1189,C1189)&amp;C1189)</f>
        <v/>
      </c>
    </row>
    <row r="1190" spans="2:24" ht="23.1" customHeight="1">
      <c r="B1190" s="31"/>
      <c r="C1190" s="9"/>
      <c r="D1190" s="9"/>
      <c r="E1190" s="7"/>
      <c r="F1190" s="7"/>
      <c r="G1190" s="7"/>
      <c r="H1190" s="7"/>
      <c r="I1190" s="7"/>
      <c r="J1190" s="39"/>
      <c r="L1190" s="16" t="str">
        <f t="shared" si="829"/>
        <v/>
      </c>
      <c r="M1190" s="16" t="str">
        <f t="shared" si="830"/>
        <v/>
      </c>
      <c r="N1190" s="16" t="str">
        <f t="shared" si="831"/>
        <v/>
      </c>
      <c r="O1190" s="16" t="str">
        <f>IF(N1190="","",COUNTIF($N$8:N1190,N1190))</f>
        <v/>
      </c>
      <c r="P1190" s="34" t="str">
        <f t="shared" si="832"/>
        <v/>
      </c>
      <c r="Q1190" s="34" t="str">
        <f t="shared" si="833"/>
        <v/>
      </c>
      <c r="R1190" s="34" t="str">
        <f t="shared" si="834"/>
        <v/>
      </c>
      <c r="S1190" s="34" t="str">
        <f t="shared" si="835"/>
        <v/>
      </c>
      <c r="T1190" s="34" t="str">
        <f t="shared" si="836"/>
        <v/>
      </c>
      <c r="U1190" s="34" t="str">
        <f>IF(AND(L1190=1,bp_kode=T1190,T1190&lt;&gt;""),COUNTIF($T$8:T1190,T1190),"")</f>
        <v/>
      </c>
      <c r="V1190" s="34" t="str">
        <f t="shared" si="837"/>
        <v/>
      </c>
      <c r="W1190" s="34" t="str">
        <f t="shared" si="838"/>
        <v/>
      </c>
      <c r="X1190" s="34" t="str">
        <f>IF(B1190="","",COUNTIF($C$8:C1190,C1190)&amp;C1190)</f>
        <v/>
      </c>
    </row>
    <row r="1191" spans="2:24" ht="23.1" customHeight="1">
      <c r="B1191" s="31"/>
      <c r="C1191" s="9"/>
      <c r="D1191" s="9"/>
      <c r="E1191" s="7"/>
      <c r="F1191" s="7"/>
      <c r="G1191" s="7"/>
      <c r="H1191" s="7"/>
      <c r="I1191" s="7"/>
      <c r="J1191" s="39"/>
      <c r="L1191" s="16" t="str">
        <f t="shared" si="829"/>
        <v/>
      </c>
      <c r="M1191" s="16" t="str">
        <f t="shared" si="830"/>
        <v/>
      </c>
      <c r="N1191" s="16" t="str">
        <f t="shared" si="831"/>
        <v/>
      </c>
      <c r="O1191" s="16" t="str">
        <f>IF(N1191="","",COUNTIF($N$8:N1191,N1191))</f>
        <v/>
      </c>
      <c r="P1191" s="34" t="str">
        <f t="shared" si="832"/>
        <v/>
      </c>
      <c r="Q1191" s="34" t="str">
        <f t="shared" si="833"/>
        <v/>
      </c>
      <c r="R1191" s="34" t="str">
        <f t="shared" si="834"/>
        <v/>
      </c>
      <c r="S1191" s="34" t="str">
        <f t="shared" si="835"/>
        <v/>
      </c>
      <c r="T1191" s="34" t="str">
        <f t="shared" si="836"/>
        <v/>
      </c>
      <c r="U1191" s="34" t="str">
        <f>IF(AND(L1191=1,bp_kode=T1191,T1191&lt;&gt;""),COUNTIF($T$8:T1191,T1191),"")</f>
        <v/>
      </c>
      <c r="V1191" s="34" t="str">
        <f t="shared" si="837"/>
        <v/>
      </c>
      <c r="W1191" s="34" t="str">
        <f t="shared" si="838"/>
        <v/>
      </c>
      <c r="X1191" s="34" t="str">
        <f>IF(B1191="","",COUNTIF($C$8:C1191,C1191)&amp;C1191)</f>
        <v/>
      </c>
    </row>
    <row r="1192" spans="2:24" ht="23.1" customHeight="1">
      <c r="B1192" s="31"/>
      <c r="C1192" s="9"/>
      <c r="D1192" s="9"/>
      <c r="E1192" s="7"/>
      <c r="F1192" s="7"/>
      <c r="G1192" s="7"/>
      <c r="H1192" s="7"/>
      <c r="I1192" s="7"/>
      <c r="J1192" s="39"/>
      <c r="L1192" s="16" t="str">
        <f t="shared" si="829"/>
        <v/>
      </c>
      <c r="M1192" s="16" t="str">
        <f t="shared" si="830"/>
        <v/>
      </c>
      <c r="N1192" s="16" t="str">
        <f t="shared" si="831"/>
        <v/>
      </c>
      <c r="O1192" s="16" t="str">
        <f>IF(N1192="","",COUNTIF($N$8:N1192,N1192))</f>
        <v/>
      </c>
      <c r="P1192" s="34" t="str">
        <f t="shared" si="832"/>
        <v/>
      </c>
      <c r="Q1192" s="34" t="str">
        <f t="shared" si="833"/>
        <v/>
      </c>
      <c r="R1192" s="34" t="str">
        <f t="shared" si="834"/>
        <v/>
      </c>
      <c r="S1192" s="34" t="str">
        <f t="shared" si="835"/>
        <v/>
      </c>
      <c r="T1192" s="34" t="str">
        <f t="shared" si="836"/>
        <v/>
      </c>
      <c r="U1192" s="34" t="str">
        <f>IF(AND(L1192=1,bp_kode=T1192,T1192&lt;&gt;""),COUNTIF($T$8:T1192,T1192),"")</f>
        <v/>
      </c>
      <c r="V1192" s="34" t="str">
        <f t="shared" si="837"/>
        <v/>
      </c>
      <c r="W1192" s="34" t="str">
        <f t="shared" si="838"/>
        <v/>
      </c>
      <c r="X1192" s="34" t="str">
        <f>IF(B1192="","",COUNTIF($C$8:C1192,C1192)&amp;C1192)</f>
        <v/>
      </c>
    </row>
    <row r="1193" spans="2:24" ht="23.1" customHeight="1">
      <c r="B1193" s="31"/>
      <c r="C1193" s="9"/>
      <c r="D1193" s="9"/>
      <c r="E1193" s="7"/>
      <c r="F1193" s="7"/>
      <c r="G1193" s="7"/>
      <c r="H1193" s="7"/>
      <c r="I1193" s="7"/>
      <c r="J1193" s="39"/>
      <c r="L1193" s="16" t="str">
        <f t="shared" si="829"/>
        <v/>
      </c>
      <c r="M1193" s="16" t="str">
        <f t="shared" si="830"/>
        <v/>
      </c>
      <c r="N1193" s="16" t="str">
        <f t="shared" si="831"/>
        <v/>
      </c>
      <c r="O1193" s="16" t="str">
        <f>IF(N1193="","",COUNTIF($N$8:N1193,N1193))</f>
        <v/>
      </c>
      <c r="P1193" s="34" t="str">
        <f t="shared" si="832"/>
        <v/>
      </c>
      <c r="Q1193" s="34" t="str">
        <f t="shared" si="833"/>
        <v/>
      </c>
      <c r="R1193" s="34" t="str">
        <f t="shared" si="834"/>
        <v/>
      </c>
      <c r="S1193" s="34" t="str">
        <f t="shared" si="835"/>
        <v/>
      </c>
      <c r="T1193" s="34" t="str">
        <f t="shared" si="836"/>
        <v/>
      </c>
      <c r="U1193" s="34" t="str">
        <f>IF(AND(L1193=1,bp_kode=T1193,T1193&lt;&gt;""),COUNTIF($T$8:T1193,T1193),"")</f>
        <v/>
      </c>
      <c r="V1193" s="34" t="str">
        <f t="shared" si="837"/>
        <v/>
      </c>
      <c r="W1193" s="34" t="str">
        <f t="shared" si="838"/>
        <v/>
      </c>
      <c r="X1193" s="34" t="str">
        <f>IF(B1193="","",COUNTIF($C$8:C1193,C1193)&amp;C1193)</f>
        <v/>
      </c>
    </row>
    <row r="1194" spans="2:24" ht="23.1" customHeight="1">
      <c r="B1194" s="31"/>
      <c r="C1194" s="9"/>
      <c r="D1194" s="9"/>
      <c r="E1194" s="7"/>
      <c r="F1194" s="7"/>
      <c r="G1194" s="7"/>
      <c r="H1194" s="7"/>
      <c r="I1194" s="7"/>
      <c r="J1194" s="39"/>
      <c r="L1194" s="16" t="str">
        <f t="shared" si="829"/>
        <v/>
      </c>
      <c r="M1194" s="16" t="str">
        <f t="shared" si="830"/>
        <v/>
      </c>
      <c r="N1194" s="16" t="str">
        <f t="shared" si="831"/>
        <v/>
      </c>
      <c r="O1194" s="16" t="str">
        <f>IF(N1194="","",COUNTIF($N$8:N1194,N1194))</f>
        <v/>
      </c>
      <c r="P1194" s="34" t="str">
        <f t="shared" si="832"/>
        <v/>
      </c>
      <c r="Q1194" s="34" t="str">
        <f t="shared" si="833"/>
        <v/>
      </c>
      <c r="R1194" s="34" t="str">
        <f t="shared" si="834"/>
        <v/>
      </c>
      <c r="S1194" s="34" t="str">
        <f t="shared" si="835"/>
        <v/>
      </c>
      <c r="T1194" s="34" t="str">
        <f t="shared" si="836"/>
        <v/>
      </c>
      <c r="U1194" s="34" t="str">
        <f>IF(AND(L1194=1,bp_kode=T1194,T1194&lt;&gt;""),COUNTIF($T$8:T1194,T1194),"")</f>
        <v/>
      </c>
      <c r="V1194" s="34" t="str">
        <f t="shared" si="837"/>
        <v/>
      </c>
      <c r="W1194" s="34" t="str">
        <f t="shared" si="838"/>
        <v/>
      </c>
      <c r="X1194" s="34" t="str">
        <f>IF(B1194="","",COUNTIF($C$8:C1194,C1194)&amp;C1194)</f>
        <v/>
      </c>
    </row>
    <row r="1195" spans="2:24" ht="23.1" customHeight="1">
      <c r="B1195" s="31"/>
      <c r="C1195" s="9"/>
      <c r="D1195" s="9"/>
      <c r="E1195" s="7"/>
      <c r="F1195" s="7"/>
      <c r="G1195" s="7"/>
      <c r="H1195" s="7"/>
      <c r="I1195" s="7"/>
      <c r="J1195" s="39"/>
      <c r="L1195" s="16" t="str">
        <f t="shared" si="829"/>
        <v/>
      </c>
      <c r="M1195" s="16" t="str">
        <f t="shared" si="830"/>
        <v/>
      </c>
      <c r="N1195" s="16" t="str">
        <f t="shared" si="831"/>
        <v/>
      </c>
      <c r="O1195" s="16" t="str">
        <f>IF(N1195="","",COUNTIF($N$8:N1195,N1195))</f>
        <v/>
      </c>
      <c r="P1195" s="34" t="str">
        <f t="shared" si="832"/>
        <v/>
      </c>
      <c r="Q1195" s="34" t="str">
        <f t="shared" si="833"/>
        <v/>
      </c>
      <c r="R1195" s="34" t="str">
        <f t="shared" si="834"/>
        <v/>
      </c>
      <c r="S1195" s="34" t="str">
        <f t="shared" si="835"/>
        <v/>
      </c>
      <c r="T1195" s="34" t="str">
        <f t="shared" si="836"/>
        <v/>
      </c>
      <c r="U1195" s="34" t="str">
        <f>IF(AND(L1195=1,bp_kode=T1195,T1195&lt;&gt;""),COUNTIF($T$8:T1195,T1195),"")</f>
        <v/>
      </c>
      <c r="V1195" s="34" t="str">
        <f t="shared" si="837"/>
        <v/>
      </c>
      <c r="W1195" s="34" t="str">
        <f t="shared" si="838"/>
        <v/>
      </c>
      <c r="X1195" s="34" t="str">
        <f>IF(B1195="","",COUNTIF($C$8:C1195,C1195)&amp;C1195)</f>
        <v/>
      </c>
    </row>
    <row r="1196" spans="2:24" ht="23.1" customHeight="1">
      <c r="B1196" s="31"/>
      <c r="C1196" s="9"/>
      <c r="D1196" s="9"/>
      <c r="E1196" s="7"/>
      <c r="F1196" s="7"/>
      <c r="G1196" s="7"/>
      <c r="H1196" s="7"/>
      <c r="I1196" s="7"/>
      <c r="J1196" s="39"/>
      <c r="L1196" s="16" t="str">
        <f t="shared" si="829"/>
        <v/>
      </c>
      <c r="M1196" s="16" t="str">
        <f t="shared" si="830"/>
        <v/>
      </c>
      <c r="N1196" s="16" t="str">
        <f t="shared" si="831"/>
        <v/>
      </c>
      <c r="O1196" s="16" t="str">
        <f>IF(N1196="","",COUNTIF($N$8:N1196,N1196))</f>
        <v/>
      </c>
      <c r="P1196" s="34" t="str">
        <f t="shared" si="832"/>
        <v/>
      </c>
      <c r="Q1196" s="34" t="str">
        <f t="shared" si="833"/>
        <v/>
      </c>
      <c r="R1196" s="34" t="str">
        <f t="shared" si="834"/>
        <v/>
      </c>
      <c r="S1196" s="34" t="str">
        <f t="shared" si="835"/>
        <v/>
      </c>
      <c r="T1196" s="34" t="str">
        <f t="shared" si="836"/>
        <v/>
      </c>
      <c r="U1196" s="34" t="str">
        <f>IF(AND(L1196=1,bp_kode=T1196,T1196&lt;&gt;""),COUNTIF($T$8:T1196,T1196),"")</f>
        <v/>
      </c>
      <c r="V1196" s="34" t="str">
        <f t="shared" si="837"/>
        <v/>
      </c>
      <c r="W1196" s="34" t="str">
        <f t="shared" si="838"/>
        <v/>
      </c>
      <c r="X1196" s="34" t="str">
        <f>IF(B1196="","",COUNTIF($C$8:C1196,C1196)&amp;C1196)</f>
        <v/>
      </c>
    </row>
    <row r="1197" spans="2:24" ht="23.1" customHeight="1">
      <c r="B1197" s="31"/>
      <c r="C1197" s="9"/>
      <c r="D1197" s="9"/>
      <c r="E1197" s="7"/>
      <c r="F1197" s="7"/>
      <c r="G1197" s="7"/>
      <c r="H1197" s="7"/>
      <c r="I1197" s="7"/>
      <c r="J1197" s="39"/>
      <c r="L1197" s="16" t="str">
        <f t="shared" si="829"/>
        <v/>
      </c>
      <c r="M1197" s="16" t="str">
        <f t="shared" si="830"/>
        <v/>
      </c>
      <c r="N1197" s="16" t="str">
        <f t="shared" si="831"/>
        <v/>
      </c>
      <c r="O1197" s="16" t="str">
        <f>IF(N1197="","",COUNTIF($N$8:N1197,N1197))</f>
        <v/>
      </c>
      <c r="P1197" s="34" t="str">
        <f t="shared" si="832"/>
        <v/>
      </c>
      <c r="Q1197" s="34" t="str">
        <f t="shared" si="833"/>
        <v/>
      </c>
      <c r="R1197" s="34" t="str">
        <f t="shared" si="834"/>
        <v/>
      </c>
      <c r="S1197" s="34" t="str">
        <f t="shared" si="835"/>
        <v/>
      </c>
      <c r="T1197" s="34" t="str">
        <f t="shared" si="836"/>
        <v/>
      </c>
      <c r="U1197" s="34" t="str">
        <f>IF(AND(L1197=1,bp_kode=T1197,T1197&lt;&gt;""),COUNTIF($T$8:T1197,T1197),"")</f>
        <v/>
      </c>
      <c r="V1197" s="34" t="str">
        <f t="shared" si="837"/>
        <v/>
      </c>
      <c r="W1197" s="34" t="str">
        <f t="shared" si="838"/>
        <v/>
      </c>
      <c r="X1197" s="34" t="str">
        <f>IF(B1197="","",COUNTIF($C$8:C1197,C1197)&amp;C1197)</f>
        <v/>
      </c>
    </row>
    <row r="1198" spans="2:24" ht="23.1" customHeight="1">
      <c r="B1198" s="31"/>
      <c r="C1198" s="9"/>
      <c r="D1198" s="9"/>
      <c r="E1198" s="7"/>
      <c r="F1198" s="7"/>
      <c r="G1198" s="7"/>
      <c r="H1198" s="7"/>
      <c r="I1198" s="7"/>
      <c r="J1198" s="39"/>
      <c r="L1198" s="16" t="str">
        <f t="shared" si="829"/>
        <v/>
      </c>
      <c r="M1198" s="16" t="str">
        <f t="shared" si="830"/>
        <v/>
      </c>
      <c r="N1198" s="16" t="str">
        <f t="shared" si="831"/>
        <v/>
      </c>
      <c r="O1198" s="16" t="str">
        <f>IF(N1198="","",COUNTIF($N$8:N1198,N1198))</f>
        <v/>
      </c>
      <c r="P1198" s="34" t="str">
        <f t="shared" si="832"/>
        <v/>
      </c>
      <c r="Q1198" s="34" t="str">
        <f t="shared" si="833"/>
        <v/>
      </c>
      <c r="R1198" s="34" t="str">
        <f t="shared" si="834"/>
        <v/>
      </c>
      <c r="S1198" s="34" t="str">
        <f t="shared" si="835"/>
        <v/>
      </c>
      <c r="T1198" s="34" t="str">
        <f t="shared" si="836"/>
        <v/>
      </c>
      <c r="U1198" s="34" t="str">
        <f>IF(AND(L1198=1,bp_kode=T1198,T1198&lt;&gt;""),COUNTIF($T$8:T1198,T1198),"")</f>
        <v/>
      </c>
      <c r="V1198" s="34" t="str">
        <f t="shared" si="837"/>
        <v/>
      </c>
      <c r="W1198" s="34" t="str">
        <f t="shared" si="838"/>
        <v/>
      </c>
      <c r="X1198" s="34" t="str">
        <f>IF(B1198="","",COUNTIF($C$8:C1198,C1198)&amp;C1198)</f>
        <v/>
      </c>
    </row>
    <row r="1199" spans="2:24" ht="23.1" customHeight="1">
      <c r="B1199" s="31"/>
      <c r="C1199" s="9"/>
      <c r="D1199" s="9"/>
      <c r="E1199" s="7"/>
      <c r="F1199" s="7"/>
      <c r="G1199" s="7"/>
      <c r="H1199" s="7"/>
      <c r="I1199" s="7"/>
      <c r="J1199" s="39"/>
      <c r="L1199" s="16" t="str">
        <f t="shared" si="829"/>
        <v/>
      </c>
      <c r="M1199" s="16" t="str">
        <f t="shared" si="830"/>
        <v/>
      </c>
      <c r="N1199" s="16" t="str">
        <f t="shared" si="831"/>
        <v/>
      </c>
      <c r="O1199" s="16" t="str">
        <f>IF(N1199="","",COUNTIF($N$8:N1199,N1199))</f>
        <v/>
      </c>
      <c r="P1199" s="34" t="str">
        <f t="shared" si="832"/>
        <v/>
      </c>
      <c r="Q1199" s="34" t="str">
        <f t="shared" si="833"/>
        <v/>
      </c>
      <c r="R1199" s="34" t="str">
        <f t="shared" si="834"/>
        <v/>
      </c>
      <c r="S1199" s="34" t="str">
        <f t="shared" si="835"/>
        <v/>
      </c>
      <c r="T1199" s="34" t="str">
        <f t="shared" si="836"/>
        <v/>
      </c>
      <c r="U1199" s="34" t="str">
        <f>IF(AND(L1199=1,bp_kode=T1199,T1199&lt;&gt;""),COUNTIF($T$8:T1199,T1199),"")</f>
        <v/>
      </c>
      <c r="V1199" s="34" t="str">
        <f t="shared" si="837"/>
        <v/>
      </c>
      <c r="W1199" s="34" t="str">
        <f t="shared" si="838"/>
        <v/>
      </c>
      <c r="X1199" s="34" t="str">
        <f>IF(B1199="","",COUNTIF($C$8:C1199,C1199)&amp;C1199)</f>
        <v/>
      </c>
    </row>
    <row r="1200" spans="2:24" ht="23.1" customHeight="1">
      <c r="B1200" s="31"/>
      <c r="C1200" s="9"/>
      <c r="D1200" s="9"/>
      <c r="E1200" s="7"/>
      <c r="F1200" s="7"/>
      <c r="G1200" s="7"/>
      <c r="H1200" s="7"/>
      <c r="I1200" s="7"/>
      <c r="J1200" s="39"/>
      <c r="L1200" s="16" t="str">
        <f t="shared" si="829"/>
        <v/>
      </c>
      <c r="M1200" s="16" t="str">
        <f t="shared" si="830"/>
        <v/>
      </c>
      <c r="N1200" s="16" t="str">
        <f t="shared" si="831"/>
        <v/>
      </c>
      <c r="O1200" s="16" t="str">
        <f>IF(N1200="","",COUNTIF($N$8:N1200,N1200))</f>
        <v/>
      </c>
      <c r="P1200" s="34" t="str">
        <f t="shared" si="832"/>
        <v/>
      </c>
      <c r="Q1200" s="34" t="str">
        <f t="shared" si="833"/>
        <v/>
      </c>
      <c r="R1200" s="34" t="str">
        <f t="shared" si="834"/>
        <v/>
      </c>
      <c r="S1200" s="34" t="str">
        <f t="shared" si="835"/>
        <v/>
      </c>
      <c r="T1200" s="34" t="str">
        <f t="shared" si="836"/>
        <v/>
      </c>
      <c r="U1200" s="34" t="str">
        <f>IF(AND(L1200=1,bp_kode=T1200,T1200&lt;&gt;""),COUNTIF($T$8:T1200,T1200),"")</f>
        <v/>
      </c>
      <c r="V1200" s="34" t="str">
        <f t="shared" si="837"/>
        <v/>
      </c>
      <c r="W1200" s="34" t="str">
        <f t="shared" si="838"/>
        <v/>
      </c>
      <c r="X1200" s="34" t="str">
        <f>IF(B1200="","",COUNTIF($C$8:C1200,C1200)&amp;C1200)</f>
        <v/>
      </c>
    </row>
    <row r="1201" spans="2:24" ht="23.1" customHeight="1">
      <c r="B1201" s="31"/>
      <c r="C1201" s="9"/>
      <c r="D1201" s="9"/>
      <c r="E1201" s="7"/>
      <c r="F1201" s="7"/>
      <c r="G1201" s="7"/>
      <c r="H1201" s="7"/>
      <c r="I1201" s="7"/>
      <c r="J1201" s="39"/>
      <c r="L1201" s="16" t="str">
        <f t="shared" si="829"/>
        <v/>
      </c>
      <c r="M1201" s="16" t="str">
        <f t="shared" si="830"/>
        <v/>
      </c>
      <c r="N1201" s="16" t="str">
        <f t="shared" si="831"/>
        <v/>
      </c>
      <c r="O1201" s="16" t="str">
        <f>IF(N1201="","",COUNTIF($N$8:N1201,N1201))</f>
        <v/>
      </c>
      <c r="P1201" s="34" t="str">
        <f t="shared" si="832"/>
        <v/>
      </c>
      <c r="Q1201" s="34" t="str">
        <f t="shared" si="833"/>
        <v/>
      </c>
      <c r="R1201" s="34" t="str">
        <f t="shared" si="834"/>
        <v/>
      </c>
      <c r="S1201" s="34" t="str">
        <f t="shared" si="835"/>
        <v/>
      </c>
      <c r="T1201" s="34" t="str">
        <f t="shared" si="836"/>
        <v/>
      </c>
      <c r="U1201" s="34" t="str">
        <f>IF(AND(L1201=1,bp_kode=T1201,T1201&lt;&gt;""),COUNTIF($T$8:T1201,T1201),"")</f>
        <v/>
      </c>
      <c r="V1201" s="34" t="str">
        <f t="shared" si="837"/>
        <v/>
      </c>
      <c r="W1201" s="34" t="str">
        <f t="shared" si="838"/>
        <v/>
      </c>
      <c r="X1201" s="34" t="str">
        <f>IF(B1201="","",COUNTIF($C$8:C1201,C1201)&amp;C1201)</f>
        <v/>
      </c>
    </row>
    <row r="1202" spans="2:24" ht="23.1" customHeight="1">
      <c r="B1202" s="31"/>
      <c r="C1202" s="9"/>
      <c r="D1202" s="9"/>
      <c r="E1202" s="7"/>
      <c r="F1202" s="7"/>
      <c r="G1202" s="7"/>
      <c r="H1202" s="7"/>
      <c r="I1202" s="7"/>
      <c r="J1202" s="39"/>
      <c r="L1202" s="16" t="str">
        <f t="shared" si="829"/>
        <v/>
      </c>
      <c r="M1202" s="16" t="str">
        <f t="shared" si="830"/>
        <v/>
      </c>
      <c r="N1202" s="16" t="str">
        <f t="shared" si="831"/>
        <v/>
      </c>
      <c r="O1202" s="16" t="str">
        <f>IF(N1202="","",COUNTIF($N$8:N1202,N1202))</f>
        <v/>
      </c>
      <c r="P1202" s="34" t="str">
        <f t="shared" si="832"/>
        <v/>
      </c>
      <c r="Q1202" s="34" t="str">
        <f t="shared" si="833"/>
        <v/>
      </c>
      <c r="R1202" s="34" t="str">
        <f t="shared" si="834"/>
        <v/>
      </c>
      <c r="S1202" s="34" t="str">
        <f t="shared" si="835"/>
        <v/>
      </c>
      <c r="T1202" s="34" t="str">
        <f t="shared" si="836"/>
        <v/>
      </c>
      <c r="U1202" s="34" t="str">
        <f>IF(AND(L1202=1,bp_kode=T1202,T1202&lt;&gt;""),COUNTIF($T$8:T1202,T1202),"")</f>
        <v/>
      </c>
      <c r="V1202" s="34" t="str">
        <f t="shared" si="837"/>
        <v/>
      </c>
      <c r="W1202" s="34" t="str">
        <f t="shared" si="838"/>
        <v/>
      </c>
      <c r="X1202" s="34" t="str">
        <f>IF(B1202="","",COUNTIF($C$8:C1202,C1202)&amp;C1202)</f>
        <v/>
      </c>
    </row>
    <row r="1203" spans="2:24" ht="23.1" customHeight="1">
      <c r="B1203" s="31"/>
      <c r="C1203" s="9"/>
      <c r="D1203" s="9"/>
      <c r="E1203" s="7"/>
      <c r="F1203" s="7"/>
      <c r="G1203" s="7"/>
      <c r="H1203" s="7"/>
      <c r="I1203" s="7"/>
      <c r="J1203" s="39"/>
      <c r="L1203" s="16" t="str">
        <f t="shared" si="829"/>
        <v/>
      </c>
      <c r="M1203" s="16" t="str">
        <f t="shared" si="830"/>
        <v/>
      </c>
      <c r="N1203" s="16" t="str">
        <f t="shared" si="831"/>
        <v/>
      </c>
      <c r="O1203" s="16" t="str">
        <f>IF(N1203="","",COUNTIF($N$8:N1203,N1203))</f>
        <v/>
      </c>
      <c r="P1203" s="34" t="str">
        <f t="shared" si="832"/>
        <v/>
      </c>
      <c r="Q1203" s="34" t="str">
        <f t="shared" si="833"/>
        <v/>
      </c>
      <c r="R1203" s="34" t="str">
        <f t="shared" si="834"/>
        <v/>
      </c>
      <c r="S1203" s="34" t="str">
        <f t="shared" si="835"/>
        <v/>
      </c>
      <c r="T1203" s="34" t="str">
        <f t="shared" si="836"/>
        <v/>
      </c>
      <c r="U1203" s="34" t="str">
        <f>IF(AND(L1203=1,bp_kode=T1203,T1203&lt;&gt;""),COUNTIF($T$8:T1203,T1203),"")</f>
        <v/>
      </c>
      <c r="V1203" s="34" t="str">
        <f t="shared" si="837"/>
        <v/>
      </c>
      <c r="W1203" s="34" t="str">
        <f t="shared" si="838"/>
        <v/>
      </c>
      <c r="X1203" s="34" t="str">
        <f>IF(B1203="","",COUNTIF($C$8:C1203,C1203)&amp;C1203)</f>
        <v/>
      </c>
    </row>
    <row r="1204" spans="2:24" ht="23.1" customHeight="1">
      <c r="B1204" s="31"/>
      <c r="C1204" s="9"/>
      <c r="D1204" s="9"/>
      <c r="E1204" s="7"/>
      <c r="F1204" s="7"/>
      <c r="G1204" s="7"/>
      <c r="H1204" s="7"/>
      <c r="I1204" s="7"/>
      <c r="J1204" s="39"/>
      <c r="L1204" s="16" t="str">
        <f t="shared" si="829"/>
        <v/>
      </c>
      <c r="M1204" s="16" t="str">
        <f t="shared" si="830"/>
        <v/>
      </c>
      <c r="N1204" s="16" t="str">
        <f t="shared" si="831"/>
        <v/>
      </c>
      <c r="O1204" s="16" t="str">
        <f>IF(N1204="","",COUNTIF($N$8:N1204,N1204))</f>
        <v/>
      </c>
      <c r="P1204" s="34" t="str">
        <f t="shared" si="832"/>
        <v/>
      </c>
      <c r="Q1204" s="34" t="str">
        <f t="shared" si="833"/>
        <v/>
      </c>
      <c r="R1204" s="34" t="str">
        <f t="shared" si="834"/>
        <v/>
      </c>
      <c r="S1204" s="34" t="str">
        <f t="shared" si="835"/>
        <v/>
      </c>
      <c r="T1204" s="34" t="str">
        <f t="shared" si="836"/>
        <v/>
      </c>
      <c r="U1204" s="34" t="str">
        <f>IF(AND(L1204=1,bp_kode=T1204,T1204&lt;&gt;""),COUNTIF($T$8:T1204,T1204),"")</f>
        <v/>
      </c>
      <c r="V1204" s="34" t="str">
        <f t="shared" si="837"/>
        <v/>
      </c>
      <c r="W1204" s="34" t="str">
        <f t="shared" si="838"/>
        <v/>
      </c>
      <c r="X1204" s="34" t="str">
        <f>IF(B1204="","",COUNTIF($C$8:C1204,C1204)&amp;C1204)</f>
        <v/>
      </c>
    </row>
    <row r="1205" spans="2:24" ht="23.1" customHeight="1">
      <c r="B1205" s="31"/>
      <c r="C1205" s="9"/>
      <c r="D1205" s="9"/>
      <c r="E1205" s="7"/>
      <c r="F1205" s="7"/>
      <c r="G1205" s="7"/>
      <c r="H1205" s="7"/>
      <c r="I1205" s="7"/>
      <c r="J1205" s="39"/>
      <c r="L1205" s="16" t="str">
        <f t="shared" si="829"/>
        <v/>
      </c>
      <c r="M1205" s="16" t="str">
        <f t="shared" si="830"/>
        <v/>
      </c>
      <c r="N1205" s="16" t="str">
        <f t="shared" si="831"/>
        <v/>
      </c>
      <c r="O1205" s="16" t="str">
        <f>IF(N1205="","",COUNTIF($N$8:N1205,N1205))</f>
        <v/>
      </c>
      <c r="P1205" s="34" t="str">
        <f t="shared" si="832"/>
        <v/>
      </c>
      <c r="Q1205" s="34" t="str">
        <f t="shared" si="833"/>
        <v/>
      </c>
      <c r="R1205" s="34" t="str">
        <f t="shared" si="834"/>
        <v/>
      </c>
      <c r="S1205" s="34" t="str">
        <f t="shared" si="835"/>
        <v/>
      </c>
      <c r="T1205" s="34" t="str">
        <f t="shared" si="836"/>
        <v/>
      </c>
      <c r="U1205" s="34" t="str">
        <f>IF(AND(L1205=1,bp_kode=T1205,T1205&lt;&gt;""),COUNTIF($T$8:T1205,T1205),"")</f>
        <v/>
      </c>
      <c r="V1205" s="34" t="str">
        <f t="shared" si="837"/>
        <v/>
      </c>
      <c r="W1205" s="34" t="str">
        <f t="shared" si="838"/>
        <v/>
      </c>
      <c r="X1205" s="34" t="str">
        <f>IF(B1205="","",COUNTIF($C$8:C1205,C1205)&amp;C1205)</f>
        <v/>
      </c>
    </row>
    <row r="1206" spans="2:24" ht="23.1" customHeight="1">
      <c r="B1206" s="31"/>
      <c r="C1206" s="9"/>
      <c r="D1206" s="9"/>
      <c r="E1206" s="7"/>
      <c r="F1206" s="7"/>
      <c r="G1206" s="7"/>
      <c r="H1206" s="7"/>
      <c r="I1206" s="7"/>
      <c r="J1206" s="39"/>
      <c r="L1206" s="16" t="str">
        <f t="shared" si="829"/>
        <v/>
      </c>
      <c r="M1206" s="16" t="str">
        <f t="shared" si="830"/>
        <v/>
      </c>
      <c r="N1206" s="16" t="str">
        <f t="shared" si="831"/>
        <v/>
      </c>
      <c r="O1206" s="16" t="str">
        <f>IF(N1206="","",COUNTIF($N$8:N1206,N1206))</f>
        <v/>
      </c>
      <c r="P1206" s="34" t="str">
        <f t="shared" si="832"/>
        <v/>
      </c>
      <c r="Q1206" s="34" t="str">
        <f t="shared" si="833"/>
        <v/>
      </c>
      <c r="R1206" s="34" t="str">
        <f t="shared" si="834"/>
        <v/>
      </c>
      <c r="S1206" s="34" t="str">
        <f t="shared" si="835"/>
        <v/>
      </c>
      <c r="T1206" s="34" t="str">
        <f t="shared" si="836"/>
        <v/>
      </c>
      <c r="U1206" s="34" t="str">
        <f>IF(AND(L1206=1,bp_kode=T1206,T1206&lt;&gt;""),COUNTIF($T$8:T1206,T1206),"")</f>
        <v/>
      </c>
      <c r="V1206" s="34" t="str">
        <f t="shared" si="837"/>
        <v/>
      </c>
      <c r="W1206" s="34" t="str">
        <f t="shared" si="838"/>
        <v/>
      </c>
      <c r="X1206" s="34" t="str">
        <f>IF(B1206="","",COUNTIF($C$8:C1206,C1206)&amp;C1206)</f>
        <v/>
      </c>
    </row>
    <row r="1207" spans="2:24" ht="23.1" customHeight="1">
      <c r="B1207" s="31"/>
      <c r="C1207" s="9"/>
      <c r="D1207" s="9"/>
      <c r="E1207" s="7"/>
      <c r="F1207" s="7"/>
      <c r="G1207" s="7"/>
      <c r="H1207" s="7"/>
      <c r="I1207" s="7"/>
      <c r="J1207" s="39"/>
      <c r="L1207" s="16" t="str">
        <f t="shared" si="829"/>
        <v/>
      </c>
      <c r="M1207" s="16" t="str">
        <f t="shared" si="830"/>
        <v/>
      </c>
      <c r="N1207" s="16" t="str">
        <f t="shared" si="831"/>
        <v/>
      </c>
      <c r="O1207" s="16" t="str">
        <f>IF(N1207="","",COUNTIF($N$8:N1207,N1207))</f>
        <v/>
      </c>
      <c r="P1207" s="34" t="str">
        <f t="shared" si="832"/>
        <v/>
      </c>
      <c r="Q1207" s="34" t="str">
        <f t="shared" si="833"/>
        <v/>
      </c>
      <c r="R1207" s="34" t="str">
        <f t="shared" si="834"/>
        <v/>
      </c>
      <c r="S1207" s="34" t="str">
        <f t="shared" si="835"/>
        <v/>
      </c>
      <c r="T1207" s="34" t="str">
        <f t="shared" si="836"/>
        <v/>
      </c>
      <c r="U1207" s="34" t="str">
        <f>IF(AND(L1207=1,bp_kode=T1207,T1207&lt;&gt;""),COUNTIF($T$8:T1207,T1207),"")</f>
        <v/>
      </c>
      <c r="V1207" s="34" t="str">
        <f t="shared" si="837"/>
        <v/>
      </c>
      <c r="W1207" s="34" t="str">
        <f t="shared" si="838"/>
        <v/>
      </c>
      <c r="X1207" s="34" t="str">
        <f>IF(B1207="","",COUNTIF($C$8:C1207,C1207)&amp;C1207)</f>
        <v/>
      </c>
    </row>
    <row r="1208" spans="2:24" ht="23.1" customHeight="1">
      <c r="B1208" s="31"/>
      <c r="C1208" s="9"/>
      <c r="D1208" s="9"/>
      <c r="E1208" s="7"/>
      <c r="F1208" s="7"/>
      <c r="G1208" s="7"/>
      <c r="H1208" s="7"/>
      <c r="I1208" s="7"/>
      <c r="J1208" s="39"/>
      <c r="L1208" s="16" t="str">
        <f t="shared" si="829"/>
        <v/>
      </c>
      <c r="M1208" s="16" t="str">
        <f t="shared" si="830"/>
        <v/>
      </c>
      <c r="N1208" s="16" t="str">
        <f t="shared" si="831"/>
        <v/>
      </c>
      <c r="O1208" s="16" t="str">
        <f>IF(N1208="","",COUNTIF($N$8:N1208,N1208))</f>
        <v/>
      </c>
      <c r="P1208" s="34" t="str">
        <f t="shared" si="832"/>
        <v/>
      </c>
      <c r="Q1208" s="34" t="str">
        <f t="shared" si="833"/>
        <v/>
      </c>
      <c r="R1208" s="34" t="str">
        <f t="shared" si="834"/>
        <v/>
      </c>
      <c r="S1208" s="34" t="str">
        <f t="shared" si="835"/>
        <v/>
      </c>
      <c r="T1208" s="34" t="str">
        <f t="shared" si="836"/>
        <v/>
      </c>
      <c r="U1208" s="34" t="str">
        <f>IF(AND(L1208=1,bp_kode=T1208,T1208&lt;&gt;""),COUNTIF($T$8:T1208,T1208),"")</f>
        <v/>
      </c>
      <c r="V1208" s="34" t="str">
        <f t="shared" si="837"/>
        <v/>
      </c>
      <c r="W1208" s="34" t="str">
        <f t="shared" si="838"/>
        <v/>
      </c>
      <c r="X1208" s="34" t="str">
        <f>IF(B1208="","",COUNTIF($C$8:C1208,C1208)&amp;C1208)</f>
        <v/>
      </c>
    </row>
    <row r="1209" spans="2:24" ht="23.1" customHeight="1">
      <c r="B1209" s="31"/>
      <c r="C1209" s="9"/>
      <c r="D1209" s="9"/>
      <c r="E1209" s="7"/>
      <c r="F1209" s="7"/>
      <c r="G1209" s="7"/>
      <c r="H1209" s="7"/>
      <c r="I1209" s="7"/>
      <c r="J1209" s="39"/>
      <c r="L1209" s="16" t="str">
        <f t="shared" si="829"/>
        <v/>
      </c>
      <c r="M1209" s="16" t="str">
        <f t="shared" si="830"/>
        <v/>
      </c>
      <c r="N1209" s="16" t="str">
        <f t="shared" si="831"/>
        <v/>
      </c>
      <c r="O1209" s="16" t="str">
        <f>IF(N1209="","",COUNTIF($N$8:N1209,N1209))</f>
        <v/>
      </c>
      <c r="P1209" s="34" t="str">
        <f t="shared" si="832"/>
        <v/>
      </c>
      <c r="Q1209" s="34" t="str">
        <f t="shared" si="833"/>
        <v/>
      </c>
      <c r="R1209" s="34" t="str">
        <f t="shared" si="834"/>
        <v/>
      </c>
      <c r="S1209" s="34" t="str">
        <f t="shared" si="835"/>
        <v/>
      </c>
      <c r="T1209" s="34" t="str">
        <f t="shared" si="836"/>
        <v/>
      </c>
      <c r="U1209" s="34" t="str">
        <f>IF(AND(L1209=1,bp_kode=T1209,T1209&lt;&gt;""),COUNTIF($T$8:T1209,T1209),"")</f>
        <v/>
      </c>
      <c r="V1209" s="34" t="str">
        <f t="shared" si="837"/>
        <v/>
      </c>
      <c r="W1209" s="34" t="str">
        <f t="shared" si="838"/>
        <v/>
      </c>
      <c r="X1209" s="34" t="str">
        <f>IF(B1209="","",COUNTIF($C$8:C1209,C1209)&amp;C1209)</f>
        <v/>
      </c>
    </row>
    <row r="1210" spans="2:24" ht="23.1" customHeight="1">
      <c r="B1210" s="31"/>
      <c r="C1210" s="9"/>
      <c r="D1210" s="9"/>
      <c r="E1210" s="7"/>
      <c r="F1210" s="7"/>
      <c r="G1210" s="7"/>
      <c r="H1210" s="7"/>
      <c r="I1210" s="7"/>
      <c r="J1210" s="39"/>
      <c r="L1210" s="16" t="str">
        <f t="shared" si="829"/>
        <v/>
      </c>
      <c r="M1210" s="16" t="str">
        <f t="shared" si="830"/>
        <v/>
      </c>
      <c r="N1210" s="16" t="str">
        <f t="shared" si="831"/>
        <v/>
      </c>
      <c r="O1210" s="16" t="str">
        <f>IF(N1210="","",COUNTIF($N$8:N1210,N1210))</f>
        <v/>
      </c>
      <c r="P1210" s="34" t="str">
        <f t="shared" si="832"/>
        <v/>
      </c>
      <c r="Q1210" s="34" t="str">
        <f t="shared" si="833"/>
        <v/>
      </c>
      <c r="R1210" s="34" t="str">
        <f t="shared" si="834"/>
        <v/>
      </c>
      <c r="S1210" s="34" t="str">
        <f t="shared" si="835"/>
        <v/>
      </c>
      <c r="T1210" s="34" t="str">
        <f t="shared" si="836"/>
        <v/>
      </c>
      <c r="U1210" s="34" t="str">
        <f>IF(AND(L1210=1,bp_kode=T1210,T1210&lt;&gt;""),COUNTIF($T$8:T1210,T1210),"")</f>
        <v/>
      </c>
      <c r="V1210" s="34" t="str">
        <f t="shared" si="837"/>
        <v/>
      </c>
      <c r="W1210" s="34" t="str">
        <f t="shared" si="838"/>
        <v/>
      </c>
      <c r="X1210" s="34" t="str">
        <f>IF(B1210="","",COUNTIF($C$8:C1210,C1210)&amp;C1210)</f>
        <v/>
      </c>
    </row>
    <row r="1211" spans="2:24" ht="23.1" customHeight="1">
      <c r="B1211" s="31"/>
      <c r="C1211" s="9"/>
      <c r="D1211" s="9"/>
      <c r="E1211" s="7"/>
      <c r="F1211" s="7"/>
      <c r="G1211" s="7"/>
      <c r="H1211" s="7"/>
      <c r="I1211" s="7"/>
      <c r="J1211" s="39"/>
      <c r="L1211" s="16" t="str">
        <f t="shared" si="829"/>
        <v/>
      </c>
      <c r="M1211" s="16" t="str">
        <f t="shared" si="830"/>
        <v/>
      </c>
      <c r="N1211" s="16" t="str">
        <f t="shared" si="831"/>
        <v/>
      </c>
      <c r="O1211" s="16" t="str">
        <f>IF(N1211="","",COUNTIF($N$8:N1211,N1211))</f>
        <v/>
      </c>
      <c r="P1211" s="34" t="str">
        <f t="shared" si="832"/>
        <v/>
      </c>
      <c r="Q1211" s="34" t="str">
        <f t="shared" si="833"/>
        <v/>
      </c>
      <c r="R1211" s="34" t="str">
        <f t="shared" si="834"/>
        <v/>
      </c>
      <c r="S1211" s="34" t="str">
        <f t="shared" si="835"/>
        <v/>
      </c>
      <c r="T1211" s="34" t="str">
        <f t="shared" si="836"/>
        <v/>
      </c>
      <c r="U1211" s="34" t="str">
        <f>IF(AND(L1211=1,bp_kode=T1211,T1211&lt;&gt;""),COUNTIF($T$8:T1211,T1211),"")</f>
        <v/>
      </c>
      <c r="V1211" s="34" t="str">
        <f t="shared" si="837"/>
        <v/>
      </c>
      <c r="W1211" s="34" t="str">
        <f t="shared" si="838"/>
        <v/>
      </c>
      <c r="X1211" s="34" t="str">
        <f>IF(B1211="","",COUNTIF($C$8:C1211,C1211)&amp;C1211)</f>
        <v/>
      </c>
    </row>
    <row r="1212" spans="2:24" ht="23.1" customHeight="1">
      <c r="B1212" s="31"/>
      <c r="C1212" s="9"/>
      <c r="D1212" s="9"/>
      <c r="E1212" s="7"/>
      <c r="F1212" s="7"/>
      <c r="G1212" s="7"/>
      <c r="H1212" s="7"/>
      <c r="I1212" s="7"/>
      <c r="J1212" s="39"/>
      <c r="L1212" s="16" t="str">
        <f t="shared" ref="L1212:L1275" si="839">IF(AND(B1212&gt;=awal,B1212&lt;=akhir,B1212&lt;&gt;""),1,IF(AND(B1212&lt;&gt;"",B1212&lt;awal),2,""))</f>
        <v/>
      </c>
      <c r="M1212" s="16" t="str">
        <f t="shared" ref="M1212:M1275" si="840">IF(B1212="","",TEXT(B1212,"mmmm"))</f>
        <v/>
      </c>
      <c r="N1212" s="16" t="str">
        <f t="shared" ref="N1212:N1275" si="841">IF(AND(L1212=1,H1212=bb_akun),"Awe",IF(AND(L1212=1,I1212=bb_akun),"Awe",""))</f>
        <v/>
      </c>
      <c r="O1212" s="16" t="str">
        <f>IF(N1212="","",COUNTIF($N$8:N1212,N1212))</f>
        <v/>
      </c>
      <c r="P1212" s="34" t="str">
        <f t="shared" ref="P1212:P1275" si="842">IFERROR(IF(OR(INDEX(akun_type,MATCH(H1212,akun_kb,0))="Kas",INDEX(akun_type,MATCH(H1212,akun_kb,0))="Bank"),"In"&amp;INDEX(akun_type,MATCH(I1212,akun_kb,0)),IF(OR(INDEX(akun_type,MATCH(I1212,akun_kb,0))="Kas",INDEX(akun_type,MATCH(I1212,akun_kb,0))="Bank"),"out"&amp;INDEX(akun_type,MATCH(H1212,akun_kb,0)),"")),"")</f>
        <v/>
      </c>
      <c r="Q1212" s="34" t="str">
        <f t="shared" ref="Q1212:Q1275" si="843">IFERROR(IF(OR(INDEX(akun_type,MATCH(H1212,akun_kb,0))="Kas",INDEX(akun_type,MATCH(H1212,akun_kb,0))="Bank"),"in"&amp;TEXT(B1212,"mmmm")&amp;INDEX(akun_type,MATCH(I1212,akun_kb,0)),IF(OR(INDEX(akun_type,MATCH(I1212,akun_kb,0))="Kas",INDEX(akun_type,MATCH(I1212,akun_kb,0))="Bank"),"out"&amp;TEXT(B1212,"mmmm")&amp;INDEX(akun_type,MATCH(H1212,akun_kb,0)),"")),"")</f>
        <v/>
      </c>
      <c r="R1212" s="34" t="str">
        <f t="shared" ref="R1212:R1275" si="844">IFERROR(INDEX(akun_type,MATCH(H1212,akun_kb,0)),"")</f>
        <v/>
      </c>
      <c r="S1212" s="34" t="str">
        <f t="shared" ref="S1212:S1275" si="845">IFERROR(INDEX(akun_type,MATCH(I1212,akun_kb,0)),"")</f>
        <v/>
      </c>
      <c r="T1212" s="34" t="str">
        <f t="shared" ref="T1212:T1275" si="846">IF(AND(L1212=1,OR(R1212="Akun Piutang",R1212="akun hutang",S1212="akun piutang",S1212="akun hutang")),E1212,"")</f>
        <v/>
      </c>
      <c r="U1212" s="34" t="str">
        <f>IF(AND(L1212=1,bp_kode=T1212,T1212&lt;&gt;""),COUNTIF($T$8:T1212,T1212),"")</f>
        <v/>
      </c>
      <c r="V1212" s="34" t="str">
        <f t="shared" ref="V1212:V1275" si="847">IF(OR(R1212="Pendapatan",R1212="Pendapatan Lainnya",R1212="Beban",R1212="Harga Pokok Penjualan",R1212="Beban Lainnya"),"db"&amp;F1212,IF(OR(S1212="Pendapatan",S1212="Pendapatan Lainnya",S1212="Beban",S1212="Harga Pokok Penjualan",S1212="Beban Lainnya"),"kr"&amp;F1212,""))</f>
        <v/>
      </c>
      <c r="W1212" s="34" t="str">
        <f t="shared" ref="W1212:W1275" si="848">IF(OR(R1212="Pendapatan",R1212="Pendapatan Lainnya",R1212="Beban",R1212="Harga Pokok Penjualan",R1212="Beban Lainnya"),"db"&amp;G1212,IF(OR(S1212="Pendapatan",S1212="Pendapatan Lainnya",S1212="Beban",S1212="Harga Pokok Penjualan",S1212="Beban Lainnya"),"kr"&amp;G1212,""))</f>
        <v/>
      </c>
      <c r="X1212" s="34" t="str">
        <f>IF(B1212="","",COUNTIF($C$8:C1212,C1212)&amp;C1212)</f>
        <v/>
      </c>
    </row>
    <row r="1213" spans="2:24" ht="23.1" customHeight="1">
      <c r="B1213" s="31"/>
      <c r="C1213" s="9"/>
      <c r="D1213" s="9"/>
      <c r="E1213" s="7"/>
      <c r="F1213" s="7"/>
      <c r="G1213" s="7"/>
      <c r="H1213" s="7"/>
      <c r="I1213" s="7"/>
      <c r="J1213" s="39"/>
      <c r="L1213" s="16" t="str">
        <f t="shared" si="839"/>
        <v/>
      </c>
      <c r="M1213" s="16" t="str">
        <f t="shared" si="840"/>
        <v/>
      </c>
      <c r="N1213" s="16" t="str">
        <f t="shared" si="841"/>
        <v/>
      </c>
      <c r="O1213" s="16" t="str">
        <f>IF(N1213="","",COUNTIF($N$8:N1213,N1213))</f>
        <v/>
      </c>
      <c r="P1213" s="34" t="str">
        <f t="shared" si="842"/>
        <v/>
      </c>
      <c r="Q1213" s="34" t="str">
        <f t="shared" si="843"/>
        <v/>
      </c>
      <c r="R1213" s="34" t="str">
        <f t="shared" si="844"/>
        <v/>
      </c>
      <c r="S1213" s="34" t="str">
        <f t="shared" si="845"/>
        <v/>
      </c>
      <c r="T1213" s="34" t="str">
        <f t="shared" si="846"/>
        <v/>
      </c>
      <c r="U1213" s="34" t="str">
        <f>IF(AND(L1213=1,bp_kode=T1213,T1213&lt;&gt;""),COUNTIF($T$8:T1213,T1213),"")</f>
        <v/>
      </c>
      <c r="V1213" s="34" t="str">
        <f t="shared" si="847"/>
        <v/>
      </c>
      <c r="W1213" s="34" t="str">
        <f t="shared" si="848"/>
        <v/>
      </c>
      <c r="X1213" s="34" t="str">
        <f>IF(B1213="","",COUNTIF($C$8:C1213,C1213)&amp;C1213)</f>
        <v/>
      </c>
    </row>
    <row r="1214" spans="2:24" ht="23.1" customHeight="1">
      <c r="B1214" s="31"/>
      <c r="C1214" s="9"/>
      <c r="D1214" s="9"/>
      <c r="E1214" s="7"/>
      <c r="F1214" s="7"/>
      <c r="G1214" s="7"/>
      <c r="H1214" s="7"/>
      <c r="I1214" s="7"/>
      <c r="J1214" s="39"/>
      <c r="L1214" s="16" t="str">
        <f t="shared" si="839"/>
        <v/>
      </c>
      <c r="M1214" s="16" t="str">
        <f t="shared" si="840"/>
        <v/>
      </c>
      <c r="N1214" s="16" t="str">
        <f t="shared" si="841"/>
        <v/>
      </c>
      <c r="O1214" s="16" t="str">
        <f>IF(N1214="","",COUNTIF($N$8:N1214,N1214))</f>
        <v/>
      </c>
      <c r="P1214" s="34" t="str">
        <f t="shared" si="842"/>
        <v/>
      </c>
      <c r="Q1214" s="34" t="str">
        <f t="shared" si="843"/>
        <v/>
      </c>
      <c r="R1214" s="34" t="str">
        <f t="shared" si="844"/>
        <v/>
      </c>
      <c r="S1214" s="34" t="str">
        <f t="shared" si="845"/>
        <v/>
      </c>
      <c r="T1214" s="34" t="str">
        <f t="shared" si="846"/>
        <v/>
      </c>
      <c r="U1214" s="34" t="str">
        <f>IF(AND(L1214=1,bp_kode=T1214,T1214&lt;&gt;""),COUNTIF($T$8:T1214,T1214),"")</f>
        <v/>
      </c>
      <c r="V1214" s="34" t="str">
        <f t="shared" si="847"/>
        <v/>
      </c>
      <c r="W1214" s="34" t="str">
        <f t="shared" si="848"/>
        <v/>
      </c>
      <c r="X1214" s="34" t="str">
        <f>IF(B1214="","",COUNTIF($C$8:C1214,C1214)&amp;C1214)</f>
        <v/>
      </c>
    </row>
    <row r="1215" spans="2:24" ht="23.1" customHeight="1">
      <c r="B1215" s="31"/>
      <c r="C1215" s="9"/>
      <c r="D1215" s="9"/>
      <c r="E1215" s="7"/>
      <c r="F1215" s="7"/>
      <c r="G1215" s="7"/>
      <c r="H1215" s="7"/>
      <c r="I1215" s="7"/>
      <c r="J1215" s="39"/>
      <c r="L1215" s="16" t="str">
        <f t="shared" si="839"/>
        <v/>
      </c>
      <c r="M1215" s="16" t="str">
        <f t="shared" si="840"/>
        <v/>
      </c>
      <c r="N1215" s="16" t="str">
        <f t="shared" si="841"/>
        <v/>
      </c>
      <c r="O1215" s="16" t="str">
        <f>IF(N1215="","",COUNTIF($N$8:N1215,N1215))</f>
        <v/>
      </c>
      <c r="P1215" s="34" t="str">
        <f t="shared" si="842"/>
        <v/>
      </c>
      <c r="Q1215" s="34" t="str">
        <f t="shared" si="843"/>
        <v/>
      </c>
      <c r="R1215" s="34" t="str">
        <f t="shared" si="844"/>
        <v/>
      </c>
      <c r="S1215" s="34" t="str">
        <f t="shared" si="845"/>
        <v/>
      </c>
      <c r="T1215" s="34" t="str">
        <f t="shared" si="846"/>
        <v/>
      </c>
      <c r="U1215" s="34" t="str">
        <f>IF(AND(L1215=1,bp_kode=T1215,T1215&lt;&gt;""),COUNTIF($T$8:T1215,T1215),"")</f>
        <v/>
      </c>
      <c r="V1215" s="34" t="str">
        <f t="shared" si="847"/>
        <v/>
      </c>
      <c r="W1215" s="34" t="str">
        <f t="shared" si="848"/>
        <v/>
      </c>
      <c r="X1215" s="34" t="str">
        <f>IF(B1215="","",COUNTIF($C$8:C1215,C1215)&amp;C1215)</f>
        <v/>
      </c>
    </row>
    <row r="1216" spans="2:24" ht="23.1" customHeight="1">
      <c r="B1216" s="31"/>
      <c r="C1216" s="9"/>
      <c r="D1216" s="9"/>
      <c r="E1216" s="7"/>
      <c r="F1216" s="7"/>
      <c r="G1216" s="7"/>
      <c r="H1216" s="7"/>
      <c r="I1216" s="7"/>
      <c r="J1216" s="39"/>
      <c r="L1216" s="16" t="str">
        <f t="shared" si="839"/>
        <v/>
      </c>
      <c r="M1216" s="16" t="str">
        <f t="shared" si="840"/>
        <v/>
      </c>
      <c r="N1216" s="16" t="str">
        <f t="shared" si="841"/>
        <v/>
      </c>
      <c r="O1216" s="16" t="str">
        <f>IF(N1216="","",COUNTIF($N$8:N1216,N1216))</f>
        <v/>
      </c>
      <c r="P1216" s="34" t="str">
        <f t="shared" si="842"/>
        <v/>
      </c>
      <c r="Q1216" s="34" t="str">
        <f t="shared" si="843"/>
        <v/>
      </c>
      <c r="R1216" s="34" t="str">
        <f t="shared" si="844"/>
        <v/>
      </c>
      <c r="S1216" s="34" t="str">
        <f t="shared" si="845"/>
        <v/>
      </c>
      <c r="T1216" s="34" t="str">
        <f t="shared" si="846"/>
        <v/>
      </c>
      <c r="U1216" s="34" t="str">
        <f>IF(AND(L1216=1,bp_kode=T1216,T1216&lt;&gt;""),COUNTIF($T$8:T1216,T1216),"")</f>
        <v/>
      </c>
      <c r="V1216" s="34" t="str">
        <f t="shared" si="847"/>
        <v/>
      </c>
      <c r="W1216" s="34" t="str">
        <f t="shared" si="848"/>
        <v/>
      </c>
      <c r="X1216" s="34" t="str">
        <f>IF(B1216="","",COUNTIF($C$8:C1216,C1216)&amp;C1216)</f>
        <v/>
      </c>
    </row>
    <row r="1217" spans="2:24" ht="23.1" customHeight="1">
      <c r="B1217" s="31"/>
      <c r="C1217" s="9"/>
      <c r="D1217" s="9"/>
      <c r="E1217" s="7"/>
      <c r="F1217" s="7"/>
      <c r="G1217" s="7"/>
      <c r="H1217" s="7"/>
      <c r="I1217" s="7"/>
      <c r="J1217" s="39"/>
      <c r="L1217" s="16" t="str">
        <f t="shared" si="839"/>
        <v/>
      </c>
      <c r="M1217" s="16" t="str">
        <f t="shared" si="840"/>
        <v/>
      </c>
      <c r="N1217" s="16" t="str">
        <f t="shared" si="841"/>
        <v/>
      </c>
      <c r="O1217" s="16" t="str">
        <f>IF(N1217="","",COUNTIF($N$8:N1217,N1217))</f>
        <v/>
      </c>
      <c r="P1217" s="34" t="str">
        <f t="shared" si="842"/>
        <v/>
      </c>
      <c r="Q1217" s="34" t="str">
        <f t="shared" si="843"/>
        <v/>
      </c>
      <c r="R1217" s="34" t="str">
        <f t="shared" si="844"/>
        <v/>
      </c>
      <c r="S1217" s="34" t="str">
        <f t="shared" si="845"/>
        <v/>
      </c>
      <c r="T1217" s="34" t="str">
        <f t="shared" si="846"/>
        <v/>
      </c>
      <c r="U1217" s="34" t="str">
        <f>IF(AND(L1217=1,bp_kode=T1217,T1217&lt;&gt;""),COUNTIF($T$8:T1217,T1217),"")</f>
        <v/>
      </c>
      <c r="V1217" s="34" t="str">
        <f t="shared" si="847"/>
        <v/>
      </c>
      <c r="W1217" s="34" t="str">
        <f t="shared" si="848"/>
        <v/>
      </c>
      <c r="X1217" s="34" t="str">
        <f>IF(B1217="","",COUNTIF($C$8:C1217,C1217)&amp;C1217)</f>
        <v/>
      </c>
    </row>
    <row r="1218" spans="2:24" ht="23.1" customHeight="1">
      <c r="B1218" s="31"/>
      <c r="C1218" s="9"/>
      <c r="D1218" s="9"/>
      <c r="E1218" s="7"/>
      <c r="F1218" s="7"/>
      <c r="G1218" s="7"/>
      <c r="H1218" s="7"/>
      <c r="I1218" s="7"/>
      <c r="J1218" s="39"/>
      <c r="L1218" s="16" t="str">
        <f t="shared" si="839"/>
        <v/>
      </c>
      <c r="M1218" s="16" t="str">
        <f t="shared" si="840"/>
        <v/>
      </c>
      <c r="N1218" s="16" t="str">
        <f t="shared" si="841"/>
        <v/>
      </c>
      <c r="O1218" s="16" t="str">
        <f>IF(N1218="","",COUNTIF($N$8:N1218,N1218))</f>
        <v/>
      </c>
      <c r="P1218" s="34" t="str">
        <f t="shared" si="842"/>
        <v/>
      </c>
      <c r="Q1218" s="34" t="str">
        <f t="shared" si="843"/>
        <v/>
      </c>
      <c r="R1218" s="34" t="str">
        <f t="shared" si="844"/>
        <v/>
      </c>
      <c r="S1218" s="34" t="str">
        <f t="shared" si="845"/>
        <v/>
      </c>
      <c r="T1218" s="34" t="str">
        <f t="shared" si="846"/>
        <v/>
      </c>
      <c r="U1218" s="34" t="str">
        <f>IF(AND(L1218=1,bp_kode=T1218,T1218&lt;&gt;""),COUNTIF($T$8:T1218,T1218),"")</f>
        <v/>
      </c>
      <c r="V1218" s="34" t="str">
        <f t="shared" si="847"/>
        <v/>
      </c>
      <c r="W1218" s="34" t="str">
        <f t="shared" si="848"/>
        <v/>
      </c>
      <c r="X1218" s="34" t="str">
        <f>IF(B1218="","",COUNTIF($C$8:C1218,C1218)&amp;C1218)</f>
        <v/>
      </c>
    </row>
    <row r="1219" spans="2:24" ht="23.1" customHeight="1">
      <c r="B1219" s="31"/>
      <c r="C1219" s="9"/>
      <c r="D1219" s="9"/>
      <c r="E1219" s="7"/>
      <c r="F1219" s="7"/>
      <c r="G1219" s="7"/>
      <c r="H1219" s="7"/>
      <c r="I1219" s="7"/>
      <c r="J1219" s="39"/>
      <c r="L1219" s="16" t="str">
        <f t="shared" si="839"/>
        <v/>
      </c>
      <c r="M1219" s="16" t="str">
        <f t="shared" si="840"/>
        <v/>
      </c>
      <c r="N1219" s="16" t="str">
        <f t="shared" si="841"/>
        <v/>
      </c>
      <c r="O1219" s="16" t="str">
        <f>IF(N1219="","",COUNTIF($N$8:N1219,N1219))</f>
        <v/>
      </c>
      <c r="P1219" s="34" t="str">
        <f t="shared" si="842"/>
        <v/>
      </c>
      <c r="Q1219" s="34" t="str">
        <f t="shared" si="843"/>
        <v/>
      </c>
      <c r="R1219" s="34" t="str">
        <f t="shared" si="844"/>
        <v/>
      </c>
      <c r="S1219" s="34" t="str">
        <f t="shared" si="845"/>
        <v/>
      </c>
      <c r="T1219" s="34" t="str">
        <f t="shared" si="846"/>
        <v/>
      </c>
      <c r="U1219" s="34" t="str">
        <f>IF(AND(L1219=1,bp_kode=T1219,T1219&lt;&gt;""),COUNTIF($T$8:T1219,T1219),"")</f>
        <v/>
      </c>
      <c r="V1219" s="34" t="str">
        <f t="shared" si="847"/>
        <v/>
      </c>
      <c r="W1219" s="34" t="str">
        <f t="shared" si="848"/>
        <v/>
      </c>
      <c r="X1219" s="34" t="str">
        <f>IF(B1219="","",COUNTIF($C$8:C1219,C1219)&amp;C1219)</f>
        <v/>
      </c>
    </row>
    <row r="1220" spans="2:24" ht="23.1" customHeight="1">
      <c r="B1220" s="31"/>
      <c r="C1220" s="9"/>
      <c r="D1220" s="9"/>
      <c r="E1220" s="7"/>
      <c r="F1220" s="7"/>
      <c r="G1220" s="7"/>
      <c r="H1220" s="7"/>
      <c r="I1220" s="7"/>
      <c r="J1220" s="39"/>
      <c r="L1220" s="16" t="str">
        <f t="shared" si="839"/>
        <v/>
      </c>
      <c r="M1220" s="16" t="str">
        <f t="shared" si="840"/>
        <v/>
      </c>
      <c r="N1220" s="16" t="str">
        <f t="shared" si="841"/>
        <v/>
      </c>
      <c r="O1220" s="16" t="str">
        <f>IF(N1220="","",COUNTIF($N$8:N1220,N1220))</f>
        <v/>
      </c>
      <c r="P1220" s="34" t="str">
        <f t="shared" si="842"/>
        <v/>
      </c>
      <c r="Q1220" s="34" t="str">
        <f t="shared" si="843"/>
        <v/>
      </c>
      <c r="R1220" s="34" t="str">
        <f t="shared" si="844"/>
        <v/>
      </c>
      <c r="S1220" s="34" t="str">
        <f t="shared" si="845"/>
        <v/>
      </c>
      <c r="T1220" s="34" t="str">
        <f t="shared" si="846"/>
        <v/>
      </c>
      <c r="U1220" s="34" t="str">
        <f>IF(AND(L1220=1,bp_kode=T1220,T1220&lt;&gt;""),COUNTIF($T$8:T1220,T1220),"")</f>
        <v/>
      </c>
      <c r="V1220" s="34" t="str">
        <f t="shared" si="847"/>
        <v/>
      </c>
      <c r="W1220" s="34" t="str">
        <f t="shared" si="848"/>
        <v/>
      </c>
      <c r="X1220" s="34" t="str">
        <f>IF(B1220="","",COUNTIF($C$8:C1220,C1220)&amp;C1220)</f>
        <v/>
      </c>
    </row>
    <row r="1221" spans="2:24" ht="23.1" customHeight="1">
      <c r="B1221" s="31"/>
      <c r="C1221" s="9"/>
      <c r="D1221" s="9"/>
      <c r="E1221" s="7"/>
      <c r="F1221" s="7"/>
      <c r="G1221" s="7"/>
      <c r="H1221" s="7"/>
      <c r="I1221" s="7"/>
      <c r="J1221" s="39"/>
      <c r="L1221" s="16" t="str">
        <f t="shared" si="839"/>
        <v/>
      </c>
      <c r="M1221" s="16" t="str">
        <f t="shared" si="840"/>
        <v/>
      </c>
      <c r="N1221" s="16" t="str">
        <f t="shared" si="841"/>
        <v/>
      </c>
      <c r="O1221" s="16" t="str">
        <f>IF(N1221="","",COUNTIF($N$8:N1221,N1221))</f>
        <v/>
      </c>
      <c r="P1221" s="34" t="str">
        <f t="shared" si="842"/>
        <v/>
      </c>
      <c r="Q1221" s="34" t="str">
        <f t="shared" si="843"/>
        <v/>
      </c>
      <c r="R1221" s="34" t="str">
        <f t="shared" si="844"/>
        <v/>
      </c>
      <c r="S1221" s="34" t="str">
        <f t="shared" si="845"/>
        <v/>
      </c>
      <c r="T1221" s="34" t="str">
        <f t="shared" si="846"/>
        <v/>
      </c>
      <c r="U1221" s="34" t="str">
        <f>IF(AND(L1221=1,bp_kode=T1221,T1221&lt;&gt;""),COUNTIF($T$8:T1221,T1221),"")</f>
        <v/>
      </c>
      <c r="V1221" s="34" t="str">
        <f t="shared" si="847"/>
        <v/>
      </c>
      <c r="W1221" s="34" t="str">
        <f t="shared" si="848"/>
        <v/>
      </c>
      <c r="X1221" s="34" t="str">
        <f>IF(B1221="","",COUNTIF($C$8:C1221,C1221)&amp;C1221)</f>
        <v/>
      </c>
    </row>
    <row r="1222" spans="2:24" ht="23.1" customHeight="1">
      <c r="B1222" s="31"/>
      <c r="C1222" s="9"/>
      <c r="D1222" s="9"/>
      <c r="E1222" s="7"/>
      <c r="F1222" s="7"/>
      <c r="G1222" s="7"/>
      <c r="H1222" s="7"/>
      <c r="I1222" s="7"/>
      <c r="J1222" s="39"/>
      <c r="L1222" s="16" t="str">
        <f t="shared" si="839"/>
        <v/>
      </c>
      <c r="M1222" s="16" t="str">
        <f t="shared" si="840"/>
        <v/>
      </c>
      <c r="N1222" s="16" t="str">
        <f t="shared" si="841"/>
        <v/>
      </c>
      <c r="O1222" s="16" t="str">
        <f>IF(N1222="","",COUNTIF($N$8:N1222,N1222))</f>
        <v/>
      </c>
      <c r="P1222" s="34" t="str">
        <f t="shared" si="842"/>
        <v/>
      </c>
      <c r="Q1222" s="34" t="str">
        <f t="shared" si="843"/>
        <v/>
      </c>
      <c r="R1222" s="34" t="str">
        <f t="shared" si="844"/>
        <v/>
      </c>
      <c r="S1222" s="34" t="str">
        <f t="shared" si="845"/>
        <v/>
      </c>
      <c r="T1222" s="34" t="str">
        <f t="shared" si="846"/>
        <v/>
      </c>
      <c r="U1222" s="34" t="str">
        <f>IF(AND(L1222=1,bp_kode=T1222,T1222&lt;&gt;""),COUNTIF($T$8:T1222,T1222),"")</f>
        <v/>
      </c>
      <c r="V1222" s="34" t="str">
        <f t="shared" si="847"/>
        <v/>
      </c>
      <c r="W1222" s="34" t="str">
        <f t="shared" si="848"/>
        <v/>
      </c>
      <c r="X1222" s="34" t="str">
        <f>IF(B1222="","",COUNTIF($C$8:C1222,C1222)&amp;C1222)</f>
        <v/>
      </c>
    </row>
    <row r="1223" spans="2:24" ht="23.1" customHeight="1">
      <c r="B1223" s="31"/>
      <c r="C1223" s="9"/>
      <c r="D1223" s="9"/>
      <c r="E1223" s="7"/>
      <c r="F1223" s="7"/>
      <c r="G1223" s="7"/>
      <c r="H1223" s="7"/>
      <c r="I1223" s="7"/>
      <c r="J1223" s="39"/>
      <c r="L1223" s="16" t="str">
        <f t="shared" si="839"/>
        <v/>
      </c>
      <c r="M1223" s="16" t="str">
        <f t="shared" si="840"/>
        <v/>
      </c>
      <c r="N1223" s="16" t="str">
        <f t="shared" si="841"/>
        <v/>
      </c>
      <c r="O1223" s="16" t="str">
        <f>IF(N1223="","",COUNTIF($N$8:N1223,N1223))</f>
        <v/>
      </c>
      <c r="P1223" s="34" t="str">
        <f t="shared" si="842"/>
        <v/>
      </c>
      <c r="Q1223" s="34" t="str">
        <f t="shared" si="843"/>
        <v/>
      </c>
      <c r="R1223" s="34" t="str">
        <f t="shared" si="844"/>
        <v/>
      </c>
      <c r="S1223" s="34" t="str">
        <f t="shared" si="845"/>
        <v/>
      </c>
      <c r="T1223" s="34" t="str">
        <f t="shared" si="846"/>
        <v/>
      </c>
      <c r="U1223" s="34" t="str">
        <f>IF(AND(L1223=1,bp_kode=T1223,T1223&lt;&gt;""),COUNTIF($T$8:T1223,T1223),"")</f>
        <v/>
      </c>
      <c r="V1223" s="34" t="str">
        <f t="shared" si="847"/>
        <v/>
      </c>
      <c r="W1223" s="34" t="str">
        <f t="shared" si="848"/>
        <v/>
      </c>
      <c r="X1223" s="34" t="str">
        <f>IF(B1223="","",COUNTIF($C$8:C1223,C1223)&amp;C1223)</f>
        <v/>
      </c>
    </row>
    <row r="1224" spans="2:24" ht="23.1" customHeight="1">
      <c r="B1224" s="31"/>
      <c r="C1224" s="9"/>
      <c r="D1224" s="9"/>
      <c r="E1224" s="7"/>
      <c r="F1224" s="7"/>
      <c r="G1224" s="7"/>
      <c r="H1224" s="7"/>
      <c r="I1224" s="7"/>
      <c r="J1224" s="39"/>
      <c r="L1224" s="16" t="str">
        <f t="shared" si="839"/>
        <v/>
      </c>
      <c r="M1224" s="16" t="str">
        <f t="shared" si="840"/>
        <v/>
      </c>
      <c r="N1224" s="16" t="str">
        <f t="shared" si="841"/>
        <v/>
      </c>
      <c r="O1224" s="16" t="str">
        <f>IF(N1224="","",COUNTIF($N$8:N1224,N1224))</f>
        <v/>
      </c>
      <c r="P1224" s="34" t="str">
        <f t="shared" si="842"/>
        <v/>
      </c>
      <c r="Q1224" s="34" t="str">
        <f t="shared" si="843"/>
        <v/>
      </c>
      <c r="R1224" s="34" t="str">
        <f t="shared" si="844"/>
        <v/>
      </c>
      <c r="S1224" s="34" t="str">
        <f t="shared" si="845"/>
        <v/>
      </c>
      <c r="T1224" s="34" t="str">
        <f t="shared" si="846"/>
        <v/>
      </c>
      <c r="U1224" s="34" t="str">
        <f>IF(AND(L1224=1,bp_kode=T1224,T1224&lt;&gt;""),COUNTIF($T$8:T1224,T1224),"")</f>
        <v/>
      </c>
      <c r="V1224" s="34" t="str">
        <f t="shared" si="847"/>
        <v/>
      </c>
      <c r="W1224" s="34" t="str">
        <f t="shared" si="848"/>
        <v/>
      </c>
      <c r="X1224" s="34" t="str">
        <f>IF(B1224="","",COUNTIF($C$8:C1224,C1224)&amp;C1224)</f>
        <v/>
      </c>
    </row>
    <row r="1225" spans="2:24" ht="23.1" customHeight="1">
      <c r="B1225" s="31"/>
      <c r="C1225" s="9"/>
      <c r="D1225" s="9"/>
      <c r="E1225" s="7"/>
      <c r="F1225" s="7"/>
      <c r="G1225" s="7"/>
      <c r="H1225" s="7"/>
      <c r="I1225" s="7"/>
      <c r="J1225" s="39"/>
      <c r="L1225" s="16" t="str">
        <f t="shared" si="839"/>
        <v/>
      </c>
      <c r="M1225" s="16" t="str">
        <f t="shared" si="840"/>
        <v/>
      </c>
      <c r="N1225" s="16" t="str">
        <f t="shared" si="841"/>
        <v/>
      </c>
      <c r="O1225" s="16" t="str">
        <f>IF(N1225="","",COUNTIF($N$8:N1225,N1225))</f>
        <v/>
      </c>
      <c r="P1225" s="34" t="str">
        <f t="shared" si="842"/>
        <v/>
      </c>
      <c r="Q1225" s="34" t="str">
        <f t="shared" si="843"/>
        <v/>
      </c>
      <c r="R1225" s="34" t="str">
        <f t="shared" si="844"/>
        <v/>
      </c>
      <c r="S1225" s="34" t="str">
        <f t="shared" si="845"/>
        <v/>
      </c>
      <c r="T1225" s="34" t="str">
        <f t="shared" si="846"/>
        <v/>
      </c>
      <c r="U1225" s="34" t="str">
        <f>IF(AND(L1225=1,bp_kode=T1225,T1225&lt;&gt;""),COUNTIF($T$8:T1225,T1225),"")</f>
        <v/>
      </c>
      <c r="V1225" s="34" t="str">
        <f t="shared" si="847"/>
        <v/>
      </c>
      <c r="W1225" s="34" t="str">
        <f t="shared" si="848"/>
        <v/>
      </c>
      <c r="X1225" s="34" t="str">
        <f>IF(B1225="","",COUNTIF($C$8:C1225,C1225)&amp;C1225)</f>
        <v/>
      </c>
    </row>
    <row r="1226" spans="2:24" ht="23.1" customHeight="1">
      <c r="B1226" s="31"/>
      <c r="C1226" s="9"/>
      <c r="D1226" s="9"/>
      <c r="E1226" s="7"/>
      <c r="F1226" s="7"/>
      <c r="G1226" s="7"/>
      <c r="H1226" s="7"/>
      <c r="I1226" s="7"/>
      <c r="J1226" s="39"/>
      <c r="L1226" s="16" t="str">
        <f t="shared" si="839"/>
        <v/>
      </c>
      <c r="M1226" s="16" t="str">
        <f t="shared" si="840"/>
        <v/>
      </c>
      <c r="N1226" s="16" t="str">
        <f t="shared" si="841"/>
        <v/>
      </c>
      <c r="O1226" s="16" t="str">
        <f>IF(N1226="","",COUNTIF($N$8:N1226,N1226))</f>
        <v/>
      </c>
      <c r="P1226" s="34" t="str">
        <f t="shared" si="842"/>
        <v/>
      </c>
      <c r="Q1226" s="34" t="str">
        <f t="shared" si="843"/>
        <v/>
      </c>
      <c r="R1226" s="34" t="str">
        <f t="shared" si="844"/>
        <v/>
      </c>
      <c r="S1226" s="34" t="str">
        <f t="shared" si="845"/>
        <v/>
      </c>
      <c r="T1226" s="34" t="str">
        <f t="shared" si="846"/>
        <v/>
      </c>
      <c r="U1226" s="34" t="str">
        <f>IF(AND(L1226=1,bp_kode=T1226,T1226&lt;&gt;""),COUNTIF($T$8:T1226,T1226),"")</f>
        <v/>
      </c>
      <c r="V1226" s="34" t="str">
        <f t="shared" si="847"/>
        <v/>
      </c>
      <c r="W1226" s="34" t="str">
        <f t="shared" si="848"/>
        <v/>
      </c>
      <c r="X1226" s="34" t="str">
        <f>IF(B1226="","",COUNTIF($C$8:C1226,C1226)&amp;C1226)</f>
        <v/>
      </c>
    </row>
    <row r="1227" spans="2:24" ht="23.1" customHeight="1">
      <c r="B1227" s="31"/>
      <c r="C1227" s="9"/>
      <c r="D1227" s="9"/>
      <c r="E1227" s="7"/>
      <c r="F1227" s="7"/>
      <c r="G1227" s="7"/>
      <c r="H1227" s="7"/>
      <c r="I1227" s="7"/>
      <c r="J1227" s="39"/>
      <c r="L1227" s="16" t="str">
        <f t="shared" si="839"/>
        <v/>
      </c>
      <c r="M1227" s="16" t="str">
        <f t="shared" si="840"/>
        <v/>
      </c>
      <c r="N1227" s="16" t="str">
        <f t="shared" si="841"/>
        <v/>
      </c>
      <c r="O1227" s="16" t="str">
        <f>IF(N1227="","",COUNTIF($N$8:N1227,N1227))</f>
        <v/>
      </c>
      <c r="P1227" s="34" t="str">
        <f t="shared" si="842"/>
        <v/>
      </c>
      <c r="Q1227" s="34" t="str">
        <f t="shared" si="843"/>
        <v/>
      </c>
      <c r="R1227" s="34" t="str">
        <f t="shared" si="844"/>
        <v/>
      </c>
      <c r="S1227" s="34" t="str">
        <f t="shared" si="845"/>
        <v/>
      </c>
      <c r="T1227" s="34" t="str">
        <f t="shared" si="846"/>
        <v/>
      </c>
      <c r="U1227" s="34" t="str">
        <f>IF(AND(L1227=1,bp_kode=T1227,T1227&lt;&gt;""),COUNTIF($T$8:T1227,T1227),"")</f>
        <v/>
      </c>
      <c r="V1227" s="34" t="str">
        <f t="shared" si="847"/>
        <v/>
      </c>
      <c r="W1227" s="34" t="str">
        <f t="shared" si="848"/>
        <v/>
      </c>
      <c r="X1227" s="34" t="str">
        <f>IF(B1227="","",COUNTIF($C$8:C1227,C1227)&amp;C1227)</f>
        <v/>
      </c>
    </row>
    <row r="1228" spans="2:24" ht="23.1" customHeight="1">
      <c r="B1228" s="31"/>
      <c r="C1228" s="9"/>
      <c r="D1228" s="9"/>
      <c r="E1228" s="7"/>
      <c r="F1228" s="7"/>
      <c r="G1228" s="7"/>
      <c r="H1228" s="7"/>
      <c r="I1228" s="7"/>
      <c r="J1228" s="39"/>
      <c r="L1228" s="16" t="str">
        <f t="shared" si="839"/>
        <v/>
      </c>
      <c r="M1228" s="16" t="str">
        <f t="shared" si="840"/>
        <v/>
      </c>
      <c r="N1228" s="16" t="str">
        <f t="shared" si="841"/>
        <v/>
      </c>
      <c r="O1228" s="16" t="str">
        <f>IF(N1228="","",COUNTIF($N$8:N1228,N1228))</f>
        <v/>
      </c>
      <c r="P1228" s="34" t="str">
        <f t="shared" si="842"/>
        <v/>
      </c>
      <c r="Q1228" s="34" t="str">
        <f t="shared" si="843"/>
        <v/>
      </c>
      <c r="R1228" s="34" t="str">
        <f t="shared" si="844"/>
        <v/>
      </c>
      <c r="S1228" s="34" t="str">
        <f t="shared" si="845"/>
        <v/>
      </c>
      <c r="T1228" s="34" t="str">
        <f t="shared" si="846"/>
        <v/>
      </c>
      <c r="U1228" s="34" t="str">
        <f>IF(AND(L1228=1,bp_kode=T1228,T1228&lt;&gt;""),COUNTIF($T$8:T1228,T1228),"")</f>
        <v/>
      </c>
      <c r="V1228" s="34" t="str">
        <f t="shared" si="847"/>
        <v/>
      </c>
      <c r="W1228" s="34" t="str">
        <f t="shared" si="848"/>
        <v/>
      </c>
      <c r="X1228" s="34" t="str">
        <f>IF(B1228="","",COUNTIF($C$8:C1228,C1228)&amp;C1228)</f>
        <v/>
      </c>
    </row>
    <row r="1229" spans="2:24" ht="23.1" customHeight="1">
      <c r="B1229" s="31"/>
      <c r="C1229" s="9"/>
      <c r="D1229" s="9"/>
      <c r="E1229" s="7"/>
      <c r="F1229" s="7"/>
      <c r="G1229" s="7"/>
      <c r="H1229" s="7"/>
      <c r="I1229" s="7"/>
      <c r="J1229" s="39"/>
      <c r="L1229" s="16" t="str">
        <f t="shared" si="839"/>
        <v/>
      </c>
      <c r="M1229" s="16" t="str">
        <f t="shared" si="840"/>
        <v/>
      </c>
      <c r="N1229" s="16" t="str">
        <f t="shared" si="841"/>
        <v/>
      </c>
      <c r="O1229" s="16" t="str">
        <f>IF(N1229="","",COUNTIF($N$8:N1229,N1229))</f>
        <v/>
      </c>
      <c r="P1229" s="34" t="str">
        <f t="shared" si="842"/>
        <v/>
      </c>
      <c r="Q1229" s="34" t="str">
        <f t="shared" si="843"/>
        <v/>
      </c>
      <c r="R1229" s="34" t="str">
        <f t="shared" si="844"/>
        <v/>
      </c>
      <c r="S1229" s="34" t="str">
        <f t="shared" si="845"/>
        <v/>
      </c>
      <c r="T1229" s="34" t="str">
        <f t="shared" si="846"/>
        <v/>
      </c>
      <c r="U1229" s="34" t="str">
        <f>IF(AND(L1229=1,bp_kode=T1229,T1229&lt;&gt;""),COUNTIF($T$8:T1229,T1229),"")</f>
        <v/>
      </c>
      <c r="V1229" s="34" t="str">
        <f t="shared" si="847"/>
        <v/>
      </c>
      <c r="W1229" s="34" t="str">
        <f t="shared" si="848"/>
        <v/>
      </c>
      <c r="X1229" s="34" t="str">
        <f>IF(B1229="","",COUNTIF($C$8:C1229,C1229)&amp;C1229)</f>
        <v/>
      </c>
    </row>
    <row r="1230" spans="2:24" ht="23.1" customHeight="1">
      <c r="B1230" s="31"/>
      <c r="C1230" s="9"/>
      <c r="D1230" s="9"/>
      <c r="E1230" s="7"/>
      <c r="F1230" s="7"/>
      <c r="G1230" s="7"/>
      <c r="H1230" s="7"/>
      <c r="I1230" s="7"/>
      <c r="J1230" s="39"/>
      <c r="L1230" s="16" t="str">
        <f t="shared" si="839"/>
        <v/>
      </c>
      <c r="M1230" s="16" t="str">
        <f t="shared" si="840"/>
        <v/>
      </c>
      <c r="N1230" s="16" t="str">
        <f t="shared" si="841"/>
        <v/>
      </c>
      <c r="O1230" s="16" t="str">
        <f>IF(N1230="","",COUNTIF($N$8:N1230,N1230))</f>
        <v/>
      </c>
      <c r="P1230" s="34" t="str">
        <f t="shared" si="842"/>
        <v/>
      </c>
      <c r="Q1230" s="34" t="str">
        <f t="shared" si="843"/>
        <v/>
      </c>
      <c r="R1230" s="34" t="str">
        <f t="shared" si="844"/>
        <v/>
      </c>
      <c r="S1230" s="34" t="str">
        <f t="shared" si="845"/>
        <v/>
      </c>
      <c r="T1230" s="34" t="str">
        <f t="shared" si="846"/>
        <v/>
      </c>
      <c r="U1230" s="34" t="str">
        <f>IF(AND(L1230=1,bp_kode=T1230,T1230&lt;&gt;""),COUNTIF($T$8:T1230,T1230),"")</f>
        <v/>
      </c>
      <c r="V1230" s="34" t="str">
        <f t="shared" si="847"/>
        <v/>
      </c>
      <c r="W1230" s="34" t="str">
        <f t="shared" si="848"/>
        <v/>
      </c>
      <c r="X1230" s="34" t="str">
        <f>IF(B1230="","",COUNTIF($C$8:C1230,C1230)&amp;C1230)</f>
        <v/>
      </c>
    </row>
    <row r="1231" spans="2:24" ht="23.1" customHeight="1">
      <c r="B1231" s="31"/>
      <c r="C1231" s="9"/>
      <c r="D1231" s="9"/>
      <c r="E1231" s="7"/>
      <c r="F1231" s="7"/>
      <c r="G1231" s="7"/>
      <c r="H1231" s="7"/>
      <c r="I1231" s="7"/>
      <c r="J1231" s="39"/>
      <c r="L1231" s="16" t="str">
        <f t="shared" si="839"/>
        <v/>
      </c>
      <c r="M1231" s="16" t="str">
        <f t="shared" si="840"/>
        <v/>
      </c>
      <c r="N1231" s="16" t="str">
        <f t="shared" si="841"/>
        <v/>
      </c>
      <c r="O1231" s="16" t="str">
        <f>IF(N1231="","",COUNTIF($N$8:N1231,N1231))</f>
        <v/>
      </c>
      <c r="P1231" s="34" t="str">
        <f t="shared" si="842"/>
        <v/>
      </c>
      <c r="Q1231" s="34" t="str">
        <f t="shared" si="843"/>
        <v/>
      </c>
      <c r="R1231" s="34" t="str">
        <f t="shared" si="844"/>
        <v/>
      </c>
      <c r="S1231" s="34" t="str">
        <f t="shared" si="845"/>
        <v/>
      </c>
      <c r="T1231" s="34" t="str">
        <f t="shared" si="846"/>
        <v/>
      </c>
      <c r="U1231" s="34" t="str">
        <f>IF(AND(L1231=1,bp_kode=T1231,T1231&lt;&gt;""),COUNTIF($T$8:T1231,T1231),"")</f>
        <v/>
      </c>
      <c r="V1231" s="34" t="str">
        <f t="shared" si="847"/>
        <v/>
      </c>
      <c r="W1231" s="34" t="str">
        <f t="shared" si="848"/>
        <v/>
      </c>
      <c r="X1231" s="34" t="str">
        <f>IF(B1231="","",COUNTIF($C$8:C1231,C1231)&amp;C1231)</f>
        <v/>
      </c>
    </row>
    <row r="1232" spans="2:24" ht="23.1" customHeight="1">
      <c r="B1232" s="31"/>
      <c r="C1232" s="9"/>
      <c r="D1232" s="9"/>
      <c r="E1232" s="7"/>
      <c r="F1232" s="7"/>
      <c r="G1232" s="7"/>
      <c r="H1232" s="7"/>
      <c r="I1232" s="7"/>
      <c r="J1232" s="39"/>
      <c r="L1232" s="16" t="str">
        <f t="shared" si="839"/>
        <v/>
      </c>
      <c r="M1232" s="16" t="str">
        <f t="shared" si="840"/>
        <v/>
      </c>
      <c r="N1232" s="16" t="str">
        <f t="shared" si="841"/>
        <v/>
      </c>
      <c r="O1232" s="16" t="str">
        <f>IF(N1232="","",COUNTIF($N$8:N1232,N1232))</f>
        <v/>
      </c>
      <c r="P1232" s="34" t="str">
        <f t="shared" si="842"/>
        <v/>
      </c>
      <c r="Q1232" s="34" t="str">
        <f t="shared" si="843"/>
        <v/>
      </c>
      <c r="R1232" s="34" t="str">
        <f t="shared" si="844"/>
        <v/>
      </c>
      <c r="S1232" s="34" t="str">
        <f t="shared" si="845"/>
        <v/>
      </c>
      <c r="T1232" s="34" t="str">
        <f t="shared" si="846"/>
        <v/>
      </c>
      <c r="U1232" s="34" t="str">
        <f>IF(AND(L1232=1,bp_kode=T1232,T1232&lt;&gt;""),COUNTIF($T$8:T1232,T1232),"")</f>
        <v/>
      </c>
      <c r="V1232" s="34" t="str">
        <f t="shared" si="847"/>
        <v/>
      </c>
      <c r="W1232" s="34" t="str">
        <f t="shared" si="848"/>
        <v/>
      </c>
      <c r="X1232" s="34" t="str">
        <f>IF(B1232="","",COUNTIF($C$8:C1232,C1232)&amp;C1232)</f>
        <v/>
      </c>
    </row>
    <row r="1233" spans="2:24" ht="23.1" customHeight="1">
      <c r="B1233" s="31"/>
      <c r="C1233" s="9"/>
      <c r="D1233" s="9"/>
      <c r="E1233" s="7"/>
      <c r="F1233" s="7"/>
      <c r="G1233" s="7"/>
      <c r="H1233" s="7"/>
      <c r="I1233" s="7"/>
      <c r="J1233" s="39"/>
      <c r="L1233" s="16" t="str">
        <f t="shared" si="839"/>
        <v/>
      </c>
      <c r="M1233" s="16" t="str">
        <f t="shared" si="840"/>
        <v/>
      </c>
      <c r="N1233" s="16" t="str">
        <f t="shared" si="841"/>
        <v/>
      </c>
      <c r="O1233" s="16" t="str">
        <f>IF(N1233="","",COUNTIF($N$8:N1233,N1233))</f>
        <v/>
      </c>
      <c r="P1233" s="34" t="str">
        <f t="shared" si="842"/>
        <v/>
      </c>
      <c r="Q1233" s="34" t="str">
        <f t="shared" si="843"/>
        <v/>
      </c>
      <c r="R1233" s="34" t="str">
        <f t="shared" si="844"/>
        <v/>
      </c>
      <c r="S1233" s="34" t="str">
        <f t="shared" si="845"/>
        <v/>
      </c>
      <c r="T1233" s="34" t="str">
        <f t="shared" si="846"/>
        <v/>
      </c>
      <c r="U1233" s="34" t="str">
        <f>IF(AND(L1233=1,bp_kode=T1233,T1233&lt;&gt;""),COUNTIF($T$8:T1233,T1233),"")</f>
        <v/>
      </c>
      <c r="V1233" s="34" t="str">
        <f t="shared" si="847"/>
        <v/>
      </c>
      <c r="W1233" s="34" t="str">
        <f t="shared" si="848"/>
        <v/>
      </c>
      <c r="X1233" s="34" t="str">
        <f>IF(B1233="","",COUNTIF($C$8:C1233,C1233)&amp;C1233)</f>
        <v/>
      </c>
    </row>
    <row r="1234" spans="2:24" ht="23.1" customHeight="1">
      <c r="B1234" s="31"/>
      <c r="C1234" s="9"/>
      <c r="D1234" s="9"/>
      <c r="E1234" s="7"/>
      <c r="F1234" s="7"/>
      <c r="G1234" s="7"/>
      <c r="H1234" s="7"/>
      <c r="I1234" s="7"/>
      <c r="J1234" s="39"/>
      <c r="L1234" s="16" t="str">
        <f t="shared" si="839"/>
        <v/>
      </c>
      <c r="M1234" s="16" t="str">
        <f t="shared" si="840"/>
        <v/>
      </c>
      <c r="N1234" s="16" t="str">
        <f t="shared" si="841"/>
        <v/>
      </c>
      <c r="O1234" s="16" t="str">
        <f>IF(N1234="","",COUNTIF($N$8:N1234,N1234))</f>
        <v/>
      </c>
      <c r="P1234" s="34" t="str">
        <f t="shared" si="842"/>
        <v/>
      </c>
      <c r="Q1234" s="34" t="str">
        <f t="shared" si="843"/>
        <v/>
      </c>
      <c r="R1234" s="34" t="str">
        <f t="shared" si="844"/>
        <v/>
      </c>
      <c r="S1234" s="34" t="str">
        <f t="shared" si="845"/>
        <v/>
      </c>
      <c r="T1234" s="34" t="str">
        <f t="shared" si="846"/>
        <v/>
      </c>
      <c r="U1234" s="34" t="str">
        <f>IF(AND(L1234=1,bp_kode=T1234,T1234&lt;&gt;""),COUNTIF($T$8:T1234,T1234),"")</f>
        <v/>
      </c>
      <c r="V1234" s="34" t="str">
        <f t="shared" si="847"/>
        <v/>
      </c>
      <c r="W1234" s="34" t="str">
        <f t="shared" si="848"/>
        <v/>
      </c>
      <c r="X1234" s="34" t="str">
        <f>IF(B1234="","",COUNTIF($C$8:C1234,C1234)&amp;C1234)</f>
        <v/>
      </c>
    </row>
    <row r="1235" spans="2:24" ht="23.1" customHeight="1">
      <c r="B1235" s="31"/>
      <c r="C1235" s="9"/>
      <c r="D1235" s="9"/>
      <c r="E1235" s="7"/>
      <c r="F1235" s="7"/>
      <c r="G1235" s="7"/>
      <c r="H1235" s="7"/>
      <c r="I1235" s="7"/>
      <c r="J1235" s="39"/>
      <c r="L1235" s="16" t="str">
        <f t="shared" si="839"/>
        <v/>
      </c>
      <c r="M1235" s="16" t="str">
        <f t="shared" si="840"/>
        <v/>
      </c>
      <c r="N1235" s="16" t="str">
        <f t="shared" si="841"/>
        <v/>
      </c>
      <c r="O1235" s="16" t="str">
        <f>IF(N1235="","",COUNTIF($N$8:N1235,N1235))</f>
        <v/>
      </c>
      <c r="P1235" s="34" t="str">
        <f t="shared" si="842"/>
        <v/>
      </c>
      <c r="Q1235" s="34" t="str">
        <f t="shared" si="843"/>
        <v/>
      </c>
      <c r="R1235" s="34" t="str">
        <f t="shared" si="844"/>
        <v/>
      </c>
      <c r="S1235" s="34" t="str">
        <f t="shared" si="845"/>
        <v/>
      </c>
      <c r="T1235" s="34" t="str">
        <f t="shared" si="846"/>
        <v/>
      </c>
      <c r="U1235" s="34" t="str">
        <f>IF(AND(L1235=1,bp_kode=T1235,T1235&lt;&gt;""),COUNTIF($T$8:T1235,T1235),"")</f>
        <v/>
      </c>
      <c r="V1235" s="34" t="str">
        <f t="shared" si="847"/>
        <v/>
      </c>
      <c r="W1235" s="34" t="str">
        <f t="shared" si="848"/>
        <v/>
      </c>
      <c r="X1235" s="34" t="str">
        <f>IF(B1235="","",COUNTIF($C$8:C1235,C1235)&amp;C1235)</f>
        <v/>
      </c>
    </row>
    <row r="1236" spans="2:24" ht="23.1" customHeight="1">
      <c r="B1236" s="31"/>
      <c r="C1236" s="9"/>
      <c r="D1236" s="9"/>
      <c r="E1236" s="7"/>
      <c r="F1236" s="7"/>
      <c r="G1236" s="7"/>
      <c r="H1236" s="7"/>
      <c r="I1236" s="7"/>
      <c r="J1236" s="39"/>
      <c r="L1236" s="16" t="str">
        <f t="shared" si="839"/>
        <v/>
      </c>
      <c r="M1236" s="16" t="str">
        <f t="shared" si="840"/>
        <v/>
      </c>
      <c r="N1236" s="16" t="str">
        <f t="shared" si="841"/>
        <v/>
      </c>
      <c r="O1236" s="16" t="str">
        <f>IF(N1236="","",COUNTIF($N$8:N1236,N1236))</f>
        <v/>
      </c>
      <c r="P1236" s="34" t="str">
        <f t="shared" si="842"/>
        <v/>
      </c>
      <c r="Q1236" s="34" t="str">
        <f t="shared" si="843"/>
        <v/>
      </c>
      <c r="R1236" s="34" t="str">
        <f t="shared" si="844"/>
        <v/>
      </c>
      <c r="S1236" s="34" t="str">
        <f t="shared" si="845"/>
        <v/>
      </c>
      <c r="T1236" s="34" t="str">
        <f t="shared" si="846"/>
        <v/>
      </c>
      <c r="U1236" s="34" t="str">
        <f>IF(AND(L1236=1,bp_kode=T1236,T1236&lt;&gt;""),COUNTIF($T$8:T1236,T1236),"")</f>
        <v/>
      </c>
      <c r="V1236" s="34" t="str">
        <f t="shared" si="847"/>
        <v/>
      </c>
      <c r="W1236" s="34" t="str">
        <f t="shared" si="848"/>
        <v/>
      </c>
      <c r="X1236" s="34" t="str">
        <f>IF(B1236="","",COUNTIF($C$8:C1236,C1236)&amp;C1236)</f>
        <v/>
      </c>
    </row>
    <row r="1237" spans="2:24" ht="23.1" customHeight="1">
      <c r="B1237" s="31"/>
      <c r="C1237" s="9"/>
      <c r="D1237" s="9"/>
      <c r="E1237" s="7"/>
      <c r="F1237" s="7"/>
      <c r="G1237" s="7"/>
      <c r="H1237" s="7"/>
      <c r="I1237" s="7"/>
      <c r="J1237" s="39"/>
      <c r="L1237" s="16" t="str">
        <f t="shared" si="839"/>
        <v/>
      </c>
      <c r="M1237" s="16" t="str">
        <f t="shared" si="840"/>
        <v/>
      </c>
      <c r="N1237" s="16" t="str">
        <f t="shared" si="841"/>
        <v/>
      </c>
      <c r="O1237" s="16" t="str">
        <f>IF(N1237="","",COUNTIF($N$8:N1237,N1237))</f>
        <v/>
      </c>
      <c r="P1237" s="34" t="str">
        <f t="shared" si="842"/>
        <v/>
      </c>
      <c r="Q1237" s="34" t="str">
        <f t="shared" si="843"/>
        <v/>
      </c>
      <c r="R1237" s="34" t="str">
        <f t="shared" si="844"/>
        <v/>
      </c>
      <c r="S1237" s="34" t="str">
        <f t="shared" si="845"/>
        <v/>
      </c>
      <c r="T1237" s="34" t="str">
        <f t="shared" si="846"/>
        <v/>
      </c>
      <c r="U1237" s="34" t="str">
        <f>IF(AND(L1237=1,bp_kode=T1237,T1237&lt;&gt;""),COUNTIF($T$8:T1237,T1237),"")</f>
        <v/>
      </c>
      <c r="V1237" s="34" t="str">
        <f t="shared" si="847"/>
        <v/>
      </c>
      <c r="W1237" s="34" t="str">
        <f t="shared" si="848"/>
        <v/>
      </c>
      <c r="X1237" s="34" t="str">
        <f>IF(B1237="","",COUNTIF($C$8:C1237,C1237)&amp;C1237)</f>
        <v/>
      </c>
    </row>
    <row r="1238" spans="2:24" ht="23.1" customHeight="1">
      <c r="B1238" s="31"/>
      <c r="C1238" s="9"/>
      <c r="D1238" s="9"/>
      <c r="E1238" s="7"/>
      <c r="F1238" s="7"/>
      <c r="G1238" s="7"/>
      <c r="H1238" s="7"/>
      <c r="I1238" s="7"/>
      <c r="J1238" s="39"/>
      <c r="L1238" s="16" t="str">
        <f t="shared" si="839"/>
        <v/>
      </c>
      <c r="M1238" s="16" t="str">
        <f t="shared" si="840"/>
        <v/>
      </c>
      <c r="N1238" s="16" t="str">
        <f t="shared" si="841"/>
        <v/>
      </c>
      <c r="O1238" s="16" t="str">
        <f>IF(N1238="","",COUNTIF($N$8:N1238,N1238))</f>
        <v/>
      </c>
      <c r="P1238" s="34" t="str">
        <f t="shared" si="842"/>
        <v/>
      </c>
      <c r="Q1238" s="34" t="str">
        <f t="shared" si="843"/>
        <v/>
      </c>
      <c r="R1238" s="34" t="str">
        <f t="shared" si="844"/>
        <v/>
      </c>
      <c r="S1238" s="34" t="str">
        <f t="shared" si="845"/>
        <v/>
      </c>
      <c r="T1238" s="34" t="str">
        <f t="shared" si="846"/>
        <v/>
      </c>
      <c r="U1238" s="34" t="str">
        <f>IF(AND(L1238=1,bp_kode=T1238,T1238&lt;&gt;""),COUNTIF($T$8:T1238,T1238),"")</f>
        <v/>
      </c>
      <c r="V1238" s="34" t="str">
        <f t="shared" si="847"/>
        <v/>
      </c>
      <c r="W1238" s="34" t="str">
        <f t="shared" si="848"/>
        <v/>
      </c>
      <c r="X1238" s="34" t="str">
        <f>IF(B1238="","",COUNTIF($C$8:C1238,C1238)&amp;C1238)</f>
        <v/>
      </c>
    </row>
    <row r="1239" spans="2:24" ht="23.1" customHeight="1">
      <c r="B1239" s="31"/>
      <c r="C1239" s="9"/>
      <c r="D1239" s="9"/>
      <c r="E1239" s="7"/>
      <c r="F1239" s="7"/>
      <c r="G1239" s="7"/>
      <c r="H1239" s="7"/>
      <c r="I1239" s="7"/>
      <c r="J1239" s="39"/>
      <c r="L1239" s="16" t="str">
        <f t="shared" si="839"/>
        <v/>
      </c>
      <c r="M1239" s="16" t="str">
        <f t="shared" si="840"/>
        <v/>
      </c>
      <c r="N1239" s="16" t="str">
        <f t="shared" si="841"/>
        <v/>
      </c>
      <c r="O1239" s="16" t="str">
        <f>IF(N1239="","",COUNTIF($N$8:N1239,N1239))</f>
        <v/>
      </c>
      <c r="P1239" s="34" t="str">
        <f t="shared" si="842"/>
        <v/>
      </c>
      <c r="Q1239" s="34" t="str">
        <f t="shared" si="843"/>
        <v/>
      </c>
      <c r="R1239" s="34" t="str">
        <f t="shared" si="844"/>
        <v/>
      </c>
      <c r="S1239" s="34" t="str">
        <f t="shared" si="845"/>
        <v/>
      </c>
      <c r="T1239" s="34" t="str">
        <f t="shared" si="846"/>
        <v/>
      </c>
      <c r="U1239" s="34" t="str">
        <f>IF(AND(L1239=1,bp_kode=T1239,T1239&lt;&gt;""),COUNTIF($T$8:T1239,T1239),"")</f>
        <v/>
      </c>
      <c r="V1239" s="34" t="str">
        <f t="shared" si="847"/>
        <v/>
      </c>
      <c r="W1239" s="34" t="str">
        <f t="shared" si="848"/>
        <v/>
      </c>
      <c r="X1239" s="34" t="str">
        <f>IF(B1239="","",COUNTIF($C$8:C1239,C1239)&amp;C1239)</f>
        <v/>
      </c>
    </row>
    <row r="1240" spans="2:24" ht="23.1" customHeight="1">
      <c r="B1240" s="31"/>
      <c r="C1240" s="9"/>
      <c r="D1240" s="9"/>
      <c r="E1240" s="7"/>
      <c r="F1240" s="7"/>
      <c r="G1240" s="7"/>
      <c r="H1240" s="7"/>
      <c r="I1240" s="7"/>
      <c r="J1240" s="39"/>
      <c r="L1240" s="16" t="str">
        <f t="shared" si="839"/>
        <v/>
      </c>
      <c r="M1240" s="16" t="str">
        <f t="shared" si="840"/>
        <v/>
      </c>
      <c r="N1240" s="16" t="str">
        <f t="shared" si="841"/>
        <v/>
      </c>
      <c r="O1240" s="16" t="str">
        <f>IF(N1240="","",COUNTIF($N$8:N1240,N1240))</f>
        <v/>
      </c>
      <c r="P1240" s="34" t="str">
        <f t="shared" si="842"/>
        <v/>
      </c>
      <c r="Q1240" s="34" t="str">
        <f t="shared" si="843"/>
        <v/>
      </c>
      <c r="R1240" s="34" t="str">
        <f t="shared" si="844"/>
        <v/>
      </c>
      <c r="S1240" s="34" t="str">
        <f t="shared" si="845"/>
        <v/>
      </c>
      <c r="T1240" s="34" t="str">
        <f t="shared" si="846"/>
        <v/>
      </c>
      <c r="U1240" s="34" t="str">
        <f>IF(AND(L1240=1,bp_kode=T1240,T1240&lt;&gt;""),COUNTIF($T$8:T1240,T1240),"")</f>
        <v/>
      </c>
      <c r="V1240" s="34" t="str">
        <f t="shared" si="847"/>
        <v/>
      </c>
      <c r="W1240" s="34" t="str">
        <f t="shared" si="848"/>
        <v/>
      </c>
      <c r="X1240" s="34" t="str">
        <f>IF(B1240="","",COUNTIF($C$8:C1240,C1240)&amp;C1240)</f>
        <v/>
      </c>
    </row>
    <row r="1241" spans="2:24" ht="23.1" customHeight="1">
      <c r="B1241" s="31"/>
      <c r="C1241" s="9"/>
      <c r="D1241" s="9"/>
      <c r="E1241" s="7"/>
      <c r="F1241" s="7"/>
      <c r="G1241" s="7"/>
      <c r="H1241" s="7"/>
      <c r="I1241" s="7"/>
      <c r="J1241" s="39"/>
      <c r="L1241" s="16" t="str">
        <f t="shared" si="839"/>
        <v/>
      </c>
      <c r="M1241" s="16" t="str">
        <f t="shared" si="840"/>
        <v/>
      </c>
      <c r="N1241" s="16" t="str">
        <f t="shared" si="841"/>
        <v/>
      </c>
      <c r="O1241" s="16" t="str">
        <f>IF(N1241="","",COUNTIF($N$8:N1241,N1241))</f>
        <v/>
      </c>
      <c r="P1241" s="34" t="str">
        <f t="shared" si="842"/>
        <v/>
      </c>
      <c r="Q1241" s="34" t="str">
        <f t="shared" si="843"/>
        <v/>
      </c>
      <c r="R1241" s="34" t="str">
        <f t="shared" si="844"/>
        <v/>
      </c>
      <c r="S1241" s="34" t="str">
        <f t="shared" si="845"/>
        <v/>
      </c>
      <c r="T1241" s="34" t="str">
        <f t="shared" si="846"/>
        <v/>
      </c>
      <c r="U1241" s="34" t="str">
        <f>IF(AND(L1241=1,bp_kode=T1241,T1241&lt;&gt;""),COUNTIF($T$8:T1241,T1241),"")</f>
        <v/>
      </c>
      <c r="V1241" s="34" t="str">
        <f t="shared" si="847"/>
        <v/>
      </c>
      <c r="W1241" s="34" t="str">
        <f t="shared" si="848"/>
        <v/>
      </c>
      <c r="X1241" s="34" t="str">
        <f>IF(B1241="","",COUNTIF($C$8:C1241,C1241)&amp;C1241)</f>
        <v/>
      </c>
    </row>
    <row r="1242" spans="2:24" ht="23.1" customHeight="1">
      <c r="B1242" s="31"/>
      <c r="C1242" s="9"/>
      <c r="D1242" s="9"/>
      <c r="E1242" s="7"/>
      <c r="F1242" s="7"/>
      <c r="G1242" s="7"/>
      <c r="H1242" s="7"/>
      <c r="I1242" s="7"/>
      <c r="J1242" s="39"/>
      <c r="L1242" s="16" t="str">
        <f t="shared" si="839"/>
        <v/>
      </c>
      <c r="M1242" s="16" t="str">
        <f t="shared" si="840"/>
        <v/>
      </c>
      <c r="N1242" s="16" t="str">
        <f t="shared" si="841"/>
        <v/>
      </c>
      <c r="O1242" s="16" t="str">
        <f>IF(N1242="","",COUNTIF($N$8:N1242,N1242))</f>
        <v/>
      </c>
      <c r="P1242" s="34" t="str">
        <f t="shared" si="842"/>
        <v/>
      </c>
      <c r="Q1242" s="34" t="str">
        <f t="shared" si="843"/>
        <v/>
      </c>
      <c r="R1242" s="34" t="str">
        <f t="shared" si="844"/>
        <v/>
      </c>
      <c r="S1242" s="34" t="str">
        <f t="shared" si="845"/>
        <v/>
      </c>
      <c r="T1242" s="34" t="str">
        <f t="shared" si="846"/>
        <v/>
      </c>
      <c r="U1242" s="34" t="str">
        <f>IF(AND(L1242=1,bp_kode=T1242,T1242&lt;&gt;""),COUNTIF($T$8:T1242,T1242),"")</f>
        <v/>
      </c>
      <c r="V1242" s="34" t="str">
        <f t="shared" si="847"/>
        <v/>
      </c>
      <c r="W1242" s="34" t="str">
        <f t="shared" si="848"/>
        <v/>
      </c>
      <c r="X1242" s="34" t="str">
        <f>IF(B1242="","",COUNTIF($C$8:C1242,C1242)&amp;C1242)</f>
        <v/>
      </c>
    </row>
    <row r="1243" spans="2:24" ht="23.1" customHeight="1">
      <c r="B1243" s="31"/>
      <c r="C1243" s="9"/>
      <c r="D1243" s="9"/>
      <c r="E1243" s="7"/>
      <c r="F1243" s="7"/>
      <c r="G1243" s="7"/>
      <c r="H1243" s="7"/>
      <c r="I1243" s="7"/>
      <c r="J1243" s="39"/>
      <c r="L1243" s="16" t="str">
        <f t="shared" si="839"/>
        <v/>
      </c>
      <c r="M1243" s="16" t="str">
        <f t="shared" si="840"/>
        <v/>
      </c>
      <c r="N1243" s="16" t="str">
        <f t="shared" si="841"/>
        <v/>
      </c>
      <c r="O1243" s="16" t="str">
        <f>IF(N1243="","",COUNTIF($N$8:N1243,N1243))</f>
        <v/>
      </c>
      <c r="P1243" s="34" t="str">
        <f t="shared" si="842"/>
        <v/>
      </c>
      <c r="Q1243" s="34" t="str">
        <f t="shared" si="843"/>
        <v/>
      </c>
      <c r="R1243" s="34" t="str">
        <f t="shared" si="844"/>
        <v/>
      </c>
      <c r="S1243" s="34" t="str">
        <f t="shared" si="845"/>
        <v/>
      </c>
      <c r="T1243" s="34" t="str">
        <f t="shared" si="846"/>
        <v/>
      </c>
      <c r="U1243" s="34" t="str">
        <f>IF(AND(L1243=1,bp_kode=T1243,T1243&lt;&gt;""),COUNTIF($T$8:T1243,T1243),"")</f>
        <v/>
      </c>
      <c r="V1243" s="34" t="str">
        <f t="shared" si="847"/>
        <v/>
      </c>
      <c r="W1243" s="34" t="str">
        <f t="shared" si="848"/>
        <v/>
      </c>
      <c r="X1243" s="34" t="str">
        <f>IF(B1243="","",COUNTIF($C$8:C1243,C1243)&amp;C1243)</f>
        <v/>
      </c>
    </row>
    <row r="1244" spans="2:24" ht="23.1" customHeight="1">
      <c r="B1244" s="31"/>
      <c r="C1244" s="9"/>
      <c r="D1244" s="9"/>
      <c r="E1244" s="7"/>
      <c r="F1244" s="7"/>
      <c r="G1244" s="7"/>
      <c r="H1244" s="7"/>
      <c r="I1244" s="7"/>
      <c r="J1244" s="39"/>
      <c r="L1244" s="16" t="str">
        <f t="shared" si="839"/>
        <v/>
      </c>
      <c r="M1244" s="16" t="str">
        <f t="shared" si="840"/>
        <v/>
      </c>
      <c r="N1244" s="16" t="str">
        <f t="shared" si="841"/>
        <v/>
      </c>
      <c r="O1244" s="16" t="str">
        <f>IF(N1244="","",COUNTIF($N$8:N1244,N1244))</f>
        <v/>
      </c>
      <c r="P1244" s="34" t="str">
        <f t="shared" si="842"/>
        <v/>
      </c>
      <c r="Q1244" s="34" t="str">
        <f t="shared" si="843"/>
        <v/>
      </c>
      <c r="R1244" s="34" t="str">
        <f t="shared" si="844"/>
        <v/>
      </c>
      <c r="S1244" s="34" t="str">
        <f t="shared" si="845"/>
        <v/>
      </c>
      <c r="T1244" s="34" t="str">
        <f t="shared" si="846"/>
        <v/>
      </c>
      <c r="U1244" s="34" t="str">
        <f>IF(AND(L1244=1,bp_kode=T1244,T1244&lt;&gt;""),COUNTIF($T$8:T1244,T1244),"")</f>
        <v/>
      </c>
      <c r="V1244" s="34" t="str">
        <f t="shared" si="847"/>
        <v/>
      </c>
      <c r="W1244" s="34" t="str">
        <f t="shared" si="848"/>
        <v/>
      </c>
      <c r="X1244" s="34" t="str">
        <f>IF(B1244="","",COUNTIF($C$8:C1244,C1244)&amp;C1244)</f>
        <v/>
      </c>
    </row>
    <row r="1245" spans="2:24" ht="23.1" customHeight="1">
      <c r="B1245" s="31"/>
      <c r="C1245" s="9"/>
      <c r="D1245" s="9"/>
      <c r="E1245" s="7"/>
      <c r="F1245" s="7"/>
      <c r="G1245" s="7"/>
      <c r="H1245" s="7"/>
      <c r="I1245" s="7"/>
      <c r="J1245" s="39"/>
      <c r="L1245" s="16" t="str">
        <f t="shared" si="839"/>
        <v/>
      </c>
      <c r="M1245" s="16" t="str">
        <f t="shared" si="840"/>
        <v/>
      </c>
      <c r="N1245" s="16" t="str">
        <f t="shared" si="841"/>
        <v/>
      </c>
      <c r="O1245" s="16" t="str">
        <f>IF(N1245="","",COUNTIF($N$8:N1245,N1245))</f>
        <v/>
      </c>
      <c r="P1245" s="34" t="str">
        <f t="shared" si="842"/>
        <v/>
      </c>
      <c r="Q1245" s="34" t="str">
        <f t="shared" si="843"/>
        <v/>
      </c>
      <c r="R1245" s="34" t="str">
        <f t="shared" si="844"/>
        <v/>
      </c>
      <c r="S1245" s="34" t="str">
        <f t="shared" si="845"/>
        <v/>
      </c>
      <c r="T1245" s="34" t="str">
        <f t="shared" si="846"/>
        <v/>
      </c>
      <c r="U1245" s="34" t="str">
        <f>IF(AND(L1245=1,bp_kode=T1245,T1245&lt;&gt;""),COUNTIF($T$8:T1245,T1245),"")</f>
        <v/>
      </c>
      <c r="V1245" s="34" t="str">
        <f t="shared" si="847"/>
        <v/>
      </c>
      <c r="W1245" s="34" t="str">
        <f t="shared" si="848"/>
        <v/>
      </c>
      <c r="X1245" s="34" t="str">
        <f>IF(B1245="","",COUNTIF($C$8:C1245,C1245)&amp;C1245)</f>
        <v/>
      </c>
    </row>
    <row r="1246" spans="2:24" ht="23.1" customHeight="1">
      <c r="B1246" s="31"/>
      <c r="C1246" s="9"/>
      <c r="D1246" s="9"/>
      <c r="E1246" s="7"/>
      <c r="F1246" s="7"/>
      <c r="G1246" s="7"/>
      <c r="H1246" s="7"/>
      <c r="I1246" s="7"/>
      <c r="J1246" s="39"/>
      <c r="L1246" s="16" t="str">
        <f t="shared" si="839"/>
        <v/>
      </c>
      <c r="M1246" s="16" t="str">
        <f t="shared" si="840"/>
        <v/>
      </c>
      <c r="N1246" s="16" t="str">
        <f t="shared" si="841"/>
        <v/>
      </c>
      <c r="O1246" s="16" t="str">
        <f>IF(N1246="","",COUNTIF($N$8:N1246,N1246))</f>
        <v/>
      </c>
      <c r="P1246" s="34" t="str">
        <f t="shared" si="842"/>
        <v/>
      </c>
      <c r="Q1246" s="34" t="str">
        <f t="shared" si="843"/>
        <v/>
      </c>
      <c r="R1246" s="34" t="str">
        <f t="shared" si="844"/>
        <v/>
      </c>
      <c r="S1246" s="34" t="str">
        <f t="shared" si="845"/>
        <v/>
      </c>
      <c r="T1246" s="34" t="str">
        <f t="shared" si="846"/>
        <v/>
      </c>
      <c r="U1246" s="34" t="str">
        <f>IF(AND(L1246=1,bp_kode=T1246,T1246&lt;&gt;""),COUNTIF($T$8:T1246,T1246),"")</f>
        <v/>
      </c>
      <c r="V1246" s="34" t="str">
        <f t="shared" si="847"/>
        <v/>
      </c>
      <c r="W1246" s="34" t="str">
        <f t="shared" si="848"/>
        <v/>
      </c>
      <c r="X1246" s="34" t="str">
        <f>IF(B1246="","",COUNTIF($C$8:C1246,C1246)&amp;C1246)</f>
        <v/>
      </c>
    </row>
    <row r="1247" spans="2:24" ht="23.1" customHeight="1">
      <c r="B1247" s="31"/>
      <c r="C1247" s="9"/>
      <c r="D1247" s="9"/>
      <c r="E1247" s="7"/>
      <c r="F1247" s="7"/>
      <c r="G1247" s="7"/>
      <c r="H1247" s="7"/>
      <c r="I1247" s="7"/>
      <c r="J1247" s="39"/>
      <c r="L1247" s="16" t="str">
        <f t="shared" si="839"/>
        <v/>
      </c>
      <c r="M1247" s="16" t="str">
        <f t="shared" si="840"/>
        <v/>
      </c>
      <c r="N1247" s="16" t="str">
        <f t="shared" si="841"/>
        <v/>
      </c>
      <c r="O1247" s="16" t="str">
        <f>IF(N1247="","",COUNTIF($N$8:N1247,N1247))</f>
        <v/>
      </c>
      <c r="P1247" s="34" t="str">
        <f t="shared" si="842"/>
        <v/>
      </c>
      <c r="Q1247" s="34" t="str">
        <f t="shared" si="843"/>
        <v/>
      </c>
      <c r="R1247" s="34" t="str">
        <f t="shared" si="844"/>
        <v/>
      </c>
      <c r="S1247" s="34" t="str">
        <f t="shared" si="845"/>
        <v/>
      </c>
      <c r="T1247" s="34" t="str">
        <f t="shared" si="846"/>
        <v/>
      </c>
      <c r="U1247" s="34" t="str">
        <f>IF(AND(L1247=1,bp_kode=T1247,T1247&lt;&gt;""),COUNTIF($T$8:T1247,T1247),"")</f>
        <v/>
      </c>
      <c r="V1247" s="34" t="str">
        <f t="shared" si="847"/>
        <v/>
      </c>
      <c r="W1247" s="34" t="str">
        <f t="shared" si="848"/>
        <v/>
      </c>
      <c r="X1247" s="34" t="str">
        <f>IF(B1247="","",COUNTIF($C$8:C1247,C1247)&amp;C1247)</f>
        <v/>
      </c>
    </row>
    <row r="1248" spans="2:24" ht="23.1" customHeight="1">
      <c r="B1248" s="31"/>
      <c r="C1248" s="9"/>
      <c r="D1248" s="9"/>
      <c r="E1248" s="7"/>
      <c r="F1248" s="7"/>
      <c r="G1248" s="7"/>
      <c r="H1248" s="7"/>
      <c r="I1248" s="7"/>
      <c r="J1248" s="39"/>
      <c r="L1248" s="16" t="str">
        <f t="shared" si="839"/>
        <v/>
      </c>
      <c r="M1248" s="16" t="str">
        <f t="shared" si="840"/>
        <v/>
      </c>
      <c r="N1248" s="16" t="str">
        <f t="shared" si="841"/>
        <v/>
      </c>
      <c r="O1248" s="16" t="str">
        <f>IF(N1248="","",COUNTIF($N$8:N1248,N1248))</f>
        <v/>
      </c>
      <c r="P1248" s="34" t="str">
        <f t="shared" si="842"/>
        <v/>
      </c>
      <c r="Q1248" s="34" t="str">
        <f t="shared" si="843"/>
        <v/>
      </c>
      <c r="R1248" s="34" t="str">
        <f t="shared" si="844"/>
        <v/>
      </c>
      <c r="S1248" s="34" t="str">
        <f t="shared" si="845"/>
        <v/>
      </c>
      <c r="T1248" s="34" t="str">
        <f t="shared" si="846"/>
        <v/>
      </c>
      <c r="U1248" s="34" t="str">
        <f>IF(AND(L1248=1,bp_kode=T1248,T1248&lt;&gt;""),COUNTIF($T$8:T1248,T1248),"")</f>
        <v/>
      </c>
      <c r="V1248" s="34" t="str">
        <f t="shared" si="847"/>
        <v/>
      </c>
      <c r="W1248" s="34" t="str">
        <f t="shared" si="848"/>
        <v/>
      </c>
      <c r="X1248" s="34" t="str">
        <f>IF(B1248="","",COUNTIF($C$8:C1248,C1248)&amp;C1248)</f>
        <v/>
      </c>
    </row>
    <row r="1249" spans="2:24" ht="23.1" customHeight="1">
      <c r="B1249" s="31"/>
      <c r="C1249" s="9"/>
      <c r="D1249" s="9"/>
      <c r="E1249" s="7"/>
      <c r="F1249" s="7"/>
      <c r="G1249" s="7"/>
      <c r="H1249" s="7"/>
      <c r="I1249" s="7"/>
      <c r="J1249" s="39"/>
      <c r="L1249" s="16" t="str">
        <f t="shared" si="839"/>
        <v/>
      </c>
      <c r="M1249" s="16" t="str">
        <f t="shared" si="840"/>
        <v/>
      </c>
      <c r="N1249" s="16" t="str">
        <f t="shared" si="841"/>
        <v/>
      </c>
      <c r="O1249" s="16" t="str">
        <f>IF(N1249="","",COUNTIF($N$8:N1249,N1249))</f>
        <v/>
      </c>
      <c r="P1249" s="34" t="str">
        <f t="shared" si="842"/>
        <v/>
      </c>
      <c r="Q1249" s="34" t="str">
        <f t="shared" si="843"/>
        <v/>
      </c>
      <c r="R1249" s="34" t="str">
        <f t="shared" si="844"/>
        <v/>
      </c>
      <c r="S1249" s="34" t="str">
        <f t="shared" si="845"/>
        <v/>
      </c>
      <c r="T1249" s="34" t="str">
        <f t="shared" si="846"/>
        <v/>
      </c>
      <c r="U1249" s="34" t="str">
        <f>IF(AND(L1249=1,bp_kode=T1249,T1249&lt;&gt;""),COUNTIF($T$8:T1249,T1249),"")</f>
        <v/>
      </c>
      <c r="V1249" s="34" t="str">
        <f t="shared" si="847"/>
        <v/>
      </c>
      <c r="W1249" s="34" t="str">
        <f t="shared" si="848"/>
        <v/>
      </c>
      <c r="X1249" s="34" t="str">
        <f>IF(B1249="","",COUNTIF($C$8:C1249,C1249)&amp;C1249)</f>
        <v/>
      </c>
    </row>
    <row r="1250" spans="2:24" ht="23.1" customHeight="1">
      <c r="B1250" s="31"/>
      <c r="C1250" s="9"/>
      <c r="D1250" s="9"/>
      <c r="E1250" s="7"/>
      <c r="F1250" s="7"/>
      <c r="G1250" s="7"/>
      <c r="H1250" s="7"/>
      <c r="I1250" s="7"/>
      <c r="J1250" s="39"/>
      <c r="L1250" s="16" t="str">
        <f t="shared" si="839"/>
        <v/>
      </c>
      <c r="M1250" s="16" t="str">
        <f t="shared" si="840"/>
        <v/>
      </c>
      <c r="N1250" s="16" t="str">
        <f t="shared" si="841"/>
        <v/>
      </c>
      <c r="O1250" s="16" t="str">
        <f>IF(N1250="","",COUNTIF($N$8:N1250,N1250))</f>
        <v/>
      </c>
      <c r="P1250" s="34" t="str">
        <f t="shared" si="842"/>
        <v/>
      </c>
      <c r="Q1250" s="34" t="str">
        <f t="shared" si="843"/>
        <v/>
      </c>
      <c r="R1250" s="34" t="str">
        <f t="shared" si="844"/>
        <v/>
      </c>
      <c r="S1250" s="34" t="str">
        <f t="shared" si="845"/>
        <v/>
      </c>
      <c r="T1250" s="34" t="str">
        <f t="shared" si="846"/>
        <v/>
      </c>
      <c r="U1250" s="34" t="str">
        <f>IF(AND(L1250=1,bp_kode=T1250,T1250&lt;&gt;""),COUNTIF($T$8:T1250,T1250),"")</f>
        <v/>
      </c>
      <c r="V1250" s="34" t="str">
        <f t="shared" si="847"/>
        <v/>
      </c>
      <c r="W1250" s="34" t="str">
        <f t="shared" si="848"/>
        <v/>
      </c>
      <c r="X1250" s="34" t="str">
        <f>IF(B1250="","",COUNTIF($C$8:C1250,C1250)&amp;C1250)</f>
        <v/>
      </c>
    </row>
    <row r="1251" spans="2:24" ht="23.1" customHeight="1">
      <c r="B1251" s="31"/>
      <c r="C1251" s="9"/>
      <c r="D1251" s="9"/>
      <c r="E1251" s="7"/>
      <c r="F1251" s="7"/>
      <c r="G1251" s="7"/>
      <c r="H1251" s="7"/>
      <c r="I1251" s="7"/>
      <c r="J1251" s="39"/>
      <c r="L1251" s="16" t="str">
        <f t="shared" si="839"/>
        <v/>
      </c>
      <c r="M1251" s="16" t="str">
        <f t="shared" si="840"/>
        <v/>
      </c>
      <c r="N1251" s="16" t="str">
        <f t="shared" si="841"/>
        <v/>
      </c>
      <c r="O1251" s="16" t="str">
        <f>IF(N1251="","",COUNTIF($N$8:N1251,N1251))</f>
        <v/>
      </c>
      <c r="P1251" s="34" t="str">
        <f t="shared" si="842"/>
        <v/>
      </c>
      <c r="Q1251" s="34" t="str">
        <f t="shared" si="843"/>
        <v/>
      </c>
      <c r="R1251" s="34" t="str">
        <f t="shared" si="844"/>
        <v/>
      </c>
      <c r="S1251" s="34" t="str">
        <f t="shared" si="845"/>
        <v/>
      </c>
      <c r="T1251" s="34" t="str">
        <f t="shared" si="846"/>
        <v/>
      </c>
      <c r="U1251" s="34" t="str">
        <f>IF(AND(L1251=1,bp_kode=T1251,T1251&lt;&gt;""),COUNTIF($T$8:T1251,T1251),"")</f>
        <v/>
      </c>
      <c r="V1251" s="34" t="str">
        <f t="shared" si="847"/>
        <v/>
      </c>
      <c r="W1251" s="34" t="str">
        <f t="shared" si="848"/>
        <v/>
      </c>
      <c r="X1251" s="34" t="str">
        <f>IF(B1251="","",COUNTIF($C$8:C1251,C1251)&amp;C1251)</f>
        <v/>
      </c>
    </row>
    <row r="1252" spans="2:24" ht="23.1" customHeight="1">
      <c r="B1252" s="31"/>
      <c r="C1252" s="9"/>
      <c r="D1252" s="9"/>
      <c r="E1252" s="7"/>
      <c r="F1252" s="7"/>
      <c r="G1252" s="7"/>
      <c r="H1252" s="7"/>
      <c r="I1252" s="7"/>
      <c r="J1252" s="39"/>
      <c r="L1252" s="16" t="str">
        <f t="shared" si="839"/>
        <v/>
      </c>
      <c r="M1252" s="16" t="str">
        <f t="shared" si="840"/>
        <v/>
      </c>
      <c r="N1252" s="16" t="str">
        <f t="shared" si="841"/>
        <v/>
      </c>
      <c r="O1252" s="16" t="str">
        <f>IF(N1252="","",COUNTIF($N$8:N1252,N1252))</f>
        <v/>
      </c>
      <c r="P1252" s="34" t="str">
        <f t="shared" si="842"/>
        <v/>
      </c>
      <c r="Q1252" s="34" t="str">
        <f t="shared" si="843"/>
        <v/>
      </c>
      <c r="R1252" s="34" t="str">
        <f t="shared" si="844"/>
        <v/>
      </c>
      <c r="S1252" s="34" t="str">
        <f t="shared" si="845"/>
        <v/>
      </c>
      <c r="T1252" s="34" t="str">
        <f t="shared" si="846"/>
        <v/>
      </c>
      <c r="U1252" s="34" t="str">
        <f>IF(AND(L1252=1,bp_kode=T1252,T1252&lt;&gt;""),COUNTIF($T$8:T1252,T1252),"")</f>
        <v/>
      </c>
      <c r="V1252" s="34" t="str">
        <f t="shared" si="847"/>
        <v/>
      </c>
      <c r="W1252" s="34" t="str">
        <f t="shared" si="848"/>
        <v/>
      </c>
      <c r="X1252" s="34" t="str">
        <f>IF(B1252="","",COUNTIF($C$8:C1252,C1252)&amp;C1252)</f>
        <v/>
      </c>
    </row>
    <row r="1253" spans="2:24" ht="23.1" customHeight="1">
      <c r="B1253" s="31"/>
      <c r="C1253" s="9"/>
      <c r="D1253" s="9"/>
      <c r="E1253" s="7"/>
      <c r="F1253" s="7"/>
      <c r="G1253" s="7"/>
      <c r="H1253" s="7"/>
      <c r="I1253" s="7"/>
      <c r="J1253" s="39"/>
      <c r="L1253" s="16" t="str">
        <f t="shared" si="839"/>
        <v/>
      </c>
      <c r="M1253" s="16" t="str">
        <f t="shared" si="840"/>
        <v/>
      </c>
      <c r="N1253" s="16" t="str">
        <f t="shared" si="841"/>
        <v/>
      </c>
      <c r="O1253" s="16" t="str">
        <f>IF(N1253="","",COUNTIF($N$8:N1253,N1253))</f>
        <v/>
      </c>
      <c r="P1253" s="34" t="str">
        <f t="shared" si="842"/>
        <v/>
      </c>
      <c r="Q1253" s="34" t="str">
        <f t="shared" si="843"/>
        <v/>
      </c>
      <c r="R1253" s="34" t="str">
        <f t="shared" si="844"/>
        <v/>
      </c>
      <c r="S1253" s="34" t="str">
        <f t="shared" si="845"/>
        <v/>
      </c>
      <c r="T1253" s="34" t="str">
        <f t="shared" si="846"/>
        <v/>
      </c>
      <c r="U1253" s="34" t="str">
        <f>IF(AND(L1253=1,bp_kode=T1253,T1253&lt;&gt;""),COUNTIF($T$8:T1253,T1253),"")</f>
        <v/>
      </c>
      <c r="V1253" s="34" t="str">
        <f t="shared" si="847"/>
        <v/>
      </c>
      <c r="W1253" s="34" t="str">
        <f t="shared" si="848"/>
        <v/>
      </c>
      <c r="X1253" s="34" t="str">
        <f>IF(B1253="","",COUNTIF($C$8:C1253,C1253)&amp;C1253)</f>
        <v/>
      </c>
    </row>
    <row r="1254" spans="2:24" ht="23.1" customHeight="1">
      <c r="B1254" s="31"/>
      <c r="C1254" s="9"/>
      <c r="D1254" s="9"/>
      <c r="E1254" s="7"/>
      <c r="F1254" s="7"/>
      <c r="G1254" s="7"/>
      <c r="H1254" s="7"/>
      <c r="I1254" s="7"/>
      <c r="J1254" s="39"/>
      <c r="L1254" s="16" t="str">
        <f t="shared" si="839"/>
        <v/>
      </c>
      <c r="M1254" s="16" t="str">
        <f t="shared" si="840"/>
        <v/>
      </c>
      <c r="N1254" s="16" t="str">
        <f t="shared" si="841"/>
        <v/>
      </c>
      <c r="O1254" s="16" t="str">
        <f>IF(N1254="","",COUNTIF($N$8:N1254,N1254))</f>
        <v/>
      </c>
      <c r="P1254" s="34" t="str">
        <f t="shared" si="842"/>
        <v/>
      </c>
      <c r="Q1254" s="34" t="str">
        <f t="shared" si="843"/>
        <v/>
      </c>
      <c r="R1254" s="34" t="str">
        <f t="shared" si="844"/>
        <v/>
      </c>
      <c r="S1254" s="34" t="str">
        <f t="shared" si="845"/>
        <v/>
      </c>
      <c r="T1254" s="34" t="str">
        <f t="shared" si="846"/>
        <v/>
      </c>
      <c r="U1254" s="34" t="str">
        <f>IF(AND(L1254=1,bp_kode=T1254,T1254&lt;&gt;""),COUNTIF($T$8:T1254,T1254),"")</f>
        <v/>
      </c>
      <c r="V1254" s="34" t="str">
        <f t="shared" si="847"/>
        <v/>
      </c>
      <c r="W1254" s="34" t="str">
        <f t="shared" si="848"/>
        <v/>
      </c>
      <c r="X1254" s="34" t="str">
        <f>IF(B1254="","",COUNTIF($C$8:C1254,C1254)&amp;C1254)</f>
        <v/>
      </c>
    </row>
    <row r="1255" spans="2:24" ht="23.1" customHeight="1">
      <c r="B1255" s="31"/>
      <c r="C1255" s="9"/>
      <c r="D1255" s="9"/>
      <c r="E1255" s="7"/>
      <c r="F1255" s="7"/>
      <c r="G1255" s="7"/>
      <c r="H1255" s="7"/>
      <c r="I1255" s="7"/>
      <c r="J1255" s="39"/>
      <c r="L1255" s="16" t="str">
        <f t="shared" si="839"/>
        <v/>
      </c>
      <c r="M1255" s="16" t="str">
        <f t="shared" si="840"/>
        <v/>
      </c>
      <c r="N1255" s="16" t="str">
        <f t="shared" si="841"/>
        <v/>
      </c>
      <c r="O1255" s="16" t="str">
        <f>IF(N1255="","",COUNTIF($N$8:N1255,N1255))</f>
        <v/>
      </c>
      <c r="P1255" s="34" t="str">
        <f t="shared" si="842"/>
        <v/>
      </c>
      <c r="Q1255" s="34" t="str">
        <f t="shared" si="843"/>
        <v/>
      </c>
      <c r="R1255" s="34" t="str">
        <f t="shared" si="844"/>
        <v/>
      </c>
      <c r="S1255" s="34" t="str">
        <f t="shared" si="845"/>
        <v/>
      </c>
      <c r="T1255" s="34" t="str">
        <f t="shared" si="846"/>
        <v/>
      </c>
      <c r="U1255" s="34" t="str">
        <f>IF(AND(L1255=1,bp_kode=T1255,T1255&lt;&gt;""),COUNTIF($T$8:T1255,T1255),"")</f>
        <v/>
      </c>
      <c r="V1255" s="34" t="str">
        <f t="shared" si="847"/>
        <v/>
      </c>
      <c r="W1255" s="34" t="str">
        <f t="shared" si="848"/>
        <v/>
      </c>
      <c r="X1255" s="34" t="str">
        <f>IF(B1255="","",COUNTIF($C$8:C1255,C1255)&amp;C1255)</f>
        <v/>
      </c>
    </row>
    <row r="1256" spans="2:24" ht="23.1" customHeight="1">
      <c r="B1256" s="31"/>
      <c r="C1256" s="9"/>
      <c r="D1256" s="9"/>
      <c r="E1256" s="7"/>
      <c r="F1256" s="7"/>
      <c r="G1256" s="7"/>
      <c r="H1256" s="7"/>
      <c r="I1256" s="7"/>
      <c r="J1256" s="39"/>
      <c r="L1256" s="16" t="str">
        <f t="shared" si="839"/>
        <v/>
      </c>
      <c r="M1256" s="16" t="str">
        <f t="shared" si="840"/>
        <v/>
      </c>
      <c r="N1256" s="16" t="str">
        <f t="shared" si="841"/>
        <v/>
      </c>
      <c r="O1256" s="16" t="str">
        <f>IF(N1256="","",COUNTIF($N$8:N1256,N1256))</f>
        <v/>
      </c>
      <c r="P1256" s="34" t="str">
        <f t="shared" si="842"/>
        <v/>
      </c>
      <c r="Q1256" s="34" t="str">
        <f t="shared" si="843"/>
        <v/>
      </c>
      <c r="R1256" s="34" t="str">
        <f t="shared" si="844"/>
        <v/>
      </c>
      <c r="S1256" s="34" t="str">
        <f t="shared" si="845"/>
        <v/>
      </c>
      <c r="T1256" s="34" t="str">
        <f t="shared" si="846"/>
        <v/>
      </c>
      <c r="U1256" s="34" t="str">
        <f>IF(AND(L1256=1,bp_kode=T1256,T1256&lt;&gt;""),COUNTIF($T$8:T1256,T1256),"")</f>
        <v/>
      </c>
      <c r="V1256" s="34" t="str">
        <f t="shared" si="847"/>
        <v/>
      </c>
      <c r="W1256" s="34" t="str">
        <f t="shared" si="848"/>
        <v/>
      </c>
      <c r="X1256" s="34" t="str">
        <f>IF(B1256="","",COUNTIF($C$8:C1256,C1256)&amp;C1256)</f>
        <v/>
      </c>
    </row>
    <row r="1257" spans="2:24" ht="23.1" customHeight="1">
      <c r="B1257" s="31"/>
      <c r="C1257" s="9"/>
      <c r="D1257" s="9"/>
      <c r="E1257" s="7"/>
      <c r="F1257" s="7"/>
      <c r="G1257" s="7"/>
      <c r="H1257" s="7"/>
      <c r="I1257" s="7"/>
      <c r="J1257" s="39"/>
      <c r="L1257" s="16" t="str">
        <f t="shared" si="839"/>
        <v/>
      </c>
      <c r="M1257" s="16" t="str">
        <f t="shared" si="840"/>
        <v/>
      </c>
      <c r="N1257" s="16" t="str">
        <f t="shared" si="841"/>
        <v/>
      </c>
      <c r="O1257" s="16" t="str">
        <f>IF(N1257="","",COUNTIF($N$8:N1257,N1257))</f>
        <v/>
      </c>
      <c r="P1257" s="34" t="str">
        <f t="shared" si="842"/>
        <v/>
      </c>
      <c r="Q1257" s="34" t="str">
        <f t="shared" si="843"/>
        <v/>
      </c>
      <c r="R1257" s="34" t="str">
        <f t="shared" si="844"/>
        <v/>
      </c>
      <c r="S1257" s="34" t="str">
        <f t="shared" si="845"/>
        <v/>
      </c>
      <c r="T1257" s="34" t="str">
        <f t="shared" si="846"/>
        <v/>
      </c>
      <c r="U1257" s="34" t="str">
        <f>IF(AND(L1257=1,bp_kode=T1257,T1257&lt;&gt;""),COUNTIF($T$8:T1257,T1257),"")</f>
        <v/>
      </c>
      <c r="V1257" s="34" t="str">
        <f t="shared" si="847"/>
        <v/>
      </c>
      <c r="W1257" s="34" t="str">
        <f t="shared" si="848"/>
        <v/>
      </c>
      <c r="X1257" s="34" t="str">
        <f>IF(B1257="","",COUNTIF($C$8:C1257,C1257)&amp;C1257)</f>
        <v/>
      </c>
    </row>
    <row r="1258" spans="2:24" ht="23.1" customHeight="1">
      <c r="B1258" s="31"/>
      <c r="C1258" s="9"/>
      <c r="D1258" s="9"/>
      <c r="E1258" s="7"/>
      <c r="F1258" s="7"/>
      <c r="G1258" s="7"/>
      <c r="H1258" s="7"/>
      <c r="I1258" s="7"/>
      <c r="J1258" s="39"/>
      <c r="L1258" s="16" t="str">
        <f t="shared" si="839"/>
        <v/>
      </c>
      <c r="M1258" s="16" t="str">
        <f t="shared" si="840"/>
        <v/>
      </c>
      <c r="N1258" s="16" t="str">
        <f t="shared" si="841"/>
        <v/>
      </c>
      <c r="O1258" s="16" t="str">
        <f>IF(N1258="","",COUNTIF($N$8:N1258,N1258))</f>
        <v/>
      </c>
      <c r="P1258" s="34" t="str">
        <f t="shared" si="842"/>
        <v/>
      </c>
      <c r="Q1258" s="34" t="str">
        <f t="shared" si="843"/>
        <v/>
      </c>
      <c r="R1258" s="34" t="str">
        <f t="shared" si="844"/>
        <v/>
      </c>
      <c r="S1258" s="34" t="str">
        <f t="shared" si="845"/>
        <v/>
      </c>
      <c r="T1258" s="34" t="str">
        <f t="shared" si="846"/>
        <v/>
      </c>
      <c r="U1258" s="34" t="str">
        <f>IF(AND(L1258=1,bp_kode=T1258,T1258&lt;&gt;""),COUNTIF($T$8:T1258,T1258),"")</f>
        <v/>
      </c>
      <c r="V1258" s="34" t="str">
        <f t="shared" si="847"/>
        <v/>
      </c>
      <c r="W1258" s="34" t="str">
        <f t="shared" si="848"/>
        <v/>
      </c>
      <c r="X1258" s="34" t="str">
        <f>IF(B1258="","",COUNTIF($C$8:C1258,C1258)&amp;C1258)</f>
        <v/>
      </c>
    </row>
    <row r="1259" spans="2:24" ht="23.1" customHeight="1">
      <c r="B1259" s="31"/>
      <c r="C1259" s="9"/>
      <c r="D1259" s="9"/>
      <c r="E1259" s="7"/>
      <c r="F1259" s="7"/>
      <c r="G1259" s="7"/>
      <c r="H1259" s="7"/>
      <c r="I1259" s="7"/>
      <c r="J1259" s="39"/>
      <c r="L1259" s="16" t="str">
        <f t="shared" si="839"/>
        <v/>
      </c>
      <c r="M1259" s="16" t="str">
        <f t="shared" si="840"/>
        <v/>
      </c>
      <c r="N1259" s="16" t="str">
        <f t="shared" si="841"/>
        <v/>
      </c>
      <c r="O1259" s="16" t="str">
        <f>IF(N1259="","",COUNTIF($N$8:N1259,N1259))</f>
        <v/>
      </c>
      <c r="P1259" s="34" t="str">
        <f t="shared" si="842"/>
        <v/>
      </c>
      <c r="Q1259" s="34" t="str">
        <f t="shared" si="843"/>
        <v/>
      </c>
      <c r="R1259" s="34" t="str">
        <f t="shared" si="844"/>
        <v/>
      </c>
      <c r="S1259" s="34" t="str">
        <f t="shared" si="845"/>
        <v/>
      </c>
      <c r="T1259" s="34" t="str">
        <f t="shared" si="846"/>
        <v/>
      </c>
      <c r="U1259" s="34" t="str">
        <f>IF(AND(L1259=1,bp_kode=T1259,T1259&lt;&gt;""),COUNTIF($T$8:T1259,T1259),"")</f>
        <v/>
      </c>
      <c r="V1259" s="34" t="str">
        <f t="shared" si="847"/>
        <v/>
      </c>
      <c r="W1259" s="34" t="str">
        <f t="shared" si="848"/>
        <v/>
      </c>
      <c r="X1259" s="34" t="str">
        <f>IF(B1259="","",COUNTIF($C$8:C1259,C1259)&amp;C1259)</f>
        <v/>
      </c>
    </row>
    <row r="1260" spans="2:24" ht="23.1" customHeight="1">
      <c r="B1260" s="31"/>
      <c r="C1260" s="9"/>
      <c r="D1260" s="9"/>
      <c r="E1260" s="7"/>
      <c r="F1260" s="7"/>
      <c r="G1260" s="7"/>
      <c r="H1260" s="7"/>
      <c r="I1260" s="7"/>
      <c r="J1260" s="39"/>
      <c r="L1260" s="16" t="str">
        <f t="shared" si="839"/>
        <v/>
      </c>
      <c r="M1260" s="16" t="str">
        <f t="shared" si="840"/>
        <v/>
      </c>
      <c r="N1260" s="16" t="str">
        <f t="shared" si="841"/>
        <v/>
      </c>
      <c r="O1260" s="16" t="str">
        <f>IF(N1260="","",COUNTIF($N$8:N1260,N1260))</f>
        <v/>
      </c>
      <c r="P1260" s="34" t="str">
        <f t="shared" si="842"/>
        <v/>
      </c>
      <c r="Q1260" s="34" t="str">
        <f t="shared" si="843"/>
        <v/>
      </c>
      <c r="R1260" s="34" t="str">
        <f t="shared" si="844"/>
        <v/>
      </c>
      <c r="S1260" s="34" t="str">
        <f t="shared" si="845"/>
        <v/>
      </c>
      <c r="T1260" s="34" t="str">
        <f t="shared" si="846"/>
        <v/>
      </c>
      <c r="U1260" s="34" t="str">
        <f>IF(AND(L1260=1,bp_kode=T1260,T1260&lt;&gt;""),COUNTIF($T$8:T1260,T1260),"")</f>
        <v/>
      </c>
      <c r="V1260" s="34" t="str">
        <f t="shared" si="847"/>
        <v/>
      </c>
      <c r="W1260" s="34" t="str">
        <f t="shared" si="848"/>
        <v/>
      </c>
      <c r="X1260" s="34" t="str">
        <f>IF(B1260="","",COUNTIF($C$8:C1260,C1260)&amp;C1260)</f>
        <v/>
      </c>
    </row>
    <row r="1261" spans="2:24" ht="23.1" customHeight="1">
      <c r="B1261" s="31"/>
      <c r="C1261" s="9"/>
      <c r="D1261" s="9"/>
      <c r="E1261" s="7"/>
      <c r="F1261" s="7"/>
      <c r="G1261" s="7"/>
      <c r="H1261" s="7"/>
      <c r="I1261" s="7"/>
      <c r="J1261" s="39"/>
      <c r="L1261" s="16" t="str">
        <f t="shared" si="839"/>
        <v/>
      </c>
      <c r="M1261" s="16" t="str">
        <f t="shared" si="840"/>
        <v/>
      </c>
      <c r="N1261" s="16" t="str">
        <f t="shared" si="841"/>
        <v/>
      </c>
      <c r="O1261" s="16" t="str">
        <f>IF(N1261="","",COUNTIF($N$8:N1261,N1261))</f>
        <v/>
      </c>
      <c r="P1261" s="34" t="str">
        <f t="shared" si="842"/>
        <v/>
      </c>
      <c r="Q1261" s="34" t="str">
        <f t="shared" si="843"/>
        <v/>
      </c>
      <c r="R1261" s="34" t="str">
        <f t="shared" si="844"/>
        <v/>
      </c>
      <c r="S1261" s="34" t="str">
        <f t="shared" si="845"/>
        <v/>
      </c>
      <c r="T1261" s="34" t="str">
        <f t="shared" si="846"/>
        <v/>
      </c>
      <c r="U1261" s="34" t="str">
        <f>IF(AND(L1261=1,bp_kode=T1261,T1261&lt;&gt;""),COUNTIF($T$8:T1261,T1261),"")</f>
        <v/>
      </c>
      <c r="V1261" s="34" t="str">
        <f t="shared" si="847"/>
        <v/>
      </c>
      <c r="W1261" s="34" t="str">
        <f t="shared" si="848"/>
        <v/>
      </c>
      <c r="X1261" s="34" t="str">
        <f>IF(B1261="","",COUNTIF($C$8:C1261,C1261)&amp;C1261)</f>
        <v/>
      </c>
    </row>
    <row r="1262" spans="2:24" ht="23.1" customHeight="1">
      <c r="B1262" s="31"/>
      <c r="C1262" s="9"/>
      <c r="D1262" s="9"/>
      <c r="E1262" s="7"/>
      <c r="F1262" s="7"/>
      <c r="G1262" s="7"/>
      <c r="H1262" s="7"/>
      <c r="I1262" s="7"/>
      <c r="J1262" s="39"/>
      <c r="L1262" s="16" t="str">
        <f t="shared" si="839"/>
        <v/>
      </c>
      <c r="M1262" s="16" t="str">
        <f t="shared" si="840"/>
        <v/>
      </c>
      <c r="N1262" s="16" t="str">
        <f t="shared" si="841"/>
        <v/>
      </c>
      <c r="O1262" s="16" t="str">
        <f>IF(N1262="","",COUNTIF($N$8:N1262,N1262))</f>
        <v/>
      </c>
      <c r="P1262" s="34" t="str">
        <f t="shared" si="842"/>
        <v/>
      </c>
      <c r="Q1262" s="34" t="str">
        <f t="shared" si="843"/>
        <v/>
      </c>
      <c r="R1262" s="34" t="str">
        <f t="shared" si="844"/>
        <v/>
      </c>
      <c r="S1262" s="34" t="str">
        <f t="shared" si="845"/>
        <v/>
      </c>
      <c r="T1262" s="34" t="str">
        <f t="shared" si="846"/>
        <v/>
      </c>
      <c r="U1262" s="34" t="str">
        <f>IF(AND(L1262=1,bp_kode=T1262,T1262&lt;&gt;""),COUNTIF($T$8:T1262,T1262),"")</f>
        <v/>
      </c>
      <c r="V1262" s="34" t="str">
        <f t="shared" si="847"/>
        <v/>
      </c>
      <c r="W1262" s="34" t="str">
        <f t="shared" si="848"/>
        <v/>
      </c>
      <c r="X1262" s="34" t="str">
        <f>IF(B1262="","",COUNTIF($C$8:C1262,C1262)&amp;C1262)</f>
        <v/>
      </c>
    </row>
    <row r="1263" spans="2:24" ht="23.1" customHeight="1">
      <c r="B1263" s="31"/>
      <c r="C1263" s="9"/>
      <c r="D1263" s="9"/>
      <c r="E1263" s="7"/>
      <c r="F1263" s="7"/>
      <c r="G1263" s="7"/>
      <c r="H1263" s="7"/>
      <c r="I1263" s="7"/>
      <c r="J1263" s="39"/>
      <c r="L1263" s="16" t="str">
        <f t="shared" si="839"/>
        <v/>
      </c>
      <c r="M1263" s="16" t="str">
        <f t="shared" si="840"/>
        <v/>
      </c>
      <c r="N1263" s="16" t="str">
        <f t="shared" si="841"/>
        <v/>
      </c>
      <c r="O1263" s="16" t="str">
        <f>IF(N1263="","",COUNTIF($N$8:N1263,N1263))</f>
        <v/>
      </c>
      <c r="P1263" s="34" t="str">
        <f t="shared" si="842"/>
        <v/>
      </c>
      <c r="Q1263" s="34" t="str">
        <f t="shared" si="843"/>
        <v/>
      </c>
      <c r="R1263" s="34" t="str">
        <f t="shared" si="844"/>
        <v/>
      </c>
      <c r="S1263" s="34" t="str">
        <f t="shared" si="845"/>
        <v/>
      </c>
      <c r="T1263" s="34" t="str">
        <f t="shared" si="846"/>
        <v/>
      </c>
      <c r="U1263" s="34" t="str">
        <f>IF(AND(L1263=1,bp_kode=T1263,T1263&lt;&gt;""),COUNTIF($T$8:T1263,T1263),"")</f>
        <v/>
      </c>
      <c r="V1263" s="34" t="str">
        <f t="shared" si="847"/>
        <v/>
      </c>
      <c r="W1263" s="34" t="str">
        <f t="shared" si="848"/>
        <v/>
      </c>
      <c r="X1263" s="34" t="str">
        <f>IF(B1263="","",COUNTIF($C$8:C1263,C1263)&amp;C1263)</f>
        <v/>
      </c>
    </row>
    <row r="1264" spans="2:24" ht="23.1" customHeight="1">
      <c r="B1264" s="31"/>
      <c r="C1264" s="9"/>
      <c r="D1264" s="9"/>
      <c r="E1264" s="7"/>
      <c r="F1264" s="7"/>
      <c r="G1264" s="7"/>
      <c r="H1264" s="7"/>
      <c r="I1264" s="7"/>
      <c r="J1264" s="39"/>
      <c r="L1264" s="16" t="str">
        <f t="shared" si="839"/>
        <v/>
      </c>
      <c r="M1264" s="16" t="str">
        <f t="shared" si="840"/>
        <v/>
      </c>
      <c r="N1264" s="16" t="str">
        <f t="shared" si="841"/>
        <v/>
      </c>
      <c r="O1264" s="16" t="str">
        <f>IF(N1264="","",COUNTIF($N$8:N1264,N1264))</f>
        <v/>
      </c>
      <c r="P1264" s="34" t="str">
        <f t="shared" si="842"/>
        <v/>
      </c>
      <c r="Q1264" s="34" t="str">
        <f t="shared" si="843"/>
        <v/>
      </c>
      <c r="R1264" s="34" t="str">
        <f t="shared" si="844"/>
        <v/>
      </c>
      <c r="S1264" s="34" t="str">
        <f t="shared" si="845"/>
        <v/>
      </c>
      <c r="T1264" s="34" t="str">
        <f t="shared" si="846"/>
        <v/>
      </c>
      <c r="U1264" s="34" t="str">
        <f>IF(AND(L1264=1,bp_kode=T1264,T1264&lt;&gt;""),COUNTIF($T$8:T1264,T1264),"")</f>
        <v/>
      </c>
      <c r="V1264" s="34" t="str">
        <f t="shared" si="847"/>
        <v/>
      </c>
      <c r="W1264" s="34" t="str">
        <f t="shared" si="848"/>
        <v/>
      </c>
      <c r="X1264" s="34" t="str">
        <f>IF(B1264="","",COUNTIF($C$8:C1264,C1264)&amp;C1264)</f>
        <v/>
      </c>
    </row>
    <row r="1265" spans="2:24" ht="23.1" customHeight="1">
      <c r="B1265" s="31"/>
      <c r="C1265" s="9"/>
      <c r="D1265" s="9"/>
      <c r="E1265" s="7"/>
      <c r="F1265" s="7"/>
      <c r="G1265" s="7"/>
      <c r="H1265" s="7"/>
      <c r="I1265" s="7"/>
      <c r="J1265" s="39"/>
      <c r="L1265" s="16" t="str">
        <f t="shared" si="839"/>
        <v/>
      </c>
      <c r="M1265" s="16" t="str">
        <f t="shared" si="840"/>
        <v/>
      </c>
      <c r="N1265" s="16" t="str">
        <f t="shared" si="841"/>
        <v/>
      </c>
      <c r="O1265" s="16" t="str">
        <f>IF(N1265="","",COUNTIF($N$8:N1265,N1265))</f>
        <v/>
      </c>
      <c r="P1265" s="34" t="str">
        <f t="shared" si="842"/>
        <v/>
      </c>
      <c r="Q1265" s="34" t="str">
        <f t="shared" si="843"/>
        <v/>
      </c>
      <c r="R1265" s="34" t="str">
        <f t="shared" si="844"/>
        <v/>
      </c>
      <c r="S1265" s="34" t="str">
        <f t="shared" si="845"/>
        <v/>
      </c>
      <c r="T1265" s="34" t="str">
        <f t="shared" si="846"/>
        <v/>
      </c>
      <c r="U1265" s="34" t="str">
        <f>IF(AND(L1265=1,bp_kode=T1265,T1265&lt;&gt;""),COUNTIF($T$8:T1265,T1265),"")</f>
        <v/>
      </c>
      <c r="V1265" s="34" t="str">
        <f t="shared" si="847"/>
        <v/>
      </c>
      <c r="W1265" s="34" t="str">
        <f t="shared" si="848"/>
        <v/>
      </c>
      <c r="X1265" s="34" t="str">
        <f>IF(B1265="","",COUNTIF($C$8:C1265,C1265)&amp;C1265)</f>
        <v/>
      </c>
    </row>
    <row r="1266" spans="2:24" ht="23.1" customHeight="1">
      <c r="B1266" s="31"/>
      <c r="C1266" s="9"/>
      <c r="D1266" s="9"/>
      <c r="E1266" s="7"/>
      <c r="F1266" s="7"/>
      <c r="G1266" s="7"/>
      <c r="H1266" s="7"/>
      <c r="I1266" s="7"/>
      <c r="J1266" s="39"/>
      <c r="L1266" s="16" t="str">
        <f t="shared" si="839"/>
        <v/>
      </c>
      <c r="M1266" s="16" t="str">
        <f t="shared" si="840"/>
        <v/>
      </c>
      <c r="N1266" s="16" t="str">
        <f t="shared" si="841"/>
        <v/>
      </c>
      <c r="O1266" s="16" t="str">
        <f>IF(N1266="","",COUNTIF($N$8:N1266,N1266))</f>
        <v/>
      </c>
      <c r="P1266" s="34" t="str">
        <f t="shared" si="842"/>
        <v/>
      </c>
      <c r="Q1266" s="34" t="str">
        <f t="shared" si="843"/>
        <v/>
      </c>
      <c r="R1266" s="34" t="str">
        <f t="shared" si="844"/>
        <v/>
      </c>
      <c r="S1266" s="34" t="str">
        <f t="shared" si="845"/>
        <v/>
      </c>
      <c r="T1266" s="34" t="str">
        <f t="shared" si="846"/>
        <v/>
      </c>
      <c r="U1266" s="34" t="str">
        <f>IF(AND(L1266=1,bp_kode=T1266,T1266&lt;&gt;""),COUNTIF($T$8:T1266,T1266),"")</f>
        <v/>
      </c>
      <c r="V1266" s="34" t="str">
        <f t="shared" si="847"/>
        <v/>
      </c>
      <c r="W1266" s="34" t="str">
        <f t="shared" si="848"/>
        <v/>
      </c>
      <c r="X1266" s="34" t="str">
        <f>IF(B1266="","",COUNTIF($C$8:C1266,C1266)&amp;C1266)</f>
        <v/>
      </c>
    </row>
    <row r="1267" spans="2:24" ht="23.1" customHeight="1">
      <c r="B1267" s="31"/>
      <c r="C1267" s="9"/>
      <c r="D1267" s="9"/>
      <c r="E1267" s="7"/>
      <c r="F1267" s="7"/>
      <c r="G1267" s="7"/>
      <c r="H1267" s="7"/>
      <c r="I1267" s="7"/>
      <c r="J1267" s="39"/>
      <c r="L1267" s="16" t="str">
        <f t="shared" si="839"/>
        <v/>
      </c>
      <c r="M1267" s="16" t="str">
        <f t="shared" si="840"/>
        <v/>
      </c>
      <c r="N1267" s="16" t="str">
        <f t="shared" si="841"/>
        <v/>
      </c>
      <c r="O1267" s="16" t="str">
        <f>IF(N1267="","",COUNTIF($N$8:N1267,N1267))</f>
        <v/>
      </c>
      <c r="P1267" s="34" t="str">
        <f t="shared" si="842"/>
        <v/>
      </c>
      <c r="Q1267" s="34" t="str">
        <f t="shared" si="843"/>
        <v/>
      </c>
      <c r="R1267" s="34" t="str">
        <f t="shared" si="844"/>
        <v/>
      </c>
      <c r="S1267" s="34" t="str">
        <f t="shared" si="845"/>
        <v/>
      </c>
      <c r="T1267" s="34" t="str">
        <f t="shared" si="846"/>
        <v/>
      </c>
      <c r="U1267" s="34" t="str">
        <f>IF(AND(L1267=1,bp_kode=T1267,T1267&lt;&gt;""),COUNTIF($T$8:T1267,T1267),"")</f>
        <v/>
      </c>
      <c r="V1267" s="34" t="str">
        <f t="shared" si="847"/>
        <v/>
      </c>
      <c r="W1267" s="34" t="str">
        <f t="shared" si="848"/>
        <v/>
      </c>
      <c r="X1267" s="34" t="str">
        <f>IF(B1267="","",COUNTIF($C$8:C1267,C1267)&amp;C1267)</f>
        <v/>
      </c>
    </row>
    <row r="1268" spans="2:24" ht="23.1" customHeight="1">
      <c r="B1268" s="31"/>
      <c r="C1268" s="9"/>
      <c r="D1268" s="9"/>
      <c r="E1268" s="7"/>
      <c r="F1268" s="7"/>
      <c r="G1268" s="7"/>
      <c r="H1268" s="7"/>
      <c r="I1268" s="7"/>
      <c r="J1268" s="39"/>
      <c r="L1268" s="16" t="str">
        <f t="shared" si="839"/>
        <v/>
      </c>
      <c r="M1268" s="16" t="str">
        <f t="shared" si="840"/>
        <v/>
      </c>
      <c r="N1268" s="16" t="str">
        <f t="shared" si="841"/>
        <v/>
      </c>
      <c r="O1268" s="16" t="str">
        <f>IF(N1268="","",COUNTIF($N$8:N1268,N1268))</f>
        <v/>
      </c>
      <c r="P1268" s="34" t="str">
        <f t="shared" si="842"/>
        <v/>
      </c>
      <c r="Q1268" s="34" t="str">
        <f t="shared" si="843"/>
        <v/>
      </c>
      <c r="R1268" s="34" t="str">
        <f t="shared" si="844"/>
        <v/>
      </c>
      <c r="S1268" s="34" t="str">
        <f t="shared" si="845"/>
        <v/>
      </c>
      <c r="T1268" s="34" t="str">
        <f t="shared" si="846"/>
        <v/>
      </c>
      <c r="U1268" s="34" t="str">
        <f>IF(AND(L1268=1,bp_kode=T1268,T1268&lt;&gt;""),COUNTIF($T$8:T1268,T1268),"")</f>
        <v/>
      </c>
      <c r="V1268" s="34" t="str">
        <f t="shared" si="847"/>
        <v/>
      </c>
      <c r="W1268" s="34" t="str">
        <f t="shared" si="848"/>
        <v/>
      </c>
      <c r="X1268" s="34" t="str">
        <f>IF(B1268="","",COUNTIF($C$8:C1268,C1268)&amp;C1268)</f>
        <v/>
      </c>
    </row>
    <row r="1269" spans="2:24" ht="23.1" customHeight="1">
      <c r="B1269" s="31"/>
      <c r="C1269" s="9"/>
      <c r="D1269" s="9"/>
      <c r="E1269" s="7"/>
      <c r="F1269" s="7"/>
      <c r="G1269" s="7"/>
      <c r="H1269" s="7"/>
      <c r="I1269" s="7"/>
      <c r="J1269" s="39"/>
      <c r="L1269" s="16" t="str">
        <f t="shared" si="839"/>
        <v/>
      </c>
      <c r="M1269" s="16" t="str">
        <f t="shared" si="840"/>
        <v/>
      </c>
      <c r="N1269" s="16" t="str">
        <f t="shared" si="841"/>
        <v/>
      </c>
      <c r="O1269" s="16" t="str">
        <f>IF(N1269="","",COUNTIF($N$8:N1269,N1269))</f>
        <v/>
      </c>
      <c r="P1269" s="34" t="str">
        <f t="shared" si="842"/>
        <v/>
      </c>
      <c r="Q1269" s="34" t="str">
        <f t="shared" si="843"/>
        <v/>
      </c>
      <c r="R1269" s="34" t="str">
        <f t="shared" si="844"/>
        <v/>
      </c>
      <c r="S1269" s="34" t="str">
        <f t="shared" si="845"/>
        <v/>
      </c>
      <c r="T1269" s="34" t="str">
        <f t="shared" si="846"/>
        <v/>
      </c>
      <c r="U1269" s="34" t="str">
        <f>IF(AND(L1269=1,bp_kode=T1269,T1269&lt;&gt;""),COUNTIF($T$8:T1269,T1269),"")</f>
        <v/>
      </c>
      <c r="V1269" s="34" t="str">
        <f t="shared" si="847"/>
        <v/>
      </c>
      <c r="W1269" s="34" t="str">
        <f t="shared" si="848"/>
        <v/>
      </c>
      <c r="X1269" s="34" t="str">
        <f>IF(B1269="","",COUNTIF($C$8:C1269,C1269)&amp;C1269)</f>
        <v/>
      </c>
    </row>
    <row r="1270" spans="2:24" ht="23.1" customHeight="1">
      <c r="B1270" s="31"/>
      <c r="C1270" s="9"/>
      <c r="D1270" s="9"/>
      <c r="E1270" s="7"/>
      <c r="F1270" s="7"/>
      <c r="G1270" s="7"/>
      <c r="H1270" s="7"/>
      <c r="I1270" s="7"/>
      <c r="J1270" s="39"/>
      <c r="L1270" s="16" t="str">
        <f t="shared" si="839"/>
        <v/>
      </c>
      <c r="M1270" s="16" t="str">
        <f t="shared" si="840"/>
        <v/>
      </c>
      <c r="N1270" s="16" t="str">
        <f t="shared" si="841"/>
        <v/>
      </c>
      <c r="O1270" s="16" t="str">
        <f>IF(N1270="","",COUNTIF($N$8:N1270,N1270))</f>
        <v/>
      </c>
      <c r="P1270" s="34" t="str">
        <f t="shared" si="842"/>
        <v/>
      </c>
      <c r="Q1270" s="34" t="str">
        <f t="shared" si="843"/>
        <v/>
      </c>
      <c r="R1270" s="34" t="str">
        <f t="shared" si="844"/>
        <v/>
      </c>
      <c r="S1270" s="34" t="str">
        <f t="shared" si="845"/>
        <v/>
      </c>
      <c r="T1270" s="34" t="str">
        <f t="shared" si="846"/>
        <v/>
      </c>
      <c r="U1270" s="34" t="str">
        <f>IF(AND(L1270=1,bp_kode=T1270,T1270&lt;&gt;""),COUNTIF($T$8:T1270,T1270),"")</f>
        <v/>
      </c>
      <c r="V1270" s="34" t="str">
        <f t="shared" si="847"/>
        <v/>
      </c>
      <c r="W1270" s="34" t="str">
        <f t="shared" si="848"/>
        <v/>
      </c>
      <c r="X1270" s="34" t="str">
        <f>IF(B1270="","",COUNTIF($C$8:C1270,C1270)&amp;C1270)</f>
        <v/>
      </c>
    </row>
    <row r="1271" spans="2:24" ht="23.1" customHeight="1">
      <c r="B1271" s="31"/>
      <c r="C1271" s="9"/>
      <c r="D1271" s="9"/>
      <c r="E1271" s="7"/>
      <c r="F1271" s="7"/>
      <c r="G1271" s="7"/>
      <c r="H1271" s="7"/>
      <c r="I1271" s="7"/>
      <c r="J1271" s="39"/>
      <c r="L1271" s="16" t="str">
        <f t="shared" si="839"/>
        <v/>
      </c>
      <c r="M1271" s="16" t="str">
        <f t="shared" si="840"/>
        <v/>
      </c>
      <c r="N1271" s="16" t="str">
        <f t="shared" si="841"/>
        <v/>
      </c>
      <c r="O1271" s="16" t="str">
        <f>IF(N1271="","",COUNTIF($N$8:N1271,N1271))</f>
        <v/>
      </c>
      <c r="P1271" s="34" t="str">
        <f t="shared" si="842"/>
        <v/>
      </c>
      <c r="Q1271" s="34" t="str">
        <f t="shared" si="843"/>
        <v/>
      </c>
      <c r="R1271" s="34" t="str">
        <f t="shared" si="844"/>
        <v/>
      </c>
      <c r="S1271" s="34" t="str">
        <f t="shared" si="845"/>
        <v/>
      </c>
      <c r="T1271" s="34" t="str">
        <f t="shared" si="846"/>
        <v/>
      </c>
      <c r="U1271" s="34" t="str">
        <f>IF(AND(L1271=1,bp_kode=T1271,T1271&lt;&gt;""),COUNTIF($T$8:T1271,T1271),"")</f>
        <v/>
      </c>
      <c r="V1271" s="34" t="str">
        <f t="shared" si="847"/>
        <v/>
      </c>
      <c r="W1271" s="34" t="str">
        <f t="shared" si="848"/>
        <v/>
      </c>
      <c r="X1271" s="34" t="str">
        <f>IF(B1271="","",COUNTIF($C$8:C1271,C1271)&amp;C1271)</f>
        <v/>
      </c>
    </row>
    <row r="1272" spans="2:24" ht="23.1" customHeight="1">
      <c r="B1272" s="31"/>
      <c r="C1272" s="9"/>
      <c r="D1272" s="9"/>
      <c r="E1272" s="7"/>
      <c r="F1272" s="7"/>
      <c r="G1272" s="7"/>
      <c r="H1272" s="7"/>
      <c r="I1272" s="7"/>
      <c r="J1272" s="39"/>
      <c r="L1272" s="16" t="str">
        <f t="shared" si="839"/>
        <v/>
      </c>
      <c r="M1272" s="16" t="str">
        <f t="shared" si="840"/>
        <v/>
      </c>
      <c r="N1272" s="16" t="str">
        <f t="shared" si="841"/>
        <v/>
      </c>
      <c r="O1272" s="16" t="str">
        <f>IF(N1272="","",COUNTIF($N$8:N1272,N1272))</f>
        <v/>
      </c>
      <c r="P1272" s="34" t="str">
        <f t="shared" si="842"/>
        <v/>
      </c>
      <c r="Q1272" s="34" t="str">
        <f t="shared" si="843"/>
        <v/>
      </c>
      <c r="R1272" s="34" t="str">
        <f t="shared" si="844"/>
        <v/>
      </c>
      <c r="S1272" s="34" t="str">
        <f t="shared" si="845"/>
        <v/>
      </c>
      <c r="T1272" s="34" t="str">
        <f t="shared" si="846"/>
        <v/>
      </c>
      <c r="U1272" s="34" t="str">
        <f>IF(AND(L1272=1,bp_kode=T1272,T1272&lt;&gt;""),COUNTIF($T$8:T1272,T1272),"")</f>
        <v/>
      </c>
      <c r="V1272" s="34" t="str">
        <f t="shared" si="847"/>
        <v/>
      </c>
      <c r="W1272" s="34" t="str">
        <f t="shared" si="848"/>
        <v/>
      </c>
      <c r="X1272" s="34" t="str">
        <f>IF(B1272="","",COUNTIF($C$8:C1272,C1272)&amp;C1272)</f>
        <v/>
      </c>
    </row>
    <row r="1273" spans="2:24" ht="23.1" customHeight="1">
      <c r="B1273" s="31"/>
      <c r="C1273" s="9"/>
      <c r="D1273" s="9"/>
      <c r="E1273" s="7"/>
      <c r="F1273" s="7"/>
      <c r="G1273" s="7"/>
      <c r="H1273" s="7"/>
      <c r="I1273" s="7"/>
      <c r="J1273" s="39"/>
      <c r="L1273" s="16" t="str">
        <f t="shared" si="839"/>
        <v/>
      </c>
      <c r="M1273" s="16" t="str">
        <f t="shared" si="840"/>
        <v/>
      </c>
      <c r="N1273" s="16" t="str">
        <f t="shared" si="841"/>
        <v/>
      </c>
      <c r="O1273" s="16" t="str">
        <f>IF(N1273="","",COUNTIF($N$8:N1273,N1273))</f>
        <v/>
      </c>
      <c r="P1273" s="34" t="str">
        <f t="shared" si="842"/>
        <v/>
      </c>
      <c r="Q1273" s="34" t="str">
        <f t="shared" si="843"/>
        <v/>
      </c>
      <c r="R1273" s="34" t="str">
        <f t="shared" si="844"/>
        <v/>
      </c>
      <c r="S1273" s="34" t="str">
        <f t="shared" si="845"/>
        <v/>
      </c>
      <c r="T1273" s="34" t="str">
        <f t="shared" si="846"/>
        <v/>
      </c>
      <c r="U1273" s="34" t="str">
        <f>IF(AND(L1273=1,bp_kode=T1273,T1273&lt;&gt;""),COUNTIF($T$8:T1273,T1273),"")</f>
        <v/>
      </c>
      <c r="V1273" s="34" t="str">
        <f t="shared" si="847"/>
        <v/>
      </c>
      <c r="W1273" s="34" t="str">
        <f t="shared" si="848"/>
        <v/>
      </c>
      <c r="X1273" s="34" t="str">
        <f>IF(B1273="","",COUNTIF($C$8:C1273,C1273)&amp;C1273)</f>
        <v/>
      </c>
    </row>
    <row r="1274" spans="2:24" ht="23.1" customHeight="1">
      <c r="B1274" s="31"/>
      <c r="C1274" s="9"/>
      <c r="D1274" s="9"/>
      <c r="E1274" s="7"/>
      <c r="F1274" s="7"/>
      <c r="G1274" s="7"/>
      <c r="H1274" s="7"/>
      <c r="I1274" s="7"/>
      <c r="J1274" s="39"/>
      <c r="L1274" s="16" t="str">
        <f t="shared" si="839"/>
        <v/>
      </c>
      <c r="M1274" s="16" t="str">
        <f t="shared" si="840"/>
        <v/>
      </c>
      <c r="N1274" s="16" t="str">
        <f t="shared" si="841"/>
        <v/>
      </c>
      <c r="O1274" s="16" t="str">
        <f>IF(N1274="","",COUNTIF($N$8:N1274,N1274))</f>
        <v/>
      </c>
      <c r="P1274" s="34" t="str">
        <f t="shared" si="842"/>
        <v/>
      </c>
      <c r="Q1274" s="34" t="str">
        <f t="shared" si="843"/>
        <v/>
      </c>
      <c r="R1274" s="34" t="str">
        <f t="shared" si="844"/>
        <v/>
      </c>
      <c r="S1274" s="34" t="str">
        <f t="shared" si="845"/>
        <v/>
      </c>
      <c r="T1274" s="34" t="str">
        <f t="shared" si="846"/>
        <v/>
      </c>
      <c r="U1274" s="34" t="str">
        <f>IF(AND(L1274=1,bp_kode=T1274,T1274&lt;&gt;""),COUNTIF($T$8:T1274,T1274),"")</f>
        <v/>
      </c>
      <c r="V1274" s="34" t="str">
        <f t="shared" si="847"/>
        <v/>
      </c>
      <c r="W1274" s="34" t="str">
        <f t="shared" si="848"/>
        <v/>
      </c>
      <c r="X1274" s="34" t="str">
        <f>IF(B1274="","",COUNTIF($C$8:C1274,C1274)&amp;C1274)</f>
        <v/>
      </c>
    </row>
    <row r="1275" spans="2:24" ht="23.1" customHeight="1">
      <c r="B1275" s="31"/>
      <c r="C1275" s="9"/>
      <c r="D1275" s="9"/>
      <c r="E1275" s="7"/>
      <c r="F1275" s="7"/>
      <c r="G1275" s="7"/>
      <c r="H1275" s="7"/>
      <c r="I1275" s="7"/>
      <c r="J1275" s="39"/>
      <c r="L1275" s="16" t="str">
        <f t="shared" si="839"/>
        <v/>
      </c>
      <c r="M1275" s="16" t="str">
        <f t="shared" si="840"/>
        <v/>
      </c>
      <c r="N1275" s="16" t="str">
        <f t="shared" si="841"/>
        <v/>
      </c>
      <c r="O1275" s="16" t="str">
        <f>IF(N1275="","",COUNTIF($N$8:N1275,N1275))</f>
        <v/>
      </c>
      <c r="P1275" s="34" t="str">
        <f t="shared" si="842"/>
        <v/>
      </c>
      <c r="Q1275" s="34" t="str">
        <f t="shared" si="843"/>
        <v/>
      </c>
      <c r="R1275" s="34" t="str">
        <f t="shared" si="844"/>
        <v/>
      </c>
      <c r="S1275" s="34" t="str">
        <f t="shared" si="845"/>
        <v/>
      </c>
      <c r="T1275" s="34" t="str">
        <f t="shared" si="846"/>
        <v/>
      </c>
      <c r="U1275" s="34" t="str">
        <f>IF(AND(L1275=1,bp_kode=T1275,T1275&lt;&gt;""),COUNTIF($T$8:T1275,T1275),"")</f>
        <v/>
      </c>
      <c r="V1275" s="34" t="str">
        <f t="shared" si="847"/>
        <v/>
      </c>
      <c r="W1275" s="34" t="str">
        <f t="shared" si="848"/>
        <v/>
      </c>
      <c r="X1275" s="34" t="str">
        <f>IF(B1275="","",COUNTIF($C$8:C1275,C1275)&amp;C1275)</f>
        <v/>
      </c>
    </row>
    <row r="1276" spans="2:24" ht="23.1" customHeight="1">
      <c r="B1276" s="31"/>
      <c r="C1276" s="9"/>
      <c r="D1276" s="9"/>
      <c r="E1276" s="7"/>
      <c r="F1276" s="7"/>
      <c r="G1276" s="7"/>
      <c r="H1276" s="7"/>
      <c r="I1276" s="7"/>
      <c r="J1276" s="39"/>
      <c r="L1276" s="16" t="str">
        <f t="shared" ref="L1276:L1339" si="849">IF(AND(B1276&gt;=awal,B1276&lt;=akhir,B1276&lt;&gt;""),1,IF(AND(B1276&lt;&gt;"",B1276&lt;awal),2,""))</f>
        <v/>
      </c>
      <c r="M1276" s="16" t="str">
        <f t="shared" ref="M1276:M1339" si="850">IF(B1276="","",TEXT(B1276,"mmmm"))</f>
        <v/>
      </c>
      <c r="N1276" s="16" t="str">
        <f t="shared" ref="N1276:N1339" si="851">IF(AND(L1276=1,H1276=bb_akun),"Awe",IF(AND(L1276=1,I1276=bb_akun),"Awe",""))</f>
        <v/>
      </c>
      <c r="O1276" s="16" t="str">
        <f>IF(N1276="","",COUNTIF($N$8:N1276,N1276))</f>
        <v/>
      </c>
      <c r="P1276" s="34" t="str">
        <f t="shared" ref="P1276:P1339" si="852">IFERROR(IF(OR(INDEX(akun_type,MATCH(H1276,akun_kb,0))="Kas",INDEX(akun_type,MATCH(H1276,akun_kb,0))="Bank"),"In"&amp;INDEX(akun_type,MATCH(I1276,akun_kb,0)),IF(OR(INDEX(akun_type,MATCH(I1276,akun_kb,0))="Kas",INDEX(akun_type,MATCH(I1276,akun_kb,0))="Bank"),"out"&amp;INDEX(akun_type,MATCH(H1276,akun_kb,0)),"")),"")</f>
        <v/>
      </c>
      <c r="Q1276" s="34" t="str">
        <f t="shared" ref="Q1276:Q1339" si="853">IFERROR(IF(OR(INDEX(akun_type,MATCH(H1276,akun_kb,0))="Kas",INDEX(akun_type,MATCH(H1276,akun_kb,0))="Bank"),"in"&amp;TEXT(B1276,"mmmm")&amp;INDEX(akun_type,MATCH(I1276,akun_kb,0)),IF(OR(INDEX(akun_type,MATCH(I1276,akun_kb,0))="Kas",INDEX(akun_type,MATCH(I1276,akun_kb,0))="Bank"),"out"&amp;TEXT(B1276,"mmmm")&amp;INDEX(akun_type,MATCH(H1276,akun_kb,0)),"")),"")</f>
        <v/>
      </c>
      <c r="R1276" s="34" t="str">
        <f t="shared" ref="R1276:R1339" si="854">IFERROR(INDEX(akun_type,MATCH(H1276,akun_kb,0)),"")</f>
        <v/>
      </c>
      <c r="S1276" s="34" t="str">
        <f t="shared" ref="S1276:S1339" si="855">IFERROR(INDEX(akun_type,MATCH(I1276,akun_kb,0)),"")</f>
        <v/>
      </c>
      <c r="T1276" s="34" t="str">
        <f t="shared" ref="T1276:T1339" si="856">IF(AND(L1276=1,OR(R1276="Akun Piutang",R1276="akun hutang",S1276="akun piutang",S1276="akun hutang")),E1276,"")</f>
        <v/>
      </c>
      <c r="U1276" s="34" t="str">
        <f>IF(AND(L1276=1,bp_kode=T1276,T1276&lt;&gt;""),COUNTIF($T$8:T1276,T1276),"")</f>
        <v/>
      </c>
      <c r="V1276" s="34" t="str">
        <f t="shared" ref="V1276:V1339" si="857">IF(OR(R1276="Pendapatan",R1276="Pendapatan Lainnya",R1276="Beban",R1276="Harga Pokok Penjualan",R1276="Beban Lainnya"),"db"&amp;F1276,IF(OR(S1276="Pendapatan",S1276="Pendapatan Lainnya",S1276="Beban",S1276="Harga Pokok Penjualan",S1276="Beban Lainnya"),"kr"&amp;F1276,""))</f>
        <v/>
      </c>
      <c r="W1276" s="34" t="str">
        <f t="shared" ref="W1276:W1339" si="858">IF(OR(R1276="Pendapatan",R1276="Pendapatan Lainnya",R1276="Beban",R1276="Harga Pokok Penjualan",R1276="Beban Lainnya"),"db"&amp;G1276,IF(OR(S1276="Pendapatan",S1276="Pendapatan Lainnya",S1276="Beban",S1276="Harga Pokok Penjualan",S1276="Beban Lainnya"),"kr"&amp;G1276,""))</f>
        <v/>
      </c>
      <c r="X1276" s="34" t="str">
        <f>IF(B1276="","",COUNTIF($C$8:C1276,C1276)&amp;C1276)</f>
        <v/>
      </c>
    </row>
    <row r="1277" spans="2:24" ht="23.1" customHeight="1">
      <c r="B1277" s="31"/>
      <c r="C1277" s="9"/>
      <c r="D1277" s="9"/>
      <c r="E1277" s="7"/>
      <c r="F1277" s="7"/>
      <c r="G1277" s="7"/>
      <c r="H1277" s="7"/>
      <c r="I1277" s="7"/>
      <c r="J1277" s="39"/>
      <c r="L1277" s="16" t="str">
        <f t="shared" si="849"/>
        <v/>
      </c>
      <c r="M1277" s="16" t="str">
        <f t="shared" si="850"/>
        <v/>
      </c>
      <c r="N1277" s="16" t="str">
        <f t="shared" si="851"/>
        <v/>
      </c>
      <c r="O1277" s="16" t="str">
        <f>IF(N1277="","",COUNTIF($N$8:N1277,N1277))</f>
        <v/>
      </c>
      <c r="P1277" s="34" t="str">
        <f t="shared" si="852"/>
        <v/>
      </c>
      <c r="Q1277" s="34" t="str">
        <f t="shared" si="853"/>
        <v/>
      </c>
      <c r="R1277" s="34" t="str">
        <f t="shared" si="854"/>
        <v/>
      </c>
      <c r="S1277" s="34" t="str">
        <f t="shared" si="855"/>
        <v/>
      </c>
      <c r="T1277" s="34" t="str">
        <f t="shared" si="856"/>
        <v/>
      </c>
      <c r="U1277" s="34" t="str">
        <f>IF(AND(L1277=1,bp_kode=T1277,T1277&lt;&gt;""),COUNTIF($T$8:T1277,T1277),"")</f>
        <v/>
      </c>
      <c r="V1277" s="34" t="str">
        <f t="shared" si="857"/>
        <v/>
      </c>
      <c r="W1277" s="34" t="str">
        <f t="shared" si="858"/>
        <v/>
      </c>
      <c r="X1277" s="34" t="str">
        <f>IF(B1277="","",COUNTIF($C$8:C1277,C1277)&amp;C1277)</f>
        <v/>
      </c>
    </row>
    <row r="1278" spans="2:24" ht="23.1" customHeight="1">
      <c r="B1278" s="31"/>
      <c r="C1278" s="9"/>
      <c r="D1278" s="9"/>
      <c r="E1278" s="7"/>
      <c r="F1278" s="7"/>
      <c r="G1278" s="7"/>
      <c r="H1278" s="7"/>
      <c r="I1278" s="7"/>
      <c r="J1278" s="39"/>
      <c r="L1278" s="16" t="str">
        <f t="shared" si="849"/>
        <v/>
      </c>
      <c r="M1278" s="16" t="str">
        <f t="shared" si="850"/>
        <v/>
      </c>
      <c r="N1278" s="16" t="str">
        <f t="shared" si="851"/>
        <v/>
      </c>
      <c r="O1278" s="16" t="str">
        <f>IF(N1278="","",COUNTIF($N$8:N1278,N1278))</f>
        <v/>
      </c>
      <c r="P1278" s="34" t="str">
        <f t="shared" si="852"/>
        <v/>
      </c>
      <c r="Q1278" s="34" t="str">
        <f t="shared" si="853"/>
        <v/>
      </c>
      <c r="R1278" s="34" t="str">
        <f t="shared" si="854"/>
        <v/>
      </c>
      <c r="S1278" s="34" t="str">
        <f t="shared" si="855"/>
        <v/>
      </c>
      <c r="T1278" s="34" t="str">
        <f t="shared" si="856"/>
        <v/>
      </c>
      <c r="U1278" s="34" t="str">
        <f>IF(AND(L1278=1,bp_kode=T1278,T1278&lt;&gt;""),COUNTIF($T$8:T1278,T1278),"")</f>
        <v/>
      </c>
      <c r="V1278" s="34" t="str">
        <f t="shared" si="857"/>
        <v/>
      </c>
      <c r="W1278" s="34" t="str">
        <f t="shared" si="858"/>
        <v/>
      </c>
      <c r="X1278" s="34" t="str">
        <f>IF(B1278="","",COUNTIF($C$8:C1278,C1278)&amp;C1278)</f>
        <v/>
      </c>
    </row>
    <row r="1279" spans="2:24" ht="23.1" customHeight="1">
      <c r="B1279" s="31"/>
      <c r="C1279" s="9"/>
      <c r="D1279" s="9"/>
      <c r="E1279" s="7"/>
      <c r="F1279" s="7"/>
      <c r="G1279" s="7"/>
      <c r="H1279" s="7"/>
      <c r="I1279" s="7"/>
      <c r="J1279" s="39"/>
      <c r="L1279" s="16" t="str">
        <f t="shared" si="849"/>
        <v/>
      </c>
      <c r="M1279" s="16" t="str">
        <f t="shared" si="850"/>
        <v/>
      </c>
      <c r="N1279" s="16" t="str">
        <f t="shared" si="851"/>
        <v/>
      </c>
      <c r="O1279" s="16" t="str">
        <f>IF(N1279="","",COUNTIF($N$8:N1279,N1279))</f>
        <v/>
      </c>
      <c r="P1279" s="34" t="str">
        <f t="shared" si="852"/>
        <v/>
      </c>
      <c r="Q1279" s="34" t="str">
        <f t="shared" si="853"/>
        <v/>
      </c>
      <c r="R1279" s="34" t="str">
        <f t="shared" si="854"/>
        <v/>
      </c>
      <c r="S1279" s="34" t="str">
        <f t="shared" si="855"/>
        <v/>
      </c>
      <c r="T1279" s="34" t="str">
        <f t="shared" si="856"/>
        <v/>
      </c>
      <c r="U1279" s="34" t="str">
        <f>IF(AND(L1279=1,bp_kode=T1279,T1279&lt;&gt;""),COUNTIF($T$8:T1279,T1279),"")</f>
        <v/>
      </c>
      <c r="V1279" s="34" t="str">
        <f t="shared" si="857"/>
        <v/>
      </c>
      <c r="W1279" s="34" t="str">
        <f t="shared" si="858"/>
        <v/>
      </c>
      <c r="X1279" s="34" t="str">
        <f>IF(B1279="","",COUNTIF($C$8:C1279,C1279)&amp;C1279)</f>
        <v/>
      </c>
    </row>
    <row r="1280" spans="2:24" ht="23.1" customHeight="1">
      <c r="B1280" s="31"/>
      <c r="C1280" s="9"/>
      <c r="D1280" s="9"/>
      <c r="E1280" s="7"/>
      <c r="F1280" s="7"/>
      <c r="G1280" s="7"/>
      <c r="H1280" s="7"/>
      <c r="I1280" s="7"/>
      <c r="J1280" s="39"/>
      <c r="L1280" s="16" t="str">
        <f t="shared" si="849"/>
        <v/>
      </c>
      <c r="M1280" s="16" t="str">
        <f t="shared" si="850"/>
        <v/>
      </c>
      <c r="N1280" s="16" t="str">
        <f t="shared" si="851"/>
        <v/>
      </c>
      <c r="O1280" s="16" t="str">
        <f>IF(N1280="","",COUNTIF($N$8:N1280,N1280))</f>
        <v/>
      </c>
      <c r="P1280" s="34" t="str">
        <f t="shared" si="852"/>
        <v/>
      </c>
      <c r="Q1280" s="34" t="str">
        <f t="shared" si="853"/>
        <v/>
      </c>
      <c r="R1280" s="34" t="str">
        <f t="shared" si="854"/>
        <v/>
      </c>
      <c r="S1280" s="34" t="str">
        <f t="shared" si="855"/>
        <v/>
      </c>
      <c r="T1280" s="34" t="str">
        <f t="shared" si="856"/>
        <v/>
      </c>
      <c r="U1280" s="34" t="str">
        <f>IF(AND(L1280=1,bp_kode=T1280,T1280&lt;&gt;""),COUNTIF($T$8:T1280,T1280),"")</f>
        <v/>
      </c>
      <c r="V1280" s="34" t="str">
        <f t="shared" si="857"/>
        <v/>
      </c>
      <c r="W1280" s="34" t="str">
        <f t="shared" si="858"/>
        <v/>
      </c>
      <c r="X1280" s="34" t="str">
        <f>IF(B1280="","",COUNTIF($C$8:C1280,C1280)&amp;C1280)</f>
        <v/>
      </c>
    </row>
    <row r="1281" spans="2:24" ht="23.1" customHeight="1">
      <c r="B1281" s="31"/>
      <c r="C1281" s="9"/>
      <c r="D1281" s="9"/>
      <c r="E1281" s="7"/>
      <c r="F1281" s="7"/>
      <c r="G1281" s="7"/>
      <c r="H1281" s="7"/>
      <c r="I1281" s="7"/>
      <c r="J1281" s="39"/>
      <c r="L1281" s="16" t="str">
        <f t="shared" si="849"/>
        <v/>
      </c>
      <c r="M1281" s="16" t="str">
        <f t="shared" si="850"/>
        <v/>
      </c>
      <c r="N1281" s="16" t="str">
        <f t="shared" si="851"/>
        <v/>
      </c>
      <c r="O1281" s="16" t="str">
        <f>IF(N1281="","",COUNTIF($N$8:N1281,N1281))</f>
        <v/>
      </c>
      <c r="P1281" s="34" t="str">
        <f t="shared" si="852"/>
        <v/>
      </c>
      <c r="Q1281" s="34" t="str">
        <f t="shared" si="853"/>
        <v/>
      </c>
      <c r="R1281" s="34" t="str">
        <f t="shared" si="854"/>
        <v/>
      </c>
      <c r="S1281" s="34" t="str">
        <f t="shared" si="855"/>
        <v/>
      </c>
      <c r="T1281" s="34" t="str">
        <f t="shared" si="856"/>
        <v/>
      </c>
      <c r="U1281" s="34" t="str">
        <f>IF(AND(L1281=1,bp_kode=T1281,T1281&lt;&gt;""),COUNTIF($T$8:T1281,T1281),"")</f>
        <v/>
      </c>
      <c r="V1281" s="34" t="str">
        <f t="shared" si="857"/>
        <v/>
      </c>
      <c r="W1281" s="34" t="str">
        <f t="shared" si="858"/>
        <v/>
      </c>
      <c r="X1281" s="34" t="str">
        <f>IF(B1281="","",COUNTIF($C$8:C1281,C1281)&amp;C1281)</f>
        <v/>
      </c>
    </row>
    <row r="1282" spans="2:24" ht="23.1" customHeight="1">
      <c r="B1282" s="31"/>
      <c r="C1282" s="9"/>
      <c r="D1282" s="9"/>
      <c r="E1282" s="7"/>
      <c r="F1282" s="7"/>
      <c r="G1282" s="7"/>
      <c r="H1282" s="7"/>
      <c r="I1282" s="7"/>
      <c r="J1282" s="39"/>
      <c r="L1282" s="16" t="str">
        <f t="shared" si="849"/>
        <v/>
      </c>
      <c r="M1282" s="16" t="str">
        <f t="shared" si="850"/>
        <v/>
      </c>
      <c r="N1282" s="16" t="str">
        <f t="shared" si="851"/>
        <v/>
      </c>
      <c r="O1282" s="16" t="str">
        <f>IF(N1282="","",COUNTIF($N$8:N1282,N1282))</f>
        <v/>
      </c>
      <c r="P1282" s="34" t="str">
        <f t="shared" si="852"/>
        <v/>
      </c>
      <c r="Q1282" s="34" t="str">
        <f t="shared" si="853"/>
        <v/>
      </c>
      <c r="R1282" s="34" t="str">
        <f t="shared" si="854"/>
        <v/>
      </c>
      <c r="S1282" s="34" t="str">
        <f t="shared" si="855"/>
        <v/>
      </c>
      <c r="T1282" s="34" t="str">
        <f t="shared" si="856"/>
        <v/>
      </c>
      <c r="U1282" s="34" t="str">
        <f>IF(AND(L1282=1,bp_kode=T1282,T1282&lt;&gt;""),COUNTIF($T$8:T1282,T1282),"")</f>
        <v/>
      </c>
      <c r="V1282" s="34" t="str">
        <f t="shared" si="857"/>
        <v/>
      </c>
      <c r="W1282" s="34" t="str">
        <f t="shared" si="858"/>
        <v/>
      </c>
      <c r="X1282" s="34" t="str">
        <f>IF(B1282="","",COUNTIF($C$8:C1282,C1282)&amp;C1282)</f>
        <v/>
      </c>
    </row>
    <row r="1283" spans="2:24" ht="23.1" customHeight="1">
      <c r="B1283" s="31"/>
      <c r="C1283" s="9"/>
      <c r="D1283" s="9"/>
      <c r="E1283" s="7"/>
      <c r="F1283" s="7"/>
      <c r="G1283" s="7"/>
      <c r="H1283" s="7"/>
      <c r="I1283" s="7"/>
      <c r="J1283" s="39"/>
      <c r="L1283" s="16" t="str">
        <f t="shared" si="849"/>
        <v/>
      </c>
      <c r="M1283" s="16" t="str">
        <f t="shared" si="850"/>
        <v/>
      </c>
      <c r="N1283" s="16" t="str">
        <f t="shared" si="851"/>
        <v/>
      </c>
      <c r="O1283" s="16" t="str">
        <f>IF(N1283="","",COUNTIF($N$8:N1283,N1283))</f>
        <v/>
      </c>
      <c r="P1283" s="34" t="str">
        <f t="shared" si="852"/>
        <v/>
      </c>
      <c r="Q1283" s="34" t="str">
        <f t="shared" si="853"/>
        <v/>
      </c>
      <c r="R1283" s="34" t="str">
        <f t="shared" si="854"/>
        <v/>
      </c>
      <c r="S1283" s="34" t="str">
        <f t="shared" si="855"/>
        <v/>
      </c>
      <c r="T1283" s="34" t="str">
        <f t="shared" si="856"/>
        <v/>
      </c>
      <c r="U1283" s="34" t="str">
        <f>IF(AND(L1283=1,bp_kode=T1283,T1283&lt;&gt;""),COUNTIF($T$8:T1283,T1283),"")</f>
        <v/>
      </c>
      <c r="V1283" s="34" t="str">
        <f t="shared" si="857"/>
        <v/>
      </c>
      <c r="W1283" s="34" t="str">
        <f t="shared" si="858"/>
        <v/>
      </c>
      <c r="X1283" s="34" t="str">
        <f>IF(B1283="","",COUNTIF($C$8:C1283,C1283)&amp;C1283)</f>
        <v/>
      </c>
    </row>
    <row r="1284" spans="2:24" ht="23.1" customHeight="1">
      <c r="B1284" s="31"/>
      <c r="C1284" s="9"/>
      <c r="D1284" s="9"/>
      <c r="E1284" s="7"/>
      <c r="F1284" s="7"/>
      <c r="G1284" s="7"/>
      <c r="H1284" s="7"/>
      <c r="I1284" s="7"/>
      <c r="J1284" s="39"/>
      <c r="L1284" s="16" t="str">
        <f t="shared" si="849"/>
        <v/>
      </c>
      <c r="M1284" s="16" t="str">
        <f t="shared" si="850"/>
        <v/>
      </c>
      <c r="N1284" s="16" t="str">
        <f t="shared" si="851"/>
        <v/>
      </c>
      <c r="O1284" s="16" t="str">
        <f>IF(N1284="","",COUNTIF($N$8:N1284,N1284))</f>
        <v/>
      </c>
      <c r="P1284" s="34" t="str">
        <f t="shared" si="852"/>
        <v/>
      </c>
      <c r="Q1284" s="34" t="str">
        <f t="shared" si="853"/>
        <v/>
      </c>
      <c r="R1284" s="34" t="str">
        <f t="shared" si="854"/>
        <v/>
      </c>
      <c r="S1284" s="34" t="str">
        <f t="shared" si="855"/>
        <v/>
      </c>
      <c r="T1284" s="34" t="str">
        <f t="shared" si="856"/>
        <v/>
      </c>
      <c r="U1284" s="34" t="str">
        <f>IF(AND(L1284=1,bp_kode=T1284,T1284&lt;&gt;""),COUNTIF($T$8:T1284,T1284),"")</f>
        <v/>
      </c>
      <c r="V1284" s="34" t="str">
        <f t="shared" si="857"/>
        <v/>
      </c>
      <c r="W1284" s="34" t="str">
        <f t="shared" si="858"/>
        <v/>
      </c>
      <c r="X1284" s="34" t="str">
        <f>IF(B1284="","",COUNTIF($C$8:C1284,C1284)&amp;C1284)</f>
        <v/>
      </c>
    </row>
    <row r="1285" spans="2:24" ht="23.1" customHeight="1">
      <c r="B1285" s="31"/>
      <c r="C1285" s="9"/>
      <c r="D1285" s="9"/>
      <c r="E1285" s="7"/>
      <c r="F1285" s="7"/>
      <c r="G1285" s="7"/>
      <c r="H1285" s="7"/>
      <c r="I1285" s="7"/>
      <c r="J1285" s="39"/>
      <c r="L1285" s="16" t="str">
        <f t="shared" si="849"/>
        <v/>
      </c>
      <c r="M1285" s="16" t="str">
        <f t="shared" si="850"/>
        <v/>
      </c>
      <c r="N1285" s="16" t="str">
        <f t="shared" si="851"/>
        <v/>
      </c>
      <c r="O1285" s="16" t="str">
        <f>IF(N1285="","",COUNTIF($N$8:N1285,N1285))</f>
        <v/>
      </c>
      <c r="P1285" s="34" t="str">
        <f t="shared" si="852"/>
        <v/>
      </c>
      <c r="Q1285" s="34" t="str">
        <f t="shared" si="853"/>
        <v/>
      </c>
      <c r="R1285" s="34" t="str">
        <f t="shared" si="854"/>
        <v/>
      </c>
      <c r="S1285" s="34" t="str">
        <f t="shared" si="855"/>
        <v/>
      </c>
      <c r="T1285" s="34" t="str">
        <f t="shared" si="856"/>
        <v/>
      </c>
      <c r="U1285" s="34" t="str">
        <f>IF(AND(L1285=1,bp_kode=T1285,T1285&lt;&gt;""),COUNTIF($T$8:T1285,T1285),"")</f>
        <v/>
      </c>
      <c r="V1285" s="34" t="str">
        <f t="shared" si="857"/>
        <v/>
      </c>
      <c r="W1285" s="34" t="str">
        <f t="shared" si="858"/>
        <v/>
      </c>
      <c r="X1285" s="34" t="str">
        <f>IF(B1285="","",COUNTIF($C$8:C1285,C1285)&amp;C1285)</f>
        <v/>
      </c>
    </row>
    <row r="1286" spans="2:24" ht="23.1" customHeight="1">
      <c r="B1286" s="31"/>
      <c r="C1286" s="9"/>
      <c r="D1286" s="9"/>
      <c r="E1286" s="7"/>
      <c r="F1286" s="7"/>
      <c r="G1286" s="7"/>
      <c r="H1286" s="7"/>
      <c r="I1286" s="7"/>
      <c r="J1286" s="39"/>
      <c r="L1286" s="16" t="str">
        <f t="shared" si="849"/>
        <v/>
      </c>
      <c r="M1286" s="16" t="str">
        <f t="shared" si="850"/>
        <v/>
      </c>
      <c r="N1286" s="16" t="str">
        <f t="shared" si="851"/>
        <v/>
      </c>
      <c r="O1286" s="16" t="str">
        <f>IF(N1286="","",COUNTIF($N$8:N1286,N1286))</f>
        <v/>
      </c>
      <c r="P1286" s="34" t="str">
        <f t="shared" si="852"/>
        <v/>
      </c>
      <c r="Q1286" s="34" t="str">
        <f t="shared" si="853"/>
        <v/>
      </c>
      <c r="R1286" s="34" t="str">
        <f t="shared" si="854"/>
        <v/>
      </c>
      <c r="S1286" s="34" t="str">
        <f t="shared" si="855"/>
        <v/>
      </c>
      <c r="T1286" s="34" t="str">
        <f t="shared" si="856"/>
        <v/>
      </c>
      <c r="U1286" s="34" t="str">
        <f>IF(AND(L1286=1,bp_kode=T1286,T1286&lt;&gt;""),COUNTIF($T$8:T1286,T1286),"")</f>
        <v/>
      </c>
      <c r="V1286" s="34" t="str">
        <f t="shared" si="857"/>
        <v/>
      </c>
      <c r="W1286" s="34" t="str">
        <f t="shared" si="858"/>
        <v/>
      </c>
      <c r="X1286" s="34" t="str">
        <f>IF(B1286="","",COUNTIF($C$8:C1286,C1286)&amp;C1286)</f>
        <v/>
      </c>
    </row>
    <row r="1287" spans="2:24" ht="23.1" customHeight="1">
      <c r="B1287" s="31"/>
      <c r="C1287" s="9"/>
      <c r="D1287" s="9"/>
      <c r="E1287" s="7"/>
      <c r="F1287" s="7"/>
      <c r="G1287" s="7"/>
      <c r="H1287" s="7"/>
      <c r="I1287" s="7"/>
      <c r="J1287" s="39"/>
      <c r="L1287" s="16" t="str">
        <f t="shared" si="849"/>
        <v/>
      </c>
      <c r="M1287" s="16" t="str">
        <f t="shared" si="850"/>
        <v/>
      </c>
      <c r="N1287" s="16" t="str">
        <f t="shared" si="851"/>
        <v/>
      </c>
      <c r="O1287" s="16" t="str">
        <f>IF(N1287="","",COUNTIF($N$8:N1287,N1287))</f>
        <v/>
      </c>
      <c r="P1287" s="34" t="str">
        <f t="shared" si="852"/>
        <v/>
      </c>
      <c r="Q1287" s="34" t="str">
        <f t="shared" si="853"/>
        <v/>
      </c>
      <c r="R1287" s="34" t="str">
        <f t="shared" si="854"/>
        <v/>
      </c>
      <c r="S1287" s="34" t="str">
        <f t="shared" si="855"/>
        <v/>
      </c>
      <c r="T1287" s="34" t="str">
        <f t="shared" si="856"/>
        <v/>
      </c>
      <c r="U1287" s="34" t="str">
        <f>IF(AND(L1287=1,bp_kode=T1287,T1287&lt;&gt;""),COUNTIF($T$8:T1287,T1287),"")</f>
        <v/>
      </c>
      <c r="V1287" s="34" t="str">
        <f t="shared" si="857"/>
        <v/>
      </c>
      <c r="W1287" s="34" t="str">
        <f t="shared" si="858"/>
        <v/>
      </c>
      <c r="X1287" s="34" t="str">
        <f>IF(B1287="","",COUNTIF($C$8:C1287,C1287)&amp;C1287)</f>
        <v/>
      </c>
    </row>
    <row r="1288" spans="2:24" ht="23.1" customHeight="1">
      <c r="B1288" s="31"/>
      <c r="C1288" s="9"/>
      <c r="D1288" s="9"/>
      <c r="E1288" s="7"/>
      <c r="F1288" s="7"/>
      <c r="G1288" s="7"/>
      <c r="H1288" s="7"/>
      <c r="I1288" s="7"/>
      <c r="J1288" s="39"/>
      <c r="L1288" s="16" t="str">
        <f t="shared" si="849"/>
        <v/>
      </c>
      <c r="M1288" s="16" t="str">
        <f t="shared" si="850"/>
        <v/>
      </c>
      <c r="N1288" s="16" t="str">
        <f t="shared" si="851"/>
        <v/>
      </c>
      <c r="O1288" s="16" t="str">
        <f>IF(N1288="","",COUNTIF($N$8:N1288,N1288))</f>
        <v/>
      </c>
      <c r="P1288" s="34" t="str">
        <f t="shared" si="852"/>
        <v/>
      </c>
      <c r="Q1288" s="34" t="str">
        <f t="shared" si="853"/>
        <v/>
      </c>
      <c r="R1288" s="34" t="str">
        <f t="shared" si="854"/>
        <v/>
      </c>
      <c r="S1288" s="34" t="str">
        <f t="shared" si="855"/>
        <v/>
      </c>
      <c r="T1288" s="34" t="str">
        <f t="shared" si="856"/>
        <v/>
      </c>
      <c r="U1288" s="34" t="str">
        <f>IF(AND(L1288=1,bp_kode=T1288,T1288&lt;&gt;""),COUNTIF($T$8:T1288,T1288),"")</f>
        <v/>
      </c>
      <c r="V1288" s="34" t="str">
        <f t="shared" si="857"/>
        <v/>
      </c>
      <c r="W1288" s="34" t="str">
        <f t="shared" si="858"/>
        <v/>
      </c>
      <c r="X1288" s="34" t="str">
        <f>IF(B1288="","",COUNTIF($C$8:C1288,C1288)&amp;C1288)</f>
        <v/>
      </c>
    </row>
    <row r="1289" spans="2:24" ht="23.1" customHeight="1">
      <c r="B1289" s="31"/>
      <c r="C1289" s="9"/>
      <c r="D1289" s="9"/>
      <c r="E1289" s="7"/>
      <c r="F1289" s="7"/>
      <c r="G1289" s="7"/>
      <c r="H1289" s="7"/>
      <c r="I1289" s="7"/>
      <c r="J1289" s="39"/>
      <c r="L1289" s="16" t="str">
        <f t="shared" si="849"/>
        <v/>
      </c>
      <c r="M1289" s="16" t="str">
        <f t="shared" si="850"/>
        <v/>
      </c>
      <c r="N1289" s="16" t="str">
        <f t="shared" si="851"/>
        <v/>
      </c>
      <c r="O1289" s="16" t="str">
        <f>IF(N1289="","",COUNTIF($N$8:N1289,N1289))</f>
        <v/>
      </c>
      <c r="P1289" s="34" t="str">
        <f t="shared" si="852"/>
        <v/>
      </c>
      <c r="Q1289" s="34" t="str">
        <f t="shared" si="853"/>
        <v/>
      </c>
      <c r="R1289" s="34" t="str">
        <f t="shared" si="854"/>
        <v/>
      </c>
      <c r="S1289" s="34" t="str">
        <f t="shared" si="855"/>
        <v/>
      </c>
      <c r="T1289" s="34" t="str">
        <f t="shared" si="856"/>
        <v/>
      </c>
      <c r="U1289" s="34" t="str">
        <f>IF(AND(L1289=1,bp_kode=T1289,T1289&lt;&gt;""),COUNTIF($T$8:T1289,T1289),"")</f>
        <v/>
      </c>
      <c r="V1289" s="34" t="str">
        <f t="shared" si="857"/>
        <v/>
      </c>
      <c r="W1289" s="34" t="str">
        <f t="shared" si="858"/>
        <v/>
      </c>
      <c r="X1289" s="34" t="str">
        <f>IF(B1289="","",COUNTIF($C$8:C1289,C1289)&amp;C1289)</f>
        <v/>
      </c>
    </row>
    <row r="1290" spans="2:24" ht="23.1" customHeight="1">
      <c r="B1290" s="31"/>
      <c r="C1290" s="9"/>
      <c r="D1290" s="9"/>
      <c r="E1290" s="7"/>
      <c r="F1290" s="7"/>
      <c r="G1290" s="7"/>
      <c r="H1290" s="7"/>
      <c r="I1290" s="7"/>
      <c r="J1290" s="39"/>
      <c r="L1290" s="16" t="str">
        <f t="shared" si="849"/>
        <v/>
      </c>
      <c r="M1290" s="16" t="str">
        <f t="shared" si="850"/>
        <v/>
      </c>
      <c r="N1290" s="16" t="str">
        <f t="shared" si="851"/>
        <v/>
      </c>
      <c r="O1290" s="16" t="str">
        <f>IF(N1290="","",COUNTIF($N$8:N1290,N1290))</f>
        <v/>
      </c>
      <c r="P1290" s="34" t="str">
        <f t="shared" si="852"/>
        <v/>
      </c>
      <c r="Q1290" s="34" t="str">
        <f t="shared" si="853"/>
        <v/>
      </c>
      <c r="R1290" s="34" t="str">
        <f t="shared" si="854"/>
        <v/>
      </c>
      <c r="S1290" s="34" t="str">
        <f t="shared" si="855"/>
        <v/>
      </c>
      <c r="T1290" s="34" t="str">
        <f t="shared" si="856"/>
        <v/>
      </c>
      <c r="U1290" s="34" t="str">
        <f>IF(AND(L1290=1,bp_kode=T1290,T1290&lt;&gt;""),COUNTIF($T$8:T1290,T1290),"")</f>
        <v/>
      </c>
      <c r="V1290" s="34" t="str">
        <f t="shared" si="857"/>
        <v/>
      </c>
      <c r="W1290" s="34" t="str">
        <f t="shared" si="858"/>
        <v/>
      </c>
      <c r="X1290" s="34" t="str">
        <f>IF(B1290="","",COUNTIF($C$8:C1290,C1290)&amp;C1290)</f>
        <v/>
      </c>
    </row>
    <row r="1291" spans="2:24" ht="23.1" customHeight="1">
      <c r="B1291" s="31"/>
      <c r="C1291" s="9"/>
      <c r="D1291" s="9"/>
      <c r="E1291" s="7"/>
      <c r="F1291" s="7"/>
      <c r="G1291" s="7"/>
      <c r="H1291" s="7"/>
      <c r="I1291" s="7"/>
      <c r="J1291" s="39"/>
      <c r="L1291" s="16" t="str">
        <f t="shared" si="849"/>
        <v/>
      </c>
      <c r="M1291" s="16" t="str">
        <f t="shared" si="850"/>
        <v/>
      </c>
      <c r="N1291" s="16" t="str">
        <f t="shared" si="851"/>
        <v/>
      </c>
      <c r="O1291" s="16" t="str">
        <f>IF(N1291="","",COUNTIF($N$8:N1291,N1291))</f>
        <v/>
      </c>
      <c r="P1291" s="34" t="str">
        <f t="shared" si="852"/>
        <v/>
      </c>
      <c r="Q1291" s="34" t="str">
        <f t="shared" si="853"/>
        <v/>
      </c>
      <c r="R1291" s="34" t="str">
        <f t="shared" si="854"/>
        <v/>
      </c>
      <c r="S1291" s="34" t="str">
        <f t="shared" si="855"/>
        <v/>
      </c>
      <c r="T1291" s="34" t="str">
        <f t="shared" si="856"/>
        <v/>
      </c>
      <c r="U1291" s="34" t="str">
        <f>IF(AND(L1291=1,bp_kode=T1291,T1291&lt;&gt;""),COUNTIF($T$8:T1291,T1291),"")</f>
        <v/>
      </c>
      <c r="V1291" s="34" t="str">
        <f t="shared" si="857"/>
        <v/>
      </c>
      <c r="W1291" s="34" t="str">
        <f t="shared" si="858"/>
        <v/>
      </c>
      <c r="X1291" s="34" t="str">
        <f>IF(B1291="","",COUNTIF($C$8:C1291,C1291)&amp;C1291)</f>
        <v/>
      </c>
    </row>
    <row r="1292" spans="2:24" ht="23.1" customHeight="1">
      <c r="B1292" s="31"/>
      <c r="C1292" s="9"/>
      <c r="D1292" s="9"/>
      <c r="E1292" s="7"/>
      <c r="F1292" s="7"/>
      <c r="G1292" s="7"/>
      <c r="H1292" s="7"/>
      <c r="I1292" s="7"/>
      <c r="J1292" s="39"/>
      <c r="L1292" s="16" t="str">
        <f t="shared" si="849"/>
        <v/>
      </c>
      <c r="M1292" s="16" t="str">
        <f t="shared" si="850"/>
        <v/>
      </c>
      <c r="N1292" s="16" t="str">
        <f t="shared" si="851"/>
        <v/>
      </c>
      <c r="O1292" s="16" t="str">
        <f>IF(N1292="","",COUNTIF($N$8:N1292,N1292))</f>
        <v/>
      </c>
      <c r="P1292" s="34" t="str">
        <f t="shared" si="852"/>
        <v/>
      </c>
      <c r="Q1292" s="34" t="str">
        <f t="shared" si="853"/>
        <v/>
      </c>
      <c r="R1292" s="34" t="str">
        <f t="shared" si="854"/>
        <v/>
      </c>
      <c r="S1292" s="34" t="str">
        <f t="shared" si="855"/>
        <v/>
      </c>
      <c r="T1292" s="34" t="str">
        <f t="shared" si="856"/>
        <v/>
      </c>
      <c r="U1292" s="34" t="str">
        <f>IF(AND(L1292=1,bp_kode=T1292,T1292&lt;&gt;""),COUNTIF($T$8:T1292,T1292),"")</f>
        <v/>
      </c>
      <c r="V1292" s="34" t="str">
        <f t="shared" si="857"/>
        <v/>
      </c>
      <c r="W1292" s="34" t="str">
        <f t="shared" si="858"/>
        <v/>
      </c>
      <c r="X1292" s="34" t="str">
        <f>IF(B1292="","",COUNTIF($C$8:C1292,C1292)&amp;C1292)</f>
        <v/>
      </c>
    </row>
    <row r="1293" spans="2:24" ht="23.1" customHeight="1">
      <c r="B1293" s="31"/>
      <c r="C1293" s="9"/>
      <c r="D1293" s="9"/>
      <c r="E1293" s="7"/>
      <c r="F1293" s="7"/>
      <c r="G1293" s="7"/>
      <c r="H1293" s="7"/>
      <c r="I1293" s="7"/>
      <c r="J1293" s="39"/>
      <c r="L1293" s="16" t="str">
        <f t="shared" si="849"/>
        <v/>
      </c>
      <c r="M1293" s="16" t="str">
        <f t="shared" si="850"/>
        <v/>
      </c>
      <c r="N1293" s="16" t="str">
        <f t="shared" si="851"/>
        <v/>
      </c>
      <c r="O1293" s="16" t="str">
        <f>IF(N1293="","",COUNTIF($N$8:N1293,N1293))</f>
        <v/>
      </c>
      <c r="P1293" s="34" t="str">
        <f t="shared" si="852"/>
        <v/>
      </c>
      <c r="Q1293" s="34" t="str">
        <f t="shared" si="853"/>
        <v/>
      </c>
      <c r="R1293" s="34" t="str">
        <f t="shared" si="854"/>
        <v/>
      </c>
      <c r="S1293" s="34" t="str">
        <f t="shared" si="855"/>
        <v/>
      </c>
      <c r="T1293" s="34" t="str">
        <f t="shared" si="856"/>
        <v/>
      </c>
      <c r="U1293" s="34" t="str">
        <f>IF(AND(L1293=1,bp_kode=T1293,T1293&lt;&gt;""),COUNTIF($T$8:T1293,T1293),"")</f>
        <v/>
      </c>
      <c r="V1293" s="34" t="str">
        <f t="shared" si="857"/>
        <v/>
      </c>
      <c r="W1293" s="34" t="str">
        <f t="shared" si="858"/>
        <v/>
      </c>
      <c r="X1293" s="34" t="str">
        <f>IF(B1293="","",COUNTIF($C$8:C1293,C1293)&amp;C1293)</f>
        <v/>
      </c>
    </row>
    <row r="1294" spans="2:24" ht="23.1" customHeight="1">
      <c r="B1294" s="31"/>
      <c r="C1294" s="9"/>
      <c r="D1294" s="9"/>
      <c r="E1294" s="7"/>
      <c r="F1294" s="7"/>
      <c r="G1294" s="7"/>
      <c r="H1294" s="7"/>
      <c r="I1294" s="7"/>
      <c r="J1294" s="39"/>
      <c r="L1294" s="16" t="str">
        <f t="shared" si="849"/>
        <v/>
      </c>
      <c r="M1294" s="16" t="str">
        <f t="shared" si="850"/>
        <v/>
      </c>
      <c r="N1294" s="16" t="str">
        <f t="shared" si="851"/>
        <v/>
      </c>
      <c r="O1294" s="16" t="str">
        <f>IF(N1294="","",COUNTIF($N$8:N1294,N1294))</f>
        <v/>
      </c>
      <c r="P1294" s="34" t="str">
        <f t="shared" si="852"/>
        <v/>
      </c>
      <c r="Q1294" s="34" t="str">
        <f t="shared" si="853"/>
        <v/>
      </c>
      <c r="R1294" s="34" t="str">
        <f t="shared" si="854"/>
        <v/>
      </c>
      <c r="S1294" s="34" t="str">
        <f t="shared" si="855"/>
        <v/>
      </c>
      <c r="T1294" s="34" t="str">
        <f t="shared" si="856"/>
        <v/>
      </c>
      <c r="U1294" s="34" t="str">
        <f>IF(AND(L1294=1,bp_kode=T1294,T1294&lt;&gt;""),COUNTIF($T$8:T1294,T1294),"")</f>
        <v/>
      </c>
      <c r="V1294" s="34" t="str">
        <f t="shared" si="857"/>
        <v/>
      </c>
      <c r="W1294" s="34" t="str">
        <f t="shared" si="858"/>
        <v/>
      </c>
      <c r="X1294" s="34" t="str">
        <f>IF(B1294="","",COUNTIF($C$8:C1294,C1294)&amp;C1294)</f>
        <v/>
      </c>
    </row>
    <row r="1295" spans="2:24" ht="23.1" customHeight="1">
      <c r="B1295" s="31"/>
      <c r="C1295" s="9"/>
      <c r="D1295" s="9"/>
      <c r="E1295" s="7"/>
      <c r="F1295" s="7"/>
      <c r="G1295" s="7"/>
      <c r="H1295" s="7"/>
      <c r="I1295" s="7"/>
      <c r="J1295" s="39"/>
      <c r="L1295" s="16" t="str">
        <f t="shared" si="849"/>
        <v/>
      </c>
      <c r="M1295" s="16" t="str">
        <f t="shared" si="850"/>
        <v/>
      </c>
      <c r="N1295" s="16" t="str">
        <f t="shared" si="851"/>
        <v/>
      </c>
      <c r="O1295" s="16" t="str">
        <f>IF(N1295="","",COUNTIF($N$8:N1295,N1295))</f>
        <v/>
      </c>
      <c r="P1295" s="34" t="str">
        <f t="shared" si="852"/>
        <v/>
      </c>
      <c r="Q1295" s="34" t="str">
        <f t="shared" si="853"/>
        <v/>
      </c>
      <c r="R1295" s="34" t="str">
        <f t="shared" si="854"/>
        <v/>
      </c>
      <c r="S1295" s="34" t="str">
        <f t="shared" si="855"/>
        <v/>
      </c>
      <c r="T1295" s="34" t="str">
        <f t="shared" si="856"/>
        <v/>
      </c>
      <c r="U1295" s="34" t="str">
        <f>IF(AND(L1295=1,bp_kode=T1295,T1295&lt;&gt;""),COUNTIF($T$8:T1295,T1295),"")</f>
        <v/>
      </c>
      <c r="V1295" s="34" t="str">
        <f t="shared" si="857"/>
        <v/>
      </c>
      <c r="W1295" s="34" t="str">
        <f t="shared" si="858"/>
        <v/>
      </c>
      <c r="X1295" s="34" t="str">
        <f>IF(B1295="","",COUNTIF($C$8:C1295,C1295)&amp;C1295)</f>
        <v/>
      </c>
    </row>
    <row r="1296" spans="2:24" ht="23.1" customHeight="1">
      <c r="B1296" s="31"/>
      <c r="C1296" s="9"/>
      <c r="D1296" s="9"/>
      <c r="E1296" s="7"/>
      <c r="F1296" s="7"/>
      <c r="G1296" s="7"/>
      <c r="H1296" s="7"/>
      <c r="I1296" s="7"/>
      <c r="J1296" s="39"/>
      <c r="L1296" s="16" t="str">
        <f t="shared" si="849"/>
        <v/>
      </c>
      <c r="M1296" s="16" t="str">
        <f t="shared" si="850"/>
        <v/>
      </c>
      <c r="N1296" s="16" t="str">
        <f t="shared" si="851"/>
        <v/>
      </c>
      <c r="O1296" s="16" t="str">
        <f>IF(N1296="","",COUNTIF($N$8:N1296,N1296))</f>
        <v/>
      </c>
      <c r="P1296" s="34" t="str">
        <f t="shared" si="852"/>
        <v/>
      </c>
      <c r="Q1296" s="34" t="str">
        <f t="shared" si="853"/>
        <v/>
      </c>
      <c r="R1296" s="34" t="str">
        <f t="shared" si="854"/>
        <v/>
      </c>
      <c r="S1296" s="34" t="str">
        <f t="shared" si="855"/>
        <v/>
      </c>
      <c r="T1296" s="34" t="str">
        <f t="shared" si="856"/>
        <v/>
      </c>
      <c r="U1296" s="34" t="str">
        <f>IF(AND(L1296=1,bp_kode=T1296,T1296&lt;&gt;""),COUNTIF($T$8:T1296,T1296),"")</f>
        <v/>
      </c>
      <c r="V1296" s="34" t="str">
        <f t="shared" si="857"/>
        <v/>
      </c>
      <c r="W1296" s="34" t="str">
        <f t="shared" si="858"/>
        <v/>
      </c>
      <c r="X1296" s="34" t="str">
        <f>IF(B1296="","",COUNTIF($C$8:C1296,C1296)&amp;C1296)</f>
        <v/>
      </c>
    </row>
    <row r="1297" spans="2:24" ht="23.1" customHeight="1">
      <c r="B1297" s="31"/>
      <c r="C1297" s="9"/>
      <c r="D1297" s="9"/>
      <c r="E1297" s="7"/>
      <c r="F1297" s="7"/>
      <c r="G1297" s="7"/>
      <c r="H1297" s="7"/>
      <c r="I1297" s="7"/>
      <c r="J1297" s="39"/>
      <c r="L1297" s="16" t="str">
        <f t="shared" si="849"/>
        <v/>
      </c>
      <c r="M1297" s="16" t="str">
        <f t="shared" si="850"/>
        <v/>
      </c>
      <c r="N1297" s="16" t="str">
        <f t="shared" si="851"/>
        <v/>
      </c>
      <c r="O1297" s="16" t="str">
        <f>IF(N1297="","",COUNTIF($N$8:N1297,N1297))</f>
        <v/>
      </c>
      <c r="P1297" s="34" t="str">
        <f t="shared" si="852"/>
        <v/>
      </c>
      <c r="Q1297" s="34" t="str">
        <f t="shared" si="853"/>
        <v/>
      </c>
      <c r="R1297" s="34" t="str">
        <f t="shared" si="854"/>
        <v/>
      </c>
      <c r="S1297" s="34" t="str">
        <f t="shared" si="855"/>
        <v/>
      </c>
      <c r="T1297" s="34" t="str">
        <f t="shared" si="856"/>
        <v/>
      </c>
      <c r="U1297" s="34" t="str">
        <f>IF(AND(L1297=1,bp_kode=T1297,T1297&lt;&gt;""),COUNTIF($T$8:T1297,T1297),"")</f>
        <v/>
      </c>
      <c r="V1297" s="34" t="str">
        <f t="shared" si="857"/>
        <v/>
      </c>
      <c r="W1297" s="34" t="str">
        <f t="shared" si="858"/>
        <v/>
      </c>
      <c r="X1297" s="34" t="str">
        <f>IF(B1297="","",COUNTIF($C$8:C1297,C1297)&amp;C1297)</f>
        <v/>
      </c>
    </row>
    <row r="1298" spans="2:24" ht="23.1" customHeight="1">
      <c r="B1298" s="31"/>
      <c r="C1298" s="9"/>
      <c r="D1298" s="9"/>
      <c r="E1298" s="7"/>
      <c r="F1298" s="7"/>
      <c r="G1298" s="7"/>
      <c r="H1298" s="7"/>
      <c r="I1298" s="7"/>
      <c r="J1298" s="39"/>
      <c r="L1298" s="16" t="str">
        <f t="shared" si="849"/>
        <v/>
      </c>
      <c r="M1298" s="16" t="str">
        <f t="shared" si="850"/>
        <v/>
      </c>
      <c r="N1298" s="16" t="str">
        <f t="shared" si="851"/>
        <v/>
      </c>
      <c r="O1298" s="16" t="str">
        <f>IF(N1298="","",COUNTIF($N$8:N1298,N1298))</f>
        <v/>
      </c>
      <c r="P1298" s="34" t="str">
        <f t="shared" si="852"/>
        <v/>
      </c>
      <c r="Q1298" s="34" t="str">
        <f t="shared" si="853"/>
        <v/>
      </c>
      <c r="R1298" s="34" t="str">
        <f t="shared" si="854"/>
        <v/>
      </c>
      <c r="S1298" s="34" t="str">
        <f t="shared" si="855"/>
        <v/>
      </c>
      <c r="T1298" s="34" t="str">
        <f t="shared" si="856"/>
        <v/>
      </c>
      <c r="U1298" s="34" t="str">
        <f>IF(AND(L1298=1,bp_kode=T1298,T1298&lt;&gt;""),COUNTIF($T$8:T1298,T1298),"")</f>
        <v/>
      </c>
      <c r="V1298" s="34" t="str">
        <f t="shared" si="857"/>
        <v/>
      </c>
      <c r="W1298" s="34" t="str">
        <f t="shared" si="858"/>
        <v/>
      </c>
      <c r="X1298" s="34" t="str">
        <f>IF(B1298="","",COUNTIF($C$8:C1298,C1298)&amp;C1298)</f>
        <v/>
      </c>
    </row>
    <row r="1299" spans="2:24" ht="23.1" customHeight="1">
      <c r="B1299" s="31"/>
      <c r="C1299" s="9"/>
      <c r="D1299" s="9"/>
      <c r="E1299" s="7"/>
      <c r="F1299" s="7"/>
      <c r="G1299" s="7"/>
      <c r="H1299" s="7"/>
      <c r="I1299" s="7"/>
      <c r="J1299" s="39"/>
      <c r="L1299" s="16" t="str">
        <f t="shared" si="849"/>
        <v/>
      </c>
      <c r="M1299" s="16" t="str">
        <f t="shared" si="850"/>
        <v/>
      </c>
      <c r="N1299" s="16" t="str">
        <f t="shared" si="851"/>
        <v/>
      </c>
      <c r="O1299" s="16" t="str">
        <f>IF(N1299="","",COUNTIF($N$8:N1299,N1299))</f>
        <v/>
      </c>
      <c r="P1299" s="34" t="str">
        <f t="shared" si="852"/>
        <v/>
      </c>
      <c r="Q1299" s="34" t="str">
        <f t="shared" si="853"/>
        <v/>
      </c>
      <c r="R1299" s="34" t="str">
        <f t="shared" si="854"/>
        <v/>
      </c>
      <c r="S1299" s="34" t="str">
        <f t="shared" si="855"/>
        <v/>
      </c>
      <c r="T1299" s="34" t="str">
        <f t="shared" si="856"/>
        <v/>
      </c>
      <c r="U1299" s="34" t="str">
        <f>IF(AND(L1299=1,bp_kode=T1299,T1299&lt;&gt;""),COUNTIF($T$8:T1299,T1299),"")</f>
        <v/>
      </c>
      <c r="V1299" s="34" t="str">
        <f t="shared" si="857"/>
        <v/>
      </c>
      <c r="W1299" s="34" t="str">
        <f t="shared" si="858"/>
        <v/>
      </c>
      <c r="X1299" s="34" t="str">
        <f>IF(B1299="","",COUNTIF($C$8:C1299,C1299)&amp;C1299)</f>
        <v/>
      </c>
    </row>
    <row r="1300" spans="2:24" ht="23.1" customHeight="1">
      <c r="B1300" s="31"/>
      <c r="C1300" s="9"/>
      <c r="D1300" s="9"/>
      <c r="E1300" s="7"/>
      <c r="F1300" s="7"/>
      <c r="G1300" s="7"/>
      <c r="H1300" s="7"/>
      <c r="I1300" s="7"/>
      <c r="J1300" s="39"/>
      <c r="L1300" s="16" t="str">
        <f t="shared" si="849"/>
        <v/>
      </c>
      <c r="M1300" s="16" t="str">
        <f t="shared" si="850"/>
        <v/>
      </c>
      <c r="N1300" s="16" t="str">
        <f t="shared" si="851"/>
        <v/>
      </c>
      <c r="O1300" s="16" t="str">
        <f>IF(N1300="","",COUNTIF($N$8:N1300,N1300))</f>
        <v/>
      </c>
      <c r="P1300" s="34" t="str">
        <f t="shared" si="852"/>
        <v/>
      </c>
      <c r="Q1300" s="34" t="str">
        <f t="shared" si="853"/>
        <v/>
      </c>
      <c r="R1300" s="34" t="str">
        <f t="shared" si="854"/>
        <v/>
      </c>
      <c r="S1300" s="34" t="str">
        <f t="shared" si="855"/>
        <v/>
      </c>
      <c r="T1300" s="34" t="str">
        <f t="shared" si="856"/>
        <v/>
      </c>
      <c r="U1300" s="34" t="str">
        <f>IF(AND(L1300=1,bp_kode=T1300,T1300&lt;&gt;""),COUNTIF($T$8:T1300,T1300),"")</f>
        <v/>
      </c>
      <c r="V1300" s="34" t="str">
        <f t="shared" si="857"/>
        <v/>
      </c>
      <c r="W1300" s="34" t="str">
        <f t="shared" si="858"/>
        <v/>
      </c>
      <c r="X1300" s="34" t="str">
        <f>IF(B1300="","",COUNTIF($C$8:C1300,C1300)&amp;C1300)</f>
        <v/>
      </c>
    </row>
    <row r="1301" spans="2:24" ht="23.1" customHeight="1">
      <c r="B1301" s="31"/>
      <c r="C1301" s="9"/>
      <c r="D1301" s="9"/>
      <c r="E1301" s="7"/>
      <c r="F1301" s="7"/>
      <c r="G1301" s="7"/>
      <c r="H1301" s="7"/>
      <c r="I1301" s="7"/>
      <c r="J1301" s="39"/>
      <c r="L1301" s="16" t="str">
        <f t="shared" si="849"/>
        <v/>
      </c>
      <c r="M1301" s="16" t="str">
        <f t="shared" si="850"/>
        <v/>
      </c>
      <c r="N1301" s="16" t="str">
        <f t="shared" si="851"/>
        <v/>
      </c>
      <c r="O1301" s="16" t="str">
        <f>IF(N1301="","",COUNTIF($N$8:N1301,N1301))</f>
        <v/>
      </c>
      <c r="P1301" s="34" t="str">
        <f t="shared" si="852"/>
        <v/>
      </c>
      <c r="Q1301" s="34" t="str">
        <f t="shared" si="853"/>
        <v/>
      </c>
      <c r="R1301" s="34" t="str">
        <f t="shared" si="854"/>
        <v/>
      </c>
      <c r="S1301" s="34" t="str">
        <f t="shared" si="855"/>
        <v/>
      </c>
      <c r="T1301" s="34" t="str">
        <f t="shared" si="856"/>
        <v/>
      </c>
      <c r="U1301" s="34" t="str">
        <f>IF(AND(L1301=1,bp_kode=T1301,T1301&lt;&gt;""),COUNTIF($T$8:T1301,T1301),"")</f>
        <v/>
      </c>
      <c r="V1301" s="34" t="str">
        <f t="shared" si="857"/>
        <v/>
      </c>
      <c r="W1301" s="34" t="str">
        <f t="shared" si="858"/>
        <v/>
      </c>
      <c r="X1301" s="34" t="str">
        <f>IF(B1301="","",COUNTIF($C$8:C1301,C1301)&amp;C1301)</f>
        <v/>
      </c>
    </row>
    <row r="1302" spans="2:24" ht="23.1" customHeight="1">
      <c r="B1302" s="31"/>
      <c r="C1302" s="9"/>
      <c r="D1302" s="9"/>
      <c r="E1302" s="7"/>
      <c r="F1302" s="7"/>
      <c r="G1302" s="7"/>
      <c r="H1302" s="7"/>
      <c r="I1302" s="7"/>
      <c r="J1302" s="39"/>
      <c r="L1302" s="16" t="str">
        <f t="shared" si="849"/>
        <v/>
      </c>
      <c r="M1302" s="16" t="str">
        <f t="shared" si="850"/>
        <v/>
      </c>
      <c r="N1302" s="16" t="str">
        <f t="shared" si="851"/>
        <v/>
      </c>
      <c r="O1302" s="16" t="str">
        <f>IF(N1302="","",COUNTIF($N$8:N1302,N1302))</f>
        <v/>
      </c>
      <c r="P1302" s="34" t="str">
        <f t="shared" si="852"/>
        <v/>
      </c>
      <c r="Q1302" s="34" t="str">
        <f t="shared" si="853"/>
        <v/>
      </c>
      <c r="R1302" s="34" t="str">
        <f t="shared" si="854"/>
        <v/>
      </c>
      <c r="S1302" s="34" t="str">
        <f t="shared" si="855"/>
        <v/>
      </c>
      <c r="T1302" s="34" t="str">
        <f t="shared" si="856"/>
        <v/>
      </c>
      <c r="U1302" s="34" t="str">
        <f>IF(AND(L1302=1,bp_kode=T1302,T1302&lt;&gt;""),COUNTIF($T$8:T1302,T1302),"")</f>
        <v/>
      </c>
      <c r="V1302" s="34" t="str">
        <f t="shared" si="857"/>
        <v/>
      </c>
      <c r="W1302" s="34" t="str">
        <f t="shared" si="858"/>
        <v/>
      </c>
      <c r="X1302" s="34" t="str">
        <f>IF(B1302="","",COUNTIF($C$8:C1302,C1302)&amp;C1302)</f>
        <v/>
      </c>
    </row>
    <row r="1303" spans="2:24" ht="23.1" customHeight="1">
      <c r="B1303" s="31"/>
      <c r="C1303" s="9"/>
      <c r="D1303" s="9"/>
      <c r="E1303" s="7"/>
      <c r="F1303" s="7"/>
      <c r="G1303" s="7"/>
      <c r="H1303" s="7"/>
      <c r="I1303" s="7"/>
      <c r="J1303" s="39"/>
      <c r="L1303" s="16" t="str">
        <f t="shared" si="849"/>
        <v/>
      </c>
      <c r="M1303" s="16" t="str">
        <f t="shared" si="850"/>
        <v/>
      </c>
      <c r="N1303" s="16" t="str">
        <f t="shared" si="851"/>
        <v/>
      </c>
      <c r="O1303" s="16" t="str">
        <f>IF(N1303="","",COUNTIF($N$8:N1303,N1303))</f>
        <v/>
      </c>
      <c r="P1303" s="34" t="str">
        <f t="shared" si="852"/>
        <v/>
      </c>
      <c r="Q1303" s="34" t="str">
        <f t="shared" si="853"/>
        <v/>
      </c>
      <c r="R1303" s="34" t="str">
        <f t="shared" si="854"/>
        <v/>
      </c>
      <c r="S1303" s="34" t="str">
        <f t="shared" si="855"/>
        <v/>
      </c>
      <c r="T1303" s="34" t="str">
        <f t="shared" si="856"/>
        <v/>
      </c>
      <c r="U1303" s="34" t="str">
        <f>IF(AND(L1303=1,bp_kode=T1303,T1303&lt;&gt;""),COUNTIF($T$8:T1303,T1303),"")</f>
        <v/>
      </c>
      <c r="V1303" s="34" t="str">
        <f t="shared" si="857"/>
        <v/>
      </c>
      <c r="W1303" s="34" t="str">
        <f t="shared" si="858"/>
        <v/>
      </c>
      <c r="X1303" s="34" t="str">
        <f>IF(B1303="","",COUNTIF($C$8:C1303,C1303)&amp;C1303)</f>
        <v/>
      </c>
    </row>
    <row r="1304" spans="2:24" ht="23.1" customHeight="1">
      <c r="B1304" s="31"/>
      <c r="C1304" s="9"/>
      <c r="D1304" s="9"/>
      <c r="E1304" s="7"/>
      <c r="F1304" s="7"/>
      <c r="G1304" s="7"/>
      <c r="H1304" s="7"/>
      <c r="I1304" s="7"/>
      <c r="J1304" s="39"/>
      <c r="L1304" s="16" t="str">
        <f t="shared" si="849"/>
        <v/>
      </c>
      <c r="M1304" s="16" t="str">
        <f t="shared" si="850"/>
        <v/>
      </c>
      <c r="N1304" s="16" t="str">
        <f t="shared" si="851"/>
        <v/>
      </c>
      <c r="O1304" s="16" t="str">
        <f>IF(N1304="","",COUNTIF($N$8:N1304,N1304))</f>
        <v/>
      </c>
      <c r="P1304" s="34" t="str">
        <f t="shared" si="852"/>
        <v/>
      </c>
      <c r="Q1304" s="34" t="str">
        <f t="shared" si="853"/>
        <v/>
      </c>
      <c r="R1304" s="34" t="str">
        <f t="shared" si="854"/>
        <v/>
      </c>
      <c r="S1304" s="34" t="str">
        <f t="shared" si="855"/>
        <v/>
      </c>
      <c r="T1304" s="34" t="str">
        <f t="shared" si="856"/>
        <v/>
      </c>
      <c r="U1304" s="34" t="str">
        <f>IF(AND(L1304=1,bp_kode=T1304,T1304&lt;&gt;""),COUNTIF($T$8:T1304,T1304),"")</f>
        <v/>
      </c>
      <c r="V1304" s="34" t="str">
        <f t="shared" si="857"/>
        <v/>
      </c>
      <c r="W1304" s="34" t="str">
        <f t="shared" si="858"/>
        <v/>
      </c>
      <c r="X1304" s="34" t="str">
        <f>IF(B1304="","",COUNTIF($C$8:C1304,C1304)&amp;C1304)</f>
        <v/>
      </c>
    </row>
    <row r="1305" spans="2:24" ht="23.1" customHeight="1">
      <c r="B1305" s="31"/>
      <c r="C1305" s="9"/>
      <c r="D1305" s="9"/>
      <c r="E1305" s="7"/>
      <c r="F1305" s="7"/>
      <c r="G1305" s="7"/>
      <c r="H1305" s="7"/>
      <c r="I1305" s="7"/>
      <c r="J1305" s="39"/>
      <c r="L1305" s="16" t="str">
        <f t="shared" si="849"/>
        <v/>
      </c>
      <c r="M1305" s="16" t="str">
        <f t="shared" si="850"/>
        <v/>
      </c>
      <c r="N1305" s="16" t="str">
        <f t="shared" si="851"/>
        <v/>
      </c>
      <c r="O1305" s="16" t="str">
        <f>IF(N1305="","",COUNTIF($N$8:N1305,N1305))</f>
        <v/>
      </c>
      <c r="P1305" s="34" t="str">
        <f t="shared" si="852"/>
        <v/>
      </c>
      <c r="Q1305" s="34" t="str">
        <f t="shared" si="853"/>
        <v/>
      </c>
      <c r="R1305" s="34" t="str">
        <f t="shared" si="854"/>
        <v/>
      </c>
      <c r="S1305" s="34" t="str">
        <f t="shared" si="855"/>
        <v/>
      </c>
      <c r="T1305" s="34" t="str">
        <f t="shared" si="856"/>
        <v/>
      </c>
      <c r="U1305" s="34" t="str">
        <f>IF(AND(L1305=1,bp_kode=T1305,T1305&lt;&gt;""),COUNTIF($T$8:T1305,T1305),"")</f>
        <v/>
      </c>
      <c r="V1305" s="34" t="str">
        <f t="shared" si="857"/>
        <v/>
      </c>
      <c r="W1305" s="34" t="str">
        <f t="shared" si="858"/>
        <v/>
      </c>
      <c r="X1305" s="34" t="str">
        <f>IF(B1305="","",COUNTIF($C$8:C1305,C1305)&amp;C1305)</f>
        <v/>
      </c>
    </row>
    <row r="1306" spans="2:24" ht="23.1" customHeight="1">
      <c r="B1306" s="31"/>
      <c r="C1306" s="9"/>
      <c r="D1306" s="9"/>
      <c r="E1306" s="7"/>
      <c r="F1306" s="7"/>
      <c r="G1306" s="7"/>
      <c r="H1306" s="7"/>
      <c r="I1306" s="7"/>
      <c r="J1306" s="39"/>
      <c r="L1306" s="16" t="str">
        <f t="shared" si="849"/>
        <v/>
      </c>
      <c r="M1306" s="16" t="str">
        <f t="shared" si="850"/>
        <v/>
      </c>
      <c r="N1306" s="16" t="str">
        <f t="shared" si="851"/>
        <v/>
      </c>
      <c r="O1306" s="16" t="str">
        <f>IF(N1306="","",COUNTIF($N$8:N1306,N1306))</f>
        <v/>
      </c>
      <c r="P1306" s="34" t="str">
        <f t="shared" si="852"/>
        <v/>
      </c>
      <c r="Q1306" s="34" t="str">
        <f t="shared" si="853"/>
        <v/>
      </c>
      <c r="R1306" s="34" t="str">
        <f t="shared" si="854"/>
        <v/>
      </c>
      <c r="S1306" s="34" t="str">
        <f t="shared" si="855"/>
        <v/>
      </c>
      <c r="T1306" s="34" t="str">
        <f t="shared" si="856"/>
        <v/>
      </c>
      <c r="U1306" s="34" t="str">
        <f>IF(AND(L1306=1,bp_kode=T1306,T1306&lt;&gt;""),COUNTIF($T$8:T1306,T1306),"")</f>
        <v/>
      </c>
      <c r="V1306" s="34" t="str">
        <f t="shared" si="857"/>
        <v/>
      </c>
      <c r="W1306" s="34" t="str">
        <f t="shared" si="858"/>
        <v/>
      </c>
      <c r="X1306" s="34" t="str">
        <f>IF(B1306="","",COUNTIF($C$8:C1306,C1306)&amp;C1306)</f>
        <v/>
      </c>
    </row>
    <row r="1307" spans="2:24" ht="23.1" customHeight="1">
      <c r="B1307" s="31"/>
      <c r="C1307" s="9"/>
      <c r="D1307" s="9"/>
      <c r="E1307" s="7"/>
      <c r="F1307" s="7"/>
      <c r="G1307" s="7"/>
      <c r="H1307" s="7"/>
      <c r="I1307" s="7"/>
      <c r="J1307" s="39"/>
      <c r="L1307" s="16" t="str">
        <f t="shared" si="849"/>
        <v/>
      </c>
      <c r="M1307" s="16" t="str">
        <f t="shared" si="850"/>
        <v/>
      </c>
      <c r="N1307" s="16" t="str">
        <f t="shared" si="851"/>
        <v/>
      </c>
      <c r="O1307" s="16" t="str">
        <f>IF(N1307="","",COUNTIF($N$8:N1307,N1307))</f>
        <v/>
      </c>
      <c r="P1307" s="34" t="str">
        <f t="shared" si="852"/>
        <v/>
      </c>
      <c r="Q1307" s="34" t="str">
        <f t="shared" si="853"/>
        <v/>
      </c>
      <c r="R1307" s="34" t="str">
        <f t="shared" si="854"/>
        <v/>
      </c>
      <c r="S1307" s="34" t="str">
        <f t="shared" si="855"/>
        <v/>
      </c>
      <c r="T1307" s="34" t="str">
        <f t="shared" si="856"/>
        <v/>
      </c>
      <c r="U1307" s="34" t="str">
        <f>IF(AND(L1307=1,bp_kode=T1307,T1307&lt;&gt;""),COUNTIF($T$8:T1307,T1307),"")</f>
        <v/>
      </c>
      <c r="V1307" s="34" t="str">
        <f t="shared" si="857"/>
        <v/>
      </c>
      <c r="W1307" s="34" t="str">
        <f t="shared" si="858"/>
        <v/>
      </c>
      <c r="X1307" s="34" t="str">
        <f>IF(B1307="","",COUNTIF($C$8:C1307,C1307)&amp;C1307)</f>
        <v/>
      </c>
    </row>
    <row r="1308" spans="2:24" ht="23.1" customHeight="1">
      <c r="B1308" s="31"/>
      <c r="C1308" s="9"/>
      <c r="D1308" s="9"/>
      <c r="E1308" s="7"/>
      <c r="F1308" s="7"/>
      <c r="G1308" s="7"/>
      <c r="H1308" s="7"/>
      <c r="I1308" s="7"/>
      <c r="J1308" s="39"/>
      <c r="L1308" s="16" t="str">
        <f t="shared" si="849"/>
        <v/>
      </c>
      <c r="M1308" s="16" t="str">
        <f t="shared" si="850"/>
        <v/>
      </c>
      <c r="N1308" s="16" t="str">
        <f t="shared" si="851"/>
        <v/>
      </c>
      <c r="O1308" s="16" t="str">
        <f>IF(N1308="","",COUNTIF($N$8:N1308,N1308))</f>
        <v/>
      </c>
      <c r="P1308" s="34" t="str">
        <f t="shared" si="852"/>
        <v/>
      </c>
      <c r="Q1308" s="34" t="str">
        <f t="shared" si="853"/>
        <v/>
      </c>
      <c r="R1308" s="34" t="str">
        <f t="shared" si="854"/>
        <v/>
      </c>
      <c r="S1308" s="34" t="str">
        <f t="shared" si="855"/>
        <v/>
      </c>
      <c r="T1308" s="34" t="str">
        <f t="shared" si="856"/>
        <v/>
      </c>
      <c r="U1308" s="34" t="str">
        <f>IF(AND(L1308=1,bp_kode=T1308,T1308&lt;&gt;""),COUNTIF($T$8:T1308,T1308),"")</f>
        <v/>
      </c>
      <c r="V1308" s="34" t="str">
        <f t="shared" si="857"/>
        <v/>
      </c>
      <c r="W1308" s="34" t="str">
        <f t="shared" si="858"/>
        <v/>
      </c>
      <c r="X1308" s="34" t="str">
        <f>IF(B1308="","",COUNTIF($C$8:C1308,C1308)&amp;C1308)</f>
        <v/>
      </c>
    </row>
    <row r="1309" spans="2:24" ht="23.1" customHeight="1">
      <c r="B1309" s="31"/>
      <c r="C1309" s="9"/>
      <c r="D1309" s="9"/>
      <c r="E1309" s="7"/>
      <c r="F1309" s="7"/>
      <c r="G1309" s="7"/>
      <c r="H1309" s="7"/>
      <c r="I1309" s="7"/>
      <c r="J1309" s="39"/>
      <c r="L1309" s="16" t="str">
        <f t="shared" si="849"/>
        <v/>
      </c>
      <c r="M1309" s="16" t="str">
        <f t="shared" si="850"/>
        <v/>
      </c>
      <c r="N1309" s="16" t="str">
        <f t="shared" si="851"/>
        <v/>
      </c>
      <c r="O1309" s="16" t="str">
        <f>IF(N1309="","",COUNTIF($N$8:N1309,N1309))</f>
        <v/>
      </c>
      <c r="P1309" s="34" t="str">
        <f t="shared" si="852"/>
        <v/>
      </c>
      <c r="Q1309" s="34" t="str">
        <f t="shared" si="853"/>
        <v/>
      </c>
      <c r="R1309" s="34" t="str">
        <f t="shared" si="854"/>
        <v/>
      </c>
      <c r="S1309" s="34" t="str">
        <f t="shared" si="855"/>
        <v/>
      </c>
      <c r="T1309" s="34" t="str">
        <f t="shared" si="856"/>
        <v/>
      </c>
      <c r="U1309" s="34" t="str">
        <f>IF(AND(L1309=1,bp_kode=T1309,T1309&lt;&gt;""),COUNTIF($T$8:T1309,T1309),"")</f>
        <v/>
      </c>
      <c r="V1309" s="34" t="str">
        <f t="shared" si="857"/>
        <v/>
      </c>
      <c r="W1309" s="34" t="str">
        <f t="shared" si="858"/>
        <v/>
      </c>
      <c r="X1309" s="34" t="str">
        <f>IF(B1309="","",COUNTIF($C$8:C1309,C1309)&amp;C1309)</f>
        <v/>
      </c>
    </row>
    <row r="1310" spans="2:24" ht="23.1" customHeight="1">
      <c r="B1310" s="31"/>
      <c r="C1310" s="9"/>
      <c r="D1310" s="9"/>
      <c r="E1310" s="7"/>
      <c r="F1310" s="7"/>
      <c r="G1310" s="7"/>
      <c r="H1310" s="7"/>
      <c r="I1310" s="7"/>
      <c r="J1310" s="39"/>
      <c r="L1310" s="16" t="str">
        <f t="shared" si="849"/>
        <v/>
      </c>
      <c r="M1310" s="16" t="str">
        <f t="shared" si="850"/>
        <v/>
      </c>
      <c r="N1310" s="16" t="str">
        <f t="shared" si="851"/>
        <v/>
      </c>
      <c r="O1310" s="16" t="str">
        <f>IF(N1310="","",COUNTIF($N$8:N1310,N1310))</f>
        <v/>
      </c>
      <c r="P1310" s="34" t="str">
        <f t="shared" si="852"/>
        <v/>
      </c>
      <c r="Q1310" s="34" t="str">
        <f t="shared" si="853"/>
        <v/>
      </c>
      <c r="R1310" s="34" t="str">
        <f t="shared" si="854"/>
        <v/>
      </c>
      <c r="S1310" s="34" t="str">
        <f t="shared" si="855"/>
        <v/>
      </c>
      <c r="T1310" s="34" t="str">
        <f t="shared" si="856"/>
        <v/>
      </c>
      <c r="U1310" s="34" t="str">
        <f>IF(AND(L1310=1,bp_kode=T1310,T1310&lt;&gt;""),COUNTIF($T$8:T1310,T1310),"")</f>
        <v/>
      </c>
      <c r="V1310" s="34" t="str">
        <f t="shared" si="857"/>
        <v/>
      </c>
      <c r="W1310" s="34" t="str">
        <f t="shared" si="858"/>
        <v/>
      </c>
      <c r="X1310" s="34" t="str">
        <f>IF(B1310="","",COUNTIF($C$8:C1310,C1310)&amp;C1310)</f>
        <v/>
      </c>
    </row>
    <row r="1311" spans="2:24" ht="23.1" customHeight="1">
      <c r="B1311" s="31"/>
      <c r="C1311" s="9"/>
      <c r="D1311" s="9"/>
      <c r="E1311" s="7"/>
      <c r="F1311" s="7"/>
      <c r="G1311" s="7"/>
      <c r="H1311" s="7"/>
      <c r="I1311" s="7"/>
      <c r="J1311" s="39"/>
      <c r="L1311" s="16" t="str">
        <f t="shared" si="849"/>
        <v/>
      </c>
      <c r="M1311" s="16" t="str">
        <f t="shared" si="850"/>
        <v/>
      </c>
      <c r="N1311" s="16" t="str">
        <f t="shared" si="851"/>
        <v/>
      </c>
      <c r="O1311" s="16" t="str">
        <f>IF(N1311="","",COUNTIF($N$8:N1311,N1311))</f>
        <v/>
      </c>
      <c r="P1311" s="34" t="str">
        <f t="shared" si="852"/>
        <v/>
      </c>
      <c r="Q1311" s="34" t="str">
        <f t="shared" si="853"/>
        <v/>
      </c>
      <c r="R1311" s="34" t="str">
        <f t="shared" si="854"/>
        <v/>
      </c>
      <c r="S1311" s="34" t="str">
        <f t="shared" si="855"/>
        <v/>
      </c>
      <c r="T1311" s="34" t="str">
        <f t="shared" si="856"/>
        <v/>
      </c>
      <c r="U1311" s="34" t="str">
        <f>IF(AND(L1311=1,bp_kode=T1311,T1311&lt;&gt;""),COUNTIF($T$8:T1311,T1311),"")</f>
        <v/>
      </c>
      <c r="V1311" s="34" t="str">
        <f t="shared" si="857"/>
        <v/>
      </c>
      <c r="W1311" s="34" t="str">
        <f t="shared" si="858"/>
        <v/>
      </c>
      <c r="X1311" s="34" t="str">
        <f>IF(B1311="","",COUNTIF($C$8:C1311,C1311)&amp;C1311)</f>
        <v/>
      </c>
    </row>
    <row r="1312" spans="2:24" ht="23.1" customHeight="1">
      <c r="B1312" s="31"/>
      <c r="C1312" s="9"/>
      <c r="D1312" s="9"/>
      <c r="E1312" s="7"/>
      <c r="F1312" s="7"/>
      <c r="G1312" s="7"/>
      <c r="H1312" s="7"/>
      <c r="I1312" s="7"/>
      <c r="J1312" s="39"/>
      <c r="L1312" s="16" t="str">
        <f t="shared" si="849"/>
        <v/>
      </c>
      <c r="M1312" s="16" t="str">
        <f t="shared" si="850"/>
        <v/>
      </c>
      <c r="N1312" s="16" t="str">
        <f t="shared" si="851"/>
        <v/>
      </c>
      <c r="O1312" s="16" t="str">
        <f>IF(N1312="","",COUNTIF($N$8:N1312,N1312))</f>
        <v/>
      </c>
      <c r="P1312" s="34" t="str">
        <f t="shared" si="852"/>
        <v/>
      </c>
      <c r="Q1312" s="34" t="str">
        <f t="shared" si="853"/>
        <v/>
      </c>
      <c r="R1312" s="34" t="str">
        <f t="shared" si="854"/>
        <v/>
      </c>
      <c r="S1312" s="34" t="str">
        <f t="shared" si="855"/>
        <v/>
      </c>
      <c r="T1312" s="34" t="str">
        <f t="shared" si="856"/>
        <v/>
      </c>
      <c r="U1312" s="34" t="str">
        <f>IF(AND(L1312=1,bp_kode=T1312,T1312&lt;&gt;""),COUNTIF($T$8:T1312,T1312),"")</f>
        <v/>
      </c>
      <c r="V1312" s="34" t="str">
        <f t="shared" si="857"/>
        <v/>
      </c>
      <c r="W1312" s="34" t="str">
        <f t="shared" si="858"/>
        <v/>
      </c>
      <c r="X1312" s="34" t="str">
        <f>IF(B1312="","",COUNTIF($C$8:C1312,C1312)&amp;C1312)</f>
        <v/>
      </c>
    </row>
    <row r="1313" spans="2:24" ht="23.1" customHeight="1">
      <c r="B1313" s="31"/>
      <c r="C1313" s="9"/>
      <c r="D1313" s="9"/>
      <c r="E1313" s="7"/>
      <c r="F1313" s="7"/>
      <c r="G1313" s="7"/>
      <c r="H1313" s="7"/>
      <c r="I1313" s="7"/>
      <c r="J1313" s="39"/>
      <c r="L1313" s="16" t="str">
        <f t="shared" si="849"/>
        <v/>
      </c>
      <c r="M1313" s="16" t="str">
        <f t="shared" si="850"/>
        <v/>
      </c>
      <c r="N1313" s="16" t="str">
        <f t="shared" si="851"/>
        <v/>
      </c>
      <c r="O1313" s="16" t="str">
        <f>IF(N1313="","",COUNTIF($N$8:N1313,N1313))</f>
        <v/>
      </c>
      <c r="P1313" s="34" t="str">
        <f t="shared" si="852"/>
        <v/>
      </c>
      <c r="Q1313" s="34" t="str">
        <f t="shared" si="853"/>
        <v/>
      </c>
      <c r="R1313" s="34" t="str">
        <f t="shared" si="854"/>
        <v/>
      </c>
      <c r="S1313" s="34" t="str">
        <f t="shared" si="855"/>
        <v/>
      </c>
      <c r="T1313" s="34" t="str">
        <f t="shared" si="856"/>
        <v/>
      </c>
      <c r="U1313" s="34" t="str">
        <f>IF(AND(L1313=1,bp_kode=T1313,T1313&lt;&gt;""),COUNTIF($T$8:T1313,T1313),"")</f>
        <v/>
      </c>
      <c r="V1313" s="34" t="str">
        <f t="shared" si="857"/>
        <v/>
      </c>
      <c r="W1313" s="34" t="str">
        <f t="shared" si="858"/>
        <v/>
      </c>
      <c r="X1313" s="34" t="str">
        <f>IF(B1313="","",COUNTIF($C$8:C1313,C1313)&amp;C1313)</f>
        <v/>
      </c>
    </row>
    <row r="1314" spans="2:24" ht="23.1" customHeight="1">
      <c r="B1314" s="31"/>
      <c r="C1314" s="9"/>
      <c r="D1314" s="9"/>
      <c r="E1314" s="7"/>
      <c r="F1314" s="7"/>
      <c r="G1314" s="7"/>
      <c r="H1314" s="7"/>
      <c r="I1314" s="7"/>
      <c r="J1314" s="39"/>
      <c r="L1314" s="16" t="str">
        <f t="shared" si="849"/>
        <v/>
      </c>
      <c r="M1314" s="16" t="str">
        <f t="shared" si="850"/>
        <v/>
      </c>
      <c r="N1314" s="16" t="str">
        <f t="shared" si="851"/>
        <v/>
      </c>
      <c r="O1314" s="16" t="str">
        <f>IF(N1314="","",COUNTIF($N$8:N1314,N1314))</f>
        <v/>
      </c>
      <c r="P1314" s="34" t="str">
        <f t="shared" si="852"/>
        <v/>
      </c>
      <c r="Q1314" s="34" t="str">
        <f t="shared" si="853"/>
        <v/>
      </c>
      <c r="R1314" s="34" t="str">
        <f t="shared" si="854"/>
        <v/>
      </c>
      <c r="S1314" s="34" t="str">
        <f t="shared" si="855"/>
        <v/>
      </c>
      <c r="T1314" s="34" t="str">
        <f t="shared" si="856"/>
        <v/>
      </c>
      <c r="U1314" s="34" t="str">
        <f>IF(AND(L1314=1,bp_kode=T1314,T1314&lt;&gt;""),COUNTIF($T$8:T1314,T1314),"")</f>
        <v/>
      </c>
      <c r="V1314" s="34" t="str">
        <f t="shared" si="857"/>
        <v/>
      </c>
      <c r="W1314" s="34" t="str">
        <f t="shared" si="858"/>
        <v/>
      </c>
      <c r="X1314" s="34" t="str">
        <f>IF(B1314="","",COUNTIF($C$8:C1314,C1314)&amp;C1314)</f>
        <v/>
      </c>
    </row>
    <row r="1315" spans="2:24" ht="23.1" customHeight="1">
      <c r="B1315" s="31"/>
      <c r="C1315" s="9"/>
      <c r="D1315" s="9"/>
      <c r="E1315" s="7"/>
      <c r="F1315" s="7"/>
      <c r="G1315" s="7"/>
      <c r="H1315" s="7"/>
      <c r="I1315" s="7"/>
      <c r="J1315" s="39"/>
      <c r="L1315" s="16" t="str">
        <f t="shared" si="849"/>
        <v/>
      </c>
      <c r="M1315" s="16" t="str">
        <f t="shared" si="850"/>
        <v/>
      </c>
      <c r="N1315" s="16" t="str">
        <f t="shared" si="851"/>
        <v/>
      </c>
      <c r="O1315" s="16" t="str">
        <f>IF(N1315="","",COUNTIF($N$8:N1315,N1315))</f>
        <v/>
      </c>
      <c r="P1315" s="34" t="str">
        <f t="shared" si="852"/>
        <v/>
      </c>
      <c r="Q1315" s="34" t="str">
        <f t="shared" si="853"/>
        <v/>
      </c>
      <c r="R1315" s="34" t="str">
        <f t="shared" si="854"/>
        <v/>
      </c>
      <c r="S1315" s="34" t="str">
        <f t="shared" si="855"/>
        <v/>
      </c>
      <c r="T1315" s="34" t="str">
        <f t="shared" si="856"/>
        <v/>
      </c>
      <c r="U1315" s="34" t="str">
        <f>IF(AND(L1315=1,bp_kode=T1315,T1315&lt;&gt;""),COUNTIF($T$8:T1315,T1315),"")</f>
        <v/>
      </c>
      <c r="V1315" s="34" t="str">
        <f t="shared" si="857"/>
        <v/>
      </c>
      <c r="W1315" s="34" t="str">
        <f t="shared" si="858"/>
        <v/>
      </c>
      <c r="X1315" s="34" t="str">
        <f>IF(B1315="","",COUNTIF($C$8:C1315,C1315)&amp;C1315)</f>
        <v/>
      </c>
    </row>
    <row r="1316" spans="2:24" ht="23.1" customHeight="1">
      <c r="B1316" s="31"/>
      <c r="C1316" s="9"/>
      <c r="D1316" s="9"/>
      <c r="E1316" s="7"/>
      <c r="F1316" s="7"/>
      <c r="G1316" s="7"/>
      <c r="H1316" s="7"/>
      <c r="I1316" s="7"/>
      <c r="J1316" s="39"/>
      <c r="L1316" s="16" t="str">
        <f t="shared" si="849"/>
        <v/>
      </c>
      <c r="M1316" s="16" t="str">
        <f t="shared" si="850"/>
        <v/>
      </c>
      <c r="N1316" s="16" t="str">
        <f t="shared" si="851"/>
        <v/>
      </c>
      <c r="O1316" s="16" t="str">
        <f>IF(N1316="","",COUNTIF($N$8:N1316,N1316))</f>
        <v/>
      </c>
      <c r="P1316" s="34" t="str">
        <f t="shared" si="852"/>
        <v/>
      </c>
      <c r="Q1316" s="34" t="str">
        <f t="shared" si="853"/>
        <v/>
      </c>
      <c r="R1316" s="34" t="str">
        <f t="shared" si="854"/>
        <v/>
      </c>
      <c r="S1316" s="34" t="str">
        <f t="shared" si="855"/>
        <v/>
      </c>
      <c r="T1316" s="34" t="str">
        <f t="shared" si="856"/>
        <v/>
      </c>
      <c r="U1316" s="34" t="str">
        <f>IF(AND(L1316=1,bp_kode=T1316,T1316&lt;&gt;""),COUNTIF($T$8:T1316,T1316),"")</f>
        <v/>
      </c>
      <c r="V1316" s="34" t="str">
        <f t="shared" si="857"/>
        <v/>
      </c>
      <c r="W1316" s="34" t="str">
        <f t="shared" si="858"/>
        <v/>
      </c>
      <c r="X1316" s="34" t="str">
        <f>IF(B1316="","",COUNTIF($C$8:C1316,C1316)&amp;C1316)</f>
        <v/>
      </c>
    </row>
    <row r="1317" spans="2:24" ht="23.1" customHeight="1">
      <c r="B1317" s="31"/>
      <c r="C1317" s="9"/>
      <c r="D1317" s="9"/>
      <c r="E1317" s="7"/>
      <c r="F1317" s="7"/>
      <c r="G1317" s="7"/>
      <c r="H1317" s="7"/>
      <c r="I1317" s="7"/>
      <c r="J1317" s="39"/>
      <c r="L1317" s="16" t="str">
        <f t="shared" si="849"/>
        <v/>
      </c>
      <c r="M1317" s="16" t="str">
        <f t="shared" si="850"/>
        <v/>
      </c>
      <c r="N1317" s="16" t="str">
        <f t="shared" si="851"/>
        <v/>
      </c>
      <c r="O1317" s="16" t="str">
        <f>IF(N1317="","",COUNTIF($N$8:N1317,N1317))</f>
        <v/>
      </c>
      <c r="P1317" s="34" t="str">
        <f t="shared" si="852"/>
        <v/>
      </c>
      <c r="Q1317" s="34" t="str">
        <f t="shared" si="853"/>
        <v/>
      </c>
      <c r="R1317" s="34" t="str">
        <f t="shared" si="854"/>
        <v/>
      </c>
      <c r="S1317" s="34" t="str">
        <f t="shared" si="855"/>
        <v/>
      </c>
      <c r="T1317" s="34" t="str">
        <f t="shared" si="856"/>
        <v/>
      </c>
      <c r="U1317" s="34" t="str">
        <f>IF(AND(L1317=1,bp_kode=T1317,T1317&lt;&gt;""),COUNTIF($T$8:T1317,T1317),"")</f>
        <v/>
      </c>
      <c r="V1317" s="34" t="str">
        <f t="shared" si="857"/>
        <v/>
      </c>
      <c r="W1317" s="34" t="str">
        <f t="shared" si="858"/>
        <v/>
      </c>
      <c r="X1317" s="34" t="str">
        <f>IF(B1317="","",COUNTIF($C$8:C1317,C1317)&amp;C1317)</f>
        <v/>
      </c>
    </row>
    <row r="1318" spans="2:24" ht="23.1" customHeight="1">
      <c r="B1318" s="31"/>
      <c r="C1318" s="9"/>
      <c r="D1318" s="9"/>
      <c r="E1318" s="7"/>
      <c r="F1318" s="7"/>
      <c r="G1318" s="7"/>
      <c r="H1318" s="7"/>
      <c r="I1318" s="7"/>
      <c r="J1318" s="39"/>
      <c r="L1318" s="16" t="str">
        <f t="shared" si="849"/>
        <v/>
      </c>
      <c r="M1318" s="16" t="str">
        <f t="shared" si="850"/>
        <v/>
      </c>
      <c r="N1318" s="16" t="str">
        <f t="shared" si="851"/>
        <v/>
      </c>
      <c r="O1318" s="16" t="str">
        <f>IF(N1318="","",COUNTIF($N$8:N1318,N1318))</f>
        <v/>
      </c>
      <c r="P1318" s="34" t="str">
        <f t="shared" si="852"/>
        <v/>
      </c>
      <c r="Q1318" s="34" t="str">
        <f t="shared" si="853"/>
        <v/>
      </c>
      <c r="R1318" s="34" t="str">
        <f t="shared" si="854"/>
        <v/>
      </c>
      <c r="S1318" s="34" t="str">
        <f t="shared" si="855"/>
        <v/>
      </c>
      <c r="T1318" s="34" t="str">
        <f t="shared" si="856"/>
        <v/>
      </c>
      <c r="U1318" s="34" t="str">
        <f>IF(AND(L1318=1,bp_kode=T1318,T1318&lt;&gt;""),COUNTIF($T$8:T1318,T1318),"")</f>
        <v/>
      </c>
      <c r="V1318" s="34" t="str">
        <f t="shared" si="857"/>
        <v/>
      </c>
      <c r="W1318" s="34" t="str">
        <f t="shared" si="858"/>
        <v/>
      </c>
      <c r="X1318" s="34" t="str">
        <f>IF(B1318="","",COUNTIF($C$8:C1318,C1318)&amp;C1318)</f>
        <v/>
      </c>
    </row>
    <row r="1319" spans="2:24" ht="23.1" customHeight="1">
      <c r="B1319" s="31"/>
      <c r="C1319" s="9"/>
      <c r="D1319" s="9"/>
      <c r="E1319" s="7"/>
      <c r="F1319" s="7"/>
      <c r="G1319" s="7"/>
      <c r="H1319" s="7"/>
      <c r="I1319" s="7"/>
      <c r="J1319" s="39"/>
      <c r="L1319" s="16" t="str">
        <f t="shared" si="849"/>
        <v/>
      </c>
      <c r="M1319" s="16" t="str">
        <f t="shared" si="850"/>
        <v/>
      </c>
      <c r="N1319" s="16" t="str">
        <f t="shared" si="851"/>
        <v/>
      </c>
      <c r="O1319" s="16" t="str">
        <f>IF(N1319="","",COUNTIF($N$8:N1319,N1319))</f>
        <v/>
      </c>
      <c r="P1319" s="34" t="str">
        <f t="shared" si="852"/>
        <v/>
      </c>
      <c r="Q1319" s="34" t="str">
        <f t="shared" si="853"/>
        <v/>
      </c>
      <c r="R1319" s="34" t="str">
        <f t="shared" si="854"/>
        <v/>
      </c>
      <c r="S1319" s="34" t="str">
        <f t="shared" si="855"/>
        <v/>
      </c>
      <c r="T1319" s="34" t="str">
        <f t="shared" si="856"/>
        <v/>
      </c>
      <c r="U1319" s="34" t="str">
        <f>IF(AND(L1319=1,bp_kode=T1319,T1319&lt;&gt;""),COUNTIF($T$8:T1319,T1319),"")</f>
        <v/>
      </c>
      <c r="V1319" s="34" t="str">
        <f t="shared" si="857"/>
        <v/>
      </c>
      <c r="W1319" s="34" t="str">
        <f t="shared" si="858"/>
        <v/>
      </c>
      <c r="X1319" s="34" t="str">
        <f>IF(B1319="","",COUNTIF($C$8:C1319,C1319)&amp;C1319)</f>
        <v/>
      </c>
    </row>
    <row r="1320" spans="2:24" ht="23.1" customHeight="1">
      <c r="B1320" s="31"/>
      <c r="C1320" s="9"/>
      <c r="D1320" s="9"/>
      <c r="E1320" s="7"/>
      <c r="F1320" s="7"/>
      <c r="G1320" s="7"/>
      <c r="H1320" s="7"/>
      <c r="I1320" s="7"/>
      <c r="J1320" s="39"/>
      <c r="L1320" s="16" t="str">
        <f t="shared" si="849"/>
        <v/>
      </c>
      <c r="M1320" s="16" t="str">
        <f t="shared" si="850"/>
        <v/>
      </c>
      <c r="N1320" s="16" t="str">
        <f t="shared" si="851"/>
        <v/>
      </c>
      <c r="O1320" s="16" t="str">
        <f>IF(N1320="","",COUNTIF($N$8:N1320,N1320))</f>
        <v/>
      </c>
      <c r="P1320" s="34" t="str">
        <f t="shared" si="852"/>
        <v/>
      </c>
      <c r="Q1320" s="34" t="str">
        <f t="shared" si="853"/>
        <v/>
      </c>
      <c r="R1320" s="34" t="str">
        <f t="shared" si="854"/>
        <v/>
      </c>
      <c r="S1320" s="34" t="str">
        <f t="shared" si="855"/>
        <v/>
      </c>
      <c r="T1320" s="34" t="str">
        <f t="shared" si="856"/>
        <v/>
      </c>
      <c r="U1320" s="34" t="str">
        <f>IF(AND(L1320=1,bp_kode=T1320,T1320&lt;&gt;""),COUNTIF($T$8:T1320,T1320),"")</f>
        <v/>
      </c>
      <c r="V1320" s="34" t="str">
        <f t="shared" si="857"/>
        <v/>
      </c>
      <c r="W1320" s="34" t="str">
        <f t="shared" si="858"/>
        <v/>
      </c>
      <c r="X1320" s="34" t="str">
        <f>IF(B1320="","",COUNTIF($C$8:C1320,C1320)&amp;C1320)</f>
        <v/>
      </c>
    </row>
    <row r="1321" spans="2:24" ht="23.1" customHeight="1">
      <c r="B1321" s="31"/>
      <c r="C1321" s="9"/>
      <c r="D1321" s="9"/>
      <c r="E1321" s="7"/>
      <c r="F1321" s="7"/>
      <c r="G1321" s="7"/>
      <c r="H1321" s="7"/>
      <c r="I1321" s="7"/>
      <c r="J1321" s="39"/>
      <c r="L1321" s="16" t="str">
        <f t="shared" si="849"/>
        <v/>
      </c>
      <c r="M1321" s="16" t="str">
        <f t="shared" si="850"/>
        <v/>
      </c>
      <c r="N1321" s="16" t="str">
        <f t="shared" si="851"/>
        <v/>
      </c>
      <c r="O1321" s="16" t="str">
        <f>IF(N1321="","",COUNTIF($N$8:N1321,N1321))</f>
        <v/>
      </c>
      <c r="P1321" s="34" t="str">
        <f t="shared" si="852"/>
        <v/>
      </c>
      <c r="Q1321" s="34" t="str">
        <f t="shared" si="853"/>
        <v/>
      </c>
      <c r="R1321" s="34" t="str">
        <f t="shared" si="854"/>
        <v/>
      </c>
      <c r="S1321" s="34" t="str">
        <f t="shared" si="855"/>
        <v/>
      </c>
      <c r="T1321" s="34" t="str">
        <f t="shared" si="856"/>
        <v/>
      </c>
      <c r="U1321" s="34" t="str">
        <f>IF(AND(L1321=1,bp_kode=T1321,T1321&lt;&gt;""),COUNTIF($T$8:T1321,T1321),"")</f>
        <v/>
      </c>
      <c r="V1321" s="34" t="str">
        <f t="shared" si="857"/>
        <v/>
      </c>
      <c r="W1321" s="34" t="str">
        <f t="shared" si="858"/>
        <v/>
      </c>
      <c r="X1321" s="34" t="str">
        <f>IF(B1321="","",COUNTIF($C$8:C1321,C1321)&amp;C1321)</f>
        <v/>
      </c>
    </row>
    <row r="1322" spans="2:24" ht="23.1" customHeight="1">
      <c r="B1322" s="31"/>
      <c r="C1322" s="9"/>
      <c r="D1322" s="9"/>
      <c r="E1322" s="7"/>
      <c r="F1322" s="7"/>
      <c r="G1322" s="7"/>
      <c r="H1322" s="7"/>
      <c r="I1322" s="7"/>
      <c r="J1322" s="39"/>
      <c r="L1322" s="16" t="str">
        <f t="shared" si="849"/>
        <v/>
      </c>
      <c r="M1322" s="16" t="str">
        <f t="shared" si="850"/>
        <v/>
      </c>
      <c r="N1322" s="16" t="str">
        <f t="shared" si="851"/>
        <v/>
      </c>
      <c r="O1322" s="16" t="str">
        <f>IF(N1322="","",COUNTIF($N$8:N1322,N1322))</f>
        <v/>
      </c>
      <c r="P1322" s="34" t="str">
        <f t="shared" si="852"/>
        <v/>
      </c>
      <c r="Q1322" s="34" t="str">
        <f t="shared" si="853"/>
        <v/>
      </c>
      <c r="R1322" s="34" t="str">
        <f t="shared" si="854"/>
        <v/>
      </c>
      <c r="S1322" s="34" t="str">
        <f t="shared" si="855"/>
        <v/>
      </c>
      <c r="T1322" s="34" t="str">
        <f t="shared" si="856"/>
        <v/>
      </c>
      <c r="U1322" s="34" t="str">
        <f>IF(AND(L1322=1,bp_kode=T1322,T1322&lt;&gt;""),COUNTIF($T$8:T1322,T1322),"")</f>
        <v/>
      </c>
      <c r="V1322" s="34" t="str">
        <f t="shared" si="857"/>
        <v/>
      </c>
      <c r="W1322" s="34" t="str">
        <f t="shared" si="858"/>
        <v/>
      </c>
      <c r="X1322" s="34" t="str">
        <f>IF(B1322="","",COUNTIF($C$8:C1322,C1322)&amp;C1322)</f>
        <v/>
      </c>
    </row>
    <row r="1323" spans="2:24" ht="23.1" customHeight="1">
      <c r="B1323" s="31"/>
      <c r="C1323" s="9"/>
      <c r="D1323" s="9"/>
      <c r="E1323" s="7"/>
      <c r="F1323" s="7"/>
      <c r="G1323" s="7"/>
      <c r="H1323" s="7"/>
      <c r="I1323" s="7"/>
      <c r="J1323" s="39"/>
      <c r="L1323" s="16" t="str">
        <f t="shared" si="849"/>
        <v/>
      </c>
      <c r="M1323" s="16" t="str">
        <f t="shared" si="850"/>
        <v/>
      </c>
      <c r="N1323" s="16" t="str">
        <f t="shared" si="851"/>
        <v/>
      </c>
      <c r="O1323" s="16" t="str">
        <f>IF(N1323="","",COUNTIF($N$8:N1323,N1323))</f>
        <v/>
      </c>
      <c r="P1323" s="34" t="str">
        <f t="shared" si="852"/>
        <v/>
      </c>
      <c r="Q1323" s="34" t="str">
        <f t="shared" si="853"/>
        <v/>
      </c>
      <c r="R1323" s="34" t="str">
        <f t="shared" si="854"/>
        <v/>
      </c>
      <c r="S1323" s="34" t="str">
        <f t="shared" si="855"/>
        <v/>
      </c>
      <c r="T1323" s="34" t="str">
        <f t="shared" si="856"/>
        <v/>
      </c>
      <c r="U1323" s="34" t="str">
        <f>IF(AND(L1323=1,bp_kode=T1323,T1323&lt;&gt;""),COUNTIF($T$8:T1323,T1323),"")</f>
        <v/>
      </c>
      <c r="V1323" s="34" t="str">
        <f t="shared" si="857"/>
        <v/>
      </c>
      <c r="W1323" s="34" t="str">
        <f t="shared" si="858"/>
        <v/>
      </c>
      <c r="X1323" s="34" t="str">
        <f>IF(B1323="","",COUNTIF($C$8:C1323,C1323)&amp;C1323)</f>
        <v/>
      </c>
    </row>
    <row r="1324" spans="2:24" ht="23.1" customHeight="1">
      <c r="B1324" s="31"/>
      <c r="C1324" s="9"/>
      <c r="D1324" s="9"/>
      <c r="E1324" s="7"/>
      <c r="F1324" s="7"/>
      <c r="G1324" s="7"/>
      <c r="H1324" s="7"/>
      <c r="I1324" s="7"/>
      <c r="J1324" s="39"/>
      <c r="L1324" s="16" t="str">
        <f t="shared" si="849"/>
        <v/>
      </c>
      <c r="M1324" s="16" t="str">
        <f t="shared" si="850"/>
        <v/>
      </c>
      <c r="N1324" s="16" t="str">
        <f t="shared" si="851"/>
        <v/>
      </c>
      <c r="O1324" s="16" t="str">
        <f>IF(N1324="","",COUNTIF($N$8:N1324,N1324))</f>
        <v/>
      </c>
      <c r="P1324" s="34" t="str">
        <f t="shared" si="852"/>
        <v/>
      </c>
      <c r="Q1324" s="34" t="str">
        <f t="shared" si="853"/>
        <v/>
      </c>
      <c r="R1324" s="34" t="str">
        <f t="shared" si="854"/>
        <v/>
      </c>
      <c r="S1324" s="34" t="str">
        <f t="shared" si="855"/>
        <v/>
      </c>
      <c r="T1324" s="34" t="str">
        <f t="shared" si="856"/>
        <v/>
      </c>
      <c r="U1324" s="34" t="str">
        <f>IF(AND(L1324=1,bp_kode=T1324,T1324&lt;&gt;""),COUNTIF($T$8:T1324,T1324),"")</f>
        <v/>
      </c>
      <c r="V1324" s="34" t="str">
        <f t="shared" si="857"/>
        <v/>
      </c>
      <c r="W1324" s="34" t="str">
        <f t="shared" si="858"/>
        <v/>
      </c>
      <c r="X1324" s="34" t="str">
        <f>IF(B1324="","",COUNTIF($C$8:C1324,C1324)&amp;C1324)</f>
        <v/>
      </c>
    </row>
    <row r="1325" spans="2:24" ht="23.1" customHeight="1">
      <c r="B1325" s="31"/>
      <c r="C1325" s="9"/>
      <c r="D1325" s="9"/>
      <c r="E1325" s="7"/>
      <c r="F1325" s="7"/>
      <c r="G1325" s="7"/>
      <c r="H1325" s="7"/>
      <c r="I1325" s="7"/>
      <c r="J1325" s="39"/>
      <c r="L1325" s="16" t="str">
        <f t="shared" si="849"/>
        <v/>
      </c>
      <c r="M1325" s="16" t="str">
        <f t="shared" si="850"/>
        <v/>
      </c>
      <c r="N1325" s="16" t="str">
        <f t="shared" si="851"/>
        <v/>
      </c>
      <c r="O1325" s="16" t="str">
        <f>IF(N1325="","",COUNTIF($N$8:N1325,N1325))</f>
        <v/>
      </c>
      <c r="P1325" s="34" t="str">
        <f t="shared" si="852"/>
        <v/>
      </c>
      <c r="Q1325" s="34" t="str">
        <f t="shared" si="853"/>
        <v/>
      </c>
      <c r="R1325" s="34" t="str">
        <f t="shared" si="854"/>
        <v/>
      </c>
      <c r="S1325" s="34" t="str">
        <f t="shared" si="855"/>
        <v/>
      </c>
      <c r="T1325" s="34" t="str">
        <f t="shared" si="856"/>
        <v/>
      </c>
      <c r="U1325" s="34" t="str">
        <f>IF(AND(L1325=1,bp_kode=T1325,T1325&lt;&gt;""),COUNTIF($T$8:T1325,T1325),"")</f>
        <v/>
      </c>
      <c r="V1325" s="34" t="str">
        <f t="shared" si="857"/>
        <v/>
      </c>
      <c r="W1325" s="34" t="str">
        <f t="shared" si="858"/>
        <v/>
      </c>
      <c r="X1325" s="34" t="str">
        <f>IF(B1325="","",COUNTIF($C$8:C1325,C1325)&amp;C1325)</f>
        <v/>
      </c>
    </row>
    <row r="1326" spans="2:24" ht="23.1" customHeight="1">
      <c r="B1326" s="31"/>
      <c r="C1326" s="9"/>
      <c r="D1326" s="9"/>
      <c r="E1326" s="7"/>
      <c r="F1326" s="7"/>
      <c r="G1326" s="7"/>
      <c r="H1326" s="7"/>
      <c r="I1326" s="7"/>
      <c r="J1326" s="39"/>
      <c r="L1326" s="16" t="str">
        <f t="shared" si="849"/>
        <v/>
      </c>
      <c r="M1326" s="16" t="str">
        <f t="shared" si="850"/>
        <v/>
      </c>
      <c r="N1326" s="16" t="str">
        <f t="shared" si="851"/>
        <v/>
      </c>
      <c r="O1326" s="16" t="str">
        <f>IF(N1326="","",COUNTIF($N$8:N1326,N1326))</f>
        <v/>
      </c>
      <c r="P1326" s="34" t="str">
        <f t="shared" si="852"/>
        <v/>
      </c>
      <c r="Q1326" s="34" t="str">
        <f t="shared" si="853"/>
        <v/>
      </c>
      <c r="R1326" s="34" t="str">
        <f t="shared" si="854"/>
        <v/>
      </c>
      <c r="S1326" s="34" t="str">
        <f t="shared" si="855"/>
        <v/>
      </c>
      <c r="T1326" s="34" t="str">
        <f t="shared" si="856"/>
        <v/>
      </c>
      <c r="U1326" s="34" t="str">
        <f>IF(AND(L1326=1,bp_kode=T1326,T1326&lt;&gt;""),COUNTIF($T$8:T1326,T1326),"")</f>
        <v/>
      </c>
      <c r="V1326" s="34" t="str">
        <f t="shared" si="857"/>
        <v/>
      </c>
      <c r="W1326" s="34" t="str">
        <f t="shared" si="858"/>
        <v/>
      </c>
      <c r="X1326" s="34" t="str">
        <f>IF(B1326="","",COUNTIF($C$8:C1326,C1326)&amp;C1326)</f>
        <v/>
      </c>
    </row>
    <row r="1327" spans="2:24" ht="23.1" customHeight="1">
      <c r="B1327" s="31"/>
      <c r="C1327" s="9"/>
      <c r="D1327" s="9"/>
      <c r="E1327" s="7"/>
      <c r="F1327" s="7"/>
      <c r="G1327" s="7"/>
      <c r="H1327" s="7"/>
      <c r="I1327" s="7"/>
      <c r="J1327" s="39"/>
      <c r="L1327" s="16" t="str">
        <f t="shared" si="849"/>
        <v/>
      </c>
      <c r="M1327" s="16" t="str">
        <f t="shared" si="850"/>
        <v/>
      </c>
      <c r="N1327" s="16" t="str">
        <f t="shared" si="851"/>
        <v/>
      </c>
      <c r="O1327" s="16" t="str">
        <f>IF(N1327="","",COUNTIF($N$8:N1327,N1327))</f>
        <v/>
      </c>
      <c r="P1327" s="34" t="str">
        <f t="shared" si="852"/>
        <v/>
      </c>
      <c r="Q1327" s="34" t="str">
        <f t="shared" si="853"/>
        <v/>
      </c>
      <c r="R1327" s="34" t="str">
        <f t="shared" si="854"/>
        <v/>
      </c>
      <c r="S1327" s="34" t="str">
        <f t="shared" si="855"/>
        <v/>
      </c>
      <c r="T1327" s="34" t="str">
        <f t="shared" si="856"/>
        <v/>
      </c>
      <c r="U1327" s="34" t="str">
        <f>IF(AND(L1327=1,bp_kode=T1327,T1327&lt;&gt;""),COUNTIF($T$8:T1327,T1327),"")</f>
        <v/>
      </c>
      <c r="V1327" s="34" t="str">
        <f t="shared" si="857"/>
        <v/>
      </c>
      <c r="W1327" s="34" t="str">
        <f t="shared" si="858"/>
        <v/>
      </c>
      <c r="X1327" s="34" t="str">
        <f>IF(B1327="","",COUNTIF($C$8:C1327,C1327)&amp;C1327)</f>
        <v/>
      </c>
    </row>
    <row r="1328" spans="2:24" ht="23.1" customHeight="1">
      <c r="B1328" s="31"/>
      <c r="C1328" s="9"/>
      <c r="D1328" s="9"/>
      <c r="E1328" s="7"/>
      <c r="F1328" s="7"/>
      <c r="G1328" s="7"/>
      <c r="H1328" s="7"/>
      <c r="I1328" s="7"/>
      <c r="J1328" s="39"/>
      <c r="L1328" s="16" t="str">
        <f t="shared" si="849"/>
        <v/>
      </c>
      <c r="M1328" s="16" t="str">
        <f t="shared" si="850"/>
        <v/>
      </c>
      <c r="N1328" s="16" t="str">
        <f t="shared" si="851"/>
        <v/>
      </c>
      <c r="O1328" s="16" t="str">
        <f>IF(N1328="","",COUNTIF($N$8:N1328,N1328))</f>
        <v/>
      </c>
      <c r="P1328" s="34" t="str">
        <f t="shared" si="852"/>
        <v/>
      </c>
      <c r="Q1328" s="34" t="str">
        <f t="shared" si="853"/>
        <v/>
      </c>
      <c r="R1328" s="34" t="str">
        <f t="shared" si="854"/>
        <v/>
      </c>
      <c r="S1328" s="34" t="str">
        <f t="shared" si="855"/>
        <v/>
      </c>
      <c r="T1328" s="34" t="str">
        <f t="shared" si="856"/>
        <v/>
      </c>
      <c r="U1328" s="34" t="str">
        <f>IF(AND(L1328=1,bp_kode=T1328,T1328&lt;&gt;""),COUNTIF($T$8:T1328,T1328),"")</f>
        <v/>
      </c>
      <c r="V1328" s="34" t="str">
        <f t="shared" si="857"/>
        <v/>
      </c>
      <c r="W1328" s="34" t="str">
        <f t="shared" si="858"/>
        <v/>
      </c>
      <c r="X1328" s="34" t="str">
        <f>IF(B1328="","",COUNTIF($C$8:C1328,C1328)&amp;C1328)</f>
        <v/>
      </c>
    </row>
    <row r="1329" spans="2:24" ht="23.1" customHeight="1">
      <c r="B1329" s="31"/>
      <c r="C1329" s="9"/>
      <c r="D1329" s="9"/>
      <c r="E1329" s="7"/>
      <c r="F1329" s="7"/>
      <c r="G1329" s="7"/>
      <c r="H1329" s="7"/>
      <c r="I1329" s="7"/>
      <c r="J1329" s="39"/>
      <c r="L1329" s="16" t="str">
        <f t="shared" si="849"/>
        <v/>
      </c>
      <c r="M1329" s="16" t="str">
        <f t="shared" si="850"/>
        <v/>
      </c>
      <c r="N1329" s="16" t="str">
        <f t="shared" si="851"/>
        <v/>
      </c>
      <c r="O1329" s="16" t="str">
        <f>IF(N1329="","",COUNTIF($N$8:N1329,N1329))</f>
        <v/>
      </c>
      <c r="P1329" s="34" t="str">
        <f t="shared" si="852"/>
        <v/>
      </c>
      <c r="Q1329" s="34" t="str">
        <f t="shared" si="853"/>
        <v/>
      </c>
      <c r="R1329" s="34" t="str">
        <f t="shared" si="854"/>
        <v/>
      </c>
      <c r="S1329" s="34" t="str">
        <f t="shared" si="855"/>
        <v/>
      </c>
      <c r="T1329" s="34" t="str">
        <f t="shared" si="856"/>
        <v/>
      </c>
      <c r="U1329" s="34" t="str">
        <f>IF(AND(L1329=1,bp_kode=T1329,T1329&lt;&gt;""),COUNTIF($T$8:T1329,T1329),"")</f>
        <v/>
      </c>
      <c r="V1329" s="34" t="str">
        <f t="shared" si="857"/>
        <v/>
      </c>
      <c r="W1329" s="34" t="str">
        <f t="shared" si="858"/>
        <v/>
      </c>
      <c r="X1329" s="34" t="str">
        <f>IF(B1329="","",COUNTIF($C$8:C1329,C1329)&amp;C1329)</f>
        <v/>
      </c>
    </row>
    <row r="1330" spans="2:24" ht="23.1" customHeight="1">
      <c r="B1330" s="31"/>
      <c r="C1330" s="9"/>
      <c r="D1330" s="9"/>
      <c r="E1330" s="7"/>
      <c r="F1330" s="7"/>
      <c r="G1330" s="7"/>
      <c r="H1330" s="7"/>
      <c r="I1330" s="7"/>
      <c r="J1330" s="39"/>
      <c r="L1330" s="16" t="str">
        <f t="shared" si="849"/>
        <v/>
      </c>
      <c r="M1330" s="16" t="str">
        <f t="shared" si="850"/>
        <v/>
      </c>
      <c r="N1330" s="16" t="str">
        <f t="shared" si="851"/>
        <v/>
      </c>
      <c r="O1330" s="16" t="str">
        <f>IF(N1330="","",COUNTIF($N$8:N1330,N1330))</f>
        <v/>
      </c>
      <c r="P1330" s="34" t="str">
        <f t="shared" si="852"/>
        <v/>
      </c>
      <c r="Q1330" s="34" t="str">
        <f t="shared" si="853"/>
        <v/>
      </c>
      <c r="R1330" s="34" t="str">
        <f t="shared" si="854"/>
        <v/>
      </c>
      <c r="S1330" s="34" t="str">
        <f t="shared" si="855"/>
        <v/>
      </c>
      <c r="T1330" s="34" t="str">
        <f t="shared" si="856"/>
        <v/>
      </c>
      <c r="U1330" s="34" t="str">
        <f>IF(AND(L1330=1,bp_kode=T1330,T1330&lt;&gt;""),COUNTIF($T$8:T1330,T1330),"")</f>
        <v/>
      </c>
      <c r="V1330" s="34" t="str">
        <f t="shared" si="857"/>
        <v/>
      </c>
      <c r="W1330" s="34" t="str">
        <f t="shared" si="858"/>
        <v/>
      </c>
      <c r="X1330" s="34" t="str">
        <f>IF(B1330="","",COUNTIF($C$8:C1330,C1330)&amp;C1330)</f>
        <v/>
      </c>
    </row>
    <row r="1331" spans="2:24" ht="23.1" customHeight="1">
      <c r="B1331" s="31"/>
      <c r="C1331" s="9"/>
      <c r="D1331" s="9"/>
      <c r="E1331" s="7"/>
      <c r="F1331" s="7"/>
      <c r="G1331" s="7"/>
      <c r="H1331" s="7"/>
      <c r="I1331" s="7"/>
      <c r="J1331" s="39"/>
      <c r="L1331" s="16" t="str">
        <f t="shared" si="849"/>
        <v/>
      </c>
      <c r="M1331" s="16" t="str">
        <f t="shared" si="850"/>
        <v/>
      </c>
      <c r="N1331" s="16" t="str">
        <f t="shared" si="851"/>
        <v/>
      </c>
      <c r="O1331" s="16" t="str">
        <f>IF(N1331="","",COUNTIF($N$8:N1331,N1331))</f>
        <v/>
      </c>
      <c r="P1331" s="34" t="str">
        <f t="shared" si="852"/>
        <v/>
      </c>
      <c r="Q1331" s="34" t="str">
        <f t="shared" si="853"/>
        <v/>
      </c>
      <c r="R1331" s="34" t="str">
        <f t="shared" si="854"/>
        <v/>
      </c>
      <c r="S1331" s="34" t="str">
        <f t="shared" si="855"/>
        <v/>
      </c>
      <c r="T1331" s="34" t="str">
        <f t="shared" si="856"/>
        <v/>
      </c>
      <c r="U1331" s="34" t="str">
        <f>IF(AND(L1331=1,bp_kode=T1331,T1331&lt;&gt;""),COUNTIF($T$8:T1331,T1331),"")</f>
        <v/>
      </c>
      <c r="V1331" s="34" t="str">
        <f t="shared" si="857"/>
        <v/>
      </c>
      <c r="W1331" s="34" t="str">
        <f t="shared" si="858"/>
        <v/>
      </c>
      <c r="X1331" s="34" t="str">
        <f>IF(B1331="","",COUNTIF($C$8:C1331,C1331)&amp;C1331)</f>
        <v/>
      </c>
    </row>
    <row r="1332" spans="2:24" ht="23.1" customHeight="1">
      <c r="B1332" s="31"/>
      <c r="C1332" s="9"/>
      <c r="D1332" s="9"/>
      <c r="E1332" s="7"/>
      <c r="F1332" s="7"/>
      <c r="G1332" s="7"/>
      <c r="H1332" s="7"/>
      <c r="I1332" s="7"/>
      <c r="J1332" s="39"/>
      <c r="L1332" s="16" t="str">
        <f t="shared" si="849"/>
        <v/>
      </c>
      <c r="M1332" s="16" t="str">
        <f t="shared" si="850"/>
        <v/>
      </c>
      <c r="N1332" s="16" t="str">
        <f t="shared" si="851"/>
        <v/>
      </c>
      <c r="O1332" s="16" t="str">
        <f>IF(N1332="","",COUNTIF($N$8:N1332,N1332))</f>
        <v/>
      </c>
      <c r="P1332" s="34" t="str">
        <f t="shared" si="852"/>
        <v/>
      </c>
      <c r="Q1332" s="34" t="str">
        <f t="shared" si="853"/>
        <v/>
      </c>
      <c r="R1332" s="34" t="str">
        <f t="shared" si="854"/>
        <v/>
      </c>
      <c r="S1332" s="34" t="str">
        <f t="shared" si="855"/>
        <v/>
      </c>
      <c r="T1332" s="34" t="str">
        <f t="shared" si="856"/>
        <v/>
      </c>
      <c r="U1332" s="34" t="str">
        <f>IF(AND(L1332=1,bp_kode=T1332,T1332&lt;&gt;""),COUNTIF($T$8:T1332,T1332),"")</f>
        <v/>
      </c>
      <c r="V1332" s="34" t="str">
        <f t="shared" si="857"/>
        <v/>
      </c>
      <c r="W1332" s="34" t="str">
        <f t="shared" si="858"/>
        <v/>
      </c>
      <c r="X1332" s="34" t="str">
        <f>IF(B1332="","",COUNTIF($C$8:C1332,C1332)&amp;C1332)</f>
        <v/>
      </c>
    </row>
    <row r="1333" spans="2:24" ht="23.1" customHeight="1">
      <c r="B1333" s="31"/>
      <c r="C1333" s="9"/>
      <c r="D1333" s="9"/>
      <c r="E1333" s="7"/>
      <c r="F1333" s="7"/>
      <c r="G1333" s="7"/>
      <c r="H1333" s="7"/>
      <c r="I1333" s="7"/>
      <c r="J1333" s="39"/>
      <c r="L1333" s="16" t="str">
        <f t="shared" si="849"/>
        <v/>
      </c>
      <c r="M1333" s="16" t="str">
        <f t="shared" si="850"/>
        <v/>
      </c>
      <c r="N1333" s="16" t="str">
        <f t="shared" si="851"/>
        <v/>
      </c>
      <c r="O1333" s="16" t="str">
        <f>IF(N1333="","",COUNTIF($N$8:N1333,N1333))</f>
        <v/>
      </c>
      <c r="P1333" s="34" t="str">
        <f t="shared" si="852"/>
        <v/>
      </c>
      <c r="Q1333" s="34" t="str">
        <f t="shared" si="853"/>
        <v/>
      </c>
      <c r="R1333" s="34" t="str">
        <f t="shared" si="854"/>
        <v/>
      </c>
      <c r="S1333" s="34" t="str">
        <f t="shared" si="855"/>
        <v/>
      </c>
      <c r="T1333" s="34" t="str">
        <f t="shared" si="856"/>
        <v/>
      </c>
      <c r="U1333" s="34" t="str">
        <f>IF(AND(L1333=1,bp_kode=T1333,T1333&lt;&gt;""),COUNTIF($T$8:T1333,T1333),"")</f>
        <v/>
      </c>
      <c r="V1333" s="34" t="str">
        <f t="shared" si="857"/>
        <v/>
      </c>
      <c r="W1333" s="34" t="str">
        <f t="shared" si="858"/>
        <v/>
      </c>
      <c r="X1333" s="34" t="str">
        <f>IF(B1333="","",COUNTIF($C$8:C1333,C1333)&amp;C1333)</f>
        <v/>
      </c>
    </row>
    <row r="1334" spans="2:24" ht="23.1" customHeight="1">
      <c r="B1334" s="31"/>
      <c r="C1334" s="9"/>
      <c r="D1334" s="9"/>
      <c r="E1334" s="7"/>
      <c r="F1334" s="7"/>
      <c r="G1334" s="7"/>
      <c r="H1334" s="7"/>
      <c r="I1334" s="7"/>
      <c r="J1334" s="39"/>
      <c r="L1334" s="16" t="str">
        <f t="shared" si="849"/>
        <v/>
      </c>
      <c r="M1334" s="16" t="str">
        <f t="shared" si="850"/>
        <v/>
      </c>
      <c r="N1334" s="16" t="str">
        <f t="shared" si="851"/>
        <v/>
      </c>
      <c r="O1334" s="16" t="str">
        <f>IF(N1334="","",COUNTIF($N$8:N1334,N1334))</f>
        <v/>
      </c>
      <c r="P1334" s="34" t="str">
        <f t="shared" si="852"/>
        <v/>
      </c>
      <c r="Q1334" s="34" t="str">
        <f t="shared" si="853"/>
        <v/>
      </c>
      <c r="R1334" s="34" t="str">
        <f t="shared" si="854"/>
        <v/>
      </c>
      <c r="S1334" s="34" t="str">
        <f t="shared" si="855"/>
        <v/>
      </c>
      <c r="T1334" s="34" t="str">
        <f t="shared" si="856"/>
        <v/>
      </c>
      <c r="U1334" s="34" t="str">
        <f>IF(AND(L1334=1,bp_kode=T1334,T1334&lt;&gt;""),COUNTIF($T$8:T1334,T1334),"")</f>
        <v/>
      </c>
      <c r="V1334" s="34" t="str">
        <f t="shared" si="857"/>
        <v/>
      </c>
      <c r="W1334" s="34" t="str">
        <f t="shared" si="858"/>
        <v/>
      </c>
      <c r="X1334" s="34" t="str">
        <f>IF(B1334="","",COUNTIF($C$8:C1334,C1334)&amp;C1334)</f>
        <v/>
      </c>
    </row>
    <row r="1335" spans="2:24" ht="23.1" customHeight="1">
      <c r="B1335" s="31"/>
      <c r="C1335" s="9"/>
      <c r="D1335" s="9"/>
      <c r="E1335" s="7"/>
      <c r="F1335" s="7"/>
      <c r="G1335" s="7"/>
      <c r="H1335" s="7"/>
      <c r="I1335" s="7"/>
      <c r="J1335" s="39"/>
      <c r="L1335" s="16" t="str">
        <f t="shared" si="849"/>
        <v/>
      </c>
      <c r="M1335" s="16" t="str">
        <f t="shared" si="850"/>
        <v/>
      </c>
      <c r="N1335" s="16" t="str">
        <f t="shared" si="851"/>
        <v/>
      </c>
      <c r="O1335" s="16" t="str">
        <f>IF(N1335="","",COUNTIF($N$8:N1335,N1335))</f>
        <v/>
      </c>
      <c r="P1335" s="34" t="str">
        <f t="shared" si="852"/>
        <v/>
      </c>
      <c r="Q1335" s="34" t="str">
        <f t="shared" si="853"/>
        <v/>
      </c>
      <c r="R1335" s="34" t="str">
        <f t="shared" si="854"/>
        <v/>
      </c>
      <c r="S1335" s="34" t="str">
        <f t="shared" si="855"/>
        <v/>
      </c>
      <c r="T1335" s="34" t="str">
        <f t="shared" si="856"/>
        <v/>
      </c>
      <c r="U1335" s="34" t="str">
        <f>IF(AND(L1335=1,bp_kode=T1335,T1335&lt;&gt;""),COUNTIF($T$8:T1335,T1335),"")</f>
        <v/>
      </c>
      <c r="V1335" s="34" t="str">
        <f t="shared" si="857"/>
        <v/>
      </c>
      <c r="W1335" s="34" t="str">
        <f t="shared" si="858"/>
        <v/>
      </c>
      <c r="X1335" s="34" t="str">
        <f>IF(B1335="","",COUNTIF($C$8:C1335,C1335)&amp;C1335)</f>
        <v/>
      </c>
    </row>
    <row r="1336" spans="2:24" ht="23.1" customHeight="1">
      <c r="B1336" s="31"/>
      <c r="C1336" s="9"/>
      <c r="D1336" s="9"/>
      <c r="E1336" s="7"/>
      <c r="F1336" s="7"/>
      <c r="G1336" s="7"/>
      <c r="H1336" s="7"/>
      <c r="I1336" s="7"/>
      <c r="J1336" s="39"/>
      <c r="L1336" s="16" t="str">
        <f t="shared" si="849"/>
        <v/>
      </c>
      <c r="M1336" s="16" t="str">
        <f t="shared" si="850"/>
        <v/>
      </c>
      <c r="N1336" s="16" t="str">
        <f t="shared" si="851"/>
        <v/>
      </c>
      <c r="O1336" s="16" t="str">
        <f>IF(N1336="","",COUNTIF($N$8:N1336,N1336))</f>
        <v/>
      </c>
      <c r="P1336" s="34" t="str">
        <f t="shared" si="852"/>
        <v/>
      </c>
      <c r="Q1336" s="34" t="str">
        <f t="shared" si="853"/>
        <v/>
      </c>
      <c r="R1336" s="34" t="str">
        <f t="shared" si="854"/>
        <v/>
      </c>
      <c r="S1336" s="34" t="str">
        <f t="shared" si="855"/>
        <v/>
      </c>
      <c r="T1336" s="34" t="str">
        <f t="shared" si="856"/>
        <v/>
      </c>
      <c r="U1336" s="34" t="str">
        <f>IF(AND(L1336=1,bp_kode=T1336,T1336&lt;&gt;""),COUNTIF($T$8:T1336,T1336),"")</f>
        <v/>
      </c>
      <c r="V1336" s="34" t="str">
        <f t="shared" si="857"/>
        <v/>
      </c>
      <c r="W1336" s="34" t="str">
        <f t="shared" si="858"/>
        <v/>
      </c>
      <c r="X1336" s="34" t="str">
        <f>IF(B1336="","",COUNTIF($C$8:C1336,C1336)&amp;C1336)</f>
        <v/>
      </c>
    </row>
    <row r="1337" spans="2:24" ht="23.1" customHeight="1">
      <c r="B1337" s="31"/>
      <c r="C1337" s="9"/>
      <c r="D1337" s="9"/>
      <c r="E1337" s="7"/>
      <c r="F1337" s="7"/>
      <c r="G1337" s="7"/>
      <c r="H1337" s="7"/>
      <c r="I1337" s="7"/>
      <c r="J1337" s="39"/>
      <c r="L1337" s="16" t="str">
        <f t="shared" si="849"/>
        <v/>
      </c>
      <c r="M1337" s="16" t="str">
        <f t="shared" si="850"/>
        <v/>
      </c>
      <c r="N1337" s="16" t="str">
        <f t="shared" si="851"/>
        <v/>
      </c>
      <c r="O1337" s="16" t="str">
        <f>IF(N1337="","",COUNTIF($N$8:N1337,N1337))</f>
        <v/>
      </c>
      <c r="P1337" s="34" t="str">
        <f t="shared" si="852"/>
        <v/>
      </c>
      <c r="Q1337" s="34" t="str">
        <f t="shared" si="853"/>
        <v/>
      </c>
      <c r="R1337" s="34" t="str">
        <f t="shared" si="854"/>
        <v/>
      </c>
      <c r="S1337" s="34" t="str">
        <f t="shared" si="855"/>
        <v/>
      </c>
      <c r="T1337" s="34" t="str">
        <f t="shared" si="856"/>
        <v/>
      </c>
      <c r="U1337" s="34" t="str">
        <f>IF(AND(L1337=1,bp_kode=T1337,T1337&lt;&gt;""),COUNTIF($T$8:T1337,T1337),"")</f>
        <v/>
      </c>
      <c r="V1337" s="34" t="str">
        <f t="shared" si="857"/>
        <v/>
      </c>
      <c r="W1337" s="34" t="str">
        <f t="shared" si="858"/>
        <v/>
      </c>
      <c r="X1337" s="34" t="str">
        <f>IF(B1337="","",COUNTIF($C$8:C1337,C1337)&amp;C1337)</f>
        <v/>
      </c>
    </row>
    <row r="1338" spans="2:24" ht="23.1" customHeight="1">
      <c r="B1338" s="31"/>
      <c r="C1338" s="9"/>
      <c r="D1338" s="9"/>
      <c r="E1338" s="7"/>
      <c r="F1338" s="7"/>
      <c r="G1338" s="7"/>
      <c r="H1338" s="7"/>
      <c r="I1338" s="7"/>
      <c r="J1338" s="39"/>
      <c r="L1338" s="16" t="str">
        <f t="shared" si="849"/>
        <v/>
      </c>
      <c r="M1338" s="16" t="str">
        <f t="shared" si="850"/>
        <v/>
      </c>
      <c r="N1338" s="16" t="str">
        <f t="shared" si="851"/>
        <v/>
      </c>
      <c r="O1338" s="16" t="str">
        <f>IF(N1338="","",COUNTIF($N$8:N1338,N1338))</f>
        <v/>
      </c>
      <c r="P1338" s="34" t="str">
        <f t="shared" si="852"/>
        <v/>
      </c>
      <c r="Q1338" s="34" t="str">
        <f t="shared" si="853"/>
        <v/>
      </c>
      <c r="R1338" s="34" t="str">
        <f t="shared" si="854"/>
        <v/>
      </c>
      <c r="S1338" s="34" t="str">
        <f t="shared" si="855"/>
        <v/>
      </c>
      <c r="T1338" s="34" t="str">
        <f t="shared" si="856"/>
        <v/>
      </c>
      <c r="U1338" s="34" t="str">
        <f>IF(AND(L1338=1,bp_kode=T1338,T1338&lt;&gt;""),COUNTIF($T$8:T1338,T1338),"")</f>
        <v/>
      </c>
      <c r="V1338" s="34" t="str">
        <f t="shared" si="857"/>
        <v/>
      </c>
      <c r="W1338" s="34" t="str">
        <f t="shared" si="858"/>
        <v/>
      </c>
      <c r="X1338" s="34" t="str">
        <f>IF(B1338="","",COUNTIF($C$8:C1338,C1338)&amp;C1338)</f>
        <v/>
      </c>
    </row>
    <row r="1339" spans="2:24" ht="23.1" customHeight="1">
      <c r="B1339" s="31"/>
      <c r="C1339" s="9"/>
      <c r="D1339" s="9"/>
      <c r="E1339" s="7"/>
      <c r="F1339" s="7"/>
      <c r="G1339" s="7"/>
      <c r="H1339" s="7"/>
      <c r="I1339" s="7"/>
      <c r="J1339" s="39"/>
      <c r="L1339" s="16" t="str">
        <f t="shared" si="849"/>
        <v/>
      </c>
      <c r="M1339" s="16" t="str">
        <f t="shared" si="850"/>
        <v/>
      </c>
      <c r="N1339" s="16" t="str">
        <f t="shared" si="851"/>
        <v/>
      </c>
      <c r="O1339" s="16" t="str">
        <f>IF(N1339="","",COUNTIF($N$8:N1339,N1339))</f>
        <v/>
      </c>
      <c r="P1339" s="34" t="str">
        <f t="shared" si="852"/>
        <v/>
      </c>
      <c r="Q1339" s="34" t="str">
        <f t="shared" si="853"/>
        <v/>
      </c>
      <c r="R1339" s="34" t="str">
        <f t="shared" si="854"/>
        <v/>
      </c>
      <c r="S1339" s="34" t="str">
        <f t="shared" si="855"/>
        <v/>
      </c>
      <c r="T1339" s="34" t="str">
        <f t="shared" si="856"/>
        <v/>
      </c>
      <c r="U1339" s="34" t="str">
        <f>IF(AND(L1339=1,bp_kode=T1339,T1339&lt;&gt;""),COUNTIF($T$8:T1339,T1339),"")</f>
        <v/>
      </c>
      <c r="V1339" s="34" t="str">
        <f t="shared" si="857"/>
        <v/>
      </c>
      <c r="W1339" s="34" t="str">
        <f t="shared" si="858"/>
        <v/>
      </c>
      <c r="X1339" s="34" t="str">
        <f>IF(B1339="","",COUNTIF($C$8:C1339,C1339)&amp;C1339)</f>
        <v/>
      </c>
    </row>
    <row r="1340" spans="2:24" ht="23.1" customHeight="1">
      <c r="B1340" s="31"/>
      <c r="C1340" s="9"/>
      <c r="D1340" s="9"/>
      <c r="E1340" s="7"/>
      <c r="F1340" s="7"/>
      <c r="G1340" s="7"/>
      <c r="H1340" s="7"/>
      <c r="I1340" s="7"/>
      <c r="J1340" s="39"/>
      <c r="L1340" s="16" t="str">
        <f t="shared" ref="L1340:L1344" si="859">IF(AND(B1340&gt;=awal,B1340&lt;=akhir,B1340&lt;&gt;""),1,IF(AND(B1340&lt;&gt;"",B1340&lt;awal),2,""))</f>
        <v/>
      </c>
      <c r="M1340" s="16" t="str">
        <f t="shared" ref="M1340:M1344" si="860">IF(B1340="","",TEXT(B1340,"mmmm"))</f>
        <v/>
      </c>
      <c r="N1340" s="16" t="str">
        <f t="shared" ref="N1340:N1344" si="861">IF(AND(L1340=1,H1340=bb_akun),"Awe",IF(AND(L1340=1,I1340=bb_akun),"Awe",""))</f>
        <v/>
      </c>
      <c r="O1340" s="16" t="str">
        <f>IF(N1340="","",COUNTIF($N$8:N1340,N1340))</f>
        <v/>
      </c>
      <c r="P1340" s="34" t="str">
        <f t="shared" ref="P1340:P1344" si="862">IFERROR(IF(OR(INDEX(akun_type,MATCH(H1340,akun_kb,0))="Kas",INDEX(akun_type,MATCH(H1340,akun_kb,0))="Bank"),"In"&amp;INDEX(akun_type,MATCH(I1340,akun_kb,0)),IF(OR(INDEX(akun_type,MATCH(I1340,akun_kb,0))="Kas",INDEX(akun_type,MATCH(I1340,akun_kb,0))="Bank"),"out"&amp;INDEX(akun_type,MATCH(H1340,akun_kb,0)),"")),"")</f>
        <v/>
      </c>
      <c r="Q1340" s="34" t="str">
        <f t="shared" ref="Q1340:Q1344" si="863">IFERROR(IF(OR(INDEX(akun_type,MATCH(H1340,akun_kb,0))="Kas",INDEX(akun_type,MATCH(H1340,akun_kb,0))="Bank"),"in"&amp;TEXT(B1340,"mmmm")&amp;INDEX(akun_type,MATCH(I1340,akun_kb,0)),IF(OR(INDEX(akun_type,MATCH(I1340,akun_kb,0))="Kas",INDEX(akun_type,MATCH(I1340,akun_kb,0))="Bank"),"out"&amp;TEXT(B1340,"mmmm")&amp;INDEX(akun_type,MATCH(H1340,akun_kb,0)),"")),"")</f>
        <v/>
      </c>
      <c r="R1340" s="34" t="str">
        <f t="shared" ref="R1340:R1344" si="864">IFERROR(INDEX(akun_type,MATCH(H1340,akun_kb,0)),"")</f>
        <v/>
      </c>
      <c r="S1340" s="34" t="str">
        <f t="shared" ref="S1340:S1344" si="865">IFERROR(INDEX(akun_type,MATCH(I1340,akun_kb,0)),"")</f>
        <v/>
      </c>
      <c r="T1340" s="34" t="str">
        <f t="shared" ref="T1340:T1344" si="866">IF(AND(L1340=1,OR(R1340="Akun Piutang",R1340="akun hutang",S1340="akun piutang",S1340="akun hutang")),E1340,"")</f>
        <v/>
      </c>
      <c r="U1340" s="34" t="str">
        <f>IF(AND(L1340=1,bp_kode=T1340,T1340&lt;&gt;""),COUNTIF($T$8:T1340,T1340),"")</f>
        <v/>
      </c>
      <c r="V1340" s="34" t="str">
        <f t="shared" ref="V1340:V1344" si="867">IF(OR(R1340="Pendapatan",R1340="Pendapatan Lainnya",R1340="Beban",R1340="Harga Pokok Penjualan",R1340="Beban Lainnya"),"db"&amp;F1340,IF(OR(S1340="Pendapatan",S1340="Pendapatan Lainnya",S1340="Beban",S1340="Harga Pokok Penjualan",S1340="Beban Lainnya"),"kr"&amp;F1340,""))</f>
        <v/>
      </c>
      <c r="W1340" s="34" t="str">
        <f t="shared" ref="W1340:W1344" si="868">IF(OR(R1340="Pendapatan",R1340="Pendapatan Lainnya",R1340="Beban",R1340="Harga Pokok Penjualan",R1340="Beban Lainnya"),"db"&amp;G1340,IF(OR(S1340="Pendapatan",S1340="Pendapatan Lainnya",S1340="Beban",S1340="Harga Pokok Penjualan",S1340="Beban Lainnya"),"kr"&amp;G1340,""))</f>
        <v/>
      </c>
      <c r="X1340" s="34" t="str">
        <f>IF(B1340="","",COUNTIF($C$8:C1340,C1340)&amp;C1340)</f>
        <v/>
      </c>
    </row>
    <row r="1341" spans="2:24" ht="23.1" customHeight="1">
      <c r="B1341" s="31"/>
      <c r="C1341" s="9"/>
      <c r="D1341" s="9"/>
      <c r="E1341" s="7"/>
      <c r="F1341" s="7"/>
      <c r="G1341" s="7"/>
      <c r="H1341" s="7"/>
      <c r="I1341" s="7"/>
      <c r="J1341" s="39"/>
      <c r="L1341" s="16" t="str">
        <f t="shared" si="859"/>
        <v/>
      </c>
      <c r="M1341" s="16" t="str">
        <f t="shared" si="860"/>
        <v/>
      </c>
      <c r="N1341" s="16" t="str">
        <f t="shared" si="861"/>
        <v/>
      </c>
      <c r="O1341" s="16" t="str">
        <f>IF(N1341="","",COUNTIF($N$8:N1341,N1341))</f>
        <v/>
      </c>
      <c r="P1341" s="34" t="str">
        <f t="shared" si="862"/>
        <v/>
      </c>
      <c r="Q1341" s="34" t="str">
        <f t="shared" si="863"/>
        <v/>
      </c>
      <c r="R1341" s="34" t="str">
        <f t="shared" si="864"/>
        <v/>
      </c>
      <c r="S1341" s="34" t="str">
        <f t="shared" si="865"/>
        <v/>
      </c>
      <c r="T1341" s="34" t="str">
        <f t="shared" si="866"/>
        <v/>
      </c>
      <c r="U1341" s="34" t="str">
        <f>IF(AND(L1341=1,bp_kode=T1341,T1341&lt;&gt;""),COUNTIF($T$8:T1341,T1341),"")</f>
        <v/>
      </c>
      <c r="V1341" s="34" t="str">
        <f t="shared" si="867"/>
        <v/>
      </c>
      <c r="W1341" s="34" t="str">
        <f t="shared" si="868"/>
        <v/>
      </c>
      <c r="X1341" s="34" t="str">
        <f>IF(B1341="","",COUNTIF($C$8:C1341,C1341)&amp;C1341)</f>
        <v/>
      </c>
    </row>
    <row r="1342" spans="2:24" ht="23.1" customHeight="1">
      <c r="B1342" s="31"/>
      <c r="C1342" s="9"/>
      <c r="D1342" s="9"/>
      <c r="E1342" s="7"/>
      <c r="F1342" s="7"/>
      <c r="G1342" s="7"/>
      <c r="H1342" s="7"/>
      <c r="I1342" s="7"/>
      <c r="J1342" s="39"/>
      <c r="L1342" s="16" t="str">
        <f t="shared" si="859"/>
        <v/>
      </c>
      <c r="M1342" s="16" t="str">
        <f t="shared" si="860"/>
        <v/>
      </c>
      <c r="N1342" s="16" t="str">
        <f t="shared" si="861"/>
        <v/>
      </c>
      <c r="O1342" s="16" t="str">
        <f>IF(N1342="","",COUNTIF($N$8:N1342,N1342))</f>
        <v/>
      </c>
      <c r="P1342" s="34" t="str">
        <f t="shared" si="862"/>
        <v/>
      </c>
      <c r="Q1342" s="34" t="str">
        <f t="shared" si="863"/>
        <v/>
      </c>
      <c r="R1342" s="34" t="str">
        <f t="shared" si="864"/>
        <v/>
      </c>
      <c r="S1342" s="34" t="str">
        <f t="shared" si="865"/>
        <v/>
      </c>
      <c r="T1342" s="34" t="str">
        <f t="shared" si="866"/>
        <v/>
      </c>
      <c r="U1342" s="34" t="str">
        <f>IF(AND(L1342=1,bp_kode=T1342,T1342&lt;&gt;""),COUNTIF($T$8:T1342,T1342),"")</f>
        <v/>
      </c>
      <c r="V1342" s="34" t="str">
        <f t="shared" si="867"/>
        <v/>
      </c>
      <c r="W1342" s="34" t="str">
        <f t="shared" si="868"/>
        <v/>
      </c>
      <c r="X1342" s="34" t="str">
        <f>IF(B1342="","",COUNTIF($C$8:C1342,C1342)&amp;C1342)</f>
        <v/>
      </c>
    </row>
    <row r="1343" spans="2:24" ht="23.1" customHeight="1">
      <c r="B1343" s="31"/>
      <c r="C1343" s="9"/>
      <c r="D1343" s="9"/>
      <c r="E1343" s="7"/>
      <c r="F1343" s="7"/>
      <c r="G1343" s="7"/>
      <c r="H1343" s="7"/>
      <c r="I1343" s="7"/>
      <c r="J1343" s="39"/>
      <c r="L1343" s="16" t="str">
        <f t="shared" si="859"/>
        <v/>
      </c>
      <c r="M1343" s="16" t="str">
        <f t="shared" si="860"/>
        <v/>
      </c>
      <c r="N1343" s="16" t="str">
        <f t="shared" si="861"/>
        <v/>
      </c>
      <c r="O1343" s="16" t="str">
        <f>IF(N1343="","",COUNTIF($N$8:N1343,N1343))</f>
        <v/>
      </c>
      <c r="P1343" s="34" t="str">
        <f t="shared" si="862"/>
        <v/>
      </c>
      <c r="Q1343" s="34" t="str">
        <f t="shared" si="863"/>
        <v/>
      </c>
      <c r="R1343" s="34" t="str">
        <f t="shared" si="864"/>
        <v/>
      </c>
      <c r="S1343" s="34" t="str">
        <f t="shared" si="865"/>
        <v/>
      </c>
      <c r="T1343" s="34" t="str">
        <f t="shared" si="866"/>
        <v/>
      </c>
      <c r="U1343" s="34" t="str">
        <f>IF(AND(L1343=1,bp_kode=T1343,T1343&lt;&gt;""),COUNTIF($T$8:T1343,T1343),"")</f>
        <v/>
      </c>
      <c r="V1343" s="34" t="str">
        <f t="shared" si="867"/>
        <v/>
      </c>
      <c r="W1343" s="34" t="str">
        <f t="shared" si="868"/>
        <v/>
      </c>
      <c r="X1343" s="34" t="str">
        <f>IF(B1343="","",COUNTIF($C$8:C1343,C1343)&amp;C1343)</f>
        <v/>
      </c>
    </row>
    <row r="1344" spans="2:24" ht="23.1" customHeight="1">
      <c r="B1344" s="31"/>
      <c r="C1344" s="9"/>
      <c r="D1344" s="9"/>
      <c r="E1344" s="7"/>
      <c r="F1344" s="7"/>
      <c r="G1344" s="7"/>
      <c r="H1344" s="7"/>
      <c r="I1344" s="7"/>
      <c r="J1344" s="39"/>
      <c r="L1344" s="16" t="str">
        <f t="shared" si="859"/>
        <v/>
      </c>
      <c r="M1344" s="16" t="str">
        <f t="shared" si="860"/>
        <v/>
      </c>
      <c r="N1344" s="16" t="str">
        <f t="shared" si="861"/>
        <v/>
      </c>
      <c r="O1344" s="16" t="str">
        <f>IF(N1344="","",COUNTIF($N$8:N1344,N1344))</f>
        <v/>
      </c>
      <c r="P1344" s="34" t="str">
        <f t="shared" si="862"/>
        <v/>
      </c>
      <c r="Q1344" s="34" t="str">
        <f t="shared" si="863"/>
        <v/>
      </c>
      <c r="R1344" s="34" t="str">
        <f t="shared" si="864"/>
        <v/>
      </c>
      <c r="S1344" s="34" t="str">
        <f t="shared" si="865"/>
        <v/>
      </c>
      <c r="T1344" s="34" t="str">
        <f t="shared" si="866"/>
        <v/>
      </c>
      <c r="U1344" s="34" t="str">
        <f>IF(AND(L1344=1,bp_kode=T1344,T1344&lt;&gt;""),COUNTIF($T$8:T1344,T1344),"")</f>
        <v/>
      </c>
      <c r="V1344" s="34" t="str">
        <f t="shared" si="867"/>
        <v/>
      </c>
      <c r="W1344" s="34" t="str">
        <f t="shared" si="868"/>
        <v/>
      </c>
      <c r="X1344" s="34" t="str">
        <f>IF(B1344="","",COUNTIF($C$8:C1344,C1344)&amp;C1344)</f>
        <v/>
      </c>
    </row>
    <row r="1345" spans="2:24" ht="23.1" customHeight="1">
      <c r="B1345" s="31"/>
      <c r="C1345" s="9"/>
      <c r="D1345" s="9"/>
      <c r="E1345" s="7"/>
      <c r="F1345" s="7"/>
      <c r="G1345" s="7"/>
      <c r="H1345" s="7"/>
      <c r="I1345" s="7"/>
      <c r="J1345" s="39"/>
      <c r="L1345" s="16" t="str">
        <f t="shared" ref="L1345:L1404" si="869">IF(AND(B1345&gt;=awal,B1345&lt;=akhir,B1345&lt;&gt;""),1,IF(AND(B1345&lt;&gt;"",B1345&lt;awal),2,""))</f>
        <v/>
      </c>
      <c r="M1345" s="16" t="str">
        <f t="shared" ref="M1345:M1404" si="870">IF(B1345="","",TEXT(B1345,"mmmm"))</f>
        <v/>
      </c>
      <c r="N1345" s="16" t="str">
        <f t="shared" ref="N1345:N1404" si="871">IF(AND(L1345=1,H1345=bb_akun),"Awe",IF(AND(L1345=1,I1345=bb_akun),"Awe",""))</f>
        <v/>
      </c>
      <c r="O1345" s="16" t="str">
        <f>IF(N1345="","",COUNTIF($N$8:N1345,N1345))</f>
        <v/>
      </c>
      <c r="P1345" s="34" t="str">
        <f t="shared" ref="P1345:P1404" si="872">IFERROR(IF(OR(INDEX(akun_type,MATCH(H1345,akun_kb,0))="Kas",INDEX(akun_type,MATCH(H1345,akun_kb,0))="Bank"),"In"&amp;INDEX(akun_type,MATCH(I1345,akun_kb,0)),IF(OR(INDEX(akun_type,MATCH(I1345,akun_kb,0))="Kas",INDEX(akun_type,MATCH(I1345,akun_kb,0))="Bank"),"out"&amp;INDEX(akun_type,MATCH(H1345,akun_kb,0)),"")),"")</f>
        <v/>
      </c>
      <c r="Q1345" s="34" t="str">
        <f t="shared" ref="Q1345:Q1404" si="873">IFERROR(IF(OR(INDEX(akun_type,MATCH(H1345,akun_kb,0))="Kas",INDEX(akun_type,MATCH(H1345,akun_kb,0))="Bank"),"in"&amp;TEXT(B1345,"mmmm")&amp;INDEX(akun_type,MATCH(I1345,akun_kb,0)),IF(OR(INDEX(akun_type,MATCH(I1345,akun_kb,0))="Kas",INDEX(akun_type,MATCH(I1345,akun_kb,0))="Bank"),"out"&amp;TEXT(B1345,"mmmm")&amp;INDEX(akun_type,MATCH(H1345,akun_kb,0)),"")),"")</f>
        <v/>
      </c>
      <c r="R1345" s="34" t="str">
        <f t="shared" ref="R1345:R1404" si="874">IFERROR(INDEX(akun_type,MATCH(H1345,akun_kb,0)),"")</f>
        <v/>
      </c>
      <c r="S1345" s="34" t="str">
        <f t="shared" ref="S1345:S1404" si="875">IFERROR(INDEX(akun_type,MATCH(I1345,akun_kb,0)),"")</f>
        <v/>
      </c>
      <c r="T1345" s="34" t="str">
        <f t="shared" ref="T1345:T1404" si="876">IF(AND(L1345=1,OR(R1345="Akun Piutang",R1345="akun hutang",S1345="akun piutang",S1345="akun hutang")),E1345,"")</f>
        <v/>
      </c>
      <c r="U1345" s="34" t="str">
        <f>IF(AND(L1345=1,bp_kode=T1345,T1345&lt;&gt;""),COUNTIF($T$8:T1345,T1345),"")</f>
        <v/>
      </c>
      <c r="V1345" s="34" t="str">
        <f t="shared" ref="V1345:V1404" si="877">IF(OR(R1345="Pendapatan",R1345="Pendapatan Lainnya",R1345="Beban",R1345="Harga Pokok Penjualan",R1345="Beban Lainnya"),"db"&amp;F1345,IF(OR(S1345="Pendapatan",S1345="Pendapatan Lainnya",S1345="Beban",S1345="Harga Pokok Penjualan",S1345="Beban Lainnya"),"kr"&amp;F1345,""))</f>
        <v/>
      </c>
      <c r="W1345" s="34" t="str">
        <f t="shared" ref="W1345:W1404" si="878">IF(OR(R1345="Pendapatan",R1345="Pendapatan Lainnya",R1345="Beban",R1345="Harga Pokok Penjualan",R1345="Beban Lainnya"),"db"&amp;G1345,IF(OR(S1345="Pendapatan",S1345="Pendapatan Lainnya",S1345="Beban",S1345="Harga Pokok Penjualan",S1345="Beban Lainnya"),"kr"&amp;G1345,""))</f>
        <v/>
      </c>
      <c r="X1345" s="34" t="str">
        <f>IF(B1345="","",COUNTIF($C$8:C1345,C1345)&amp;C1345)</f>
        <v/>
      </c>
    </row>
    <row r="1346" spans="2:24" ht="23.1" customHeight="1">
      <c r="B1346" s="31"/>
      <c r="C1346" s="9"/>
      <c r="D1346" s="9"/>
      <c r="E1346" s="7"/>
      <c r="F1346" s="7"/>
      <c r="G1346" s="7"/>
      <c r="H1346" s="7"/>
      <c r="I1346" s="7"/>
      <c r="J1346" s="39"/>
      <c r="L1346" s="16" t="str">
        <f t="shared" si="869"/>
        <v/>
      </c>
      <c r="M1346" s="16" t="str">
        <f t="shared" si="870"/>
        <v/>
      </c>
      <c r="N1346" s="16" t="str">
        <f t="shared" si="871"/>
        <v/>
      </c>
      <c r="O1346" s="16" t="str">
        <f>IF(N1346="","",COUNTIF($N$8:N1346,N1346))</f>
        <v/>
      </c>
      <c r="P1346" s="34" t="str">
        <f t="shared" si="872"/>
        <v/>
      </c>
      <c r="Q1346" s="34" t="str">
        <f t="shared" si="873"/>
        <v/>
      </c>
      <c r="R1346" s="34" t="str">
        <f t="shared" si="874"/>
        <v/>
      </c>
      <c r="S1346" s="34" t="str">
        <f t="shared" si="875"/>
        <v/>
      </c>
      <c r="T1346" s="34" t="str">
        <f t="shared" si="876"/>
        <v/>
      </c>
      <c r="U1346" s="34" t="str">
        <f>IF(AND(L1346=1,bp_kode=T1346,T1346&lt;&gt;""),COUNTIF($T$8:T1346,T1346),"")</f>
        <v/>
      </c>
      <c r="V1346" s="34" t="str">
        <f t="shared" si="877"/>
        <v/>
      </c>
      <c r="W1346" s="34" t="str">
        <f t="shared" si="878"/>
        <v/>
      </c>
      <c r="X1346" s="34" t="str">
        <f>IF(B1346="","",COUNTIF($C$8:C1346,C1346)&amp;C1346)</f>
        <v/>
      </c>
    </row>
    <row r="1347" spans="2:24" ht="23.1" customHeight="1">
      <c r="B1347" s="31"/>
      <c r="C1347" s="9"/>
      <c r="D1347" s="9"/>
      <c r="E1347" s="7"/>
      <c r="F1347" s="7"/>
      <c r="G1347" s="7"/>
      <c r="H1347" s="7"/>
      <c r="I1347" s="7"/>
      <c r="J1347" s="39"/>
      <c r="L1347" s="16" t="str">
        <f t="shared" si="869"/>
        <v/>
      </c>
      <c r="M1347" s="16" t="str">
        <f t="shared" si="870"/>
        <v/>
      </c>
      <c r="N1347" s="16" t="str">
        <f t="shared" si="871"/>
        <v/>
      </c>
      <c r="O1347" s="16" t="str">
        <f>IF(N1347="","",COUNTIF($N$8:N1347,N1347))</f>
        <v/>
      </c>
      <c r="P1347" s="34" t="str">
        <f t="shared" si="872"/>
        <v/>
      </c>
      <c r="Q1347" s="34" t="str">
        <f t="shared" si="873"/>
        <v/>
      </c>
      <c r="R1347" s="34" t="str">
        <f t="shared" si="874"/>
        <v/>
      </c>
      <c r="S1347" s="34" t="str">
        <f t="shared" si="875"/>
        <v/>
      </c>
      <c r="T1347" s="34" t="str">
        <f t="shared" si="876"/>
        <v/>
      </c>
      <c r="U1347" s="34" t="str">
        <f>IF(AND(L1347=1,bp_kode=T1347,T1347&lt;&gt;""),COUNTIF($T$8:T1347,T1347),"")</f>
        <v/>
      </c>
      <c r="V1347" s="34" t="str">
        <f t="shared" si="877"/>
        <v/>
      </c>
      <c r="W1347" s="34" t="str">
        <f t="shared" si="878"/>
        <v/>
      </c>
      <c r="X1347" s="34" t="str">
        <f>IF(B1347="","",COUNTIF($C$8:C1347,C1347)&amp;C1347)</f>
        <v/>
      </c>
    </row>
    <row r="1348" spans="2:24" ht="23.1" customHeight="1">
      <c r="B1348" s="31"/>
      <c r="C1348" s="9"/>
      <c r="D1348" s="9"/>
      <c r="E1348" s="7"/>
      <c r="F1348" s="7"/>
      <c r="G1348" s="7"/>
      <c r="H1348" s="7"/>
      <c r="I1348" s="7"/>
      <c r="J1348" s="39"/>
      <c r="L1348" s="16" t="str">
        <f t="shared" si="869"/>
        <v/>
      </c>
      <c r="M1348" s="16" t="str">
        <f t="shared" si="870"/>
        <v/>
      </c>
      <c r="N1348" s="16" t="str">
        <f t="shared" si="871"/>
        <v/>
      </c>
      <c r="O1348" s="16" t="str">
        <f>IF(N1348="","",COUNTIF($N$8:N1348,N1348))</f>
        <v/>
      </c>
      <c r="P1348" s="34" t="str">
        <f t="shared" si="872"/>
        <v/>
      </c>
      <c r="Q1348" s="34" t="str">
        <f t="shared" si="873"/>
        <v/>
      </c>
      <c r="R1348" s="34" t="str">
        <f t="shared" si="874"/>
        <v/>
      </c>
      <c r="S1348" s="34" t="str">
        <f t="shared" si="875"/>
        <v/>
      </c>
      <c r="T1348" s="34" t="str">
        <f t="shared" si="876"/>
        <v/>
      </c>
      <c r="U1348" s="34" t="str">
        <f>IF(AND(L1348=1,bp_kode=T1348,T1348&lt;&gt;""),COUNTIF($T$8:T1348,T1348),"")</f>
        <v/>
      </c>
      <c r="V1348" s="34" t="str">
        <f t="shared" si="877"/>
        <v/>
      </c>
      <c r="W1348" s="34" t="str">
        <f t="shared" si="878"/>
        <v/>
      </c>
      <c r="X1348" s="34" t="str">
        <f>IF(B1348="","",COUNTIF($C$8:C1348,C1348)&amp;C1348)</f>
        <v/>
      </c>
    </row>
    <row r="1349" spans="2:24" ht="23.1" customHeight="1">
      <c r="B1349" s="31"/>
      <c r="C1349" s="9"/>
      <c r="D1349" s="9"/>
      <c r="E1349" s="7"/>
      <c r="F1349" s="7"/>
      <c r="G1349" s="7"/>
      <c r="H1349" s="7"/>
      <c r="I1349" s="7"/>
      <c r="J1349" s="39"/>
      <c r="L1349" s="16" t="str">
        <f t="shared" si="869"/>
        <v/>
      </c>
      <c r="M1349" s="16" t="str">
        <f t="shared" si="870"/>
        <v/>
      </c>
      <c r="N1349" s="16" t="str">
        <f t="shared" si="871"/>
        <v/>
      </c>
      <c r="O1349" s="16" t="str">
        <f>IF(N1349="","",COUNTIF($N$8:N1349,N1349))</f>
        <v/>
      </c>
      <c r="P1349" s="34" t="str">
        <f t="shared" si="872"/>
        <v/>
      </c>
      <c r="Q1349" s="34" t="str">
        <f t="shared" si="873"/>
        <v/>
      </c>
      <c r="R1349" s="34" t="str">
        <f t="shared" si="874"/>
        <v/>
      </c>
      <c r="S1349" s="34" t="str">
        <f t="shared" si="875"/>
        <v/>
      </c>
      <c r="T1349" s="34" t="str">
        <f t="shared" si="876"/>
        <v/>
      </c>
      <c r="U1349" s="34" t="str">
        <f>IF(AND(L1349=1,bp_kode=T1349,T1349&lt;&gt;""),COUNTIF($T$8:T1349,T1349),"")</f>
        <v/>
      </c>
      <c r="V1349" s="34" t="str">
        <f t="shared" si="877"/>
        <v/>
      </c>
      <c r="W1349" s="34" t="str">
        <f t="shared" si="878"/>
        <v/>
      </c>
      <c r="X1349" s="34" t="str">
        <f>IF(B1349="","",COUNTIF($C$8:C1349,C1349)&amp;C1349)</f>
        <v/>
      </c>
    </row>
    <row r="1350" spans="2:24" ht="23.1" customHeight="1">
      <c r="B1350" s="31"/>
      <c r="C1350" s="9"/>
      <c r="D1350" s="9"/>
      <c r="E1350" s="7"/>
      <c r="F1350" s="7"/>
      <c r="G1350" s="7"/>
      <c r="H1350" s="7"/>
      <c r="I1350" s="7"/>
      <c r="J1350" s="39"/>
      <c r="L1350" s="16" t="str">
        <f t="shared" si="869"/>
        <v/>
      </c>
      <c r="M1350" s="16" t="str">
        <f t="shared" si="870"/>
        <v/>
      </c>
      <c r="N1350" s="16" t="str">
        <f t="shared" si="871"/>
        <v/>
      </c>
      <c r="O1350" s="16" t="str">
        <f>IF(N1350="","",COUNTIF($N$8:N1350,N1350))</f>
        <v/>
      </c>
      <c r="P1350" s="34" t="str">
        <f t="shared" si="872"/>
        <v/>
      </c>
      <c r="Q1350" s="34" t="str">
        <f t="shared" si="873"/>
        <v/>
      </c>
      <c r="R1350" s="34" t="str">
        <f t="shared" si="874"/>
        <v/>
      </c>
      <c r="S1350" s="34" t="str">
        <f t="shared" si="875"/>
        <v/>
      </c>
      <c r="T1350" s="34" t="str">
        <f t="shared" si="876"/>
        <v/>
      </c>
      <c r="U1350" s="34" t="str">
        <f>IF(AND(L1350=1,bp_kode=T1350,T1350&lt;&gt;""),COUNTIF($T$8:T1350,T1350),"")</f>
        <v/>
      </c>
      <c r="V1350" s="34" t="str">
        <f t="shared" si="877"/>
        <v/>
      </c>
      <c r="W1350" s="34" t="str">
        <f t="shared" si="878"/>
        <v/>
      </c>
      <c r="X1350" s="34" t="str">
        <f>IF(B1350="","",COUNTIF($C$8:C1350,C1350)&amp;C1350)</f>
        <v/>
      </c>
    </row>
    <row r="1351" spans="2:24" ht="23.1" customHeight="1">
      <c r="B1351" s="31"/>
      <c r="C1351" s="9"/>
      <c r="D1351" s="9"/>
      <c r="E1351" s="7"/>
      <c r="F1351" s="7"/>
      <c r="G1351" s="7"/>
      <c r="H1351" s="7"/>
      <c r="I1351" s="7"/>
      <c r="J1351" s="39"/>
      <c r="L1351" s="16" t="str">
        <f t="shared" si="869"/>
        <v/>
      </c>
      <c r="M1351" s="16" t="str">
        <f t="shared" si="870"/>
        <v/>
      </c>
      <c r="N1351" s="16" t="str">
        <f t="shared" si="871"/>
        <v/>
      </c>
      <c r="O1351" s="16" t="str">
        <f>IF(N1351="","",COUNTIF($N$8:N1351,N1351))</f>
        <v/>
      </c>
      <c r="P1351" s="34" t="str">
        <f t="shared" si="872"/>
        <v/>
      </c>
      <c r="Q1351" s="34" t="str">
        <f t="shared" si="873"/>
        <v/>
      </c>
      <c r="R1351" s="34" t="str">
        <f t="shared" si="874"/>
        <v/>
      </c>
      <c r="S1351" s="34" t="str">
        <f t="shared" si="875"/>
        <v/>
      </c>
      <c r="T1351" s="34" t="str">
        <f t="shared" si="876"/>
        <v/>
      </c>
      <c r="U1351" s="34" t="str">
        <f>IF(AND(L1351=1,bp_kode=T1351,T1351&lt;&gt;""),COUNTIF($T$8:T1351,T1351),"")</f>
        <v/>
      </c>
      <c r="V1351" s="34" t="str">
        <f t="shared" si="877"/>
        <v/>
      </c>
      <c r="W1351" s="34" t="str">
        <f t="shared" si="878"/>
        <v/>
      </c>
      <c r="X1351" s="34" t="str">
        <f>IF(B1351="","",COUNTIF($C$8:C1351,C1351)&amp;C1351)</f>
        <v/>
      </c>
    </row>
    <row r="1352" spans="2:24" ht="23.1" customHeight="1">
      <c r="B1352" s="31"/>
      <c r="C1352" s="9"/>
      <c r="D1352" s="9"/>
      <c r="E1352" s="7"/>
      <c r="F1352" s="7"/>
      <c r="G1352" s="7"/>
      <c r="H1352" s="7"/>
      <c r="I1352" s="7"/>
      <c r="J1352" s="39"/>
      <c r="L1352" s="16" t="str">
        <f t="shared" si="869"/>
        <v/>
      </c>
      <c r="M1352" s="16" t="str">
        <f t="shared" si="870"/>
        <v/>
      </c>
      <c r="N1352" s="16" t="str">
        <f t="shared" si="871"/>
        <v/>
      </c>
      <c r="O1352" s="16" t="str">
        <f>IF(N1352="","",COUNTIF($N$8:N1352,N1352))</f>
        <v/>
      </c>
      <c r="P1352" s="34" t="str">
        <f t="shared" si="872"/>
        <v/>
      </c>
      <c r="Q1352" s="34" t="str">
        <f t="shared" si="873"/>
        <v/>
      </c>
      <c r="R1352" s="34" t="str">
        <f t="shared" si="874"/>
        <v/>
      </c>
      <c r="S1352" s="34" t="str">
        <f t="shared" si="875"/>
        <v/>
      </c>
      <c r="T1352" s="34" t="str">
        <f t="shared" si="876"/>
        <v/>
      </c>
      <c r="U1352" s="34" t="str">
        <f>IF(AND(L1352=1,bp_kode=T1352,T1352&lt;&gt;""),COUNTIF($T$8:T1352,T1352),"")</f>
        <v/>
      </c>
      <c r="V1352" s="34" t="str">
        <f t="shared" si="877"/>
        <v/>
      </c>
      <c r="W1352" s="34" t="str">
        <f t="shared" si="878"/>
        <v/>
      </c>
      <c r="X1352" s="34" t="str">
        <f>IF(B1352="","",COUNTIF($C$8:C1352,C1352)&amp;C1352)</f>
        <v/>
      </c>
    </row>
    <row r="1353" spans="2:24" ht="23.1" customHeight="1">
      <c r="B1353" s="31"/>
      <c r="C1353" s="9"/>
      <c r="D1353" s="9"/>
      <c r="E1353" s="7"/>
      <c r="F1353" s="7"/>
      <c r="G1353" s="7"/>
      <c r="H1353" s="7"/>
      <c r="I1353" s="7"/>
      <c r="J1353" s="39"/>
      <c r="L1353" s="16" t="str">
        <f t="shared" si="869"/>
        <v/>
      </c>
      <c r="M1353" s="16" t="str">
        <f t="shared" si="870"/>
        <v/>
      </c>
      <c r="N1353" s="16" t="str">
        <f t="shared" si="871"/>
        <v/>
      </c>
      <c r="O1353" s="16" t="str">
        <f>IF(N1353="","",COUNTIF($N$8:N1353,N1353))</f>
        <v/>
      </c>
      <c r="P1353" s="34" t="str">
        <f t="shared" si="872"/>
        <v/>
      </c>
      <c r="Q1353" s="34" t="str">
        <f t="shared" si="873"/>
        <v/>
      </c>
      <c r="R1353" s="34" t="str">
        <f t="shared" si="874"/>
        <v/>
      </c>
      <c r="S1353" s="34" t="str">
        <f t="shared" si="875"/>
        <v/>
      </c>
      <c r="T1353" s="34" t="str">
        <f t="shared" si="876"/>
        <v/>
      </c>
      <c r="U1353" s="34" t="str">
        <f>IF(AND(L1353=1,bp_kode=T1353,T1353&lt;&gt;""),COUNTIF($T$8:T1353,T1353),"")</f>
        <v/>
      </c>
      <c r="V1353" s="34" t="str">
        <f t="shared" si="877"/>
        <v/>
      </c>
      <c r="W1353" s="34" t="str">
        <f t="shared" si="878"/>
        <v/>
      </c>
      <c r="X1353" s="34" t="str">
        <f>IF(B1353="","",COUNTIF($C$8:C1353,C1353)&amp;C1353)</f>
        <v/>
      </c>
    </row>
    <row r="1354" spans="2:24" ht="23.1" customHeight="1">
      <c r="B1354" s="31"/>
      <c r="C1354" s="9"/>
      <c r="D1354" s="9"/>
      <c r="E1354" s="7"/>
      <c r="F1354" s="7"/>
      <c r="G1354" s="7"/>
      <c r="H1354" s="7"/>
      <c r="I1354" s="7"/>
      <c r="J1354" s="39"/>
      <c r="L1354" s="16" t="str">
        <f t="shared" si="869"/>
        <v/>
      </c>
      <c r="M1354" s="16" t="str">
        <f t="shared" si="870"/>
        <v/>
      </c>
      <c r="N1354" s="16" t="str">
        <f t="shared" si="871"/>
        <v/>
      </c>
      <c r="O1354" s="16" t="str">
        <f>IF(N1354="","",COUNTIF($N$8:N1354,N1354))</f>
        <v/>
      </c>
      <c r="P1354" s="34" t="str">
        <f t="shared" si="872"/>
        <v/>
      </c>
      <c r="Q1354" s="34" t="str">
        <f t="shared" si="873"/>
        <v/>
      </c>
      <c r="R1354" s="34" t="str">
        <f t="shared" si="874"/>
        <v/>
      </c>
      <c r="S1354" s="34" t="str">
        <f t="shared" si="875"/>
        <v/>
      </c>
      <c r="T1354" s="34" t="str">
        <f t="shared" si="876"/>
        <v/>
      </c>
      <c r="U1354" s="34" t="str">
        <f>IF(AND(L1354=1,bp_kode=T1354,T1354&lt;&gt;""),COUNTIF($T$8:T1354,T1354),"")</f>
        <v/>
      </c>
      <c r="V1354" s="34" t="str">
        <f t="shared" si="877"/>
        <v/>
      </c>
      <c r="W1354" s="34" t="str">
        <f t="shared" si="878"/>
        <v/>
      </c>
      <c r="X1354" s="34" t="str">
        <f>IF(B1354="","",COUNTIF($C$8:C1354,C1354)&amp;C1354)</f>
        <v/>
      </c>
    </row>
    <row r="1355" spans="2:24" ht="23.1" customHeight="1">
      <c r="B1355" s="31"/>
      <c r="C1355" s="9"/>
      <c r="D1355" s="9"/>
      <c r="E1355" s="7"/>
      <c r="F1355" s="7"/>
      <c r="G1355" s="7"/>
      <c r="H1355" s="7"/>
      <c r="I1355" s="7"/>
      <c r="J1355" s="39"/>
      <c r="L1355" s="16" t="str">
        <f t="shared" si="869"/>
        <v/>
      </c>
      <c r="M1355" s="16" t="str">
        <f t="shared" si="870"/>
        <v/>
      </c>
      <c r="N1355" s="16" t="str">
        <f t="shared" si="871"/>
        <v/>
      </c>
      <c r="O1355" s="16" t="str">
        <f>IF(N1355="","",COUNTIF($N$8:N1355,N1355))</f>
        <v/>
      </c>
      <c r="P1355" s="34" t="str">
        <f t="shared" si="872"/>
        <v/>
      </c>
      <c r="Q1355" s="34" t="str">
        <f t="shared" si="873"/>
        <v/>
      </c>
      <c r="R1355" s="34" t="str">
        <f t="shared" si="874"/>
        <v/>
      </c>
      <c r="S1355" s="34" t="str">
        <f t="shared" si="875"/>
        <v/>
      </c>
      <c r="T1355" s="34" t="str">
        <f t="shared" si="876"/>
        <v/>
      </c>
      <c r="U1355" s="34" t="str">
        <f>IF(AND(L1355=1,bp_kode=T1355,T1355&lt;&gt;""),COUNTIF($T$8:T1355,T1355),"")</f>
        <v/>
      </c>
      <c r="V1355" s="34" t="str">
        <f t="shared" si="877"/>
        <v/>
      </c>
      <c r="W1355" s="34" t="str">
        <f t="shared" si="878"/>
        <v/>
      </c>
      <c r="X1355" s="34" t="str">
        <f>IF(B1355="","",COUNTIF($C$8:C1355,C1355)&amp;C1355)</f>
        <v/>
      </c>
    </row>
    <row r="1356" spans="2:24" ht="23.1" customHeight="1">
      <c r="B1356" s="31"/>
      <c r="C1356" s="9"/>
      <c r="D1356" s="9"/>
      <c r="E1356" s="7"/>
      <c r="F1356" s="7"/>
      <c r="G1356" s="7"/>
      <c r="H1356" s="7"/>
      <c r="I1356" s="7"/>
      <c r="J1356" s="39"/>
      <c r="L1356" s="16" t="str">
        <f t="shared" si="869"/>
        <v/>
      </c>
      <c r="M1356" s="16" t="str">
        <f t="shared" si="870"/>
        <v/>
      </c>
      <c r="N1356" s="16" t="str">
        <f t="shared" si="871"/>
        <v/>
      </c>
      <c r="O1356" s="16" t="str">
        <f>IF(N1356="","",COUNTIF($N$8:N1356,N1356))</f>
        <v/>
      </c>
      <c r="P1356" s="34" t="str">
        <f t="shared" si="872"/>
        <v/>
      </c>
      <c r="Q1356" s="34" t="str">
        <f t="shared" si="873"/>
        <v/>
      </c>
      <c r="R1356" s="34" t="str">
        <f t="shared" si="874"/>
        <v/>
      </c>
      <c r="S1356" s="34" t="str">
        <f t="shared" si="875"/>
        <v/>
      </c>
      <c r="T1356" s="34" t="str">
        <f t="shared" si="876"/>
        <v/>
      </c>
      <c r="U1356" s="34" t="str">
        <f>IF(AND(L1356=1,bp_kode=T1356,T1356&lt;&gt;""),COUNTIF($T$8:T1356,T1356),"")</f>
        <v/>
      </c>
      <c r="V1356" s="34" t="str">
        <f t="shared" si="877"/>
        <v/>
      </c>
      <c r="W1356" s="34" t="str">
        <f t="shared" si="878"/>
        <v/>
      </c>
      <c r="X1356" s="34" t="str">
        <f>IF(B1356="","",COUNTIF($C$8:C1356,C1356)&amp;C1356)</f>
        <v/>
      </c>
    </row>
    <row r="1357" spans="2:24" ht="23.1" customHeight="1">
      <c r="B1357" s="31"/>
      <c r="C1357" s="9"/>
      <c r="D1357" s="9"/>
      <c r="E1357" s="7"/>
      <c r="F1357" s="7"/>
      <c r="G1357" s="7"/>
      <c r="H1357" s="7"/>
      <c r="I1357" s="7"/>
      <c r="J1357" s="39"/>
      <c r="L1357" s="16" t="str">
        <f t="shared" si="869"/>
        <v/>
      </c>
      <c r="M1357" s="16" t="str">
        <f t="shared" si="870"/>
        <v/>
      </c>
      <c r="N1357" s="16" t="str">
        <f t="shared" si="871"/>
        <v/>
      </c>
      <c r="O1357" s="16" t="str">
        <f>IF(N1357="","",COUNTIF($N$8:N1357,N1357))</f>
        <v/>
      </c>
      <c r="P1357" s="34" t="str">
        <f t="shared" si="872"/>
        <v/>
      </c>
      <c r="Q1357" s="34" t="str">
        <f t="shared" si="873"/>
        <v/>
      </c>
      <c r="R1357" s="34" t="str">
        <f t="shared" si="874"/>
        <v/>
      </c>
      <c r="S1357" s="34" t="str">
        <f t="shared" si="875"/>
        <v/>
      </c>
      <c r="T1357" s="34" t="str">
        <f t="shared" si="876"/>
        <v/>
      </c>
      <c r="U1357" s="34" t="str">
        <f>IF(AND(L1357=1,bp_kode=T1357,T1357&lt;&gt;""),COUNTIF($T$8:T1357,T1357),"")</f>
        <v/>
      </c>
      <c r="V1357" s="34" t="str">
        <f t="shared" si="877"/>
        <v/>
      </c>
      <c r="W1357" s="34" t="str">
        <f t="shared" si="878"/>
        <v/>
      </c>
      <c r="X1357" s="34" t="str">
        <f>IF(B1357="","",COUNTIF($C$8:C1357,C1357)&amp;C1357)</f>
        <v/>
      </c>
    </row>
    <row r="1358" spans="2:24" ht="23.1" customHeight="1">
      <c r="B1358" s="31"/>
      <c r="C1358" s="9"/>
      <c r="D1358" s="9"/>
      <c r="E1358" s="7"/>
      <c r="F1358" s="7"/>
      <c r="G1358" s="7"/>
      <c r="H1358" s="7"/>
      <c r="I1358" s="7"/>
      <c r="J1358" s="39"/>
      <c r="L1358" s="16" t="str">
        <f t="shared" si="869"/>
        <v/>
      </c>
      <c r="M1358" s="16" t="str">
        <f t="shared" si="870"/>
        <v/>
      </c>
      <c r="N1358" s="16" t="str">
        <f t="shared" si="871"/>
        <v/>
      </c>
      <c r="O1358" s="16" t="str">
        <f>IF(N1358="","",COUNTIF($N$8:N1358,N1358))</f>
        <v/>
      </c>
      <c r="P1358" s="34" t="str">
        <f t="shared" si="872"/>
        <v/>
      </c>
      <c r="Q1358" s="34" t="str">
        <f t="shared" si="873"/>
        <v/>
      </c>
      <c r="R1358" s="34" t="str">
        <f t="shared" si="874"/>
        <v/>
      </c>
      <c r="S1358" s="34" t="str">
        <f t="shared" si="875"/>
        <v/>
      </c>
      <c r="T1358" s="34" t="str">
        <f t="shared" si="876"/>
        <v/>
      </c>
      <c r="U1358" s="34" t="str">
        <f>IF(AND(L1358=1,bp_kode=T1358,T1358&lt;&gt;""),COUNTIF($T$8:T1358,T1358),"")</f>
        <v/>
      </c>
      <c r="V1358" s="34" t="str">
        <f t="shared" si="877"/>
        <v/>
      </c>
      <c r="W1358" s="34" t="str">
        <f t="shared" si="878"/>
        <v/>
      </c>
      <c r="X1358" s="34" t="str">
        <f>IF(B1358="","",COUNTIF($C$8:C1358,C1358)&amp;C1358)</f>
        <v/>
      </c>
    </row>
    <row r="1359" spans="2:24" ht="23.1" customHeight="1">
      <c r="B1359" s="31"/>
      <c r="C1359" s="9"/>
      <c r="D1359" s="9"/>
      <c r="E1359" s="7"/>
      <c r="F1359" s="7"/>
      <c r="G1359" s="7"/>
      <c r="H1359" s="7"/>
      <c r="I1359" s="7"/>
      <c r="J1359" s="39"/>
      <c r="L1359" s="16" t="str">
        <f t="shared" si="869"/>
        <v/>
      </c>
      <c r="M1359" s="16" t="str">
        <f t="shared" si="870"/>
        <v/>
      </c>
      <c r="N1359" s="16" t="str">
        <f t="shared" si="871"/>
        <v/>
      </c>
      <c r="O1359" s="16" t="str">
        <f>IF(N1359="","",COUNTIF($N$8:N1359,N1359))</f>
        <v/>
      </c>
      <c r="P1359" s="34" t="str">
        <f t="shared" si="872"/>
        <v/>
      </c>
      <c r="Q1359" s="34" t="str">
        <f t="shared" si="873"/>
        <v/>
      </c>
      <c r="R1359" s="34" t="str">
        <f t="shared" si="874"/>
        <v/>
      </c>
      <c r="S1359" s="34" t="str">
        <f t="shared" si="875"/>
        <v/>
      </c>
      <c r="T1359" s="34" t="str">
        <f t="shared" si="876"/>
        <v/>
      </c>
      <c r="U1359" s="34" t="str">
        <f>IF(AND(L1359=1,bp_kode=T1359,T1359&lt;&gt;""),COUNTIF($T$8:T1359,T1359),"")</f>
        <v/>
      </c>
      <c r="V1359" s="34" t="str">
        <f t="shared" si="877"/>
        <v/>
      </c>
      <c r="W1359" s="34" t="str">
        <f t="shared" si="878"/>
        <v/>
      </c>
      <c r="X1359" s="34" t="str">
        <f>IF(B1359="","",COUNTIF($C$8:C1359,C1359)&amp;C1359)</f>
        <v/>
      </c>
    </row>
    <row r="1360" spans="2:24" ht="23.1" customHeight="1">
      <c r="B1360" s="31"/>
      <c r="C1360" s="9"/>
      <c r="D1360" s="9"/>
      <c r="E1360" s="7"/>
      <c r="F1360" s="7"/>
      <c r="G1360" s="7"/>
      <c r="H1360" s="7"/>
      <c r="I1360" s="7"/>
      <c r="J1360" s="39"/>
      <c r="L1360" s="16" t="str">
        <f t="shared" si="869"/>
        <v/>
      </c>
      <c r="M1360" s="16" t="str">
        <f t="shared" si="870"/>
        <v/>
      </c>
      <c r="N1360" s="16" t="str">
        <f t="shared" si="871"/>
        <v/>
      </c>
      <c r="O1360" s="16" t="str">
        <f>IF(N1360="","",COUNTIF($N$8:N1360,N1360))</f>
        <v/>
      </c>
      <c r="P1360" s="34" t="str">
        <f t="shared" si="872"/>
        <v/>
      </c>
      <c r="Q1360" s="34" t="str">
        <f t="shared" si="873"/>
        <v/>
      </c>
      <c r="R1360" s="34" t="str">
        <f t="shared" si="874"/>
        <v/>
      </c>
      <c r="S1360" s="34" t="str">
        <f t="shared" si="875"/>
        <v/>
      </c>
      <c r="T1360" s="34" t="str">
        <f t="shared" si="876"/>
        <v/>
      </c>
      <c r="U1360" s="34" t="str">
        <f>IF(AND(L1360=1,bp_kode=T1360,T1360&lt;&gt;""),COUNTIF($T$8:T1360,T1360),"")</f>
        <v/>
      </c>
      <c r="V1360" s="34" t="str">
        <f t="shared" si="877"/>
        <v/>
      </c>
      <c r="W1360" s="34" t="str">
        <f t="shared" si="878"/>
        <v/>
      </c>
      <c r="X1360" s="34" t="str">
        <f>IF(B1360="","",COUNTIF($C$8:C1360,C1360)&amp;C1360)</f>
        <v/>
      </c>
    </row>
    <row r="1361" spans="2:24" ht="23.1" customHeight="1">
      <c r="B1361" s="31"/>
      <c r="C1361" s="9"/>
      <c r="D1361" s="9"/>
      <c r="E1361" s="7"/>
      <c r="F1361" s="7"/>
      <c r="G1361" s="7"/>
      <c r="H1361" s="7"/>
      <c r="I1361" s="7"/>
      <c r="J1361" s="39"/>
      <c r="L1361" s="16" t="str">
        <f t="shared" si="869"/>
        <v/>
      </c>
      <c r="M1361" s="16" t="str">
        <f t="shared" si="870"/>
        <v/>
      </c>
      <c r="N1361" s="16" t="str">
        <f t="shared" si="871"/>
        <v/>
      </c>
      <c r="O1361" s="16" t="str">
        <f>IF(N1361="","",COUNTIF($N$8:N1361,N1361))</f>
        <v/>
      </c>
      <c r="P1361" s="34" t="str">
        <f t="shared" si="872"/>
        <v/>
      </c>
      <c r="Q1361" s="34" t="str">
        <f t="shared" si="873"/>
        <v/>
      </c>
      <c r="R1361" s="34" t="str">
        <f t="shared" si="874"/>
        <v/>
      </c>
      <c r="S1361" s="34" t="str">
        <f t="shared" si="875"/>
        <v/>
      </c>
      <c r="T1361" s="34" t="str">
        <f t="shared" si="876"/>
        <v/>
      </c>
      <c r="U1361" s="34" t="str">
        <f>IF(AND(L1361=1,bp_kode=T1361,T1361&lt;&gt;""),COUNTIF($T$8:T1361,T1361),"")</f>
        <v/>
      </c>
      <c r="V1361" s="34" t="str">
        <f t="shared" si="877"/>
        <v/>
      </c>
      <c r="W1361" s="34" t="str">
        <f t="shared" si="878"/>
        <v/>
      </c>
      <c r="X1361" s="34" t="str">
        <f>IF(B1361="","",COUNTIF($C$8:C1361,C1361)&amp;C1361)</f>
        <v/>
      </c>
    </row>
    <row r="1362" spans="2:24" ht="23.1" customHeight="1">
      <c r="B1362" s="31"/>
      <c r="C1362" s="9"/>
      <c r="D1362" s="9"/>
      <c r="E1362" s="7"/>
      <c r="F1362" s="7"/>
      <c r="G1362" s="7"/>
      <c r="H1362" s="7"/>
      <c r="I1362" s="7"/>
      <c r="J1362" s="39"/>
      <c r="L1362" s="16" t="str">
        <f t="shared" si="869"/>
        <v/>
      </c>
      <c r="M1362" s="16" t="str">
        <f t="shared" si="870"/>
        <v/>
      </c>
      <c r="N1362" s="16" t="str">
        <f t="shared" si="871"/>
        <v/>
      </c>
      <c r="O1362" s="16" t="str">
        <f>IF(N1362="","",COUNTIF($N$8:N1362,N1362))</f>
        <v/>
      </c>
      <c r="P1362" s="34" t="str">
        <f t="shared" si="872"/>
        <v/>
      </c>
      <c r="Q1362" s="34" t="str">
        <f t="shared" si="873"/>
        <v/>
      </c>
      <c r="R1362" s="34" t="str">
        <f t="shared" si="874"/>
        <v/>
      </c>
      <c r="S1362" s="34" t="str">
        <f t="shared" si="875"/>
        <v/>
      </c>
      <c r="T1362" s="34" t="str">
        <f t="shared" si="876"/>
        <v/>
      </c>
      <c r="U1362" s="34" t="str">
        <f>IF(AND(L1362=1,bp_kode=T1362,T1362&lt;&gt;""),COUNTIF($T$8:T1362,T1362),"")</f>
        <v/>
      </c>
      <c r="V1362" s="34" t="str">
        <f t="shared" si="877"/>
        <v/>
      </c>
      <c r="W1362" s="34" t="str">
        <f t="shared" si="878"/>
        <v/>
      </c>
      <c r="X1362" s="34" t="str">
        <f>IF(B1362="","",COUNTIF($C$8:C1362,C1362)&amp;C1362)</f>
        <v/>
      </c>
    </row>
    <row r="1363" spans="2:24" ht="23.1" customHeight="1">
      <c r="B1363" s="31"/>
      <c r="C1363" s="9"/>
      <c r="D1363" s="9"/>
      <c r="E1363" s="7"/>
      <c r="F1363" s="7"/>
      <c r="G1363" s="7"/>
      <c r="H1363" s="7"/>
      <c r="I1363" s="7"/>
      <c r="J1363" s="39"/>
      <c r="L1363" s="16" t="str">
        <f t="shared" si="869"/>
        <v/>
      </c>
      <c r="M1363" s="16" t="str">
        <f t="shared" si="870"/>
        <v/>
      </c>
      <c r="N1363" s="16" t="str">
        <f t="shared" si="871"/>
        <v/>
      </c>
      <c r="O1363" s="16" t="str">
        <f>IF(N1363="","",COUNTIF($N$8:N1363,N1363))</f>
        <v/>
      </c>
      <c r="P1363" s="34" t="str">
        <f t="shared" si="872"/>
        <v/>
      </c>
      <c r="Q1363" s="34" t="str">
        <f t="shared" si="873"/>
        <v/>
      </c>
      <c r="R1363" s="34" t="str">
        <f t="shared" si="874"/>
        <v/>
      </c>
      <c r="S1363" s="34" t="str">
        <f t="shared" si="875"/>
        <v/>
      </c>
      <c r="T1363" s="34" t="str">
        <f t="shared" si="876"/>
        <v/>
      </c>
      <c r="U1363" s="34" t="str">
        <f>IF(AND(L1363=1,bp_kode=T1363,T1363&lt;&gt;""),COUNTIF($T$8:T1363,T1363),"")</f>
        <v/>
      </c>
      <c r="V1363" s="34" t="str">
        <f t="shared" si="877"/>
        <v/>
      </c>
      <c r="W1363" s="34" t="str">
        <f t="shared" si="878"/>
        <v/>
      </c>
      <c r="X1363" s="34" t="str">
        <f>IF(B1363="","",COUNTIF($C$8:C1363,C1363)&amp;C1363)</f>
        <v/>
      </c>
    </row>
    <row r="1364" spans="2:24" ht="23.1" customHeight="1">
      <c r="B1364" s="31"/>
      <c r="C1364" s="9"/>
      <c r="D1364" s="9"/>
      <c r="E1364" s="7"/>
      <c r="F1364" s="7"/>
      <c r="G1364" s="7"/>
      <c r="H1364" s="7"/>
      <c r="I1364" s="7"/>
      <c r="J1364" s="39"/>
      <c r="L1364" s="16" t="str">
        <f t="shared" si="869"/>
        <v/>
      </c>
      <c r="M1364" s="16" t="str">
        <f t="shared" si="870"/>
        <v/>
      </c>
      <c r="N1364" s="16" t="str">
        <f t="shared" si="871"/>
        <v/>
      </c>
      <c r="O1364" s="16" t="str">
        <f>IF(N1364="","",COUNTIF($N$8:N1364,N1364))</f>
        <v/>
      </c>
      <c r="P1364" s="34" t="str">
        <f t="shared" si="872"/>
        <v/>
      </c>
      <c r="Q1364" s="34" t="str">
        <f t="shared" si="873"/>
        <v/>
      </c>
      <c r="R1364" s="34" t="str">
        <f t="shared" si="874"/>
        <v/>
      </c>
      <c r="S1364" s="34" t="str">
        <f t="shared" si="875"/>
        <v/>
      </c>
      <c r="T1364" s="34" t="str">
        <f t="shared" si="876"/>
        <v/>
      </c>
      <c r="U1364" s="34" t="str">
        <f>IF(AND(L1364=1,bp_kode=T1364,T1364&lt;&gt;""),COUNTIF($T$8:T1364,T1364),"")</f>
        <v/>
      </c>
      <c r="V1364" s="34" t="str">
        <f t="shared" si="877"/>
        <v/>
      </c>
      <c r="W1364" s="34" t="str">
        <f t="shared" si="878"/>
        <v/>
      </c>
      <c r="X1364" s="34" t="str">
        <f>IF(B1364="","",COUNTIF($C$8:C1364,C1364)&amp;C1364)</f>
        <v/>
      </c>
    </row>
    <row r="1365" spans="2:24" ht="23.1" customHeight="1">
      <c r="B1365" s="31"/>
      <c r="C1365" s="9"/>
      <c r="D1365" s="9"/>
      <c r="E1365" s="7"/>
      <c r="F1365" s="7"/>
      <c r="G1365" s="7"/>
      <c r="H1365" s="7"/>
      <c r="I1365" s="7"/>
      <c r="J1365" s="39"/>
      <c r="L1365" s="16" t="str">
        <f t="shared" si="869"/>
        <v/>
      </c>
      <c r="M1365" s="16" t="str">
        <f t="shared" si="870"/>
        <v/>
      </c>
      <c r="N1365" s="16" t="str">
        <f t="shared" si="871"/>
        <v/>
      </c>
      <c r="O1365" s="16" t="str">
        <f>IF(N1365="","",COUNTIF($N$8:N1365,N1365))</f>
        <v/>
      </c>
      <c r="P1365" s="34" t="str">
        <f t="shared" si="872"/>
        <v/>
      </c>
      <c r="Q1365" s="34" t="str">
        <f t="shared" si="873"/>
        <v/>
      </c>
      <c r="R1365" s="34" t="str">
        <f t="shared" si="874"/>
        <v/>
      </c>
      <c r="S1365" s="34" t="str">
        <f t="shared" si="875"/>
        <v/>
      </c>
      <c r="T1365" s="34" t="str">
        <f t="shared" si="876"/>
        <v/>
      </c>
      <c r="U1365" s="34" t="str">
        <f>IF(AND(L1365=1,bp_kode=T1365,T1365&lt;&gt;""),COUNTIF($T$8:T1365,T1365),"")</f>
        <v/>
      </c>
      <c r="V1365" s="34" t="str">
        <f t="shared" si="877"/>
        <v/>
      </c>
      <c r="W1365" s="34" t="str">
        <f t="shared" si="878"/>
        <v/>
      </c>
      <c r="X1365" s="34" t="str">
        <f>IF(B1365="","",COUNTIF($C$8:C1365,C1365)&amp;C1365)</f>
        <v/>
      </c>
    </row>
    <row r="1366" spans="2:24" ht="23.1" customHeight="1">
      <c r="B1366" s="31"/>
      <c r="C1366" s="9"/>
      <c r="D1366" s="9"/>
      <c r="E1366" s="7"/>
      <c r="F1366" s="7"/>
      <c r="G1366" s="7"/>
      <c r="H1366" s="7"/>
      <c r="I1366" s="7"/>
      <c r="J1366" s="39"/>
      <c r="L1366" s="16" t="str">
        <f t="shared" si="869"/>
        <v/>
      </c>
      <c r="M1366" s="16" t="str">
        <f t="shared" si="870"/>
        <v/>
      </c>
      <c r="N1366" s="16" t="str">
        <f t="shared" si="871"/>
        <v/>
      </c>
      <c r="O1366" s="16" t="str">
        <f>IF(N1366="","",COUNTIF($N$8:N1366,N1366))</f>
        <v/>
      </c>
      <c r="P1366" s="34" t="str">
        <f t="shared" si="872"/>
        <v/>
      </c>
      <c r="Q1366" s="34" t="str">
        <f t="shared" si="873"/>
        <v/>
      </c>
      <c r="R1366" s="34" t="str">
        <f t="shared" si="874"/>
        <v/>
      </c>
      <c r="S1366" s="34" t="str">
        <f t="shared" si="875"/>
        <v/>
      </c>
      <c r="T1366" s="34" t="str">
        <f t="shared" si="876"/>
        <v/>
      </c>
      <c r="U1366" s="34" t="str">
        <f>IF(AND(L1366=1,bp_kode=T1366,T1366&lt;&gt;""),COUNTIF($T$8:T1366,T1366),"")</f>
        <v/>
      </c>
      <c r="V1366" s="34" t="str">
        <f t="shared" si="877"/>
        <v/>
      </c>
      <c r="W1366" s="34" t="str">
        <f t="shared" si="878"/>
        <v/>
      </c>
      <c r="X1366" s="34" t="str">
        <f>IF(B1366="","",COUNTIF($C$8:C1366,C1366)&amp;C1366)</f>
        <v/>
      </c>
    </row>
    <row r="1367" spans="2:24" ht="23.1" customHeight="1">
      <c r="B1367" s="31"/>
      <c r="C1367" s="9"/>
      <c r="D1367" s="9"/>
      <c r="E1367" s="7"/>
      <c r="F1367" s="7"/>
      <c r="G1367" s="7"/>
      <c r="H1367" s="7"/>
      <c r="I1367" s="7"/>
      <c r="J1367" s="39"/>
      <c r="L1367" s="16" t="str">
        <f t="shared" si="869"/>
        <v/>
      </c>
      <c r="M1367" s="16" t="str">
        <f t="shared" si="870"/>
        <v/>
      </c>
      <c r="N1367" s="16" t="str">
        <f t="shared" si="871"/>
        <v/>
      </c>
      <c r="O1367" s="16" t="str">
        <f>IF(N1367="","",COUNTIF($N$8:N1367,N1367))</f>
        <v/>
      </c>
      <c r="P1367" s="34" t="str">
        <f t="shared" si="872"/>
        <v/>
      </c>
      <c r="Q1367" s="34" t="str">
        <f t="shared" si="873"/>
        <v/>
      </c>
      <c r="R1367" s="34" t="str">
        <f t="shared" si="874"/>
        <v/>
      </c>
      <c r="S1367" s="34" t="str">
        <f t="shared" si="875"/>
        <v/>
      </c>
      <c r="T1367" s="34" t="str">
        <f t="shared" si="876"/>
        <v/>
      </c>
      <c r="U1367" s="34" t="str">
        <f>IF(AND(L1367=1,bp_kode=T1367,T1367&lt;&gt;""),COUNTIF($T$8:T1367,T1367),"")</f>
        <v/>
      </c>
      <c r="V1367" s="34" t="str">
        <f t="shared" si="877"/>
        <v/>
      </c>
      <c r="W1367" s="34" t="str">
        <f t="shared" si="878"/>
        <v/>
      </c>
      <c r="X1367" s="34" t="str">
        <f>IF(B1367="","",COUNTIF($C$8:C1367,C1367)&amp;C1367)</f>
        <v/>
      </c>
    </row>
    <row r="1368" spans="2:24" ht="23.1" customHeight="1">
      <c r="B1368" s="31"/>
      <c r="C1368" s="9"/>
      <c r="D1368" s="9"/>
      <c r="E1368" s="7"/>
      <c r="F1368" s="7"/>
      <c r="G1368" s="7"/>
      <c r="H1368" s="7"/>
      <c r="I1368" s="7"/>
      <c r="J1368" s="39"/>
      <c r="L1368" s="16" t="str">
        <f t="shared" si="869"/>
        <v/>
      </c>
      <c r="M1368" s="16" t="str">
        <f t="shared" si="870"/>
        <v/>
      </c>
      <c r="N1368" s="16" t="str">
        <f t="shared" si="871"/>
        <v/>
      </c>
      <c r="O1368" s="16" t="str">
        <f>IF(N1368="","",COUNTIF($N$8:N1368,N1368))</f>
        <v/>
      </c>
      <c r="P1368" s="34" t="str">
        <f t="shared" si="872"/>
        <v/>
      </c>
      <c r="Q1368" s="34" t="str">
        <f t="shared" si="873"/>
        <v/>
      </c>
      <c r="R1368" s="34" t="str">
        <f t="shared" si="874"/>
        <v/>
      </c>
      <c r="S1368" s="34" t="str">
        <f t="shared" si="875"/>
        <v/>
      </c>
      <c r="T1368" s="34" t="str">
        <f t="shared" si="876"/>
        <v/>
      </c>
      <c r="U1368" s="34" t="str">
        <f>IF(AND(L1368=1,bp_kode=T1368,T1368&lt;&gt;""),COUNTIF($T$8:T1368,T1368),"")</f>
        <v/>
      </c>
      <c r="V1368" s="34" t="str">
        <f t="shared" si="877"/>
        <v/>
      </c>
      <c r="W1368" s="34" t="str">
        <f t="shared" si="878"/>
        <v/>
      </c>
      <c r="X1368" s="34" t="str">
        <f>IF(B1368="","",COUNTIF($C$8:C1368,C1368)&amp;C1368)</f>
        <v/>
      </c>
    </row>
    <row r="1369" spans="2:24" ht="23.1" customHeight="1">
      <c r="B1369" s="31"/>
      <c r="C1369" s="9"/>
      <c r="D1369" s="9"/>
      <c r="E1369" s="7"/>
      <c r="F1369" s="7"/>
      <c r="G1369" s="7"/>
      <c r="H1369" s="7"/>
      <c r="I1369" s="7"/>
      <c r="J1369" s="39"/>
      <c r="L1369" s="16" t="str">
        <f t="shared" si="869"/>
        <v/>
      </c>
      <c r="M1369" s="16" t="str">
        <f t="shared" si="870"/>
        <v/>
      </c>
      <c r="N1369" s="16" t="str">
        <f t="shared" si="871"/>
        <v/>
      </c>
      <c r="O1369" s="16" t="str">
        <f>IF(N1369="","",COUNTIF($N$8:N1369,N1369))</f>
        <v/>
      </c>
      <c r="P1369" s="34" t="str">
        <f t="shared" si="872"/>
        <v/>
      </c>
      <c r="Q1369" s="34" t="str">
        <f t="shared" si="873"/>
        <v/>
      </c>
      <c r="R1369" s="34" t="str">
        <f t="shared" si="874"/>
        <v/>
      </c>
      <c r="S1369" s="34" t="str">
        <f t="shared" si="875"/>
        <v/>
      </c>
      <c r="T1369" s="34" t="str">
        <f t="shared" si="876"/>
        <v/>
      </c>
      <c r="U1369" s="34" t="str">
        <f>IF(AND(L1369=1,bp_kode=T1369,T1369&lt;&gt;""),COUNTIF($T$8:T1369,T1369),"")</f>
        <v/>
      </c>
      <c r="V1369" s="34" t="str">
        <f t="shared" si="877"/>
        <v/>
      </c>
      <c r="W1369" s="34" t="str">
        <f t="shared" si="878"/>
        <v/>
      </c>
      <c r="X1369" s="34" t="str">
        <f>IF(B1369="","",COUNTIF($C$8:C1369,C1369)&amp;C1369)</f>
        <v/>
      </c>
    </row>
    <row r="1370" spans="2:24" ht="23.1" customHeight="1">
      <c r="B1370" s="31"/>
      <c r="C1370" s="9"/>
      <c r="D1370" s="9"/>
      <c r="E1370" s="7"/>
      <c r="F1370" s="7"/>
      <c r="G1370" s="7"/>
      <c r="H1370" s="7"/>
      <c r="I1370" s="7"/>
      <c r="J1370" s="39"/>
      <c r="L1370" s="16" t="str">
        <f t="shared" si="869"/>
        <v/>
      </c>
      <c r="M1370" s="16" t="str">
        <f t="shared" si="870"/>
        <v/>
      </c>
      <c r="N1370" s="16" t="str">
        <f t="shared" si="871"/>
        <v/>
      </c>
      <c r="O1370" s="16" t="str">
        <f>IF(N1370="","",COUNTIF($N$8:N1370,N1370))</f>
        <v/>
      </c>
      <c r="P1370" s="34" t="str">
        <f t="shared" si="872"/>
        <v/>
      </c>
      <c r="Q1370" s="34" t="str">
        <f t="shared" si="873"/>
        <v/>
      </c>
      <c r="R1370" s="34" t="str">
        <f t="shared" si="874"/>
        <v/>
      </c>
      <c r="S1370" s="34" t="str">
        <f t="shared" si="875"/>
        <v/>
      </c>
      <c r="T1370" s="34" t="str">
        <f t="shared" si="876"/>
        <v/>
      </c>
      <c r="U1370" s="34" t="str">
        <f>IF(AND(L1370=1,bp_kode=T1370,T1370&lt;&gt;""),COUNTIF($T$8:T1370,T1370),"")</f>
        <v/>
      </c>
      <c r="V1370" s="34" t="str">
        <f t="shared" si="877"/>
        <v/>
      </c>
      <c r="W1370" s="34" t="str">
        <f t="shared" si="878"/>
        <v/>
      </c>
      <c r="X1370" s="34" t="str">
        <f>IF(B1370="","",COUNTIF($C$8:C1370,C1370)&amp;C1370)</f>
        <v/>
      </c>
    </row>
    <row r="1371" spans="2:24" ht="23.1" customHeight="1">
      <c r="B1371" s="31"/>
      <c r="C1371" s="9"/>
      <c r="D1371" s="9"/>
      <c r="E1371" s="7"/>
      <c r="F1371" s="7"/>
      <c r="G1371" s="7"/>
      <c r="H1371" s="7"/>
      <c r="I1371" s="7"/>
      <c r="J1371" s="39"/>
      <c r="L1371" s="16" t="str">
        <f t="shared" si="869"/>
        <v/>
      </c>
      <c r="M1371" s="16" t="str">
        <f t="shared" si="870"/>
        <v/>
      </c>
      <c r="N1371" s="16" t="str">
        <f t="shared" si="871"/>
        <v/>
      </c>
      <c r="O1371" s="16" t="str">
        <f>IF(N1371="","",COUNTIF($N$8:N1371,N1371))</f>
        <v/>
      </c>
      <c r="P1371" s="34" t="str">
        <f t="shared" si="872"/>
        <v/>
      </c>
      <c r="Q1371" s="34" t="str">
        <f t="shared" si="873"/>
        <v/>
      </c>
      <c r="R1371" s="34" t="str">
        <f t="shared" si="874"/>
        <v/>
      </c>
      <c r="S1371" s="34" t="str">
        <f t="shared" si="875"/>
        <v/>
      </c>
      <c r="T1371" s="34" t="str">
        <f t="shared" si="876"/>
        <v/>
      </c>
      <c r="U1371" s="34" t="str">
        <f>IF(AND(L1371=1,bp_kode=T1371,T1371&lt;&gt;""),COUNTIF($T$8:T1371,T1371),"")</f>
        <v/>
      </c>
      <c r="V1371" s="34" t="str">
        <f t="shared" si="877"/>
        <v/>
      </c>
      <c r="W1371" s="34" t="str">
        <f t="shared" si="878"/>
        <v/>
      </c>
      <c r="X1371" s="34" t="str">
        <f>IF(B1371="","",COUNTIF($C$8:C1371,C1371)&amp;C1371)</f>
        <v/>
      </c>
    </row>
    <row r="1372" spans="2:24" ht="23.1" customHeight="1">
      <c r="B1372" s="31"/>
      <c r="C1372" s="9"/>
      <c r="D1372" s="9"/>
      <c r="E1372" s="7"/>
      <c r="F1372" s="7"/>
      <c r="G1372" s="7"/>
      <c r="H1372" s="7"/>
      <c r="I1372" s="7"/>
      <c r="J1372" s="39"/>
      <c r="L1372" s="16" t="str">
        <f t="shared" si="869"/>
        <v/>
      </c>
      <c r="M1372" s="16" t="str">
        <f t="shared" si="870"/>
        <v/>
      </c>
      <c r="N1372" s="16" t="str">
        <f t="shared" si="871"/>
        <v/>
      </c>
      <c r="O1372" s="16" t="str">
        <f>IF(N1372="","",COUNTIF($N$8:N1372,N1372))</f>
        <v/>
      </c>
      <c r="P1372" s="34" t="str">
        <f t="shared" si="872"/>
        <v/>
      </c>
      <c r="Q1372" s="34" t="str">
        <f t="shared" si="873"/>
        <v/>
      </c>
      <c r="R1372" s="34" t="str">
        <f t="shared" si="874"/>
        <v/>
      </c>
      <c r="S1372" s="34" t="str">
        <f t="shared" si="875"/>
        <v/>
      </c>
      <c r="T1372" s="34" t="str">
        <f t="shared" si="876"/>
        <v/>
      </c>
      <c r="U1372" s="34" t="str">
        <f>IF(AND(L1372=1,bp_kode=T1372,T1372&lt;&gt;""),COUNTIF($T$8:T1372,T1372),"")</f>
        <v/>
      </c>
      <c r="V1372" s="34" t="str">
        <f t="shared" si="877"/>
        <v/>
      </c>
      <c r="W1372" s="34" t="str">
        <f t="shared" si="878"/>
        <v/>
      </c>
      <c r="X1372" s="34" t="str">
        <f>IF(B1372="","",COUNTIF($C$8:C1372,C1372)&amp;C1372)</f>
        <v/>
      </c>
    </row>
    <row r="1373" spans="2:24" ht="23.1" customHeight="1">
      <c r="B1373" s="31"/>
      <c r="C1373" s="9"/>
      <c r="D1373" s="9"/>
      <c r="E1373" s="7"/>
      <c r="F1373" s="7"/>
      <c r="G1373" s="7"/>
      <c r="H1373" s="7"/>
      <c r="I1373" s="7"/>
      <c r="J1373" s="39"/>
      <c r="L1373" s="16" t="str">
        <f t="shared" si="869"/>
        <v/>
      </c>
      <c r="M1373" s="16" t="str">
        <f t="shared" si="870"/>
        <v/>
      </c>
      <c r="N1373" s="16" t="str">
        <f t="shared" si="871"/>
        <v/>
      </c>
      <c r="O1373" s="16" t="str">
        <f>IF(N1373="","",COUNTIF($N$8:N1373,N1373))</f>
        <v/>
      </c>
      <c r="P1373" s="34" t="str">
        <f t="shared" si="872"/>
        <v/>
      </c>
      <c r="Q1373" s="34" t="str">
        <f t="shared" si="873"/>
        <v/>
      </c>
      <c r="R1373" s="34" t="str">
        <f t="shared" si="874"/>
        <v/>
      </c>
      <c r="S1373" s="34" t="str">
        <f t="shared" si="875"/>
        <v/>
      </c>
      <c r="T1373" s="34" t="str">
        <f t="shared" si="876"/>
        <v/>
      </c>
      <c r="U1373" s="34" t="str">
        <f>IF(AND(L1373=1,bp_kode=T1373,T1373&lt;&gt;""),COUNTIF($T$8:T1373,T1373),"")</f>
        <v/>
      </c>
      <c r="V1373" s="34" t="str">
        <f t="shared" si="877"/>
        <v/>
      </c>
      <c r="W1373" s="34" t="str">
        <f t="shared" si="878"/>
        <v/>
      </c>
      <c r="X1373" s="34" t="str">
        <f>IF(B1373="","",COUNTIF($C$8:C1373,C1373)&amp;C1373)</f>
        <v/>
      </c>
    </row>
    <row r="1374" spans="2:24" ht="23.1" customHeight="1">
      <c r="B1374" s="31"/>
      <c r="C1374" s="9"/>
      <c r="D1374" s="9"/>
      <c r="E1374" s="7"/>
      <c r="F1374" s="7"/>
      <c r="G1374" s="7"/>
      <c r="H1374" s="7"/>
      <c r="I1374" s="7"/>
      <c r="J1374" s="39"/>
      <c r="L1374" s="16" t="str">
        <f t="shared" si="869"/>
        <v/>
      </c>
      <c r="M1374" s="16" t="str">
        <f t="shared" si="870"/>
        <v/>
      </c>
      <c r="N1374" s="16" t="str">
        <f t="shared" si="871"/>
        <v/>
      </c>
      <c r="O1374" s="16" t="str">
        <f>IF(N1374="","",COUNTIF($N$8:N1374,N1374))</f>
        <v/>
      </c>
      <c r="P1374" s="34" t="str">
        <f t="shared" si="872"/>
        <v/>
      </c>
      <c r="Q1374" s="34" t="str">
        <f t="shared" si="873"/>
        <v/>
      </c>
      <c r="R1374" s="34" t="str">
        <f t="shared" si="874"/>
        <v/>
      </c>
      <c r="S1374" s="34" t="str">
        <f t="shared" si="875"/>
        <v/>
      </c>
      <c r="T1374" s="34" t="str">
        <f t="shared" si="876"/>
        <v/>
      </c>
      <c r="U1374" s="34" t="str">
        <f>IF(AND(L1374=1,bp_kode=T1374,T1374&lt;&gt;""),COUNTIF($T$8:T1374,T1374),"")</f>
        <v/>
      </c>
      <c r="V1374" s="34" t="str">
        <f t="shared" si="877"/>
        <v/>
      </c>
      <c r="W1374" s="34" t="str">
        <f t="shared" si="878"/>
        <v/>
      </c>
      <c r="X1374" s="34" t="str">
        <f>IF(B1374="","",COUNTIF($C$8:C1374,C1374)&amp;C1374)</f>
        <v/>
      </c>
    </row>
    <row r="1375" spans="2:24" ht="23.1" customHeight="1">
      <c r="B1375" s="31"/>
      <c r="C1375" s="9"/>
      <c r="D1375" s="9"/>
      <c r="E1375" s="7"/>
      <c r="F1375" s="7"/>
      <c r="G1375" s="7"/>
      <c r="H1375" s="7"/>
      <c r="I1375" s="7"/>
      <c r="J1375" s="39"/>
      <c r="L1375" s="16" t="str">
        <f t="shared" si="869"/>
        <v/>
      </c>
      <c r="M1375" s="16" t="str">
        <f t="shared" si="870"/>
        <v/>
      </c>
      <c r="N1375" s="16" t="str">
        <f t="shared" si="871"/>
        <v/>
      </c>
      <c r="O1375" s="16" t="str">
        <f>IF(N1375="","",COUNTIF($N$8:N1375,N1375))</f>
        <v/>
      </c>
      <c r="P1375" s="34" t="str">
        <f t="shared" si="872"/>
        <v/>
      </c>
      <c r="Q1375" s="34" t="str">
        <f t="shared" si="873"/>
        <v/>
      </c>
      <c r="R1375" s="34" t="str">
        <f t="shared" si="874"/>
        <v/>
      </c>
      <c r="S1375" s="34" t="str">
        <f t="shared" si="875"/>
        <v/>
      </c>
      <c r="T1375" s="34" t="str">
        <f t="shared" si="876"/>
        <v/>
      </c>
      <c r="U1375" s="34" t="str">
        <f>IF(AND(L1375=1,bp_kode=T1375,T1375&lt;&gt;""),COUNTIF($T$8:T1375,T1375),"")</f>
        <v/>
      </c>
      <c r="V1375" s="34" t="str">
        <f t="shared" si="877"/>
        <v/>
      </c>
      <c r="W1375" s="34" t="str">
        <f t="shared" si="878"/>
        <v/>
      </c>
      <c r="X1375" s="34" t="str">
        <f>IF(B1375="","",COUNTIF($C$8:C1375,C1375)&amp;C1375)</f>
        <v/>
      </c>
    </row>
    <row r="1376" spans="2:24" ht="23.1" customHeight="1">
      <c r="B1376" s="31"/>
      <c r="C1376" s="9"/>
      <c r="D1376" s="9"/>
      <c r="E1376" s="7"/>
      <c r="F1376" s="7"/>
      <c r="G1376" s="7"/>
      <c r="H1376" s="7"/>
      <c r="I1376" s="7"/>
      <c r="J1376" s="39"/>
      <c r="L1376" s="16" t="str">
        <f t="shared" si="869"/>
        <v/>
      </c>
      <c r="M1376" s="16" t="str">
        <f t="shared" si="870"/>
        <v/>
      </c>
      <c r="N1376" s="16" t="str">
        <f t="shared" si="871"/>
        <v/>
      </c>
      <c r="O1376" s="16" t="str">
        <f>IF(N1376="","",COUNTIF($N$8:N1376,N1376))</f>
        <v/>
      </c>
      <c r="P1376" s="34" t="str">
        <f t="shared" si="872"/>
        <v/>
      </c>
      <c r="Q1376" s="34" t="str">
        <f t="shared" si="873"/>
        <v/>
      </c>
      <c r="R1376" s="34" t="str">
        <f t="shared" si="874"/>
        <v/>
      </c>
      <c r="S1376" s="34" t="str">
        <f t="shared" si="875"/>
        <v/>
      </c>
      <c r="T1376" s="34" t="str">
        <f t="shared" si="876"/>
        <v/>
      </c>
      <c r="U1376" s="34" t="str">
        <f>IF(AND(L1376=1,bp_kode=T1376,T1376&lt;&gt;""),COUNTIF($T$8:T1376,T1376),"")</f>
        <v/>
      </c>
      <c r="V1376" s="34" t="str">
        <f t="shared" si="877"/>
        <v/>
      </c>
      <c r="W1376" s="34" t="str">
        <f t="shared" si="878"/>
        <v/>
      </c>
      <c r="X1376" s="34" t="str">
        <f>IF(B1376="","",COUNTIF($C$8:C1376,C1376)&amp;C1376)</f>
        <v/>
      </c>
    </row>
    <row r="1377" spans="2:24" ht="23.1" customHeight="1">
      <c r="B1377" s="31"/>
      <c r="C1377" s="9"/>
      <c r="D1377" s="9"/>
      <c r="E1377" s="7"/>
      <c r="F1377" s="7"/>
      <c r="G1377" s="7"/>
      <c r="H1377" s="7"/>
      <c r="I1377" s="7"/>
      <c r="J1377" s="39"/>
      <c r="L1377" s="16" t="str">
        <f t="shared" si="869"/>
        <v/>
      </c>
      <c r="M1377" s="16" t="str">
        <f t="shared" si="870"/>
        <v/>
      </c>
      <c r="N1377" s="16" t="str">
        <f t="shared" si="871"/>
        <v/>
      </c>
      <c r="O1377" s="16" t="str">
        <f>IF(N1377="","",COUNTIF($N$8:N1377,N1377))</f>
        <v/>
      </c>
      <c r="P1377" s="34" t="str">
        <f t="shared" si="872"/>
        <v/>
      </c>
      <c r="Q1377" s="34" t="str">
        <f t="shared" si="873"/>
        <v/>
      </c>
      <c r="R1377" s="34" t="str">
        <f t="shared" si="874"/>
        <v/>
      </c>
      <c r="S1377" s="34" t="str">
        <f t="shared" si="875"/>
        <v/>
      </c>
      <c r="T1377" s="34" t="str">
        <f t="shared" si="876"/>
        <v/>
      </c>
      <c r="U1377" s="34" t="str">
        <f>IF(AND(L1377=1,bp_kode=T1377,T1377&lt;&gt;""),COUNTIF($T$8:T1377,T1377),"")</f>
        <v/>
      </c>
      <c r="V1377" s="34" t="str">
        <f t="shared" si="877"/>
        <v/>
      </c>
      <c r="W1377" s="34" t="str">
        <f t="shared" si="878"/>
        <v/>
      </c>
      <c r="X1377" s="34" t="str">
        <f>IF(B1377="","",COUNTIF($C$8:C1377,C1377)&amp;C1377)</f>
        <v/>
      </c>
    </row>
    <row r="1378" spans="2:24" ht="23.1" customHeight="1">
      <c r="B1378" s="31"/>
      <c r="C1378" s="9"/>
      <c r="D1378" s="9"/>
      <c r="E1378" s="7"/>
      <c r="F1378" s="7"/>
      <c r="G1378" s="7"/>
      <c r="H1378" s="7"/>
      <c r="I1378" s="7"/>
      <c r="J1378" s="39"/>
      <c r="L1378" s="16" t="str">
        <f t="shared" si="869"/>
        <v/>
      </c>
      <c r="M1378" s="16" t="str">
        <f t="shared" si="870"/>
        <v/>
      </c>
      <c r="N1378" s="16" t="str">
        <f t="shared" si="871"/>
        <v/>
      </c>
      <c r="O1378" s="16" t="str">
        <f>IF(N1378="","",COUNTIF($N$8:N1378,N1378))</f>
        <v/>
      </c>
      <c r="P1378" s="34" t="str">
        <f t="shared" si="872"/>
        <v/>
      </c>
      <c r="Q1378" s="34" t="str">
        <f t="shared" si="873"/>
        <v/>
      </c>
      <c r="R1378" s="34" t="str">
        <f t="shared" si="874"/>
        <v/>
      </c>
      <c r="S1378" s="34" t="str">
        <f t="shared" si="875"/>
        <v/>
      </c>
      <c r="T1378" s="34" t="str">
        <f t="shared" si="876"/>
        <v/>
      </c>
      <c r="U1378" s="34" t="str">
        <f>IF(AND(L1378=1,bp_kode=T1378,T1378&lt;&gt;""),COUNTIF($T$8:T1378,T1378),"")</f>
        <v/>
      </c>
      <c r="V1378" s="34" t="str">
        <f t="shared" si="877"/>
        <v/>
      </c>
      <c r="W1378" s="34" t="str">
        <f t="shared" si="878"/>
        <v/>
      </c>
      <c r="X1378" s="34" t="str">
        <f>IF(B1378="","",COUNTIF($C$8:C1378,C1378)&amp;C1378)</f>
        <v/>
      </c>
    </row>
    <row r="1379" spans="2:24" ht="23.1" customHeight="1">
      <c r="B1379" s="31"/>
      <c r="C1379" s="9"/>
      <c r="D1379" s="9"/>
      <c r="E1379" s="7"/>
      <c r="F1379" s="7"/>
      <c r="G1379" s="7"/>
      <c r="H1379" s="7"/>
      <c r="I1379" s="7"/>
      <c r="J1379" s="39"/>
      <c r="L1379" s="16" t="str">
        <f t="shared" si="869"/>
        <v/>
      </c>
      <c r="M1379" s="16" t="str">
        <f t="shared" si="870"/>
        <v/>
      </c>
      <c r="N1379" s="16" t="str">
        <f t="shared" si="871"/>
        <v/>
      </c>
      <c r="O1379" s="16" t="str">
        <f>IF(N1379="","",COUNTIF($N$8:N1379,N1379))</f>
        <v/>
      </c>
      <c r="P1379" s="34" t="str">
        <f t="shared" si="872"/>
        <v/>
      </c>
      <c r="Q1379" s="34" t="str">
        <f t="shared" si="873"/>
        <v/>
      </c>
      <c r="R1379" s="34" t="str">
        <f t="shared" si="874"/>
        <v/>
      </c>
      <c r="S1379" s="34" t="str">
        <f t="shared" si="875"/>
        <v/>
      </c>
      <c r="T1379" s="34" t="str">
        <f t="shared" si="876"/>
        <v/>
      </c>
      <c r="U1379" s="34" t="str">
        <f>IF(AND(L1379=1,bp_kode=T1379,T1379&lt;&gt;""),COUNTIF($T$8:T1379,T1379),"")</f>
        <v/>
      </c>
      <c r="V1379" s="34" t="str">
        <f t="shared" si="877"/>
        <v/>
      </c>
      <c r="W1379" s="34" t="str">
        <f t="shared" si="878"/>
        <v/>
      </c>
      <c r="X1379" s="34" t="str">
        <f>IF(B1379="","",COUNTIF($C$8:C1379,C1379)&amp;C1379)</f>
        <v/>
      </c>
    </row>
    <row r="1380" spans="2:24" ht="23.1" customHeight="1">
      <c r="B1380" s="31"/>
      <c r="C1380" s="9"/>
      <c r="D1380" s="9"/>
      <c r="E1380" s="7"/>
      <c r="F1380" s="7"/>
      <c r="G1380" s="7"/>
      <c r="H1380" s="7"/>
      <c r="I1380" s="7"/>
      <c r="J1380" s="39"/>
      <c r="L1380" s="16" t="str">
        <f t="shared" si="869"/>
        <v/>
      </c>
      <c r="M1380" s="16" t="str">
        <f t="shared" si="870"/>
        <v/>
      </c>
      <c r="N1380" s="16" t="str">
        <f t="shared" si="871"/>
        <v/>
      </c>
      <c r="O1380" s="16" t="str">
        <f>IF(N1380="","",COUNTIF($N$8:N1380,N1380))</f>
        <v/>
      </c>
      <c r="P1380" s="34" t="str">
        <f t="shared" si="872"/>
        <v/>
      </c>
      <c r="Q1380" s="34" t="str">
        <f t="shared" si="873"/>
        <v/>
      </c>
      <c r="R1380" s="34" t="str">
        <f t="shared" si="874"/>
        <v/>
      </c>
      <c r="S1380" s="34" t="str">
        <f t="shared" si="875"/>
        <v/>
      </c>
      <c r="T1380" s="34" t="str">
        <f t="shared" si="876"/>
        <v/>
      </c>
      <c r="U1380" s="34" t="str">
        <f>IF(AND(L1380=1,bp_kode=T1380,T1380&lt;&gt;""),COUNTIF($T$8:T1380,T1380),"")</f>
        <v/>
      </c>
      <c r="V1380" s="34" t="str">
        <f t="shared" si="877"/>
        <v/>
      </c>
      <c r="W1380" s="34" t="str">
        <f t="shared" si="878"/>
        <v/>
      </c>
      <c r="X1380" s="34" t="str">
        <f>IF(B1380="","",COUNTIF($C$8:C1380,C1380)&amp;C1380)</f>
        <v/>
      </c>
    </row>
    <row r="1381" spans="2:24" ht="23.1" customHeight="1">
      <c r="B1381" s="31"/>
      <c r="C1381" s="9"/>
      <c r="D1381" s="9"/>
      <c r="E1381" s="7"/>
      <c r="F1381" s="7"/>
      <c r="G1381" s="7"/>
      <c r="H1381" s="7"/>
      <c r="I1381" s="7"/>
      <c r="J1381" s="39"/>
      <c r="L1381" s="16" t="str">
        <f t="shared" si="869"/>
        <v/>
      </c>
      <c r="M1381" s="16" t="str">
        <f t="shared" si="870"/>
        <v/>
      </c>
      <c r="N1381" s="16" t="str">
        <f t="shared" si="871"/>
        <v/>
      </c>
      <c r="O1381" s="16" t="str">
        <f>IF(N1381="","",COUNTIF($N$8:N1381,N1381))</f>
        <v/>
      </c>
      <c r="P1381" s="34" t="str">
        <f t="shared" si="872"/>
        <v/>
      </c>
      <c r="Q1381" s="34" t="str">
        <f t="shared" si="873"/>
        <v/>
      </c>
      <c r="R1381" s="34" t="str">
        <f t="shared" si="874"/>
        <v/>
      </c>
      <c r="S1381" s="34" t="str">
        <f t="shared" si="875"/>
        <v/>
      </c>
      <c r="T1381" s="34" t="str">
        <f t="shared" si="876"/>
        <v/>
      </c>
      <c r="U1381" s="34" t="str">
        <f>IF(AND(L1381=1,bp_kode=T1381,T1381&lt;&gt;""),COUNTIF($T$8:T1381,T1381),"")</f>
        <v/>
      </c>
      <c r="V1381" s="34" t="str">
        <f t="shared" si="877"/>
        <v/>
      </c>
      <c r="W1381" s="34" t="str">
        <f t="shared" si="878"/>
        <v/>
      </c>
      <c r="X1381" s="34" t="str">
        <f>IF(B1381="","",COUNTIF($C$8:C1381,C1381)&amp;C1381)</f>
        <v/>
      </c>
    </row>
    <row r="1382" spans="2:24" ht="23.1" customHeight="1">
      <c r="B1382" s="31"/>
      <c r="C1382" s="9"/>
      <c r="D1382" s="9"/>
      <c r="E1382" s="7"/>
      <c r="F1382" s="7"/>
      <c r="G1382" s="7"/>
      <c r="H1382" s="7"/>
      <c r="I1382" s="7"/>
      <c r="J1382" s="39"/>
      <c r="L1382" s="16" t="str">
        <f t="shared" si="869"/>
        <v/>
      </c>
      <c r="M1382" s="16" t="str">
        <f t="shared" si="870"/>
        <v/>
      </c>
      <c r="N1382" s="16" t="str">
        <f t="shared" si="871"/>
        <v/>
      </c>
      <c r="O1382" s="16" t="str">
        <f>IF(N1382="","",COUNTIF($N$8:N1382,N1382))</f>
        <v/>
      </c>
      <c r="P1382" s="34" t="str">
        <f t="shared" si="872"/>
        <v/>
      </c>
      <c r="Q1382" s="34" t="str">
        <f t="shared" si="873"/>
        <v/>
      </c>
      <c r="R1382" s="34" t="str">
        <f t="shared" si="874"/>
        <v/>
      </c>
      <c r="S1382" s="34" t="str">
        <f t="shared" si="875"/>
        <v/>
      </c>
      <c r="T1382" s="34" t="str">
        <f t="shared" si="876"/>
        <v/>
      </c>
      <c r="U1382" s="34" t="str">
        <f>IF(AND(L1382=1,bp_kode=T1382,T1382&lt;&gt;""),COUNTIF($T$8:T1382,T1382),"")</f>
        <v/>
      </c>
      <c r="V1382" s="34" t="str">
        <f t="shared" si="877"/>
        <v/>
      </c>
      <c r="W1382" s="34" t="str">
        <f t="shared" si="878"/>
        <v/>
      </c>
      <c r="X1382" s="34" t="str">
        <f>IF(B1382="","",COUNTIF($C$8:C1382,C1382)&amp;C1382)</f>
        <v/>
      </c>
    </row>
    <row r="1383" spans="2:24" ht="23.1" customHeight="1">
      <c r="B1383" s="31"/>
      <c r="C1383" s="9"/>
      <c r="D1383" s="9"/>
      <c r="E1383" s="7"/>
      <c r="F1383" s="7"/>
      <c r="G1383" s="7"/>
      <c r="H1383" s="7"/>
      <c r="I1383" s="7"/>
      <c r="J1383" s="39"/>
      <c r="L1383" s="16" t="str">
        <f t="shared" si="869"/>
        <v/>
      </c>
      <c r="M1383" s="16" t="str">
        <f t="shared" si="870"/>
        <v/>
      </c>
      <c r="N1383" s="16" t="str">
        <f t="shared" si="871"/>
        <v/>
      </c>
      <c r="O1383" s="16" t="str">
        <f>IF(N1383="","",COUNTIF($N$8:N1383,N1383))</f>
        <v/>
      </c>
      <c r="P1383" s="34" t="str">
        <f t="shared" si="872"/>
        <v/>
      </c>
      <c r="Q1383" s="34" t="str">
        <f t="shared" si="873"/>
        <v/>
      </c>
      <c r="R1383" s="34" t="str">
        <f t="shared" si="874"/>
        <v/>
      </c>
      <c r="S1383" s="34" t="str">
        <f t="shared" si="875"/>
        <v/>
      </c>
      <c r="T1383" s="34" t="str">
        <f t="shared" si="876"/>
        <v/>
      </c>
      <c r="U1383" s="34" t="str">
        <f>IF(AND(L1383=1,bp_kode=T1383,T1383&lt;&gt;""),COUNTIF($T$8:T1383,T1383),"")</f>
        <v/>
      </c>
      <c r="V1383" s="34" t="str">
        <f t="shared" si="877"/>
        <v/>
      </c>
      <c r="W1383" s="34" t="str">
        <f t="shared" si="878"/>
        <v/>
      </c>
      <c r="X1383" s="34" t="str">
        <f>IF(B1383="","",COUNTIF($C$8:C1383,C1383)&amp;C1383)</f>
        <v/>
      </c>
    </row>
    <row r="1384" spans="2:24" ht="23.1" customHeight="1">
      <c r="B1384" s="31"/>
      <c r="C1384" s="9"/>
      <c r="D1384" s="9"/>
      <c r="E1384" s="7"/>
      <c r="F1384" s="7"/>
      <c r="G1384" s="7"/>
      <c r="H1384" s="7"/>
      <c r="I1384" s="7"/>
      <c r="J1384" s="39"/>
      <c r="L1384" s="16" t="str">
        <f t="shared" si="869"/>
        <v/>
      </c>
      <c r="M1384" s="16" t="str">
        <f t="shared" si="870"/>
        <v/>
      </c>
      <c r="N1384" s="16" t="str">
        <f t="shared" si="871"/>
        <v/>
      </c>
      <c r="O1384" s="16" t="str">
        <f>IF(N1384="","",COUNTIF($N$8:N1384,N1384))</f>
        <v/>
      </c>
      <c r="P1384" s="34" t="str">
        <f t="shared" si="872"/>
        <v/>
      </c>
      <c r="Q1384" s="34" t="str">
        <f t="shared" si="873"/>
        <v/>
      </c>
      <c r="R1384" s="34" t="str">
        <f t="shared" si="874"/>
        <v/>
      </c>
      <c r="S1384" s="34" t="str">
        <f t="shared" si="875"/>
        <v/>
      </c>
      <c r="T1384" s="34" t="str">
        <f t="shared" si="876"/>
        <v/>
      </c>
      <c r="U1384" s="34" t="str">
        <f>IF(AND(L1384=1,bp_kode=T1384,T1384&lt;&gt;""),COUNTIF($T$8:T1384,T1384),"")</f>
        <v/>
      </c>
      <c r="V1384" s="34" t="str">
        <f t="shared" si="877"/>
        <v/>
      </c>
      <c r="W1384" s="34" t="str">
        <f t="shared" si="878"/>
        <v/>
      </c>
      <c r="X1384" s="34" t="str">
        <f>IF(B1384="","",COUNTIF($C$8:C1384,C1384)&amp;C1384)</f>
        <v/>
      </c>
    </row>
    <row r="1385" spans="2:24" ht="23.1" customHeight="1">
      <c r="B1385" s="31"/>
      <c r="C1385" s="9"/>
      <c r="D1385" s="9"/>
      <c r="E1385" s="7"/>
      <c r="F1385" s="7"/>
      <c r="G1385" s="7"/>
      <c r="H1385" s="7"/>
      <c r="I1385" s="7"/>
      <c r="J1385" s="39"/>
      <c r="L1385" s="16" t="str">
        <f t="shared" si="869"/>
        <v/>
      </c>
      <c r="M1385" s="16" t="str">
        <f t="shared" si="870"/>
        <v/>
      </c>
      <c r="N1385" s="16" t="str">
        <f t="shared" si="871"/>
        <v/>
      </c>
      <c r="O1385" s="16" t="str">
        <f>IF(N1385="","",COUNTIF($N$8:N1385,N1385))</f>
        <v/>
      </c>
      <c r="P1385" s="34" t="str">
        <f t="shared" si="872"/>
        <v/>
      </c>
      <c r="Q1385" s="34" t="str">
        <f t="shared" si="873"/>
        <v/>
      </c>
      <c r="R1385" s="34" t="str">
        <f t="shared" si="874"/>
        <v/>
      </c>
      <c r="S1385" s="34" t="str">
        <f t="shared" si="875"/>
        <v/>
      </c>
      <c r="T1385" s="34" t="str">
        <f t="shared" si="876"/>
        <v/>
      </c>
      <c r="U1385" s="34" t="str">
        <f>IF(AND(L1385=1,bp_kode=T1385,T1385&lt;&gt;""),COUNTIF($T$8:T1385,T1385),"")</f>
        <v/>
      </c>
      <c r="V1385" s="34" t="str">
        <f t="shared" si="877"/>
        <v/>
      </c>
      <c r="W1385" s="34" t="str">
        <f t="shared" si="878"/>
        <v/>
      </c>
      <c r="X1385" s="34" t="str">
        <f>IF(B1385="","",COUNTIF($C$8:C1385,C1385)&amp;C1385)</f>
        <v/>
      </c>
    </row>
    <row r="1386" spans="2:24" ht="23.1" customHeight="1">
      <c r="B1386" s="31"/>
      <c r="C1386" s="9"/>
      <c r="D1386" s="9"/>
      <c r="E1386" s="7"/>
      <c r="F1386" s="7"/>
      <c r="G1386" s="7"/>
      <c r="H1386" s="7"/>
      <c r="I1386" s="7"/>
      <c r="J1386" s="39"/>
      <c r="L1386" s="16" t="str">
        <f t="shared" si="869"/>
        <v/>
      </c>
      <c r="M1386" s="16" t="str">
        <f t="shared" si="870"/>
        <v/>
      </c>
      <c r="N1386" s="16" t="str">
        <f t="shared" si="871"/>
        <v/>
      </c>
      <c r="O1386" s="16" t="str">
        <f>IF(N1386="","",COUNTIF($N$8:N1386,N1386))</f>
        <v/>
      </c>
      <c r="P1386" s="34" t="str">
        <f t="shared" si="872"/>
        <v/>
      </c>
      <c r="Q1386" s="34" t="str">
        <f t="shared" si="873"/>
        <v/>
      </c>
      <c r="R1386" s="34" t="str">
        <f t="shared" si="874"/>
        <v/>
      </c>
      <c r="S1386" s="34" t="str">
        <f t="shared" si="875"/>
        <v/>
      </c>
      <c r="T1386" s="34" t="str">
        <f t="shared" si="876"/>
        <v/>
      </c>
      <c r="U1386" s="34" t="str">
        <f>IF(AND(L1386=1,bp_kode=T1386,T1386&lt;&gt;""),COUNTIF($T$8:T1386,T1386),"")</f>
        <v/>
      </c>
      <c r="V1386" s="34" t="str">
        <f t="shared" si="877"/>
        <v/>
      </c>
      <c r="W1386" s="34" t="str">
        <f t="shared" si="878"/>
        <v/>
      </c>
      <c r="X1386" s="34" t="str">
        <f>IF(B1386="","",COUNTIF($C$8:C1386,C1386)&amp;C1386)</f>
        <v/>
      </c>
    </row>
    <row r="1387" spans="2:24" ht="23.1" customHeight="1">
      <c r="B1387" s="31"/>
      <c r="C1387" s="9"/>
      <c r="D1387" s="9"/>
      <c r="E1387" s="7"/>
      <c r="F1387" s="7"/>
      <c r="G1387" s="7"/>
      <c r="H1387" s="7"/>
      <c r="I1387" s="7"/>
      <c r="J1387" s="39"/>
      <c r="L1387" s="16" t="str">
        <f t="shared" si="869"/>
        <v/>
      </c>
      <c r="M1387" s="16" t="str">
        <f t="shared" si="870"/>
        <v/>
      </c>
      <c r="N1387" s="16" t="str">
        <f t="shared" si="871"/>
        <v/>
      </c>
      <c r="O1387" s="16" t="str">
        <f>IF(N1387="","",COUNTIF($N$8:N1387,N1387))</f>
        <v/>
      </c>
      <c r="P1387" s="34" t="str">
        <f t="shared" si="872"/>
        <v/>
      </c>
      <c r="Q1387" s="34" t="str">
        <f t="shared" si="873"/>
        <v/>
      </c>
      <c r="R1387" s="34" t="str">
        <f t="shared" si="874"/>
        <v/>
      </c>
      <c r="S1387" s="34" t="str">
        <f t="shared" si="875"/>
        <v/>
      </c>
      <c r="T1387" s="34" t="str">
        <f t="shared" si="876"/>
        <v/>
      </c>
      <c r="U1387" s="34" t="str">
        <f>IF(AND(L1387=1,bp_kode=T1387,T1387&lt;&gt;""),COUNTIF($T$8:T1387,T1387),"")</f>
        <v/>
      </c>
      <c r="V1387" s="34" t="str">
        <f t="shared" si="877"/>
        <v/>
      </c>
      <c r="W1387" s="34" t="str">
        <f t="shared" si="878"/>
        <v/>
      </c>
      <c r="X1387" s="34" t="str">
        <f>IF(B1387="","",COUNTIF($C$8:C1387,C1387)&amp;C1387)</f>
        <v/>
      </c>
    </row>
    <row r="1388" spans="2:24" ht="23.1" customHeight="1">
      <c r="B1388" s="31"/>
      <c r="C1388" s="9"/>
      <c r="D1388" s="9"/>
      <c r="E1388" s="7"/>
      <c r="F1388" s="7"/>
      <c r="G1388" s="7"/>
      <c r="H1388" s="7"/>
      <c r="I1388" s="7"/>
      <c r="J1388" s="39"/>
      <c r="L1388" s="16" t="str">
        <f t="shared" si="869"/>
        <v/>
      </c>
      <c r="M1388" s="16" t="str">
        <f t="shared" si="870"/>
        <v/>
      </c>
      <c r="N1388" s="16" t="str">
        <f t="shared" si="871"/>
        <v/>
      </c>
      <c r="O1388" s="16" t="str">
        <f>IF(N1388="","",COUNTIF($N$8:N1388,N1388))</f>
        <v/>
      </c>
      <c r="P1388" s="34" t="str">
        <f t="shared" si="872"/>
        <v/>
      </c>
      <c r="Q1388" s="34" t="str">
        <f t="shared" si="873"/>
        <v/>
      </c>
      <c r="R1388" s="34" t="str">
        <f t="shared" si="874"/>
        <v/>
      </c>
      <c r="S1388" s="34" t="str">
        <f t="shared" si="875"/>
        <v/>
      </c>
      <c r="T1388" s="34" t="str">
        <f t="shared" si="876"/>
        <v/>
      </c>
      <c r="U1388" s="34" t="str">
        <f>IF(AND(L1388=1,bp_kode=T1388,T1388&lt;&gt;""),COUNTIF($T$8:T1388,T1388),"")</f>
        <v/>
      </c>
      <c r="V1388" s="34" t="str">
        <f t="shared" si="877"/>
        <v/>
      </c>
      <c r="W1388" s="34" t="str">
        <f t="shared" si="878"/>
        <v/>
      </c>
      <c r="X1388" s="34" t="str">
        <f>IF(B1388="","",COUNTIF($C$8:C1388,C1388)&amp;C1388)</f>
        <v/>
      </c>
    </row>
    <row r="1389" spans="2:24" ht="23.1" customHeight="1">
      <c r="B1389" s="31"/>
      <c r="C1389" s="9"/>
      <c r="D1389" s="9"/>
      <c r="E1389" s="7"/>
      <c r="F1389" s="7"/>
      <c r="G1389" s="7"/>
      <c r="H1389" s="7"/>
      <c r="I1389" s="7"/>
      <c r="J1389" s="39"/>
      <c r="L1389" s="16" t="str">
        <f t="shared" si="869"/>
        <v/>
      </c>
      <c r="M1389" s="16" t="str">
        <f t="shared" si="870"/>
        <v/>
      </c>
      <c r="N1389" s="16" t="str">
        <f t="shared" si="871"/>
        <v/>
      </c>
      <c r="O1389" s="16" t="str">
        <f>IF(N1389="","",COUNTIF($N$8:N1389,N1389))</f>
        <v/>
      </c>
      <c r="P1389" s="34" t="str">
        <f t="shared" si="872"/>
        <v/>
      </c>
      <c r="Q1389" s="34" t="str">
        <f t="shared" si="873"/>
        <v/>
      </c>
      <c r="R1389" s="34" t="str">
        <f t="shared" si="874"/>
        <v/>
      </c>
      <c r="S1389" s="34" t="str">
        <f t="shared" si="875"/>
        <v/>
      </c>
      <c r="T1389" s="34" t="str">
        <f t="shared" si="876"/>
        <v/>
      </c>
      <c r="U1389" s="34" t="str">
        <f>IF(AND(L1389=1,bp_kode=T1389,T1389&lt;&gt;""),COUNTIF($T$8:T1389,T1389),"")</f>
        <v/>
      </c>
      <c r="V1389" s="34" t="str">
        <f t="shared" si="877"/>
        <v/>
      </c>
      <c r="W1389" s="34" t="str">
        <f t="shared" si="878"/>
        <v/>
      </c>
      <c r="X1389" s="34" t="str">
        <f>IF(B1389="","",COUNTIF($C$8:C1389,C1389)&amp;C1389)</f>
        <v/>
      </c>
    </row>
    <row r="1390" spans="2:24" ht="23.1" customHeight="1">
      <c r="B1390" s="31"/>
      <c r="C1390" s="9"/>
      <c r="D1390" s="9"/>
      <c r="E1390" s="7"/>
      <c r="F1390" s="7"/>
      <c r="G1390" s="7"/>
      <c r="H1390" s="7"/>
      <c r="I1390" s="7"/>
      <c r="J1390" s="39"/>
      <c r="L1390" s="16" t="str">
        <f t="shared" si="869"/>
        <v/>
      </c>
      <c r="M1390" s="16" t="str">
        <f t="shared" si="870"/>
        <v/>
      </c>
      <c r="N1390" s="16" t="str">
        <f t="shared" si="871"/>
        <v/>
      </c>
      <c r="O1390" s="16" t="str">
        <f>IF(N1390="","",COUNTIF($N$8:N1390,N1390))</f>
        <v/>
      </c>
      <c r="P1390" s="34" t="str">
        <f t="shared" si="872"/>
        <v/>
      </c>
      <c r="Q1390" s="34" t="str">
        <f t="shared" si="873"/>
        <v/>
      </c>
      <c r="R1390" s="34" t="str">
        <f t="shared" si="874"/>
        <v/>
      </c>
      <c r="S1390" s="34" t="str">
        <f t="shared" si="875"/>
        <v/>
      </c>
      <c r="T1390" s="34" t="str">
        <f t="shared" si="876"/>
        <v/>
      </c>
      <c r="U1390" s="34" t="str">
        <f>IF(AND(L1390=1,bp_kode=T1390,T1390&lt;&gt;""),COUNTIF($T$8:T1390,T1390),"")</f>
        <v/>
      </c>
      <c r="V1390" s="34" t="str">
        <f t="shared" si="877"/>
        <v/>
      </c>
      <c r="W1390" s="34" t="str">
        <f t="shared" si="878"/>
        <v/>
      </c>
      <c r="X1390" s="34" t="str">
        <f>IF(B1390="","",COUNTIF($C$8:C1390,C1390)&amp;C1390)</f>
        <v/>
      </c>
    </row>
    <row r="1391" spans="2:24" ht="23.1" customHeight="1">
      <c r="B1391" s="31"/>
      <c r="C1391" s="9"/>
      <c r="D1391" s="9"/>
      <c r="E1391" s="7"/>
      <c r="F1391" s="7"/>
      <c r="G1391" s="7"/>
      <c r="H1391" s="7"/>
      <c r="I1391" s="7"/>
      <c r="J1391" s="39"/>
      <c r="L1391" s="16" t="str">
        <f t="shared" si="869"/>
        <v/>
      </c>
      <c r="M1391" s="16" t="str">
        <f t="shared" si="870"/>
        <v/>
      </c>
      <c r="N1391" s="16" t="str">
        <f t="shared" si="871"/>
        <v/>
      </c>
      <c r="O1391" s="16" t="str">
        <f>IF(N1391="","",COUNTIF($N$8:N1391,N1391))</f>
        <v/>
      </c>
      <c r="P1391" s="34" t="str">
        <f t="shared" si="872"/>
        <v/>
      </c>
      <c r="Q1391" s="34" t="str">
        <f t="shared" si="873"/>
        <v/>
      </c>
      <c r="R1391" s="34" t="str">
        <f t="shared" si="874"/>
        <v/>
      </c>
      <c r="S1391" s="34" t="str">
        <f t="shared" si="875"/>
        <v/>
      </c>
      <c r="T1391" s="34" t="str">
        <f t="shared" si="876"/>
        <v/>
      </c>
      <c r="U1391" s="34" t="str">
        <f>IF(AND(L1391=1,bp_kode=T1391,T1391&lt;&gt;""),COUNTIF($T$8:T1391,T1391),"")</f>
        <v/>
      </c>
      <c r="V1391" s="34" t="str">
        <f t="shared" si="877"/>
        <v/>
      </c>
      <c r="W1391" s="34" t="str">
        <f t="shared" si="878"/>
        <v/>
      </c>
      <c r="X1391" s="34" t="str">
        <f>IF(B1391="","",COUNTIF($C$8:C1391,C1391)&amp;C1391)</f>
        <v/>
      </c>
    </row>
    <row r="1392" spans="2:24" ht="23.1" customHeight="1">
      <c r="B1392" s="31"/>
      <c r="C1392" s="9"/>
      <c r="D1392" s="9"/>
      <c r="E1392" s="7"/>
      <c r="F1392" s="7"/>
      <c r="G1392" s="7"/>
      <c r="H1392" s="7"/>
      <c r="I1392" s="7"/>
      <c r="J1392" s="39"/>
      <c r="L1392" s="16" t="str">
        <f t="shared" si="869"/>
        <v/>
      </c>
      <c r="M1392" s="16" t="str">
        <f t="shared" si="870"/>
        <v/>
      </c>
      <c r="N1392" s="16" t="str">
        <f t="shared" si="871"/>
        <v/>
      </c>
      <c r="O1392" s="16" t="str">
        <f>IF(N1392="","",COUNTIF($N$8:N1392,N1392))</f>
        <v/>
      </c>
      <c r="P1392" s="34" t="str">
        <f t="shared" si="872"/>
        <v/>
      </c>
      <c r="Q1392" s="34" t="str">
        <f t="shared" si="873"/>
        <v/>
      </c>
      <c r="R1392" s="34" t="str">
        <f t="shared" si="874"/>
        <v/>
      </c>
      <c r="S1392" s="34" t="str">
        <f t="shared" si="875"/>
        <v/>
      </c>
      <c r="T1392" s="34" t="str">
        <f t="shared" si="876"/>
        <v/>
      </c>
      <c r="U1392" s="34" t="str">
        <f>IF(AND(L1392=1,bp_kode=T1392,T1392&lt;&gt;""),COUNTIF($T$8:T1392,T1392),"")</f>
        <v/>
      </c>
      <c r="V1392" s="34" t="str">
        <f t="shared" si="877"/>
        <v/>
      </c>
      <c r="W1392" s="34" t="str">
        <f t="shared" si="878"/>
        <v/>
      </c>
      <c r="X1392" s="34" t="str">
        <f>IF(B1392="","",COUNTIF($C$8:C1392,C1392)&amp;C1392)</f>
        <v/>
      </c>
    </row>
    <row r="1393" spans="2:24" ht="23.1" customHeight="1">
      <c r="B1393" s="31"/>
      <c r="C1393" s="9"/>
      <c r="D1393" s="9"/>
      <c r="E1393" s="7"/>
      <c r="F1393" s="7"/>
      <c r="G1393" s="7"/>
      <c r="H1393" s="7"/>
      <c r="I1393" s="7"/>
      <c r="J1393" s="39"/>
      <c r="L1393" s="16" t="str">
        <f t="shared" si="869"/>
        <v/>
      </c>
      <c r="M1393" s="16" t="str">
        <f t="shared" si="870"/>
        <v/>
      </c>
      <c r="N1393" s="16" t="str">
        <f t="shared" si="871"/>
        <v/>
      </c>
      <c r="O1393" s="16" t="str">
        <f>IF(N1393="","",COUNTIF($N$8:N1393,N1393))</f>
        <v/>
      </c>
      <c r="P1393" s="34" t="str">
        <f t="shared" si="872"/>
        <v/>
      </c>
      <c r="Q1393" s="34" t="str">
        <f t="shared" si="873"/>
        <v/>
      </c>
      <c r="R1393" s="34" t="str">
        <f t="shared" si="874"/>
        <v/>
      </c>
      <c r="S1393" s="34" t="str">
        <f t="shared" si="875"/>
        <v/>
      </c>
      <c r="T1393" s="34" t="str">
        <f t="shared" si="876"/>
        <v/>
      </c>
      <c r="U1393" s="34" t="str">
        <f>IF(AND(L1393=1,bp_kode=T1393,T1393&lt;&gt;""),COUNTIF($T$8:T1393,T1393),"")</f>
        <v/>
      </c>
      <c r="V1393" s="34" t="str">
        <f t="shared" si="877"/>
        <v/>
      </c>
      <c r="W1393" s="34" t="str">
        <f t="shared" si="878"/>
        <v/>
      </c>
      <c r="X1393" s="34" t="str">
        <f>IF(B1393="","",COUNTIF($C$8:C1393,C1393)&amp;C1393)</f>
        <v/>
      </c>
    </row>
    <row r="1394" spans="2:24" ht="23.1" customHeight="1">
      <c r="B1394" s="31"/>
      <c r="C1394" s="9"/>
      <c r="D1394" s="9"/>
      <c r="E1394" s="7"/>
      <c r="F1394" s="7"/>
      <c r="G1394" s="7"/>
      <c r="H1394" s="7"/>
      <c r="I1394" s="7"/>
      <c r="J1394" s="39"/>
      <c r="L1394" s="16" t="str">
        <f t="shared" si="869"/>
        <v/>
      </c>
      <c r="M1394" s="16" t="str">
        <f t="shared" si="870"/>
        <v/>
      </c>
      <c r="N1394" s="16" t="str">
        <f t="shared" si="871"/>
        <v/>
      </c>
      <c r="O1394" s="16" t="str">
        <f>IF(N1394="","",COUNTIF($N$8:N1394,N1394))</f>
        <v/>
      </c>
      <c r="P1394" s="34" t="str">
        <f t="shared" si="872"/>
        <v/>
      </c>
      <c r="Q1394" s="34" t="str">
        <f t="shared" si="873"/>
        <v/>
      </c>
      <c r="R1394" s="34" t="str">
        <f t="shared" si="874"/>
        <v/>
      </c>
      <c r="S1394" s="34" t="str">
        <f t="shared" si="875"/>
        <v/>
      </c>
      <c r="T1394" s="34" t="str">
        <f t="shared" si="876"/>
        <v/>
      </c>
      <c r="U1394" s="34" t="str">
        <f>IF(AND(L1394=1,bp_kode=T1394,T1394&lt;&gt;""),COUNTIF($T$8:T1394,T1394),"")</f>
        <v/>
      </c>
      <c r="V1394" s="34" t="str">
        <f t="shared" si="877"/>
        <v/>
      </c>
      <c r="W1394" s="34" t="str">
        <f t="shared" si="878"/>
        <v/>
      </c>
      <c r="X1394" s="34" t="str">
        <f>IF(B1394="","",COUNTIF($C$8:C1394,C1394)&amp;C1394)</f>
        <v/>
      </c>
    </row>
    <row r="1395" spans="2:24" ht="23.1" customHeight="1">
      <c r="B1395" s="31"/>
      <c r="C1395" s="9"/>
      <c r="D1395" s="9"/>
      <c r="E1395" s="7"/>
      <c r="F1395" s="7"/>
      <c r="G1395" s="7"/>
      <c r="H1395" s="7"/>
      <c r="I1395" s="7"/>
      <c r="J1395" s="39"/>
      <c r="L1395" s="16" t="str">
        <f t="shared" si="869"/>
        <v/>
      </c>
      <c r="M1395" s="16" t="str">
        <f t="shared" si="870"/>
        <v/>
      </c>
      <c r="N1395" s="16" t="str">
        <f t="shared" si="871"/>
        <v/>
      </c>
      <c r="O1395" s="16" t="str">
        <f>IF(N1395="","",COUNTIF($N$8:N1395,N1395))</f>
        <v/>
      </c>
      <c r="P1395" s="34" t="str">
        <f t="shared" si="872"/>
        <v/>
      </c>
      <c r="Q1395" s="34" t="str">
        <f t="shared" si="873"/>
        <v/>
      </c>
      <c r="R1395" s="34" t="str">
        <f t="shared" si="874"/>
        <v/>
      </c>
      <c r="S1395" s="34" t="str">
        <f t="shared" si="875"/>
        <v/>
      </c>
      <c r="T1395" s="34" t="str">
        <f t="shared" si="876"/>
        <v/>
      </c>
      <c r="U1395" s="34" t="str">
        <f>IF(AND(L1395=1,bp_kode=T1395,T1395&lt;&gt;""),COUNTIF($T$8:T1395,T1395),"")</f>
        <v/>
      </c>
      <c r="V1395" s="34" t="str">
        <f t="shared" si="877"/>
        <v/>
      </c>
      <c r="W1395" s="34" t="str">
        <f t="shared" si="878"/>
        <v/>
      </c>
      <c r="X1395" s="34" t="str">
        <f>IF(B1395="","",COUNTIF($C$8:C1395,C1395)&amp;C1395)</f>
        <v/>
      </c>
    </row>
    <row r="1396" spans="2:24" ht="23.1" customHeight="1">
      <c r="B1396" s="31"/>
      <c r="C1396" s="9"/>
      <c r="D1396" s="9"/>
      <c r="E1396" s="7"/>
      <c r="F1396" s="7"/>
      <c r="G1396" s="7"/>
      <c r="H1396" s="7"/>
      <c r="I1396" s="7"/>
      <c r="J1396" s="39"/>
      <c r="L1396" s="16" t="str">
        <f t="shared" si="869"/>
        <v/>
      </c>
      <c r="M1396" s="16" t="str">
        <f t="shared" si="870"/>
        <v/>
      </c>
      <c r="N1396" s="16" t="str">
        <f t="shared" si="871"/>
        <v/>
      </c>
      <c r="O1396" s="16" t="str">
        <f>IF(N1396="","",COUNTIF($N$8:N1396,N1396))</f>
        <v/>
      </c>
      <c r="P1396" s="34" t="str">
        <f t="shared" si="872"/>
        <v/>
      </c>
      <c r="Q1396" s="34" t="str">
        <f t="shared" si="873"/>
        <v/>
      </c>
      <c r="R1396" s="34" t="str">
        <f t="shared" si="874"/>
        <v/>
      </c>
      <c r="S1396" s="34" t="str">
        <f t="shared" si="875"/>
        <v/>
      </c>
      <c r="T1396" s="34" t="str">
        <f t="shared" si="876"/>
        <v/>
      </c>
      <c r="U1396" s="34" t="str">
        <f>IF(AND(L1396=1,bp_kode=T1396,T1396&lt;&gt;""),COUNTIF($T$8:T1396,T1396),"")</f>
        <v/>
      </c>
      <c r="V1396" s="34" t="str">
        <f t="shared" si="877"/>
        <v/>
      </c>
      <c r="W1396" s="34" t="str">
        <f t="shared" si="878"/>
        <v/>
      </c>
      <c r="X1396" s="34" t="str">
        <f>IF(B1396="","",COUNTIF($C$8:C1396,C1396)&amp;C1396)</f>
        <v/>
      </c>
    </row>
    <row r="1397" spans="2:24" ht="23.1" customHeight="1">
      <c r="B1397" s="31"/>
      <c r="C1397" s="9"/>
      <c r="D1397" s="9"/>
      <c r="E1397" s="7"/>
      <c r="F1397" s="7"/>
      <c r="G1397" s="7"/>
      <c r="H1397" s="7"/>
      <c r="I1397" s="7"/>
      <c r="J1397" s="39"/>
      <c r="L1397" s="16" t="str">
        <f t="shared" si="869"/>
        <v/>
      </c>
      <c r="M1397" s="16" t="str">
        <f t="shared" si="870"/>
        <v/>
      </c>
      <c r="N1397" s="16" t="str">
        <f t="shared" si="871"/>
        <v/>
      </c>
      <c r="O1397" s="16" t="str">
        <f>IF(N1397="","",COUNTIF($N$8:N1397,N1397))</f>
        <v/>
      </c>
      <c r="P1397" s="34" t="str">
        <f t="shared" si="872"/>
        <v/>
      </c>
      <c r="Q1397" s="34" t="str">
        <f t="shared" si="873"/>
        <v/>
      </c>
      <c r="R1397" s="34" t="str">
        <f t="shared" si="874"/>
        <v/>
      </c>
      <c r="S1397" s="34" t="str">
        <f t="shared" si="875"/>
        <v/>
      </c>
      <c r="T1397" s="34" t="str">
        <f t="shared" si="876"/>
        <v/>
      </c>
      <c r="U1397" s="34" t="str">
        <f>IF(AND(L1397=1,bp_kode=T1397,T1397&lt;&gt;""),COUNTIF($T$8:T1397,T1397),"")</f>
        <v/>
      </c>
      <c r="V1397" s="34" t="str">
        <f t="shared" si="877"/>
        <v/>
      </c>
      <c r="W1397" s="34" t="str">
        <f t="shared" si="878"/>
        <v/>
      </c>
      <c r="X1397" s="34" t="str">
        <f>IF(B1397="","",COUNTIF($C$8:C1397,C1397)&amp;C1397)</f>
        <v/>
      </c>
    </row>
    <row r="1398" spans="2:24" ht="23.1" customHeight="1">
      <c r="B1398" s="31"/>
      <c r="C1398" s="9"/>
      <c r="D1398" s="9"/>
      <c r="E1398" s="7"/>
      <c r="F1398" s="7"/>
      <c r="G1398" s="7"/>
      <c r="H1398" s="7"/>
      <c r="I1398" s="7"/>
      <c r="J1398" s="39"/>
      <c r="L1398" s="16" t="str">
        <f t="shared" si="869"/>
        <v/>
      </c>
      <c r="M1398" s="16" t="str">
        <f t="shared" si="870"/>
        <v/>
      </c>
      <c r="N1398" s="16" t="str">
        <f t="shared" si="871"/>
        <v/>
      </c>
      <c r="O1398" s="16" t="str">
        <f>IF(N1398="","",COUNTIF($N$8:N1398,N1398))</f>
        <v/>
      </c>
      <c r="P1398" s="34" t="str">
        <f t="shared" si="872"/>
        <v/>
      </c>
      <c r="Q1398" s="34" t="str">
        <f t="shared" si="873"/>
        <v/>
      </c>
      <c r="R1398" s="34" t="str">
        <f t="shared" si="874"/>
        <v/>
      </c>
      <c r="S1398" s="34" t="str">
        <f t="shared" si="875"/>
        <v/>
      </c>
      <c r="T1398" s="34" t="str">
        <f t="shared" si="876"/>
        <v/>
      </c>
      <c r="U1398" s="34" t="str">
        <f>IF(AND(L1398=1,bp_kode=T1398,T1398&lt;&gt;""),COUNTIF($T$8:T1398,T1398),"")</f>
        <v/>
      </c>
      <c r="V1398" s="34" t="str">
        <f t="shared" si="877"/>
        <v/>
      </c>
      <c r="W1398" s="34" t="str">
        <f t="shared" si="878"/>
        <v/>
      </c>
      <c r="X1398" s="34" t="str">
        <f>IF(B1398="","",COUNTIF($C$8:C1398,C1398)&amp;C1398)</f>
        <v/>
      </c>
    </row>
    <row r="1399" spans="2:24" ht="23.1" customHeight="1">
      <c r="B1399" s="31"/>
      <c r="C1399" s="9"/>
      <c r="D1399" s="9"/>
      <c r="E1399" s="7"/>
      <c r="F1399" s="7"/>
      <c r="G1399" s="7"/>
      <c r="H1399" s="7"/>
      <c r="I1399" s="7"/>
      <c r="J1399" s="39"/>
      <c r="L1399" s="16" t="str">
        <f t="shared" si="869"/>
        <v/>
      </c>
      <c r="M1399" s="16" t="str">
        <f t="shared" si="870"/>
        <v/>
      </c>
      <c r="N1399" s="16" t="str">
        <f t="shared" si="871"/>
        <v/>
      </c>
      <c r="O1399" s="16" t="str">
        <f>IF(N1399="","",COUNTIF($N$8:N1399,N1399))</f>
        <v/>
      </c>
      <c r="P1399" s="34" t="str">
        <f t="shared" si="872"/>
        <v/>
      </c>
      <c r="Q1399" s="34" t="str">
        <f t="shared" si="873"/>
        <v/>
      </c>
      <c r="R1399" s="34" t="str">
        <f t="shared" si="874"/>
        <v/>
      </c>
      <c r="S1399" s="34" t="str">
        <f t="shared" si="875"/>
        <v/>
      </c>
      <c r="T1399" s="34" t="str">
        <f t="shared" si="876"/>
        <v/>
      </c>
      <c r="U1399" s="34" t="str">
        <f>IF(AND(L1399=1,bp_kode=T1399,T1399&lt;&gt;""),COUNTIF($T$8:T1399,T1399),"")</f>
        <v/>
      </c>
      <c r="V1399" s="34" t="str">
        <f t="shared" si="877"/>
        <v/>
      </c>
      <c r="W1399" s="34" t="str">
        <f t="shared" si="878"/>
        <v/>
      </c>
      <c r="X1399" s="34" t="str">
        <f>IF(B1399="","",COUNTIF($C$8:C1399,C1399)&amp;C1399)</f>
        <v/>
      </c>
    </row>
    <row r="1400" spans="2:24" ht="23.1" customHeight="1">
      <c r="B1400" s="31"/>
      <c r="C1400" s="9"/>
      <c r="D1400" s="9"/>
      <c r="E1400" s="7"/>
      <c r="F1400" s="7"/>
      <c r="G1400" s="7"/>
      <c r="H1400" s="7"/>
      <c r="I1400" s="7"/>
      <c r="J1400" s="39"/>
      <c r="L1400" s="16" t="str">
        <f t="shared" si="869"/>
        <v/>
      </c>
      <c r="M1400" s="16" t="str">
        <f t="shared" si="870"/>
        <v/>
      </c>
      <c r="N1400" s="16" t="str">
        <f t="shared" si="871"/>
        <v/>
      </c>
      <c r="O1400" s="16" t="str">
        <f>IF(N1400="","",COUNTIF($N$8:N1400,N1400))</f>
        <v/>
      </c>
      <c r="P1400" s="34" t="str">
        <f t="shared" si="872"/>
        <v/>
      </c>
      <c r="Q1400" s="34" t="str">
        <f t="shared" si="873"/>
        <v/>
      </c>
      <c r="R1400" s="34" t="str">
        <f t="shared" si="874"/>
        <v/>
      </c>
      <c r="S1400" s="34" t="str">
        <f t="shared" si="875"/>
        <v/>
      </c>
      <c r="T1400" s="34" t="str">
        <f t="shared" si="876"/>
        <v/>
      </c>
      <c r="U1400" s="34" t="str">
        <f>IF(AND(L1400=1,bp_kode=T1400,T1400&lt;&gt;""),COUNTIF($T$8:T1400,T1400),"")</f>
        <v/>
      </c>
      <c r="V1400" s="34" t="str">
        <f t="shared" si="877"/>
        <v/>
      </c>
      <c r="W1400" s="34" t="str">
        <f t="shared" si="878"/>
        <v/>
      </c>
      <c r="X1400" s="34" t="str">
        <f>IF(B1400="","",COUNTIF($C$8:C1400,C1400)&amp;C1400)</f>
        <v/>
      </c>
    </row>
    <row r="1401" spans="2:24" ht="23.1" customHeight="1">
      <c r="B1401" s="31"/>
      <c r="C1401" s="9"/>
      <c r="D1401" s="9"/>
      <c r="E1401" s="7"/>
      <c r="F1401" s="7"/>
      <c r="G1401" s="7"/>
      <c r="H1401" s="7"/>
      <c r="I1401" s="7"/>
      <c r="J1401" s="39"/>
      <c r="L1401" s="16" t="str">
        <f t="shared" si="869"/>
        <v/>
      </c>
      <c r="M1401" s="16" t="str">
        <f t="shared" si="870"/>
        <v/>
      </c>
      <c r="N1401" s="16" t="str">
        <f t="shared" si="871"/>
        <v/>
      </c>
      <c r="O1401" s="16" t="str">
        <f>IF(N1401="","",COUNTIF($N$8:N1401,N1401))</f>
        <v/>
      </c>
      <c r="P1401" s="34" t="str">
        <f t="shared" si="872"/>
        <v/>
      </c>
      <c r="Q1401" s="34" t="str">
        <f t="shared" si="873"/>
        <v/>
      </c>
      <c r="R1401" s="34" t="str">
        <f t="shared" si="874"/>
        <v/>
      </c>
      <c r="S1401" s="34" t="str">
        <f t="shared" si="875"/>
        <v/>
      </c>
      <c r="T1401" s="34" t="str">
        <f t="shared" si="876"/>
        <v/>
      </c>
      <c r="U1401" s="34" t="str">
        <f>IF(AND(L1401=1,bp_kode=T1401,T1401&lt;&gt;""),COUNTIF($T$8:T1401,T1401),"")</f>
        <v/>
      </c>
      <c r="V1401" s="34" t="str">
        <f t="shared" si="877"/>
        <v/>
      </c>
      <c r="W1401" s="34" t="str">
        <f t="shared" si="878"/>
        <v/>
      </c>
      <c r="X1401" s="34" t="str">
        <f>IF(B1401="","",COUNTIF($C$8:C1401,C1401)&amp;C1401)</f>
        <v/>
      </c>
    </row>
    <row r="1402" spans="2:24" ht="23.1" customHeight="1">
      <c r="B1402" s="31"/>
      <c r="C1402" s="9"/>
      <c r="D1402" s="9"/>
      <c r="E1402" s="7"/>
      <c r="F1402" s="7"/>
      <c r="G1402" s="7"/>
      <c r="H1402" s="7"/>
      <c r="I1402" s="7"/>
      <c r="J1402" s="39"/>
      <c r="L1402" s="16" t="str">
        <f t="shared" si="869"/>
        <v/>
      </c>
      <c r="M1402" s="16" t="str">
        <f t="shared" si="870"/>
        <v/>
      </c>
      <c r="N1402" s="16" t="str">
        <f t="shared" si="871"/>
        <v/>
      </c>
      <c r="O1402" s="16" t="str">
        <f>IF(N1402="","",COUNTIF($N$8:N1402,N1402))</f>
        <v/>
      </c>
      <c r="P1402" s="34" t="str">
        <f t="shared" si="872"/>
        <v/>
      </c>
      <c r="Q1402" s="34" t="str">
        <f t="shared" si="873"/>
        <v/>
      </c>
      <c r="R1402" s="34" t="str">
        <f t="shared" si="874"/>
        <v/>
      </c>
      <c r="S1402" s="34" t="str">
        <f t="shared" si="875"/>
        <v/>
      </c>
      <c r="T1402" s="34" t="str">
        <f t="shared" si="876"/>
        <v/>
      </c>
      <c r="U1402" s="34" t="str">
        <f>IF(AND(L1402=1,bp_kode=T1402,T1402&lt;&gt;""),COUNTIF($T$8:T1402,T1402),"")</f>
        <v/>
      </c>
      <c r="V1402" s="34" t="str">
        <f t="shared" si="877"/>
        <v/>
      </c>
      <c r="W1402" s="34" t="str">
        <f t="shared" si="878"/>
        <v/>
      </c>
      <c r="X1402" s="34" t="str">
        <f>IF(B1402="","",COUNTIF($C$8:C1402,C1402)&amp;C1402)</f>
        <v/>
      </c>
    </row>
    <row r="1403" spans="2:24" ht="23.1" customHeight="1">
      <c r="B1403" s="31"/>
      <c r="C1403" s="9"/>
      <c r="D1403" s="9"/>
      <c r="E1403" s="7"/>
      <c r="F1403" s="7"/>
      <c r="G1403" s="7"/>
      <c r="H1403" s="7"/>
      <c r="I1403" s="7"/>
      <c r="J1403" s="39"/>
      <c r="L1403" s="16" t="str">
        <f t="shared" si="869"/>
        <v/>
      </c>
      <c r="M1403" s="16" t="str">
        <f t="shared" si="870"/>
        <v/>
      </c>
      <c r="N1403" s="16" t="str">
        <f t="shared" si="871"/>
        <v/>
      </c>
      <c r="O1403" s="16" t="str">
        <f>IF(N1403="","",COUNTIF($N$8:N1403,N1403))</f>
        <v/>
      </c>
      <c r="P1403" s="34" t="str">
        <f t="shared" si="872"/>
        <v/>
      </c>
      <c r="Q1403" s="34" t="str">
        <f t="shared" si="873"/>
        <v/>
      </c>
      <c r="R1403" s="34" t="str">
        <f t="shared" si="874"/>
        <v/>
      </c>
      <c r="S1403" s="34" t="str">
        <f t="shared" si="875"/>
        <v/>
      </c>
      <c r="T1403" s="34" t="str">
        <f t="shared" si="876"/>
        <v/>
      </c>
      <c r="U1403" s="34" t="str">
        <f>IF(AND(L1403=1,bp_kode=T1403,T1403&lt;&gt;""),COUNTIF($T$8:T1403,T1403),"")</f>
        <v/>
      </c>
      <c r="V1403" s="34" t="str">
        <f t="shared" si="877"/>
        <v/>
      </c>
      <c r="W1403" s="34" t="str">
        <f t="shared" si="878"/>
        <v/>
      </c>
      <c r="X1403" s="34" t="str">
        <f>IF(B1403="","",COUNTIF($C$8:C1403,C1403)&amp;C1403)</f>
        <v/>
      </c>
    </row>
    <row r="1404" spans="2:24" ht="23.1" customHeight="1">
      <c r="B1404" s="31"/>
      <c r="C1404" s="9"/>
      <c r="D1404" s="9"/>
      <c r="E1404" s="7"/>
      <c r="F1404" s="7"/>
      <c r="G1404" s="7"/>
      <c r="H1404" s="7"/>
      <c r="I1404" s="7"/>
      <c r="J1404" s="39"/>
      <c r="L1404" s="16" t="str">
        <f t="shared" si="869"/>
        <v/>
      </c>
      <c r="M1404" s="16" t="str">
        <f t="shared" si="870"/>
        <v/>
      </c>
      <c r="N1404" s="16" t="str">
        <f t="shared" si="871"/>
        <v/>
      </c>
      <c r="O1404" s="16" t="str">
        <f>IF(N1404="","",COUNTIF($N$8:N1404,N1404))</f>
        <v/>
      </c>
      <c r="P1404" s="34" t="str">
        <f t="shared" si="872"/>
        <v/>
      </c>
      <c r="Q1404" s="34" t="str">
        <f t="shared" si="873"/>
        <v/>
      </c>
      <c r="R1404" s="34" t="str">
        <f t="shared" si="874"/>
        <v/>
      </c>
      <c r="S1404" s="34" t="str">
        <f t="shared" si="875"/>
        <v/>
      </c>
      <c r="T1404" s="34" t="str">
        <f t="shared" si="876"/>
        <v/>
      </c>
      <c r="U1404" s="34" t="str">
        <f>IF(AND(L1404=1,bp_kode=T1404,T1404&lt;&gt;""),COUNTIF($T$8:T1404,T1404),"")</f>
        <v/>
      </c>
      <c r="V1404" s="34" t="str">
        <f t="shared" si="877"/>
        <v/>
      </c>
      <c r="W1404" s="34" t="str">
        <f t="shared" si="878"/>
        <v/>
      </c>
      <c r="X1404" s="34" t="str">
        <f>IF(B1404="","",COUNTIF($C$8:C1404,C1404)&amp;C1404)</f>
        <v/>
      </c>
    </row>
    <row r="1405" spans="2:24" ht="23.1" customHeight="1">
      <c r="B1405" s="31"/>
      <c r="C1405" s="9"/>
      <c r="D1405" s="9"/>
      <c r="E1405" s="7"/>
      <c r="F1405" s="7"/>
      <c r="G1405" s="7"/>
      <c r="H1405" s="7"/>
      <c r="I1405" s="7"/>
      <c r="J1405" s="39"/>
      <c r="L1405" s="16" t="str">
        <f t="shared" ref="L1405:L1468" si="879">IF(AND(B1405&gt;=awal,B1405&lt;=akhir,B1405&lt;&gt;""),1,IF(AND(B1405&lt;&gt;"",B1405&lt;awal),2,""))</f>
        <v/>
      </c>
      <c r="M1405" s="16" t="str">
        <f t="shared" ref="M1405:M1468" si="880">IF(B1405="","",TEXT(B1405,"mmmm"))</f>
        <v/>
      </c>
      <c r="N1405" s="16" t="str">
        <f t="shared" ref="N1405:N1468" si="881">IF(AND(L1405=1,H1405=bb_akun),"Awe",IF(AND(L1405=1,I1405=bb_akun),"Awe",""))</f>
        <v/>
      </c>
      <c r="O1405" s="16" t="str">
        <f>IF(N1405="","",COUNTIF($N$8:N1405,N1405))</f>
        <v/>
      </c>
      <c r="P1405" s="34" t="str">
        <f t="shared" ref="P1405:P1468" si="882">IFERROR(IF(OR(INDEX(akun_type,MATCH(H1405,akun_kb,0))="Kas",INDEX(akun_type,MATCH(H1405,akun_kb,0))="Bank"),"In"&amp;INDEX(akun_type,MATCH(I1405,akun_kb,0)),IF(OR(INDEX(akun_type,MATCH(I1405,akun_kb,0))="Kas",INDEX(akun_type,MATCH(I1405,akun_kb,0))="Bank"),"out"&amp;INDEX(akun_type,MATCH(H1405,akun_kb,0)),"")),"")</f>
        <v/>
      </c>
      <c r="Q1405" s="34" t="str">
        <f t="shared" ref="Q1405:Q1468" si="883">IFERROR(IF(OR(INDEX(akun_type,MATCH(H1405,akun_kb,0))="Kas",INDEX(akun_type,MATCH(H1405,akun_kb,0))="Bank"),"in"&amp;TEXT(B1405,"mmmm")&amp;INDEX(akun_type,MATCH(I1405,akun_kb,0)),IF(OR(INDEX(akun_type,MATCH(I1405,akun_kb,0))="Kas",INDEX(akun_type,MATCH(I1405,akun_kb,0))="Bank"),"out"&amp;TEXT(B1405,"mmmm")&amp;INDEX(akun_type,MATCH(H1405,akun_kb,0)),"")),"")</f>
        <v/>
      </c>
      <c r="R1405" s="34" t="str">
        <f t="shared" ref="R1405:R1468" si="884">IFERROR(INDEX(akun_type,MATCH(H1405,akun_kb,0)),"")</f>
        <v/>
      </c>
      <c r="S1405" s="34" t="str">
        <f t="shared" ref="S1405:S1468" si="885">IFERROR(INDEX(akun_type,MATCH(I1405,akun_kb,0)),"")</f>
        <v/>
      </c>
      <c r="T1405" s="34" t="str">
        <f t="shared" ref="T1405:T1468" si="886">IF(AND(L1405=1,OR(R1405="Akun Piutang",R1405="akun hutang",S1405="akun piutang",S1405="akun hutang")),E1405,"")</f>
        <v/>
      </c>
      <c r="U1405" s="34" t="str">
        <f>IF(AND(L1405=1,bp_kode=T1405,T1405&lt;&gt;""),COUNTIF($T$8:T1405,T1405),"")</f>
        <v/>
      </c>
      <c r="V1405" s="34" t="str">
        <f t="shared" ref="V1405:V1468" si="887">IF(OR(R1405="Pendapatan",R1405="Pendapatan Lainnya",R1405="Beban",R1405="Harga Pokok Penjualan",R1405="Beban Lainnya"),"db"&amp;F1405,IF(OR(S1405="Pendapatan",S1405="Pendapatan Lainnya",S1405="Beban",S1405="Harga Pokok Penjualan",S1405="Beban Lainnya"),"kr"&amp;F1405,""))</f>
        <v/>
      </c>
      <c r="W1405" s="34" t="str">
        <f t="shared" ref="W1405:W1468" si="888">IF(OR(R1405="Pendapatan",R1405="Pendapatan Lainnya",R1405="Beban",R1405="Harga Pokok Penjualan",R1405="Beban Lainnya"),"db"&amp;G1405,IF(OR(S1405="Pendapatan",S1405="Pendapatan Lainnya",S1405="Beban",S1405="Harga Pokok Penjualan",S1405="Beban Lainnya"),"kr"&amp;G1405,""))</f>
        <v/>
      </c>
      <c r="X1405" s="34" t="str">
        <f>IF(B1405="","",COUNTIF($C$8:C1405,C1405)&amp;C1405)</f>
        <v/>
      </c>
    </row>
    <row r="1406" spans="2:24" ht="23.1" customHeight="1">
      <c r="B1406" s="31"/>
      <c r="C1406" s="9"/>
      <c r="D1406" s="9"/>
      <c r="E1406" s="7"/>
      <c r="F1406" s="7"/>
      <c r="G1406" s="7"/>
      <c r="H1406" s="7"/>
      <c r="I1406" s="7"/>
      <c r="J1406" s="39"/>
      <c r="L1406" s="16" t="str">
        <f t="shared" si="879"/>
        <v/>
      </c>
      <c r="M1406" s="16" t="str">
        <f t="shared" si="880"/>
        <v/>
      </c>
      <c r="N1406" s="16" t="str">
        <f t="shared" si="881"/>
        <v/>
      </c>
      <c r="O1406" s="16" t="str">
        <f>IF(N1406="","",COUNTIF($N$8:N1406,N1406))</f>
        <v/>
      </c>
      <c r="P1406" s="34" t="str">
        <f t="shared" si="882"/>
        <v/>
      </c>
      <c r="Q1406" s="34" t="str">
        <f t="shared" si="883"/>
        <v/>
      </c>
      <c r="R1406" s="34" t="str">
        <f t="shared" si="884"/>
        <v/>
      </c>
      <c r="S1406" s="34" t="str">
        <f t="shared" si="885"/>
        <v/>
      </c>
      <c r="T1406" s="34" t="str">
        <f t="shared" si="886"/>
        <v/>
      </c>
      <c r="U1406" s="34" t="str">
        <f>IF(AND(L1406=1,bp_kode=T1406,T1406&lt;&gt;""),COUNTIF($T$8:T1406,T1406),"")</f>
        <v/>
      </c>
      <c r="V1406" s="34" t="str">
        <f t="shared" si="887"/>
        <v/>
      </c>
      <c r="W1406" s="34" t="str">
        <f t="shared" si="888"/>
        <v/>
      </c>
      <c r="X1406" s="34" t="str">
        <f>IF(B1406="","",COUNTIF($C$8:C1406,C1406)&amp;C1406)</f>
        <v/>
      </c>
    </row>
    <row r="1407" spans="2:24" ht="23.1" customHeight="1">
      <c r="B1407" s="31"/>
      <c r="C1407" s="9"/>
      <c r="D1407" s="9"/>
      <c r="E1407" s="7"/>
      <c r="F1407" s="7"/>
      <c r="G1407" s="7"/>
      <c r="H1407" s="7"/>
      <c r="I1407" s="7"/>
      <c r="J1407" s="39"/>
      <c r="L1407" s="16" t="str">
        <f t="shared" si="879"/>
        <v/>
      </c>
      <c r="M1407" s="16" t="str">
        <f t="shared" si="880"/>
        <v/>
      </c>
      <c r="N1407" s="16" t="str">
        <f t="shared" si="881"/>
        <v/>
      </c>
      <c r="O1407" s="16" t="str">
        <f>IF(N1407="","",COUNTIF($N$8:N1407,N1407))</f>
        <v/>
      </c>
      <c r="P1407" s="34" t="str">
        <f t="shared" si="882"/>
        <v/>
      </c>
      <c r="Q1407" s="34" t="str">
        <f t="shared" si="883"/>
        <v/>
      </c>
      <c r="R1407" s="34" t="str">
        <f t="shared" si="884"/>
        <v/>
      </c>
      <c r="S1407" s="34" t="str">
        <f t="shared" si="885"/>
        <v/>
      </c>
      <c r="T1407" s="34" t="str">
        <f t="shared" si="886"/>
        <v/>
      </c>
      <c r="U1407" s="34" t="str">
        <f>IF(AND(L1407=1,bp_kode=T1407,T1407&lt;&gt;""),COUNTIF($T$8:T1407,T1407),"")</f>
        <v/>
      </c>
      <c r="V1407" s="34" t="str">
        <f t="shared" si="887"/>
        <v/>
      </c>
      <c r="W1407" s="34" t="str">
        <f t="shared" si="888"/>
        <v/>
      </c>
      <c r="X1407" s="34" t="str">
        <f>IF(B1407="","",COUNTIF($C$8:C1407,C1407)&amp;C1407)</f>
        <v/>
      </c>
    </row>
    <row r="1408" spans="2:24" ht="23.1" customHeight="1">
      <c r="B1408" s="31"/>
      <c r="C1408" s="9"/>
      <c r="D1408" s="9"/>
      <c r="E1408" s="7"/>
      <c r="F1408" s="7"/>
      <c r="G1408" s="7"/>
      <c r="H1408" s="7"/>
      <c r="I1408" s="7"/>
      <c r="J1408" s="39"/>
      <c r="L1408" s="16" t="str">
        <f t="shared" si="879"/>
        <v/>
      </c>
      <c r="M1408" s="16" t="str">
        <f t="shared" si="880"/>
        <v/>
      </c>
      <c r="N1408" s="16" t="str">
        <f t="shared" si="881"/>
        <v/>
      </c>
      <c r="O1408" s="16" t="str">
        <f>IF(N1408="","",COUNTIF($N$8:N1408,N1408))</f>
        <v/>
      </c>
      <c r="P1408" s="34" t="str">
        <f t="shared" si="882"/>
        <v/>
      </c>
      <c r="Q1408" s="34" t="str">
        <f t="shared" si="883"/>
        <v/>
      </c>
      <c r="R1408" s="34" t="str">
        <f t="shared" si="884"/>
        <v/>
      </c>
      <c r="S1408" s="34" t="str">
        <f t="shared" si="885"/>
        <v/>
      </c>
      <c r="T1408" s="34" t="str">
        <f t="shared" si="886"/>
        <v/>
      </c>
      <c r="U1408" s="34" t="str">
        <f>IF(AND(L1408=1,bp_kode=T1408,T1408&lt;&gt;""),COUNTIF($T$8:T1408,T1408),"")</f>
        <v/>
      </c>
      <c r="V1408" s="34" t="str">
        <f t="shared" si="887"/>
        <v/>
      </c>
      <c r="W1408" s="34" t="str">
        <f t="shared" si="888"/>
        <v/>
      </c>
      <c r="X1408" s="34" t="str">
        <f>IF(B1408="","",COUNTIF($C$8:C1408,C1408)&amp;C1408)</f>
        <v/>
      </c>
    </row>
    <row r="1409" spans="2:24" ht="23.1" customHeight="1">
      <c r="B1409" s="31"/>
      <c r="C1409" s="9"/>
      <c r="D1409" s="9"/>
      <c r="E1409" s="7"/>
      <c r="F1409" s="7"/>
      <c r="G1409" s="7"/>
      <c r="H1409" s="7"/>
      <c r="I1409" s="7"/>
      <c r="J1409" s="39"/>
      <c r="L1409" s="16" t="str">
        <f t="shared" si="879"/>
        <v/>
      </c>
      <c r="M1409" s="16" t="str">
        <f t="shared" si="880"/>
        <v/>
      </c>
      <c r="N1409" s="16" t="str">
        <f t="shared" si="881"/>
        <v/>
      </c>
      <c r="O1409" s="16" t="str">
        <f>IF(N1409="","",COUNTIF($N$8:N1409,N1409))</f>
        <v/>
      </c>
      <c r="P1409" s="34" t="str">
        <f t="shared" si="882"/>
        <v/>
      </c>
      <c r="Q1409" s="34" t="str">
        <f t="shared" si="883"/>
        <v/>
      </c>
      <c r="R1409" s="34" t="str">
        <f t="shared" si="884"/>
        <v/>
      </c>
      <c r="S1409" s="34" t="str">
        <f t="shared" si="885"/>
        <v/>
      </c>
      <c r="T1409" s="34" t="str">
        <f t="shared" si="886"/>
        <v/>
      </c>
      <c r="U1409" s="34" t="str">
        <f>IF(AND(L1409=1,bp_kode=T1409,T1409&lt;&gt;""),COUNTIF($T$8:T1409,T1409),"")</f>
        <v/>
      </c>
      <c r="V1409" s="34" t="str">
        <f t="shared" si="887"/>
        <v/>
      </c>
      <c r="W1409" s="34" t="str">
        <f t="shared" si="888"/>
        <v/>
      </c>
      <c r="X1409" s="34" t="str">
        <f>IF(B1409="","",COUNTIF($C$8:C1409,C1409)&amp;C1409)</f>
        <v/>
      </c>
    </row>
    <row r="1410" spans="2:24" ht="23.1" customHeight="1">
      <c r="B1410" s="31"/>
      <c r="C1410" s="9"/>
      <c r="D1410" s="9"/>
      <c r="E1410" s="7"/>
      <c r="F1410" s="7"/>
      <c r="G1410" s="7"/>
      <c r="H1410" s="7"/>
      <c r="I1410" s="7"/>
      <c r="J1410" s="39"/>
      <c r="L1410" s="16" t="str">
        <f t="shared" si="879"/>
        <v/>
      </c>
      <c r="M1410" s="16" t="str">
        <f t="shared" si="880"/>
        <v/>
      </c>
      <c r="N1410" s="16" t="str">
        <f t="shared" si="881"/>
        <v/>
      </c>
      <c r="O1410" s="16" t="str">
        <f>IF(N1410="","",COUNTIF($N$8:N1410,N1410))</f>
        <v/>
      </c>
      <c r="P1410" s="34" t="str">
        <f t="shared" si="882"/>
        <v/>
      </c>
      <c r="Q1410" s="34" t="str">
        <f t="shared" si="883"/>
        <v/>
      </c>
      <c r="R1410" s="34" t="str">
        <f t="shared" si="884"/>
        <v/>
      </c>
      <c r="S1410" s="34" t="str">
        <f t="shared" si="885"/>
        <v/>
      </c>
      <c r="T1410" s="34" t="str">
        <f t="shared" si="886"/>
        <v/>
      </c>
      <c r="U1410" s="34" t="str">
        <f>IF(AND(L1410=1,bp_kode=T1410,T1410&lt;&gt;""),COUNTIF($T$8:T1410,T1410),"")</f>
        <v/>
      </c>
      <c r="V1410" s="34" t="str">
        <f t="shared" si="887"/>
        <v/>
      </c>
      <c r="W1410" s="34" t="str">
        <f t="shared" si="888"/>
        <v/>
      </c>
      <c r="X1410" s="34" t="str">
        <f>IF(B1410="","",COUNTIF($C$8:C1410,C1410)&amp;C1410)</f>
        <v/>
      </c>
    </row>
    <row r="1411" spans="2:24" ht="23.1" customHeight="1">
      <c r="B1411" s="31"/>
      <c r="C1411" s="9"/>
      <c r="D1411" s="9"/>
      <c r="E1411" s="7"/>
      <c r="F1411" s="7"/>
      <c r="G1411" s="7"/>
      <c r="H1411" s="7"/>
      <c r="I1411" s="7"/>
      <c r="J1411" s="39"/>
      <c r="L1411" s="16" t="str">
        <f t="shared" si="879"/>
        <v/>
      </c>
      <c r="M1411" s="16" t="str">
        <f t="shared" si="880"/>
        <v/>
      </c>
      <c r="N1411" s="16" t="str">
        <f t="shared" si="881"/>
        <v/>
      </c>
      <c r="O1411" s="16" t="str">
        <f>IF(N1411="","",COUNTIF($N$8:N1411,N1411))</f>
        <v/>
      </c>
      <c r="P1411" s="34" t="str">
        <f t="shared" si="882"/>
        <v/>
      </c>
      <c r="Q1411" s="34" t="str">
        <f t="shared" si="883"/>
        <v/>
      </c>
      <c r="R1411" s="34" t="str">
        <f t="shared" si="884"/>
        <v/>
      </c>
      <c r="S1411" s="34" t="str">
        <f t="shared" si="885"/>
        <v/>
      </c>
      <c r="T1411" s="34" t="str">
        <f t="shared" si="886"/>
        <v/>
      </c>
      <c r="U1411" s="34" t="str">
        <f>IF(AND(L1411=1,bp_kode=T1411,T1411&lt;&gt;""),COUNTIF($T$8:T1411,T1411),"")</f>
        <v/>
      </c>
      <c r="V1411" s="34" t="str">
        <f t="shared" si="887"/>
        <v/>
      </c>
      <c r="W1411" s="34" t="str">
        <f t="shared" si="888"/>
        <v/>
      </c>
      <c r="X1411" s="34" t="str">
        <f>IF(B1411="","",COUNTIF($C$8:C1411,C1411)&amp;C1411)</f>
        <v/>
      </c>
    </row>
    <row r="1412" spans="2:24" ht="23.1" customHeight="1">
      <c r="B1412" s="31"/>
      <c r="C1412" s="9"/>
      <c r="D1412" s="9"/>
      <c r="E1412" s="7"/>
      <c r="F1412" s="7"/>
      <c r="G1412" s="7"/>
      <c r="H1412" s="7"/>
      <c r="I1412" s="7"/>
      <c r="J1412" s="39"/>
      <c r="L1412" s="16" t="str">
        <f t="shared" si="879"/>
        <v/>
      </c>
      <c r="M1412" s="16" t="str">
        <f t="shared" si="880"/>
        <v/>
      </c>
      <c r="N1412" s="16" t="str">
        <f t="shared" si="881"/>
        <v/>
      </c>
      <c r="O1412" s="16" t="str">
        <f>IF(N1412="","",COUNTIF($N$8:N1412,N1412))</f>
        <v/>
      </c>
      <c r="P1412" s="34" t="str">
        <f t="shared" si="882"/>
        <v/>
      </c>
      <c r="Q1412" s="34" t="str">
        <f t="shared" si="883"/>
        <v/>
      </c>
      <c r="R1412" s="34" t="str">
        <f t="shared" si="884"/>
        <v/>
      </c>
      <c r="S1412" s="34" t="str">
        <f t="shared" si="885"/>
        <v/>
      </c>
      <c r="T1412" s="34" t="str">
        <f t="shared" si="886"/>
        <v/>
      </c>
      <c r="U1412" s="34" t="str">
        <f>IF(AND(L1412=1,bp_kode=T1412,T1412&lt;&gt;""),COUNTIF($T$8:T1412,T1412),"")</f>
        <v/>
      </c>
      <c r="V1412" s="34" t="str">
        <f t="shared" si="887"/>
        <v/>
      </c>
      <c r="W1412" s="34" t="str">
        <f t="shared" si="888"/>
        <v/>
      </c>
      <c r="X1412" s="34" t="str">
        <f>IF(B1412="","",COUNTIF($C$8:C1412,C1412)&amp;C1412)</f>
        <v/>
      </c>
    </row>
    <row r="1413" spans="2:24" ht="23.1" customHeight="1">
      <c r="B1413" s="31"/>
      <c r="C1413" s="9"/>
      <c r="D1413" s="9"/>
      <c r="E1413" s="7"/>
      <c r="F1413" s="7"/>
      <c r="G1413" s="7"/>
      <c r="H1413" s="7"/>
      <c r="I1413" s="7"/>
      <c r="J1413" s="39"/>
      <c r="L1413" s="16" t="str">
        <f t="shared" si="879"/>
        <v/>
      </c>
      <c r="M1413" s="16" t="str">
        <f t="shared" si="880"/>
        <v/>
      </c>
      <c r="N1413" s="16" t="str">
        <f t="shared" si="881"/>
        <v/>
      </c>
      <c r="O1413" s="16" t="str">
        <f>IF(N1413="","",COUNTIF($N$8:N1413,N1413))</f>
        <v/>
      </c>
      <c r="P1413" s="34" t="str">
        <f t="shared" si="882"/>
        <v/>
      </c>
      <c r="Q1413" s="34" t="str">
        <f t="shared" si="883"/>
        <v/>
      </c>
      <c r="R1413" s="34" t="str">
        <f t="shared" si="884"/>
        <v/>
      </c>
      <c r="S1413" s="34" t="str">
        <f t="shared" si="885"/>
        <v/>
      </c>
      <c r="T1413" s="34" t="str">
        <f t="shared" si="886"/>
        <v/>
      </c>
      <c r="U1413" s="34" t="str">
        <f>IF(AND(L1413=1,bp_kode=T1413,T1413&lt;&gt;""),COUNTIF($T$8:T1413,T1413),"")</f>
        <v/>
      </c>
      <c r="V1413" s="34" t="str">
        <f t="shared" si="887"/>
        <v/>
      </c>
      <c r="W1413" s="34" t="str">
        <f t="shared" si="888"/>
        <v/>
      </c>
      <c r="X1413" s="34" t="str">
        <f>IF(B1413="","",COUNTIF($C$8:C1413,C1413)&amp;C1413)</f>
        <v/>
      </c>
    </row>
    <row r="1414" spans="2:24" ht="23.1" customHeight="1">
      <c r="B1414" s="31"/>
      <c r="C1414" s="9"/>
      <c r="D1414" s="9"/>
      <c r="E1414" s="7"/>
      <c r="F1414" s="7"/>
      <c r="G1414" s="7"/>
      <c r="H1414" s="7"/>
      <c r="I1414" s="7"/>
      <c r="J1414" s="39"/>
      <c r="L1414" s="16" t="str">
        <f t="shared" si="879"/>
        <v/>
      </c>
      <c r="M1414" s="16" t="str">
        <f t="shared" si="880"/>
        <v/>
      </c>
      <c r="N1414" s="16" t="str">
        <f t="shared" si="881"/>
        <v/>
      </c>
      <c r="O1414" s="16" t="str">
        <f>IF(N1414="","",COUNTIF($N$8:N1414,N1414))</f>
        <v/>
      </c>
      <c r="P1414" s="34" t="str">
        <f t="shared" si="882"/>
        <v/>
      </c>
      <c r="Q1414" s="34" t="str">
        <f t="shared" si="883"/>
        <v/>
      </c>
      <c r="R1414" s="34" t="str">
        <f t="shared" si="884"/>
        <v/>
      </c>
      <c r="S1414" s="34" t="str">
        <f t="shared" si="885"/>
        <v/>
      </c>
      <c r="T1414" s="34" t="str">
        <f t="shared" si="886"/>
        <v/>
      </c>
      <c r="U1414" s="34" t="str">
        <f>IF(AND(L1414=1,bp_kode=T1414,T1414&lt;&gt;""),COUNTIF($T$8:T1414,T1414),"")</f>
        <v/>
      </c>
      <c r="V1414" s="34" t="str">
        <f t="shared" si="887"/>
        <v/>
      </c>
      <c r="W1414" s="34" t="str">
        <f t="shared" si="888"/>
        <v/>
      </c>
      <c r="X1414" s="34" t="str">
        <f>IF(B1414="","",COUNTIF($C$8:C1414,C1414)&amp;C1414)</f>
        <v/>
      </c>
    </row>
    <row r="1415" spans="2:24" ht="23.1" customHeight="1">
      <c r="B1415" s="31"/>
      <c r="C1415" s="9"/>
      <c r="D1415" s="9"/>
      <c r="E1415" s="7"/>
      <c r="F1415" s="7"/>
      <c r="G1415" s="7"/>
      <c r="H1415" s="7"/>
      <c r="I1415" s="7"/>
      <c r="J1415" s="39"/>
      <c r="L1415" s="16" t="str">
        <f t="shared" si="879"/>
        <v/>
      </c>
      <c r="M1415" s="16" t="str">
        <f t="shared" si="880"/>
        <v/>
      </c>
      <c r="N1415" s="16" t="str">
        <f t="shared" si="881"/>
        <v/>
      </c>
      <c r="O1415" s="16" t="str">
        <f>IF(N1415="","",COUNTIF($N$8:N1415,N1415))</f>
        <v/>
      </c>
      <c r="P1415" s="34" t="str">
        <f t="shared" si="882"/>
        <v/>
      </c>
      <c r="Q1415" s="34" t="str">
        <f t="shared" si="883"/>
        <v/>
      </c>
      <c r="R1415" s="34" t="str">
        <f t="shared" si="884"/>
        <v/>
      </c>
      <c r="S1415" s="34" t="str">
        <f t="shared" si="885"/>
        <v/>
      </c>
      <c r="T1415" s="34" t="str">
        <f t="shared" si="886"/>
        <v/>
      </c>
      <c r="U1415" s="34" t="str">
        <f>IF(AND(L1415=1,bp_kode=T1415,T1415&lt;&gt;""),COUNTIF($T$8:T1415,T1415),"")</f>
        <v/>
      </c>
      <c r="V1415" s="34" t="str">
        <f t="shared" si="887"/>
        <v/>
      </c>
      <c r="W1415" s="34" t="str">
        <f t="shared" si="888"/>
        <v/>
      </c>
      <c r="X1415" s="34" t="str">
        <f>IF(B1415="","",COUNTIF($C$8:C1415,C1415)&amp;C1415)</f>
        <v/>
      </c>
    </row>
    <row r="1416" spans="2:24" ht="23.1" customHeight="1">
      <c r="B1416" s="31"/>
      <c r="C1416" s="9"/>
      <c r="D1416" s="9"/>
      <c r="E1416" s="7"/>
      <c r="F1416" s="7"/>
      <c r="G1416" s="7"/>
      <c r="H1416" s="7"/>
      <c r="I1416" s="7"/>
      <c r="J1416" s="39"/>
      <c r="L1416" s="16" t="str">
        <f t="shared" si="879"/>
        <v/>
      </c>
      <c r="M1416" s="16" t="str">
        <f t="shared" si="880"/>
        <v/>
      </c>
      <c r="N1416" s="16" t="str">
        <f t="shared" si="881"/>
        <v/>
      </c>
      <c r="O1416" s="16" t="str">
        <f>IF(N1416="","",COUNTIF($N$8:N1416,N1416))</f>
        <v/>
      </c>
      <c r="P1416" s="34" t="str">
        <f t="shared" si="882"/>
        <v/>
      </c>
      <c r="Q1416" s="34" t="str">
        <f t="shared" si="883"/>
        <v/>
      </c>
      <c r="R1416" s="34" t="str">
        <f t="shared" si="884"/>
        <v/>
      </c>
      <c r="S1416" s="34" t="str">
        <f t="shared" si="885"/>
        <v/>
      </c>
      <c r="T1416" s="34" t="str">
        <f t="shared" si="886"/>
        <v/>
      </c>
      <c r="U1416" s="34" t="str">
        <f>IF(AND(L1416=1,bp_kode=T1416,T1416&lt;&gt;""),COUNTIF($T$8:T1416,T1416),"")</f>
        <v/>
      </c>
      <c r="V1416" s="34" t="str">
        <f t="shared" si="887"/>
        <v/>
      </c>
      <c r="W1416" s="34" t="str">
        <f t="shared" si="888"/>
        <v/>
      </c>
      <c r="X1416" s="34" t="str">
        <f>IF(B1416="","",COUNTIF($C$8:C1416,C1416)&amp;C1416)</f>
        <v/>
      </c>
    </row>
    <row r="1417" spans="2:24" ht="23.1" customHeight="1">
      <c r="B1417" s="31"/>
      <c r="C1417" s="9"/>
      <c r="D1417" s="9"/>
      <c r="E1417" s="7"/>
      <c r="F1417" s="7"/>
      <c r="G1417" s="7"/>
      <c r="H1417" s="7"/>
      <c r="I1417" s="7"/>
      <c r="J1417" s="39"/>
      <c r="L1417" s="16" t="str">
        <f t="shared" si="879"/>
        <v/>
      </c>
      <c r="M1417" s="16" t="str">
        <f t="shared" si="880"/>
        <v/>
      </c>
      <c r="N1417" s="16" t="str">
        <f t="shared" si="881"/>
        <v/>
      </c>
      <c r="O1417" s="16" t="str">
        <f>IF(N1417="","",COUNTIF($N$8:N1417,N1417))</f>
        <v/>
      </c>
      <c r="P1417" s="34" t="str">
        <f t="shared" si="882"/>
        <v/>
      </c>
      <c r="Q1417" s="34" t="str">
        <f t="shared" si="883"/>
        <v/>
      </c>
      <c r="R1417" s="34" t="str">
        <f t="shared" si="884"/>
        <v/>
      </c>
      <c r="S1417" s="34" t="str">
        <f t="shared" si="885"/>
        <v/>
      </c>
      <c r="T1417" s="34" t="str">
        <f t="shared" si="886"/>
        <v/>
      </c>
      <c r="U1417" s="34" t="str">
        <f>IF(AND(L1417=1,bp_kode=T1417,T1417&lt;&gt;""),COUNTIF($T$8:T1417,T1417),"")</f>
        <v/>
      </c>
      <c r="V1417" s="34" t="str">
        <f t="shared" si="887"/>
        <v/>
      </c>
      <c r="W1417" s="34" t="str">
        <f t="shared" si="888"/>
        <v/>
      </c>
      <c r="X1417" s="34" t="str">
        <f>IF(B1417="","",COUNTIF($C$8:C1417,C1417)&amp;C1417)</f>
        <v/>
      </c>
    </row>
    <row r="1418" spans="2:24" ht="23.1" customHeight="1">
      <c r="B1418" s="31"/>
      <c r="C1418" s="9"/>
      <c r="D1418" s="9"/>
      <c r="E1418" s="7"/>
      <c r="F1418" s="7"/>
      <c r="G1418" s="7"/>
      <c r="H1418" s="7"/>
      <c r="I1418" s="7"/>
      <c r="J1418" s="39"/>
      <c r="L1418" s="16" t="str">
        <f t="shared" si="879"/>
        <v/>
      </c>
      <c r="M1418" s="16" t="str">
        <f t="shared" si="880"/>
        <v/>
      </c>
      <c r="N1418" s="16" t="str">
        <f t="shared" si="881"/>
        <v/>
      </c>
      <c r="O1418" s="16" t="str">
        <f>IF(N1418="","",COUNTIF($N$8:N1418,N1418))</f>
        <v/>
      </c>
      <c r="P1418" s="34" t="str">
        <f t="shared" si="882"/>
        <v/>
      </c>
      <c r="Q1418" s="34" t="str">
        <f t="shared" si="883"/>
        <v/>
      </c>
      <c r="R1418" s="34" t="str">
        <f t="shared" si="884"/>
        <v/>
      </c>
      <c r="S1418" s="34" t="str">
        <f t="shared" si="885"/>
        <v/>
      </c>
      <c r="T1418" s="34" t="str">
        <f t="shared" si="886"/>
        <v/>
      </c>
      <c r="U1418" s="34" t="str">
        <f>IF(AND(L1418=1,bp_kode=T1418,T1418&lt;&gt;""),COUNTIF($T$8:T1418,T1418),"")</f>
        <v/>
      </c>
      <c r="V1418" s="34" t="str">
        <f t="shared" si="887"/>
        <v/>
      </c>
      <c r="W1418" s="34" t="str">
        <f t="shared" si="888"/>
        <v/>
      </c>
      <c r="X1418" s="34" t="str">
        <f>IF(B1418="","",COUNTIF($C$8:C1418,C1418)&amp;C1418)</f>
        <v/>
      </c>
    </row>
    <row r="1419" spans="2:24" ht="23.1" customHeight="1">
      <c r="B1419" s="31"/>
      <c r="C1419" s="9"/>
      <c r="D1419" s="9"/>
      <c r="E1419" s="7"/>
      <c r="F1419" s="7"/>
      <c r="G1419" s="7"/>
      <c r="H1419" s="7"/>
      <c r="I1419" s="7"/>
      <c r="J1419" s="39"/>
      <c r="L1419" s="16" t="str">
        <f t="shared" si="879"/>
        <v/>
      </c>
      <c r="M1419" s="16" t="str">
        <f t="shared" si="880"/>
        <v/>
      </c>
      <c r="N1419" s="16" t="str">
        <f t="shared" si="881"/>
        <v/>
      </c>
      <c r="O1419" s="16" t="str">
        <f>IF(N1419="","",COUNTIF($N$8:N1419,N1419))</f>
        <v/>
      </c>
      <c r="P1419" s="34" t="str">
        <f t="shared" si="882"/>
        <v/>
      </c>
      <c r="Q1419" s="34" t="str">
        <f t="shared" si="883"/>
        <v/>
      </c>
      <c r="R1419" s="34" t="str">
        <f t="shared" si="884"/>
        <v/>
      </c>
      <c r="S1419" s="34" t="str">
        <f t="shared" si="885"/>
        <v/>
      </c>
      <c r="T1419" s="34" t="str">
        <f t="shared" si="886"/>
        <v/>
      </c>
      <c r="U1419" s="34" t="str">
        <f>IF(AND(L1419=1,bp_kode=T1419,T1419&lt;&gt;""),COUNTIF($T$8:T1419,T1419),"")</f>
        <v/>
      </c>
      <c r="V1419" s="34" t="str">
        <f t="shared" si="887"/>
        <v/>
      </c>
      <c r="W1419" s="34" t="str">
        <f t="shared" si="888"/>
        <v/>
      </c>
      <c r="X1419" s="34" t="str">
        <f>IF(B1419="","",COUNTIF($C$8:C1419,C1419)&amp;C1419)</f>
        <v/>
      </c>
    </row>
    <row r="1420" spans="2:24" ht="23.1" customHeight="1">
      <c r="B1420" s="31"/>
      <c r="C1420" s="9"/>
      <c r="D1420" s="9"/>
      <c r="E1420" s="7"/>
      <c r="F1420" s="7"/>
      <c r="G1420" s="7"/>
      <c r="H1420" s="7"/>
      <c r="I1420" s="7"/>
      <c r="J1420" s="39"/>
      <c r="L1420" s="16" t="str">
        <f t="shared" si="879"/>
        <v/>
      </c>
      <c r="M1420" s="16" t="str">
        <f t="shared" si="880"/>
        <v/>
      </c>
      <c r="N1420" s="16" t="str">
        <f t="shared" si="881"/>
        <v/>
      </c>
      <c r="O1420" s="16" t="str">
        <f>IF(N1420="","",COUNTIF($N$8:N1420,N1420))</f>
        <v/>
      </c>
      <c r="P1420" s="34" t="str">
        <f t="shared" si="882"/>
        <v/>
      </c>
      <c r="Q1420" s="34" t="str">
        <f t="shared" si="883"/>
        <v/>
      </c>
      <c r="R1420" s="34" t="str">
        <f t="shared" si="884"/>
        <v/>
      </c>
      <c r="S1420" s="34" t="str">
        <f t="shared" si="885"/>
        <v/>
      </c>
      <c r="T1420" s="34" t="str">
        <f t="shared" si="886"/>
        <v/>
      </c>
      <c r="U1420" s="34" t="str">
        <f>IF(AND(L1420=1,bp_kode=T1420,T1420&lt;&gt;""),COUNTIF($T$8:T1420,T1420),"")</f>
        <v/>
      </c>
      <c r="V1420" s="34" t="str">
        <f t="shared" si="887"/>
        <v/>
      </c>
      <c r="W1420" s="34" t="str">
        <f t="shared" si="888"/>
        <v/>
      </c>
      <c r="X1420" s="34" t="str">
        <f>IF(B1420="","",COUNTIF($C$8:C1420,C1420)&amp;C1420)</f>
        <v/>
      </c>
    </row>
    <row r="1421" spans="2:24" ht="23.1" customHeight="1">
      <c r="B1421" s="31"/>
      <c r="C1421" s="9"/>
      <c r="D1421" s="9"/>
      <c r="E1421" s="7"/>
      <c r="F1421" s="7"/>
      <c r="G1421" s="7"/>
      <c r="H1421" s="7"/>
      <c r="I1421" s="7"/>
      <c r="J1421" s="39"/>
      <c r="L1421" s="16" t="str">
        <f t="shared" si="879"/>
        <v/>
      </c>
      <c r="M1421" s="16" t="str">
        <f t="shared" si="880"/>
        <v/>
      </c>
      <c r="N1421" s="16" t="str">
        <f t="shared" si="881"/>
        <v/>
      </c>
      <c r="O1421" s="16" t="str">
        <f>IF(N1421="","",COUNTIF($N$8:N1421,N1421))</f>
        <v/>
      </c>
      <c r="P1421" s="34" t="str">
        <f t="shared" si="882"/>
        <v/>
      </c>
      <c r="Q1421" s="34" t="str">
        <f t="shared" si="883"/>
        <v/>
      </c>
      <c r="R1421" s="34" t="str">
        <f t="shared" si="884"/>
        <v/>
      </c>
      <c r="S1421" s="34" t="str">
        <f t="shared" si="885"/>
        <v/>
      </c>
      <c r="T1421" s="34" t="str">
        <f t="shared" si="886"/>
        <v/>
      </c>
      <c r="U1421" s="34" t="str">
        <f>IF(AND(L1421=1,bp_kode=T1421,T1421&lt;&gt;""),COUNTIF($T$8:T1421,T1421),"")</f>
        <v/>
      </c>
      <c r="V1421" s="34" t="str">
        <f t="shared" si="887"/>
        <v/>
      </c>
      <c r="W1421" s="34" t="str">
        <f t="shared" si="888"/>
        <v/>
      </c>
      <c r="X1421" s="34" t="str">
        <f>IF(B1421="","",COUNTIF($C$8:C1421,C1421)&amp;C1421)</f>
        <v/>
      </c>
    </row>
    <row r="1422" spans="2:24" ht="23.1" customHeight="1">
      <c r="B1422" s="31"/>
      <c r="C1422" s="9"/>
      <c r="D1422" s="9"/>
      <c r="E1422" s="7"/>
      <c r="F1422" s="7"/>
      <c r="G1422" s="7"/>
      <c r="H1422" s="7"/>
      <c r="I1422" s="7"/>
      <c r="J1422" s="39"/>
      <c r="L1422" s="16" t="str">
        <f t="shared" si="879"/>
        <v/>
      </c>
      <c r="M1422" s="16" t="str">
        <f t="shared" si="880"/>
        <v/>
      </c>
      <c r="N1422" s="16" t="str">
        <f t="shared" si="881"/>
        <v/>
      </c>
      <c r="O1422" s="16" t="str">
        <f>IF(N1422="","",COUNTIF($N$8:N1422,N1422))</f>
        <v/>
      </c>
      <c r="P1422" s="34" t="str">
        <f t="shared" si="882"/>
        <v/>
      </c>
      <c r="Q1422" s="34" t="str">
        <f t="shared" si="883"/>
        <v/>
      </c>
      <c r="R1422" s="34" t="str">
        <f t="shared" si="884"/>
        <v/>
      </c>
      <c r="S1422" s="34" t="str">
        <f t="shared" si="885"/>
        <v/>
      </c>
      <c r="T1422" s="34" t="str">
        <f t="shared" si="886"/>
        <v/>
      </c>
      <c r="U1422" s="34" t="str">
        <f>IF(AND(L1422=1,bp_kode=T1422,T1422&lt;&gt;""),COUNTIF($T$8:T1422,T1422),"")</f>
        <v/>
      </c>
      <c r="V1422" s="34" t="str">
        <f t="shared" si="887"/>
        <v/>
      </c>
      <c r="W1422" s="34" t="str">
        <f t="shared" si="888"/>
        <v/>
      </c>
      <c r="X1422" s="34" t="str">
        <f>IF(B1422="","",COUNTIF($C$8:C1422,C1422)&amp;C1422)</f>
        <v/>
      </c>
    </row>
    <row r="1423" spans="2:24" ht="23.1" customHeight="1">
      <c r="B1423" s="31"/>
      <c r="C1423" s="9"/>
      <c r="D1423" s="9"/>
      <c r="E1423" s="7"/>
      <c r="F1423" s="7"/>
      <c r="G1423" s="7"/>
      <c r="H1423" s="7"/>
      <c r="I1423" s="7"/>
      <c r="J1423" s="39"/>
      <c r="L1423" s="16" t="str">
        <f t="shared" si="879"/>
        <v/>
      </c>
      <c r="M1423" s="16" t="str">
        <f t="shared" si="880"/>
        <v/>
      </c>
      <c r="N1423" s="16" t="str">
        <f t="shared" si="881"/>
        <v/>
      </c>
      <c r="O1423" s="16" t="str">
        <f>IF(N1423="","",COUNTIF($N$8:N1423,N1423))</f>
        <v/>
      </c>
      <c r="P1423" s="34" t="str">
        <f t="shared" si="882"/>
        <v/>
      </c>
      <c r="Q1423" s="34" t="str">
        <f t="shared" si="883"/>
        <v/>
      </c>
      <c r="R1423" s="34" t="str">
        <f t="shared" si="884"/>
        <v/>
      </c>
      <c r="S1423" s="34" t="str">
        <f t="shared" si="885"/>
        <v/>
      </c>
      <c r="T1423" s="34" t="str">
        <f t="shared" si="886"/>
        <v/>
      </c>
      <c r="U1423" s="34" t="str">
        <f>IF(AND(L1423=1,bp_kode=T1423,T1423&lt;&gt;""),COUNTIF($T$8:T1423,T1423),"")</f>
        <v/>
      </c>
      <c r="V1423" s="34" t="str">
        <f t="shared" si="887"/>
        <v/>
      </c>
      <c r="W1423" s="34" t="str">
        <f t="shared" si="888"/>
        <v/>
      </c>
      <c r="X1423" s="34" t="str">
        <f>IF(B1423="","",COUNTIF($C$8:C1423,C1423)&amp;C1423)</f>
        <v/>
      </c>
    </row>
    <row r="1424" spans="2:24" ht="23.1" customHeight="1">
      <c r="B1424" s="31"/>
      <c r="C1424" s="9"/>
      <c r="D1424" s="9"/>
      <c r="E1424" s="7"/>
      <c r="F1424" s="7"/>
      <c r="G1424" s="7"/>
      <c r="H1424" s="7"/>
      <c r="I1424" s="7"/>
      <c r="J1424" s="39"/>
      <c r="L1424" s="16" t="str">
        <f t="shared" si="879"/>
        <v/>
      </c>
      <c r="M1424" s="16" t="str">
        <f t="shared" si="880"/>
        <v/>
      </c>
      <c r="N1424" s="16" t="str">
        <f t="shared" si="881"/>
        <v/>
      </c>
      <c r="O1424" s="16" t="str">
        <f>IF(N1424="","",COUNTIF($N$8:N1424,N1424))</f>
        <v/>
      </c>
      <c r="P1424" s="34" t="str">
        <f t="shared" si="882"/>
        <v/>
      </c>
      <c r="Q1424" s="34" t="str">
        <f t="shared" si="883"/>
        <v/>
      </c>
      <c r="R1424" s="34" t="str">
        <f t="shared" si="884"/>
        <v/>
      </c>
      <c r="S1424" s="34" t="str">
        <f t="shared" si="885"/>
        <v/>
      </c>
      <c r="T1424" s="34" t="str">
        <f t="shared" si="886"/>
        <v/>
      </c>
      <c r="U1424" s="34" t="str">
        <f>IF(AND(L1424=1,bp_kode=T1424,T1424&lt;&gt;""),COUNTIF($T$8:T1424,T1424),"")</f>
        <v/>
      </c>
      <c r="V1424" s="34" t="str">
        <f t="shared" si="887"/>
        <v/>
      </c>
      <c r="W1424" s="34" t="str">
        <f t="shared" si="888"/>
        <v/>
      </c>
      <c r="X1424" s="34" t="str">
        <f>IF(B1424="","",COUNTIF($C$8:C1424,C1424)&amp;C1424)</f>
        <v/>
      </c>
    </row>
    <row r="1425" spans="2:24" ht="23.1" customHeight="1">
      <c r="B1425" s="31"/>
      <c r="C1425" s="9"/>
      <c r="D1425" s="9"/>
      <c r="E1425" s="7"/>
      <c r="F1425" s="7"/>
      <c r="G1425" s="7"/>
      <c r="H1425" s="7"/>
      <c r="I1425" s="7"/>
      <c r="J1425" s="39"/>
      <c r="L1425" s="16" t="str">
        <f t="shared" si="879"/>
        <v/>
      </c>
      <c r="M1425" s="16" t="str">
        <f t="shared" si="880"/>
        <v/>
      </c>
      <c r="N1425" s="16" t="str">
        <f t="shared" si="881"/>
        <v/>
      </c>
      <c r="O1425" s="16" t="str">
        <f>IF(N1425="","",COUNTIF($N$8:N1425,N1425))</f>
        <v/>
      </c>
      <c r="P1425" s="34" t="str">
        <f t="shared" si="882"/>
        <v/>
      </c>
      <c r="Q1425" s="34" t="str">
        <f t="shared" si="883"/>
        <v/>
      </c>
      <c r="R1425" s="34" t="str">
        <f t="shared" si="884"/>
        <v/>
      </c>
      <c r="S1425" s="34" t="str">
        <f t="shared" si="885"/>
        <v/>
      </c>
      <c r="T1425" s="34" t="str">
        <f t="shared" si="886"/>
        <v/>
      </c>
      <c r="U1425" s="34" t="str">
        <f>IF(AND(L1425=1,bp_kode=T1425,T1425&lt;&gt;""),COUNTIF($T$8:T1425,T1425),"")</f>
        <v/>
      </c>
      <c r="V1425" s="34" t="str">
        <f t="shared" si="887"/>
        <v/>
      </c>
      <c r="W1425" s="34" t="str">
        <f t="shared" si="888"/>
        <v/>
      </c>
      <c r="X1425" s="34" t="str">
        <f>IF(B1425="","",COUNTIF($C$8:C1425,C1425)&amp;C1425)</f>
        <v/>
      </c>
    </row>
    <row r="1426" spans="2:24" ht="23.1" customHeight="1">
      <c r="B1426" s="31"/>
      <c r="C1426" s="9"/>
      <c r="D1426" s="9"/>
      <c r="E1426" s="7"/>
      <c r="F1426" s="7"/>
      <c r="G1426" s="7"/>
      <c r="H1426" s="7"/>
      <c r="I1426" s="7"/>
      <c r="J1426" s="39"/>
      <c r="L1426" s="16" t="str">
        <f t="shared" si="879"/>
        <v/>
      </c>
      <c r="M1426" s="16" t="str">
        <f t="shared" si="880"/>
        <v/>
      </c>
      <c r="N1426" s="16" t="str">
        <f t="shared" si="881"/>
        <v/>
      </c>
      <c r="O1426" s="16" t="str">
        <f>IF(N1426="","",COUNTIF($N$8:N1426,N1426))</f>
        <v/>
      </c>
      <c r="P1426" s="34" t="str">
        <f t="shared" si="882"/>
        <v/>
      </c>
      <c r="Q1426" s="34" t="str">
        <f t="shared" si="883"/>
        <v/>
      </c>
      <c r="R1426" s="34" t="str">
        <f t="shared" si="884"/>
        <v/>
      </c>
      <c r="S1426" s="34" t="str">
        <f t="shared" si="885"/>
        <v/>
      </c>
      <c r="T1426" s="34" t="str">
        <f t="shared" si="886"/>
        <v/>
      </c>
      <c r="U1426" s="34" t="str">
        <f>IF(AND(L1426=1,bp_kode=T1426,T1426&lt;&gt;""),COUNTIF($T$8:T1426,T1426),"")</f>
        <v/>
      </c>
      <c r="V1426" s="34" t="str">
        <f t="shared" si="887"/>
        <v/>
      </c>
      <c r="W1426" s="34" t="str">
        <f t="shared" si="888"/>
        <v/>
      </c>
      <c r="X1426" s="34" t="str">
        <f>IF(B1426="","",COUNTIF($C$8:C1426,C1426)&amp;C1426)</f>
        <v/>
      </c>
    </row>
    <row r="1427" spans="2:24" ht="23.1" customHeight="1">
      <c r="B1427" s="31"/>
      <c r="C1427" s="9"/>
      <c r="D1427" s="9"/>
      <c r="E1427" s="7"/>
      <c r="F1427" s="7"/>
      <c r="G1427" s="7"/>
      <c r="H1427" s="7"/>
      <c r="I1427" s="7"/>
      <c r="J1427" s="39"/>
      <c r="L1427" s="16" t="str">
        <f t="shared" si="879"/>
        <v/>
      </c>
      <c r="M1427" s="16" t="str">
        <f t="shared" si="880"/>
        <v/>
      </c>
      <c r="N1427" s="16" t="str">
        <f t="shared" si="881"/>
        <v/>
      </c>
      <c r="O1427" s="16" t="str">
        <f>IF(N1427="","",COUNTIF($N$8:N1427,N1427))</f>
        <v/>
      </c>
      <c r="P1427" s="34" t="str">
        <f t="shared" si="882"/>
        <v/>
      </c>
      <c r="Q1427" s="34" t="str">
        <f t="shared" si="883"/>
        <v/>
      </c>
      <c r="R1427" s="34" t="str">
        <f t="shared" si="884"/>
        <v/>
      </c>
      <c r="S1427" s="34" t="str">
        <f t="shared" si="885"/>
        <v/>
      </c>
      <c r="T1427" s="34" t="str">
        <f t="shared" si="886"/>
        <v/>
      </c>
      <c r="U1427" s="34" t="str">
        <f>IF(AND(L1427=1,bp_kode=T1427,T1427&lt;&gt;""),COUNTIF($T$8:T1427,T1427),"")</f>
        <v/>
      </c>
      <c r="V1427" s="34" t="str">
        <f t="shared" si="887"/>
        <v/>
      </c>
      <c r="W1427" s="34" t="str">
        <f t="shared" si="888"/>
        <v/>
      </c>
      <c r="X1427" s="34" t="str">
        <f>IF(B1427="","",COUNTIF($C$8:C1427,C1427)&amp;C1427)</f>
        <v/>
      </c>
    </row>
    <row r="1428" spans="2:24" ht="23.1" customHeight="1">
      <c r="B1428" s="31"/>
      <c r="C1428" s="9"/>
      <c r="D1428" s="9"/>
      <c r="E1428" s="7"/>
      <c r="F1428" s="7"/>
      <c r="G1428" s="7"/>
      <c r="H1428" s="7"/>
      <c r="I1428" s="7"/>
      <c r="J1428" s="39"/>
      <c r="L1428" s="16" t="str">
        <f t="shared" si="879"/>
        <v/>
      </c>
      <c r="M1428" s="16" t="str">
        <f t="shared" si="880"/>
        <v/>
      </c>
      <c r="N1428" s="16" t="str">
        <f t="shared" si="881"/>
        <v/>
      </c>
      <c r="O1428" s="16" t="str">
        <f>IF(N1428="","",COUNTIF($N$8:N1428,N1428))</f>
        <v/>
      </c>
      <c r="P1428" s="34" t="str">
        <f t="shared" si="882"/>
        <v/>
      </c>
      <c r="Q1428" s="34" t="str">
        <f t="shared" si="883"/>
        <v/>
      </c>
      <c r="R1428" s="34" t="str">
        <f t="shared" si="884"/>
        <v/>
      </c>
      <c r="S1428" s="34" t="str">
        <f t="shared" si="885"/>
        <v/>
      </c>
      <c r="T1428" s="34" t="str">
        <f t="shared" si="886"/>
        <v/>
      </c>
      <c r="U1428" s="34" t="str">
        <f>IF(AND(L1428=1,bp_kode=T1428,T1428&lt;&gt;""),COUNTIF($T$8:T1428,T1428),"")</f>
        <v/>
      </c>
      <c r="V1428" s="34" t="str">
        <f t="shared" si="887"/>
        <v/>
      </c>
      <c r="W1428" s="34" t="str">
        <f t="shared" si="888"/>
        <v/>
      </c>
      <c r="X1428" s="34" t="str">
        <f>IF(B1428="","",COUNTIF($C$8:C1428,C1428)&amp;C1428)</f>
        <v/>
      </c>
    </row>
    <row r="1429" spans="2:24" ht="23.1" customHeight="1">
      <c r="B1429" s="31"/>
      <c r="C1429" s="9"/>
      <c r="D1429" s="9"/>
      <c r="E1429" s="7"/>
      <c r="F1429" s="7"/>
      <c r="G1429" s="7"/>
      <c r="H1429" s="7"/>
      <c r="I1429" s="7"/>
      <c r="J1429" s="39"/>
      <c r="L1429" s="16" t="str">
        <f t="shared" si="879"/>
        <v/>
      </c>
      <c r="M1429" s="16" t="str">
        <f t="shared" si="880"/>
        <v/>
      </c>
      <c r="N1429" s="16" t="str">
        <f t="shared" si="881"/>
        <v/>
      </c>
      <c r="O1429" s="16" t="str">
        <f>IF(N1429="","",COUNTIF($N$8:N1429,N1429))</f>
        <v/>
      </c>
      <c r="P1429" s="34" t="str">
        <f t="shared" si="882"/>
        <v/>
      </c>
      <c r="Q1429" s="34" t="str">
        <f t="shared" si="883"/>
        <v/>
      </c>
      <c r="R1429" s="34" t="str">
        <f t="shared" si="884"/>
        <v/>
      </c>
      <c r="S1429" s="34" t="str">
        <f t="shared" si="885"/>
        <v/>
      </c>
      <c r="T1429" s="34" t="str">
        <f t="shared" si="886"/>
        <v/>
      </c>
      <c r="U1429" s="34" t="str">
        <f>IF(AND(L1429=1,bp_kode=T1429,T1429&lt;&gt;""),COUNTIF($T$8:T1429,T1429),"")</f>
        <v/>
      </c>
      <c r="V1429" s="34" t="str">
        <f t="shared" si="887"/>
        <v/>
      </c>
      <c r="W1429" s="34" t="str">
        <f t="shared" si="888"/>
        <v/>
      </c>
      <c r="X1429" s="34" t="str">
        <f>IF(B1429="","",COUNTIF($C$8:C1429,C1429)&amp;C1429)</f>
        <v/>
      </c>
    </row>
    <row r="1430" spans="2:24" ht="23.1" customHeight="1">
      <c r="B1430" s="31"/>
      <c r="C1430" s="9"/>
      <c r="D1430" s="9"/>
      <c r="E1430" s="7"/>
      <c r="F1430" s="7"/>
      <c r="G1430" s="7"/>
      <c r="H1430" s="7"/>
      <c r="I1430" s="7"/>
      <c r="J1430" s="39"/>
      <c r="L1430" s="16" t="str">
        <f t="shared" si="879"/>
        <v/>
      </c>
      <c r="M1430" s="16" t="str">
        <f t="shared" si="880"/>
        <v/>
      </c>
      <c r="N1430" s="16" t="str">
        <f t="shared" si="881"/>
        <v/>
      </c>
      <c r="O1430" s="16" t="str">
        <f>IF(N1430="","",COUNTIF($N$8:N1430,N1430))</f>
        <v/>
      </c>
      <c r="P1430" s="34" t="str">
        <f t="shared" si="882"/>
        <v/>
      </c>
      <c r="Q1430" s="34" t="str">
        <f t="shared" si="883"/>
        <v/>
      </c>
      <c r="R1430" s="34" t="str">
        <f t="shared" si="884"/>
        <v/>
      </c>
      <c r="S1430" s="34" t="str">
        <f t="shared" si="885"/>
        <v/>
      </c>
      <c r="T1430" s="34" t="str">
        <f t="shared" si="886"/>
        <v/>
      </c>
      <c r="U1430" s="34" t="str">
        <f>IF(AND(L1430=1,bp_kode=T1430,T1430&lt;&gt;""),COUNTIF($T$8:T1430,T1430),"")</f>
        <v/>
      </c>
      <c r="V1430" s="34" t="str">
        <f t="shared" si="887"/>
        <v/>
      </c>
      <c r="W1430" s="34" t="str">
        <f t="shared" si="888"/>
        <v/>
      </c>
      <c r="X1430" s="34" t="str">
        <f>IF(B1430="","",COUNTIF($C$8:C1430,C1430)&amp;C1430)</f>
        <v/>
      </c>
    </row>
    <row r="1431" spans="2:24" ht="23.1" customHeight="1">
      <c r="B1431" s="31"/>
      <c r="C1431" s="9"/>
      <c r="D1431" s="9"/>
      <c r="E1431" s="7"/>
      <c r="F1431" s="7"/>
      <c r="G1431" s="7"/>
      <c r="H1431" s="7"/>
      <c r="I1431" s="7"/>
      <c r="J1431" s="39"/>
      <c r="L1431" s="16" t="str">
        <f t="shared" si="879"/>
        <v/>
      </c>
      <c r="M1431" s="16" t="str">
        <f t="shared" si="880"/>
        <v/>
      </c>
      <c r="N1431" s="16" t="str">
        <f t="shared" si="881"/>
        <v/>
      </c>
      <c r="O1431" s="16" t="str">
        <f>IF(N1431="","",COUNTIF($N$8:N1431,N1431))</f>
        <v/>
      </c>
      <c r="P1431" s="34" t="str">
        <f t="shared" si="882"/>
        <v/>
      </c>
      <c r="Q1431" s="34" t="str">
        <f t="shared" si="883"/>
        <v/>
      </c>
      <c r="R1431" s="34" t="str">
        <f t="shared" si="884"/>
        <v/>
      </c>
      <c r="S1431" s="34" t="str">
        <f t="shared" si="885"/>
        <v/>
      </c>
      <c r="T1431" s="34" t="str">
        <f t="shared" si="886"/>
        <v/>
      </c>
      <c r="U1431" s="34" t="str">
        <f>IF(AND(L1431=1,bp_kode=T1431,T1431&lt;&gt;""),COUNTIF($T$8:T1431,T1431),"")</f>
        <v/>
      </c>
      <c r="V1431" s="34" t="str">
        <f t="shared" si="887"/>
        <v/>
      </c>
      <c r="W1431" s="34" t="str">
        <f t="shared" si="888"/>
        <v/>
      </c>
      <c r="X1431" s="34" t="str">
        <f>IF(B1431="","",COUNTIF($C$8:C1431,C1431)&amp;C1431)</f>
        <v/>
      </c>
    </row>
    <row r="1432" spans="2:24" ht="23.1" customHeight="1">
      <c r="B1432" s="31"/>
      <c r="C1432" s="9"/>
      <c r="D1432" s="9"/>
      <c r="E1432" s="7"/>
      <c r="F1432" s="7"/>
      <c r="G1432" s="7"/>
      <c r="H1432" s="7"/>
      <c r="I1432" s="7"/>
      <c r="J1432" s="39"/>
      <c r="L1432" s="16" t="str">
        <f t="shared" si="879"/>
        <v/>
      </c>
      <c r="M1432" s="16" t="str">
        <f t="shared" si="880"/>
        <v/>
      </c>
      <c r="N1432" s="16" t="str">
        <f t="shared" si="881"/>
        <v/>
      </c>
      <c r="O1432" s="16" t="str">
        <f>IF(N1432="","",COUNTIF($N$8:N1432,N1432))</f>
        <v/>
      </c>
      <c r="P1432" s="34" t="str">
        <f t="shared" si="882"/>
        <v/>
      </c>
      <c r="Q1432" s="34" t="str">
        <f t="shared" si="883"/>
        <v/>
      </c>
      <c r="R1432" s="34" t="str">
        <f t="shared" si="884"/>
        <v/>
      </c>
      <c r="S1432" s="34" t="str">
        <f t="shared" si="885"/>
        <v/>
      </c>
      <c r="T1432" s="34" t="str">
        <f t="shared" si="886"/>
        <v/>
      </c>
      <c r="U1432" s="34" t="str">
        <f>IF(AND(L1432=1,bp_kode=T1432,T1432&lt;&gt;""),COUNTIF($T$8:T1432,T1432),"")</f>
        <v/>
      </c>
      <c r="V1432" s="34" t="str">
        <f t="shared" si="887"/>
        <v/>
      </c>
      <c r="W1432" s="34" t="str">
        <f t="shared" si="888"/>
        <v/>
      </c>
      <c r="X1432" s="34" t="str">
        <f>IF(B1432="","",COUNTIF($C$8:C1432,C1432)&amp;C1432)</f>
        <v/>
      </c>
    </row>
    <row r="1433" spans="2:24" ht="23.1" customHeight="1">
      <c r="B1433" s="31"/>
      <c r="C1433" s="9"/>
      <c r="D1433" s="9"/>
      <c r="E1433" s="7"/>
      <c r="F1433" s="7"/>
      <c r="G1433" s="7"/>
      <c r="H1433" s="7"/>
      <c r="I1433" s="7"/>
      <c r="J1433" s="39"/>
      <c r="L1433" s="16" t="str">
        <f t="shared" si="879"/>
        <v/>
      </c>
      <c r="M1433" s="16" t="str">
        <f t="shared" si="880"/>
        <v/>
      </c>
      <c r="N1433" s="16" t="str">
        <f t="shared" si="881"/>
        <v/>
      </c>
      <c r="O1433" s="16" t="str">
        <f>IF(N1433="","",COUNTIF($N$8:N1433,N1433))</f>
        <v/>
      </c>
      <c r="P1433" s="34" t="str">
        <f t="shared" si="882"/>
        <v/>
      </c>
      <c r="Q1433" s="34" t="str">
        <f t="shared" si="883"/>
        <v/>
      </c>
      <c r="R1433" s="34" t="str">
        <f t="shared" si="884"/>
        <v/>
      </c>
      <c r="S1433" s="34" t="str">
        <f t="shared" si="885"/>
        <v/>
      </c>
      <c r="T1433" s="34" t="str">
        <f t="shared" si="886"/>
        <v/>
      </c>
      <c r="U1433" s="34" t="str">
        <f>IF(AND(L1433=1,bp_kode=T1433,T1433&lt;&gt;""),COUNTIF($T$8:T1433,T1433),"")</f>
        <v/>
      </c>
      <c r="V1433" s="34" t="str">
        <f t="shared" si="887"/>
        <v/>
      </c>
      <c r="W1433" s="34" t="str">
        <f t="shared" si="888"/>
        <v/>
      </c>
      <c r="X1433" s="34" t="str">
        <f>IF(B1433="","",COUNTIF($C$8:C1433,C1433)&amp;C1433)</f>
        <v/>
      </c>
    </row>
    <row r="1434" spans="2:24" ht="23.1" customHeight="1">
      <c r="B1434" s="31"/>
      <c r="C1434" s="9"/>
      <c r="D1434" s="9"/>
      <c r="E1434" s="7"/>
      <c r="F1434" s="7"/>
      <c r="G1434" s="7"/>
      <c r="H1434" s="7"/>
      <c r="I1434" s="7"/>
      <c r="J1434" s="39"/>
      <c r="L1434" s="16" t="str">
        <f t="shared" si="879"/>
        <v/>
      </c>
      <c r="M1434" s="16" t="str">
        <f t="shared" si="880"/>
        <v/>
      </c>
      <c r="N1434" s="16" t="str">
        <f t="shared" si="881"/>
        <v/>
      </c>
      <c r="O1434" s="16" t="str">
        <f>IF(N1434="","",COUNTIF($N$8:N1434,N1434))</f>
        <v/>
      </c>
      <c r="P1434" s="34" t="str">
        <f t="shared" si="882"/>
        <v/>
      </c>
      <c r="Q1434" s="34" t="str">
        <f t="shared" si="883"/>
        <v/>
      </c>
      <c r="R1434" s="34" t="str">
        <f t="shared" si="884"/>
        <v/>
      </c>
      <c r="S1434" s="34" t="str">
        <f t="shared" si="885"/>
        <v/>
      </c>
      <c r="T1434" s="34" t="str">
        <f t="shared" si="886"/>
        <v/>
      </c>
      <c r="U1434" s="34" t="str">
        <f>IF(AND(L1434=1,bp_kode=T1434,T1434&lt;&gt;""),COUNTIF($T$8:T1434,T1434),"")</f>
        <v/>
      </c>
      <c r="V1434" s="34" t="str">
        <f t="shared" si="887"/>
        <v/>
      </c>
      <c r="W1434" s="34" t="str">
        <f t="shared" si="888"/>
        <v/>
      </c>
      <c r="X1434" s="34" t="str">
        <f>IF(B1434="","",COUNTIF($C$8:C1434,C1434)&amp;C1434)</f>
        <v/>
      </c>
    </row>
    <row r="1435" spans="2:24" ht="23.1" customHeight="1">
      <c r="B1435" s="31"/>
      <c r="C1435" s="9"/>
      <c r="D1435" s="9"/>
      <c r="E1435" s="7"/>
      <c r="F1435" s="7"/>
      <c r="G1435" s="7"/>
      <c r="H1435" s="7"/>
      <c r="I1435" s="7"/>
      <c r="J1435" s="39"/>
      <c r="L1435" s="16" t="str">
        <f t="shared" si="879"/>
        <v/>
      </c>
      <c r="M1435" s="16" t="str">
        <f t="shared" si="880"/>
        <v/>
      </c>
      <c r="N1435" s="16" t="str">
        <f t="shared" si="881"/>
        <v/>
      </c>
      <c r="O1435" s="16" t="str">
        <f>IF(N1435="","",COUNTIF($N$8:N1435,N1435))</f>
        <v/>
      </c>
      <c r="P1435" s="34" t="str">
        <f t="shared" si="882"/>
        <v/>
      </c>
      <c r="Q1435" s="34" t="str">
        <f t="shared" si="883"/>
        <v/>
      </c>
      <c r="R1435" s="34" t="str">
        <f t="shared" si="884"/>
        <v/>
      </c>
      <c r="S1435" s="34" t="str">
        <f t="shared" si="885"/>
        <v/>
      </c>
      <c r="T1435" s="34" t="str">
        <f t="shared" si="886"/>
        <v/>
      </c>
      <c r="U1435" s="34" t="str">
        <f>IF(AND(L1435=1,bp_kode=T1435,T1435&lt;&gt;""),COUNTIF($T$8:T1435,T1435),"")</f>
        <v/>
      </c>
      <c r="V1435" s="34" t="str">
        <f t="shared" si="887"/>
        <v/>
      </c>
      <c r="W1435" s="34" t="str">
        <f t="shared" si="888"/>
        <v/>
      </c>
      <c r="X1435" s="34" t="str">
        <f>IF(B1435="","",COUNTIF($C$8:C1435,C1435)&amp;C1435)</f>
        <v/>
      </c>
    </row>
    <row r="1436" spans="2:24" ht="23.1" customHeight="1">
      <c r="B1436" s="31"/>
      <c r="C1436" s="9"/>
      <c r="D1436" s="9"/>
      <c r="E1436" s="7"/>
      <c r="F1436" s="7"/>
      <c r="G1436" s="7"/>
      <c r="H1436" s="7"/>
      <c r="I1436" s="7"/>
      <c r="J1436" s="39"/>
      <c r="L1436" s="16" t="str">
        <f t="shared" si="879"/>
        <v/>
      </c>
      <c r="M1436" s="16" t="str">
        <f t="shared" si="880"/>
        <v/>
      </c>
      <c r="N1436" s="16" t="str">
        <f t="shared" si="881"/>
        <v/>
      </c>
      <c r="O1436" s="16" t="str">
        <f>IF(N1436="","",COUNTIF($N$8:N1436,N1436))</f>
        <v/>
      </c>
      <c r="P1436" s="34" t="str">
        <f t="shared" si="882"/>
        <v/>
      </c>
      <c r="Q1436" s="34" t="str">
        <f t="shared" si="883"/>
        <v/>
      </c>
      <c r="R1436" s="34" t="str">
        <f t="shared" si="884"/>
        <v/>
      </c>
      <c r="S1436" s="34" t="str">
        <f t="shared" si="885"/>
        <v/>
      </c>
      <c r="T1436" s="34" t="str">
        <f t="shared" si="886"/>
        <v/>
      </c>
      <c r="U1436" s="34" t="str">
        <f>IF(AND(L1436=1,bp_kode=T1436,T1436&lt;&gt;""),COUNTIF($T$8:T1436,T1436),"")</f>
        <v/>
      </c>
      <c r="V1436" s="34" t="str">
        <f t="shared" si="887"/>
        <v/>
      </c>
      <c r="W1436" s="34" t="str">
        <f t="shared" si="888"/>
        <v/>
      </c>
      <c r="X1436" s="34" t="str">
        <f>IF(B1436="","",COUNTIF($C$8:C1436,C1436)&amp;C1436)</f>
        <v/>
      </c>
    </row>
    <row r="1437" spans="2:24" ht="23.1" customHeight="1">
      <c r="B1437" s="31"/>
      <c r="C1437" s="9"/>
      <c r="D1437" s="9"/>
      <c r="E1437" s="7"/>
      <c r="F1437" s="7"/>
      <c r="G1437" s="7"/>
      <c r="H1437" s="7"/>
      <c r="I1437" s="7"/>
      <c r="J1437" s="39"/>
      <c r="L1437" s="16" t="str">
        <f t="shared" si="879"/>
        <v/>
      </c>
      <c r="M1437" s="16" t="str">
        <f t="shared" si="880"/>
        <v/>
      </c>
      <c r="N1437" s="16" t="str">
        <f t="shared" si="881"/>
        <v/>
      </c>
      <c r="O1437" s="16" t="str">
        <f>IF(N1437="","",COUNTIF($N$8:N1437,N1437))</f>
        <v/>
      </c>
      <c r="P1437" s="34" t="str">
        <f t="shared" si="882"/>
        <v/>
      </c>
      <c r="Q1437" s="34" t="str">
        <f t="shared" si="883"/>
        <v/>
      </c>
      <c r="R1437" s="34" t="str">
        <f t="shared" si="884"/>
        <v/>
      </c>
      <c r="S1437" s="34" t="str">
        <f t="shared" si="885"/>
        <v/>
      </c>
      <c r="T1437" s="34" t="str">
        <f t="shared" si="886"/>
        <v/>
      </c>
      <c r="U1437" s="34" t="str">
        <f>IF(AND(L1437=1,bp_kode=T1437,T1437&lt;&gt;""),COUNTIF($T$8:T1437,T1437),"")</f>
        <v/>
      </c>
      <c r="V1437" s="34" t="str">
        <f t="shared" si="887"/>
        <v/>
      </c>
      <c r="W1437" s="34" t="str">
        <f t="shared" si="888"/>
        <v/>
      </c>
      <c r="X1437" s="34" t="str">
        <f>IF(B1437="","",COUNTIF($C$8:C1437,C1437)&amp;C1437)</f>
        <v/>
      </c>
    </row>
    <row r="1438" spans="2:24" ht="23.1" customHeight="1">
      <c r="B1438" s="31"/>
      <c r="C1438" s="9"/>
      <c r="D1438" s="9"/>
      <c r="E1438" s="7"/>
      <c r="F1438" s="7"/>
      <c r="G1438" s="7"/>
      <c r="H1438" s="7"/>
      <c r="I1438" s="7"/>
      <c r="J1438" s="39"/>
      <c r="L1438" s="16" t="str">
        <f t="shared" si="879"/>
        <v/>
      </c>
      <c r="M1438" s="16" t="str">
        <f t="shared" si="880"/>
        <v/>
      </c>
      <c r="N1438" s="16" t="str">
        <f t="shared" si="881"/>
        <v/>
      </c>
      <c r="O1438" s="16" t="str">
        <f>IF(N1438="","",COUNTIF($N$8:N1438,N1438))</f>
        <v/>
      </c>
      <c r="P1438" s="34" t="str">
        <f t="shared" si="882"/>
        <v/>
      </c>
      <c r="Q1438" s="34" t="str">
        <f t="shared" si="883"/>
        <v/>
      </c>
      <c r="R1438" s="34" t="str">
        <f t="shared" si="884"/>
        <v/>
      </c>
      <c r="S1438" s="34" t="str">
        <f t="shared" si="885"/>
        <v/>
      </c>
      <c r="T1438" s="34" t="str">
        <f t="shared" si="886"/>
        <v/>
      </c>
      <c r="U1438" s="34" t="str">
        <f>IF(AND(L1438=1,bp_kode=T1438,T1438&lt;&gt;""),COUNTIF($T$8:T1438,T1438),"")</f>
        <v/>
      </c>
      <c r="V1438" s="34" t="str">
        <f t="shared" si="887"/>
        <v/>
      </c>
      <c r="W1438" s="34" t="str">
        <f t="shared" si="888"/>
        <v/>
      </c>
      <c r="X1438" s="34" t="str">
        <f>IF(B1438="","",COUNTIF($C$8:C1438,C1438)&amp;C1438)</f>
        <v/>
      </c>
    </row>
    <row r="1439" spans="2:24" ht="23.1" customHeight="1">
      <c r="B1439" s="31"/>
      <c r="C1439" s="9"/>
      <c r="D1439" s="9"/>
      <c r="E1439" s="7"/>
      <c r="F1439" s="7"/>
      <c r="G1439" s="7"/>
      <c r="H1439" s="7"/>
      <c r="I1439" s="7"/>
      <c r="J1439" s="39"/>
      <c r="L1439" s="16" t="str">
        <f t="shared" si="879"/>
        <v/>
      </c>
      <c r="M1439" s="16" t="str">
        <f t="shared" si="880"/>
        <v/>
      </c>
      <c r="N1439" s="16" t="str">
        <f t="shared" si="881"/>
        <v/>
      </c>
      <c r="O1439" s="16" t="str">
        <f>IF(N1439="","",COUNTIF($N$8:N1439,N1439))</f>
        <v/>
      </c>
      <c r="P1439" s="34" t="str">
        <f t="shared" si="882"/>
        <v/>
      </c>
      <c r="Q1439" s="34" t="str">
        <f t="shared" si="883"/>
        <v/>
      </c>
      <c r="R1439" s="34" t="str">
        <f t="shared" si="884"/>
        <v/>
      </c>
      <c r="S1439" s="34" t="str">
        <f t="shared" si="885"/>
        <v/>
      </c>
      <c r="T1439" s="34" t="str">
        <f t="shared" si="886"/>
        <v/>
      </c>
      <c r="U1439" s="34" t="str">
        <f>IF(AND(L1439=1,bp_kode=T1439,T1439&lt;&gt;""),COUNTIF($T$8:T1439,T1439),"")</f>
        <v/>
      </c>
      <c r="V1439" s="34" t="str">
        <f t="shared" si="887"/>
        <v/>
      </c>
      <c r="W1439" s="34" t="str">
        <f t="shared" si="888"/>
        <v/>
      </c>
      <c r="X1439" s="34" t="str">
        <f>IF(B1439="","",COUNTIF($C$8:C1439,C1439)&amp;C1439)</f>
        <v/>
      </c>
    </row>
    <row r="1440" spans="2:24" ht="23.1" customHeight="1">
      <c r="B1440" s="31"/>
      <c r="C1440" s="9"/>
      <c r="D1440" s="9"/>
      <c r="E1440" s="7"/>
      <c r="F1440" s="7"/>
      <c r="G1440" s="7"/>
      <c r="H1440" s="7"/>
      <c r="I1440" s="7"/>
      <c r="J1440" s="39"/>
      <c r="L1440" s="16" t="str">
        <f t="shared" si="879"/>
        <v/>
      </c>
      <c r="M1440" s="16" t="str">
        <f t="shared" si="880"/>
        <v/>
      </c>
      <c r="N1440" s="16" t="str">
        <f t="shared" si="881"/>
        <v/>
      </c>
      <c r="O1440" s="16" t="str">
        <f>IF(N1440="","",COUNTIF($N$8:N1440,N1440))</f>
        <v/>
      </c>
      <c r="P1440" s="34" t="str">
        <f t="shared" si="882"/>
        <v/>
      </c>
      <c r="Q1440" s="34" t="str">
        <f t="shared" si="883"/>
        <v/>
      </c>
      <c r="R1440" s="34" t="str">
        <f t="shared" si="884"/>
        <v/>
      </c>
      <c r="S1440" s="34" t="str">
        <f t="shared" si="885"/>
        <v/>
      </c>
      <c r="T1440" s="34" t="str">
        <f t="shared" si="886"/>
        <v/>
      </c>
      <c r="U1440" s="34" t="str">
        <f>IF(AND(L1440=1,bp_kode=T1440,T1440&lt;&gt;""),COUNTIF($T$8:T1440,T1440),"")</f>
        <v/>
      </c>
      <c r="V1440" s="34" t="str">
        <f t="shared" si="887"/>
        <v/>
      </c>
      <c r="W1440" s="34" t="str">
        <f t="shared" si="888"/>
        <v/>
      </c>
      <c r="X1440" s="34" t="str">
        <f>IF(B1440="","",COUNTIF($C$8:C1440,C1440)&amp;C1440)</f>
        <v/>
      </c>
    </row>
    <row r="1441" spans="2:24" ht="23.1" customHeight="1">
      <c r="B1441" s="31"/>
      <c r="C1441" s="9"/>
      <c r="D1441" s="9"/>
      <c r="E1441" s="7"/>
      <c r="F1441" s="7"/>
      <c r="G1441" s="7"/>
      <c r="H1441" s="7"/>
      <c r="I1441" s="7"/>
      <c r="J1441" s="39"/>
      <c r="L1441" s="16" t="str">
        <f t="shared" si="879"/>
        <v/>
      </c>
      <c r="M1441" s="16" t="str">
        <f t="shared" si="880"/>
        <v/>
      </c>
      <c r="N1441" s="16" t="str">
        <f t="shared" si="881"/>
        <v/>
      </c>
      <c r="O1441" s="16" t="str">
        <f>IF(N1441="","",COUNTIF($N$8:N1441,N1441))</f>
        <v/>
      </c>
      <c r="P1441" s="34" t="str">
        <f t="shared" si="882"/>
        <v/>
      </c>
      <c r="Q1441" s="34" t="str">
        <f t="shared" si="883"/>
        <v/>
      </c>
      <c r="R1441" s="34" t="str">
        <f t="shared" si="884"/>
        <v/>
      </c>
      <c r="S1441" s="34" t="str">
        <f t="shared" si="885"/>
        <v/>
      </c>
      <c r="T1441" s="34" t="str">
        <f t="shared" si="886"/>
        <v/>
      </c>
      <c r="U1441" s="34" t="str">
        <f>IF(AND(L1441=1,bp_kode=T1441,T1441&lt;&gt;""),COUNTIF($T$8:T1441,T1441),"")</f>
        <v/>
      </c>
      <c r="V1441" s="34" t="str">
        <f t="shared" si="887"/>
        <v/>
      </c>
      <c r="W1441" s="34" t="str">
        <f t="shared" si="888"/>
        <v/>
      </c>
      <c r="X1441" s="34" t="str">
        <f>IF(B1441="","",COUNTIF($C$8:C1441,C1441)&amp;C1441)</f>
        <v/>
      </c>
    </row>
    <row r="1442" spans="2:24" ht="23.1" customHeight="1">
      <c r="B1442" s="31"/>
      <c r="C1442" s="9"/>
      <c r="D1442" s="9"/>
      <c r="E1442" s="7"/>
      <c r="F1442" s="7"/>
      <c r="G1442" s="7"/>
      <c r="H1442" s="7"/>
      <c r="I1442" s="7"/>
      <c r="J1442" s="39"/>
      <c r="L1442" s="16" t="str">
        <f t="shared" si="879"/>
        <v/>
      </c>
      <c r="M1442" s="16" t="str">
        <f t="shared" si="880"/>
        <v/>
      </c>
      <c r="N1442" s="16" t="str">
        <f t="shared" si="881"/>
        <v/>
      </c>
      <c r="O1442" s="16" t="str">
        <f>IF(N1442="","",COUNTIF($N$8:N1442,N1442))</f>
        <v/>
      </c>
      <c r="P1442" s="34" t="str">
        <f t="shared" si="882"/>
        <v/>
      </c>
      <c r="Q1442" s="34" t="str">
        <f t="shared" si="883"/>
        <v/>
      </c>
      <c r="R1442" s="34" t="str">
        <f t="shared" si="884"/>
        <v/>
      </c>
      <c r="S1442" s="34" t="str">
        <f t="shared" si="885"/>
        <v/>
      </c>
      <c r="T1442" s="34" t="str">
        <f t="shared" si="886"/>
        <v/>
      </c>
      <c r="U1442" s="34" t="str">
        <f>IF(AND(L1442=1,bp_kode=T1442,T1442&lt;&gt;""),COUNTIF($T$8:T1442,T1442),"")</f>
        <v/>
      </c>
      <c r="V1442" s="34" t="str">
        <f t="shared" si="887"/>
        <v/>
      </c>
      <c r="W1442" s="34" t="str">
        <f t="shared" si="888"/>
        <v/>
      </c>
      <c r="X1442" s="34" t="str">
        <f>IF(B1442="","",COUNTIF($C$8:C1442,C1442)&amp;C1442)</f>
        <v/>
      </c>
    </row>
    <row r="1443" spans="2:24" ht="23.1" customHeight="1">
      <c r="B1443" s="31"/>
      <c r="C1443" s="9"/>
      <c r="D1443" s="9"/>
      <c r="E1443" s="7"/>
      <c r="F1443" s="7"/>
      <c r="G1443" s="7"/>
      <c r="H1443" s="7"/>
      <c r="I1443" s="7"/>
      <c r="J1443" s="39"/>
      <c r="L1443" s="16" t="str">
        <f t="shared" si="879"/>
        <v/>
      </c>
      <c r="M1443" s="16" t="str">
        <f t="shared" si="880"/>
        <v/>
      </c>
      <c r="N1443" s="16" t="str">
        <f t="shared" si="881"/>
        <v/>
      </c>
      <c r="O1443" s="16" t="str">
        <f>IF(N1443="","",COUNTIF($N$8:N1443,N1443))</f>
        <v/>
      </c>
      <c r="P1443" s="34" t="str">
        <f t="shared" si="882"/>
        <v/>
      </c>
      <c r="Q1443" s="34" t="str">
        <f t="shared" si="883"/>
        <v/>
      </c>
      <c r="R1443" s="34" t="str">
        <f t="shared" si="884"/>
        <v/>
      </c>
      <c r="S1443" s="34" t="str">
        <f t="shared" si="885"/>
        <v/>
      </c>
      <c r="T1443" s="34" t="str">
        <f t="shared" si="886"/>
        <v/>
      </c>
      <c r="U1443" s="34" t="str">
        <f>IF(AND(L1443=1,bp_kode=T1443,T1443&lt;&gt;""),COUNTIF($T$8:T1443,T1443),"")</f>
        <v/>
      </c>
      <c r="V1443" s="34" t="str">
        <f t="shared" si="887"/>
        <v/>
      </c>
      <c r="W1443" s="34" t="str">
        <f t="shared" si="888"/>
        <v/>
      </c>
      <c r="X1443" s="34" t="str">
        <f>IF(B1443="","",COUNTIF($C$8:C1443,C1443)&amp;C1443)</f>
        <v/>
      </c>
    </row>
    <row r="1444" spans="2:24" ht="23.1" customHeight="1">
      <c r="B1444" s="31"/>
      <c r="C1444" s="9"/>
      <c r="D1444" s="9"/>
      <c r="E1444" s="7"/>
      <c r="F1444" s="7"/>
      <c r="G1444" s="7"/>
      <c r="H1444" s="7"/>
      <c r="I1444" s="7"/>
      <c r="J1444" s="39"/>
      <c r="L1444" s="16" t="str">
        <f t="shared" si="879"/>
        <v/>
      </c>
      <c r="M1444" s="16" t="str">
        <f t="shared" si="880"/>
        <v/>
      </c>
      <c r="N1444" s="16" t="str">
        <f t="shared" si="881"/>
        <v/>
      </c>
      <c r="O1444" s="16" t="str">
        <f>IF(N1444="","",COUNTIF($N$8:N1444,N1444))</f>
        <v/>
      </c>
      <c r="P1444" s="34" t="str">
        <f t="shared" si="882"/>
        <v/>
      </c>
      <c r="Q1444" s="34" t="str">
        <f t="shared" si="883"/>
        <v/>
      </c>
      <c r="R1444" s="34" t="str">
        <f t="shared" si="884"/>
        <v/>
      </c>
      <c r="S1444" s="34" t="str">
        <f t="shared" si="885"/>
        <v/>
      </c>
      <c r="T1444" s="34" t="str">
        <f t="shared" si="886"/>
        <v/>
      </c>
      <c r="U1444" s="34" t="str">
        <f>IF(AND(L1444=1,bp_kode=T1444,T1444&lt;&gt;""),COUNTIF($T$8:T1444,T1444),"")</f>
        <v/>
      </c>
      <c r="V1444" s="34" t="str">
        <f t="shared" si="887"/>
        <v/>
      </c>
      <c r="W1444" s="34" t="str">
        <f t="shared" si="888"/>
        <v/>
      </c>
      <c r="X1444" s="34" t="str">
        <f>IF(B1444="","",COUNTIF($C$8:C1444,C1444)&amp;C1444)</f>
        <v/>
      </c>
    </row>
    <row r="1445" spans="2:24" ht="23.1" customHeight="1">
      <c r="B1445" s="31"/>
      <c r="C1445" s="9"/>
      <c r="D1445" s="9"/>
      <c r="E1445" s="7"/>
      <c r="F1445" s="7"/>
      <c r="G1445" s="7"/>
      <c r="H1445" s="7"/>
      <c r="I1445" s="7"/>
      <c r="J1445" s="39"/>
      <c r="L1445" s="16" t="str">
        <f t="shared" si="879"/>
        <v/>
      </c>
      <c r="M1445" s="16" t="str">
        <f t="shared" si="880"/>
        <v/>
      </c>
      <c r="N1445" s="16" t="str">
        <f t="shared" si="881"/>
        <v/>
      </c>
      <c r="O1445" s="16" t="str">
        <f>IF(N1445="","",COUNTIF($N$8:N1445,N1445))</f>
        <v/>
      </c>
      <c r="P1445" s="34" t="str">
        <f t="shared" si="882"/>
        <v/>
      </c>
      <c r="Q1445" s="34" t="str">
        <f t="shared" si="883"/>
        <v/>
      </c>
      <c r="R1445" s="34" t="str">
        <f t="shared" si="884"/>
        <v/>
      </c>
      <c r="S1445" s="34" t="str">
        <f t="shared" si="885"/>
        <v/>
      </c>
      <c r="T1445" s="34" t="str">
        <f t="shared" si="886"/>
        <v/>
      </c>
      <c r="U1445" s="34" t="str">
        <f>IF(AND(L1445=1,bp_kode=T1445,T1445&lt;&gt;""),COUNTIF($T$8:T1445,T1445),"")</f>
        <v/>
      </c>
      <c r="V1445" s="34" t="str">
        <f t="shared" si="887"/>
        <v/>
      </c>
      <c r="W1445" s="34" t="str">
        <f t="shared" si="888"/>
        <v/>
      </c>
      <c r="X1445" s="34" t="str">
        <f>IF(B1445="","",COUNTIF($C$8:C1445,C1445)&amp;C1445)</f>
        <v/>
      </c>
    </row>
    <row r="1446" spans="2:24" ht="23.1" customHeight="1">
      <c r="B1446" s="31"/>
      <c r="C1446" s="9"/>
      <c r="D1446" s="9"/>
      <c r="E1446" s="7"/>
      <c r="F1446" s="7"/>
      <c r="G1446" s="7"/>
      <c r="H1446" s="7"/>
      <c r="I1446" s="7"/>
      <c r="J1446" s="39"/>
      <c r="L1446" s="16" t="str">
        <f t="shared" si="879"/>
        <v/>
      </c>
      <c r="M1446" s="16" t="str">
        <f t="shared" si="880"/>
        <v/>
      </c>
      <c r="N1446" s="16" t="str">
        <f t="shared" si="881"/>
        <v/>
      </c>
      <c r="O1446" s="16" t="str">
        <f>IF(N1446="","",COUNTIF($N$8:N1446,N1446))</f>
        <v/>
      </c>
      <c r="P1446" s="34" t="str">
        <f t="shared" si="882"/>
        <v/>
      </c>
      <c r="Q1446" s="34" t="str">
        <f t="shared" si="883"/>
        <v/>
      </c>
      <c r="R1446" s="34" t="str">
        <f t="shared" si="884"/>
        <v/>
      </c>
      <c r="S1446" s="34" t="str">
        <f t="shared" si="885"/>
        <v/>
      </c>
      <c r="T1446" s="34" t="str">
        <f t="shared" si="886"/>
        <v/>
      </c>
      <c r="U1446" s="34" t="str">
        <f>IF(AND(L1446=1,bp_kode=T1446,T1446&lt;&gt;""),COUNTIF($T$8:T1446,T1446),"")</f>
        <v/>
      </c>
      <c r="V1446" s="34" t="str">
        <f t="shared" si="887"/>
        <v/>
      </c>
      <c r="W1446" s="34" t="str">
        <f t="shared" si="888"/>
        <v/>
      </c>
      <c r="X1446" s="34" t="str">
        <f>IF(B1446="","",COUNTIF($C$8:C1446,C1446)&amp;C1446)</f>
        <v/>
      </c>
    </row>
    <row r="1447" spans="2:24" ht="23.1" customHeight="1">
      <c r="B1447" s="31"/>
      <c r="C1447" s="9"/>
      <c r="D1447" s="9"/>
      <c r="E1447" s="7"/>
      <c r="F1447" s="7"/>
      <c r="G1447" s="7"/>
      <c r="H1447" s="7"/>
      <c r="I1447" s="7"/>
      <c r="J1447" s="39"/>
      <c r="L1447" s="16" t="str">
        <f t="shared" si="879"/>
        <v/>
      </c>
      <c r="M1447" s="16" t="str">
        <f t="shared" si="880"/>
        <v/>
      </c>
      <c r="N1447" s="16" t="str">
        <f t="shared" si="881"/>
        <v/>
      </c>
      <c r="O1447" s="16" t="str">
        <f>IF(N1447="","",COUNTIF($N$8:N1447,N1447))</f>
        <v/>
      </c>
      <c r="P1447" s="34" t="str">
        <f t="shared" si="882"/>
        <v/>
      </c>
      <c r="Q1447" s="34" t="str">
        <f t="shared" si="883"/>
        <v/>
      </c>
      <c r="R1447" s="34" t="str">
        <f t="shared" si="884"/>
        <v/>
      </c>
      <c r="S1447" s="34" t="str">
        <f t="shared" si="885"/>
        <v/>
      </c>
      <c r="T1447" s="34" t="str">
        <f t="shared" si="886"/>
        <v/>
      </c>
      <c r="U1447" s="34" t="str">
        <f>IF(AND(L1447=1,bp_kode=T1447,T1447&lt;&gt;""),COUNTIF($T$8:T1447,T1447),"")</f>
        <v/>
      </c>
      <c r="V1447" s="34" t="str">
        <f t="shared" si="887"/>
        <v/>
      </c>
      <c r="W1447" s="34" t="str">
        <f t="shared" si="888"/>
        <v/>
      </c>
      <c r="X1447" s="34" t="str">
        <f>IF(B1447="","",COUNTIF($C$8:C1447,C1447)&amp;C1447)</f>
        <v/>
      </c>
    </row>
    <row r="1448" spans="2:24" ht="23.1" customHeight="1">
      <c r="B1448" s="31"/>
      <c r="C1448" s="9"/>
      <c r="D1448" s="9"/>
      <c r="E1448" s="7"/>
      <c r="F1448" s="7"/>
      <c r="G1448" s="7"/>
      <c r="H1448" s="7"/>
      <c r="I1448" s="7"/>
      <c r="J1448" s="39"/>
      <c r="L1448" s="16" t="str">
        <f t="shared" si="879"/>
        <v/>
      </c>
      <c r="M1448" s="16" t="str">
        <f t="shared" si="880"/>
        <v/>
      </c>
      <c r="N1448" s="16" t="str">
        <f t="shared" si="881"/>
        <v/>
      </c>
      <c r="O1448" s="16" t="str">
        <f>IF(N1448="","",COUNTIF($N$8:N1448,N1448))</f>
        <v/>
      </c>
      <c r="P1448" s="34" t="str">
        <f t="shared" si="882"/>
        <v/>
      </c>
      <c r="Q1448" s="34" t="str">
        <f t="shared" si="883"/>
        <v/>
      </c>
      <c r="R1448" s="34" t="str">
        <f t="shared" si="884"/>
        <v/>
      </c>
      <c r="S1448" s="34" t="str">
        <f t="shared" si="885"/>
        <v/>
      </c>
      <c r="T1448" s="34" t="str">
        <f t="shared" si="886"/>
        <v/>
      </c>
      <c r="U1448" s="34" t="str">
        <f>IF(AND(L1448=1,bp_kode=T1448,T1448&lt;&gt;""),COUNTIF($T$8:T1448,T1448),"")</f>
        <v/>
      </c>
      <c r="V1448" s="34" t="str">
        <f t="shared" si="887"/>
        <v/>
      </c>
      <c r="W1448" s="34" t="str">
        <f t="shared" si="888"/>
        <v/>
      </c>
      <c r="X1448" s="34" t="str">
        <f>IF(B1448="","",COUNTIF($C$8:C1448,C1448)&amp;C1448)</f>
        <v/>
      </c>
    </row>
    <row r="1449" spans="2:24" ht="23.1" customHeight="1">
      <c r="B1449" s="31"/>
      <c r="C1449" s="9"/>
      <c r="D1449" s="9"/>
      <c r="E1449" s="7"/>
      <c r="F1449" s="7"/>
      <c r="G1449" s="7"/>
      <c r="H1449" s="7"/>
      <c r="I1449" s="7"/>
      <c r="J1449" s="39"/>
      <c r="L1449" s="16" t="str">
        <f t="shared" si="879"/>
        <v/>
      </c>
      <c r="M1449" s="16" t="str">
        <f t="shared" si="880"/>
        <v/>
      </c>
      <c r="N1449" s="16" t="str">
        <f t="shared" si="881"/>
        <v/>
      </c>
      <c r="O1449" s="16" t="str">
        <f>IF(N1449="","",COUNTIF($N$8:N1449,N1449))</f>
        <v/>
      </c>
      <c r="P1449" s="34" t="str">
        <f t="shared" si="882"/>
        <v/>
      </c>
      <c r="Q1449" s="34" t="str">
        <f t="shared" si="883"/>
        <v/>
      </c>
      <c r="R1449" s="34" t="str">
        <f t="shared" si="884"/>
        <v/>
      </c>
      <c r="S1449" s="34" t="str">
        <f t="shared" si="885"/>
        <v/>
      </c>
      <c r="T1449" s="34" t="str">
        <f t="shared" si="886"/>
        <v/>
      </c>
      <c r="U1449" s="34" t="str">
        <f>IF(AND(L1449=1,bp_kode=T1449,T1449&lt;&gt;""),COUNTIF($T$8:T1449,T1449),"")</f>
        <v/>
      </c>
      <c r="V1449" s="34" t="str">
        <f t="shared" si="887"/>
        <v/>
      </c>
      <c r="W1449" s="34" t="str">
        <f t="shared" si="888"/>
        <v/>
      </c>
      <c r="X1449" s="34" t="str">
        <f>IF(B1449="","",COUNTIF($C$8:C1449,C1449)&amp;C1449)</f>
        <v/>
      </c>
    </row>
    <row r="1450" spans="2:24" ht="23.1" customHeight="1">
      <c r="B1450" s="31"/>
      <c r="C1450" s="9"/>
      <c r="D1450" s="9"/>
      <c r="E1450" s="7"/>
      <c r="F1450" s="7"/>
      <c r="G1450" s="7"/>
      <c r="H1450" s="7"/>
      <c r="I1450" s="7"/>
      <c r="J1450" s="39"/>
      <c r="L1450" s="16" t="str">
        <f t="shared" si="879"/>
        <v/>
      </c>
      <c r="M1450" s="16" t="str">
        <f t="shared" si="880"/>
        <v/>
      </c>
      <c r="N1450" s="16" t="str">
        <f t="shared" si="881"/>
        <v/>
      </c>
      <c r="O1450" s="16" t="str">
        <f>IF(N1450="","",COUNTIF($N$8:N1450,N1450))</f>
        <v/>
      </c>
      <c r="P1450" s="34" t="str">
        <f t="shared" si="882"/>
        <v/>
      </c>
      <c r="Q1450" s="34" t="str">
        <f t="shared" si="883"/>
        <v/>
      </c>
      <c r="R1450" s="34" t="str">
        <f t="shared" si="884"/>
        <v/>
      </c>
      <c r="S1450" s="34" t="str">
        <f t="shared" si="885"/>
        <v/>
      </c>
      <c r="T1450" s="34" t="str">
        <f t="shared" si="886"/>
        <v/>
      </c>
      <c r="U1450" s="34" t="str">
        <f>IF(AND(L1450=1,bp_kode=T1450,T1450&lt;&gt;""),COUNTIF($T$8:T1450,T1450),"")</f>
        <v/>
      </c>
      <c r="V1450" s="34" t="str">
        <f t="shared" si="887"/>
        <v/>
      </c>
      <c r="W1450" s="34" t="str">
        <f t="shared" si="888"/>
        <v/>
      </c>
      <c r="X1450" s="34" t="str">
        <f>IF(B1450="","",COUNTIF($C$8:C1450,C1450)&amp;C1450)</f>
        <v/>
      </c>
    </row>
    <row r="1451" spans="2:24" ht="23.1" customHeight="1">
      <c r="B1451" s="31"/>
      <c r="C1451" s="9"/>
      <c r="D1451" s="9"/>
      <c r="E1451" s="7"/>
      <c r="F1451" s="7"/>
      <c r="G1451" s="7"/>
      <c r="H1451" s="7"/>
      <c r="I1451" s="7"/>
      <c r="J1451" s="39"/>
      <c r="L1451" s="16" t="str">
        <f t="shared" si="879"/>
        <v/>
      </c>
      <c r="M1451" s="16" t="str">
        <f t="shared" si="880"/>
        <v/>
      </c>
      <c r="N1451" s="16" t="str">
        <f t="shared" si="881"/>
        <v/>
      </c>
      <c r="O1451" s="16" t="str">
        <f>IF(N1451="","",COUNTIF($N$8:N1451,N1451))</f>
        <v/>
      </c>
      <c r="P1451" s="34" t="str">
        <f t="shared" si="882"/>
        <v/>
      </c>
      <c r="Q1451" s="34" t="str">
        <f t="shared" si="883"/>
        <v/>
      </c>
      <c r="R1451" s="34" t="str">
        <f t="shared" si="884"/>
        <v/>
      </c>
      <c r="S1451" s="34" t="str">
        <f t="shared" si="885"/>
        <v/>
      </c>
      <c r="T1451" s="34" t="str">
        <f t="shared" si="886"/>
        <v/>
      </c>
      <c r="U1451" s="34" t="str">
        <f>IF(AND(L1451=1,bp_kode=T1451,T1451&lt;&gt;""),COUNTIF($T$8:T1451,T1451),"")</f>
        <v/>
      </c>
      <c r="V1451" s="34" t="str">
        <f t="shared" si="887"/>
        <v/>
      </c>
      <c r="W1451" s="34" t="str">
        <f t="shared" si="888"/>
        <v/>
      </c>
      <c r="X1451" s="34" t="str">
        <f>IF(B1451="","",COUNTIF($C$8:C1451,C1451)&amp;C1451)</f>
        <v/>
      </c>
    </row>
    <row r="1452" spans="2:24" ht="23.1" customHeight="1">
      <c r="B1452" s="31"/>
      <c r="C1452" s="9"/>
      <c r="D1452" s="9"/>
      <c r="E1452" s="7"/>
      <c r="F1452" s="7"/>
      <c r="G1452" s="7"/>
      <c r="H1452" s="7"/>
      <c r="I1452" s="7"/>
      <c r="J1452" s="39"/>
      <c r="L1452" s="16" t="str">
        <f t="shared" si="879"/>
        <v/>
      </c>
      <c r="M1452" s="16" t="str">
        <f t="shared" si="880"/>
        <v/>
      </c>
      <c r="N1452" s="16" t="str">
        <f t="shared" si="881"/>
        <v/>
      </c>
      <c r="O1452" s="16" t="str">
        <f>IF(N1452="","",COUNTIF($N$8:N1452,N1452))</f>
        <v/>
      </c>
      <c r="P1452" s="34" t="str">
        <f t="shared" si="882"/>
        <v/>
      </c>
      <c r="Q1452" s="34" t="str">
        <f t="shared" si="883"/>
        <v/>
      </c>
      <c r="R1452" s="34" t="str">
        <f t="shared" si="884"/>
        <v/>
      </c>
      <c r="S1452" s="34" t="str">
        <f t="shared" si="885"/>
        <v/>
      </c>
      <c r="T1452" s="34" t="str">
        <f t="shared" si="886"/>
        <v/>
      </c>
      <c r="U1452" s="34" t="str">
        <f>IF(AND(L1452=1,bp_kode=T1452,T1452&lt;&gt;""),COUNTIF($T$8:T1452,T1452),"")</f>
        <v/>
      </c>
      <c r="V1452" s="34" t="str">
        <f t="shared" si="887"/>
        <v/>
      </c>
      <c r="W1452" s="34" t="str">
        <f t="shared" si="888"/>
        <v/>
      </c>
      <c r="X1452" s="34" t="str">
        <f>IF(B1452="","",COUNTIF($C$8:C1452,C1452)&amp;C1452)</f>
        <v/>
      </c>
    </row>
    <row r="1453" spans="2:24" ht="23.1" customHeight="1">
      <c r="B1453" s="31"/>
      <c r="C1453" s="9"/>
      <c r="D1453" s="9"/>
      <c r="E1453" s="7"/>
      <c r="F1453" s="7"/>
      <c r="G1453" s="7"/>
      <c r="H1453" s="7"/>
      <c r="I1453" s="7"/>
      <c r="J1453" s="39"/>
      <c r="L1453" s="16" t="str">
        <f t="shared" si="879"/>
        <v/>
      </c>
      <c r="M1453" s="16" t="str">
        <f t="shared" si="880"/>
        <v/>
      </c>
      <c r="N1453" s="16" t="str">
        <f t="shared" si="881"/>
        <v/>
      </c>
      <c r="O1453" s="16" t="str">
        <f>IF(N1453="","",COUNTIF($N$8:N1453,N1453))</f>
        <v/>
      </c>
      <c r="P1453" s="34" t="str">
        <f t="shared" si="882"/>
        <v/>
      </c>
      <c r="Q1453" s="34" t="str">
        <f t="shared" si="883"/>
        <v/>
      </c>
      <c r="R1453" s="34" t="str">
        <f t="shared" si="884"/>
        <v/>
      </c>
      <c r="S1453" s="34" t="str">
        <f t="shared" si="885"/>
        <v/>
      </c>
      <c r="T1453" s="34" t="str">
        <f t="shared" si="886"/>
        <v/>
      </c>
      <c r="U1453" s="34" t="str">
        <f>IF(AND(L1453=1,bp_kode=T1453,T1453&lt;&gt;""),COUNTIF($T$8:T1453,T1453),"")</f>
        <v/>
      </c>
      <c r="V1453" s="34" t="str">
        <f t="shared" si="887"/>
        <v/>
      </c>
      <c r="W1453" s="34" t="str">
        <f t="shared" si="888"/>
        <v/>
      </c>
      <c r="X1453" s="34" t="str">
        <f>IF(B1453="","",COUNTIF($C$8:C1453,C1453)&amp;C1453)</f>
        <v/>
      </c>
    </row>
    <row r="1454" spans="2:24" ht="23.1" customHeight="1">
      <c r="B1454" s="31"/>
      <c r="C1454" s="9"/>
      <c r="D1454" s="9"/>
      <c r="E1454" s="7"/>
      <c r="F1454" s="7"/>
      <c r="G1454" s="7"/>
      <c r="H1454" s="7"/>
      <c r="I1454" s="7"/>
      <c r="J1454" s="39"/>
      <c r="L1454" s="16" t="str">
        <f t="shared" si="879"/>
        <v/>
      </c>
      <c r="M1454" s="16" t="str">
        <f t="shared" si="880"/>
        <v/>
      </c>
      <c r="N1454" s="16" t="str">
        <f t="shared" si="881"/>
        <v/>
      </c>
      <c r="O1454" s="16" t="str">
        <f>IF(N1454="","",COUNTIF($N$8:N1454,N1454))</f>
        <v/>
      </c>
      <c r="P1454" s="34" t="str">
        <f t="shared" si="882"/>
        <v/>
      </c>
      <c r="Q1454" s="34" t="str">
        <f t="shared" si="883"/>
        <v/>
      </c>
      <c r="R1454" s="34" t="str">
        <f t="shared" si="884"/>
        <v/>
      </c>
      <c r="S1454" s="34" t="str">
        <f t="shared" si="885"/>
        <v/>
      </c>
      <c r="T1454" s="34" t="str">
        <f t="shared" si="886"/>
        <v/>
      </c>
      <c r="U1454" s="34" t="str">
        <f>IF(AND(L1454=1,bp_kode=T1454,T1454&lt;&gt;""),COUNTIF($T$8:T1454,T1454),"")</f>
        <v/>
      </c>
      <c r="V1454" s="34" t="str">
        <f t="shared" si="887"/>
        <v/>
      </c>
      <c r="W1454" s="34" t="str">
        <f t="shared" si="888"/>
        <v/>
      </c>
      <c r="X1454" s="34" t="str">
        <f>IF(B1454="","",COUNTIF($C$8:C1454,C1454)&amp;C1454)</f>
        <v/>
      </c>
    </row>
    <row r="1455" spans="2:24" ht="23.1" customHeight="1">
      <c r="B1455" s="31"/>
      <c r="C1455" s="9"/>
      <c r="D1455" s="9"/>
      <c r="E1455" s="7"/>
      <c r="F1455" s="7"/>
      <c r="G1455" s="7"/>
      <c r="H1455" s="7"/>
      <c r="I1455" s="7"/>
      <c r="J1455" s="39"/>
      <c r="L1455" s="16" t="str">
        <f t="shared" si="879"/>
        <v/>
      </c>
      <c r="M1455" s="16" t="str">
        <f t="shared" si="880"/>
        <v/>
      </c>
      <c r="N1455" s="16" t="str">
        <f t="shared" si="881"/>
        <v/>
      </c>
      <c r="O1455" s="16" t="str">
        <f>IF(N1455="","",COUNTIF($N$8:N1455,N1455))</f>
        <v/>
      </c>
      <c r="P1455" s="34" t="str">
        <f t="shared" si="882"/>
        <v/>
      </c>
      <c r="Q1455" s="34" t="str">
        <f t="shared" si="883"/>
        <v/>
      </c>
      <c r="R1455" s="34" t="str">
        <f t="shared" si="884"/>
        <v/>
      </c>
      <c r="S1455" s="34" t="str">
        <f t="shared" si="885"/>
        <v/>
      </c>
      <c r="T1455" s="34" t="str">
        <f t="shared" si="886"/>
        <v/>
      </c>
      <c r="U1455" s="34" t="str">
        <f>IF(AND(L1455=1,bp_kode=T1455,T1455&lt;&gt;""),COUNTIF($T$8:T1455,T1455),"")</f>
        <v/>
      </c>
      <c r="V1455" s="34" t="str">
        <f t="shared" si="887"/>
        <v/>
      </c>
      <c r="W1455" s="34" t="str">
        <f t="shared" si="888"/>
        <v/>
      </c>
      <c r="X1455" s="34" t="str">
        <f>IF(B1455="","",COUNTIF($C$8:C1455,C1455)&amp;C1455)</f>
        <v/>
      </c>
    </row>
    <row r="1456" spans="2:24" ht="23.1" customHeight="1">
      <c r="B1456" s="31"/>
      <c r="C1456" s="9"/>
      <c r="D1456" s="9"/>
      <c r="E1456" s="7"/>
      <c r="F1456" s="7"/>
      <c r="G1456" s="7"/>
      <c r="H1456" s="7"/>
      <c r="I1456" s="7"/>
      <c r="J1456" s="39"/>
      <c r="L1456" s="16" t="str">
        <f t="shared" si="879"/>
        <v/>
      </c>
      <c r="M1456" s="16" t="str">
        <f t="shared" si="880"/>
        <v/>
      </c>
      <c r="N1456" s="16" t="str">
        <f t="shared" si="881"/>
        <v/>
      </c>
      <c r="O1456" s="16" t="str">
        <f>IF(N1456="","",COUNTIF($N$8:N1456,N1456))</f>
        <v/>
      </c>
      <c r="P1456" s="34" t="str">
        <f t="shared" si="882"/>
        <v/>
      </c>
      <c r="Q1456" s="34" t="str">
        <f t="shared" si="883"/>
        <v/>
      </c>
      <c r="R1456" s="34" t="str">
        <f t="shared" si="884"/>
        <v/>
      </c>
      <c r="S1456" s="34" t="str">
        <f t="shared" si="885"/>
        <v/>
      </c>
      <c r="T1456" s="34" t="str">
        <f t="shared" si="886"/>
        <v/>
      </c>
      <c r="U1456" s="34" t="str">
        <f>IF(AND(L1456=1,bp_kode=T1456,T1456&lt;&gt;""),COUNTIF($T$8:T1456,T1456),"")</f>
        <v/>
      </c>
      <c r="V1456" s="34" t="str">
        <f t="shared" si="887"/>
        <v/>
      </c>
      <c r="W1456" s="34" t="str">
        <f t="shared" si="888"/>
        <v/>
      </c>
      <c r="X1456" s="34" t="str">
        <f>IF(B1456="","",COUNTIF($C$8:C1456,C1456)&amp;C1456)</f>
        <v/>
      </c>
    </row>
    <row r="1457" spans="2:24" ht="23.1" customHeight="1">
      <c r="B1457" s="31"/>
      <c r="C1457" s="9"/>
      <c r="D1457" s="9"/>
      <c r="E1457" s="7"/>
      <c r="F1457" s="7"/>
      <c r="G1457" s="7"/>
      <c r="H1457" s="7"/>
      <c r="I1457" s="7"/>
      <c r="J1457" s="39"/>
      <c r="L1457" s="16" t="str">
        <f t="shared" si="879"/>
        <v/>
      </c>
      <c r="M1457" s="16" t="str">
        <f t="shared" si="880"/>
        <v/>
      </c>
      <c r="N1457" s="16" t="str">
        <f t="shared" si="881"/>
        <v/>
      </c>
      <c r="O1457" s="16" t="str">
        <f>IF(N1457="","",COUNTIF($N$8:N1457,N1457))</f>
        <v/>
      </c>
      <c r="P1457" s="34" t="str">
        <f t="shared" si="882"/>
        <v/>
      </c>
      <c r="Q1457" s="34" t="str">
        <f t="shared" si="883"/>
        <v/>
      </c>
      <c r="R1457" s="34" t="str">
        <f t="shared" si="884"/>
        <v/>
      </c>
      <c r="S1457" s="34" t="str">
        <f t="shared" si="885"/>
        <v/>
      </c>
      <c r="T1457" s="34" t="str">
        <f t="shared" si="886"/>
        <v/>
      </c>
      <c r="U1457" s="34" t="str">
        <f>IF(AND(L1457=1,bp_kode=T1457,T1457&lt;&gt;""),COUNTIF($T$8:T1457,T1457),"")</f>
        <v/>
      </c>
      <c r="V1457" s="34" t="str">
        <f t="shared" si="887"/>
        <v/>
      </c>
      <c r="W1457" s="34" t="str">
        <f t="shared" si="888"/>
        <v/>
      </c>
      <c r="X1457" s="34" t="str">
        <f>IF(B1457="","",COUNTIF($C$8:C1457,C1457)&amp;C1457)</f>
        <v/>
      </c>
    </row>
    <row r="1458" spans="2:24" ht="23.1" customHeight="1">
      <c r="B1458" s="31"/>
      <c r="C1458" s="9"/>
      <c r="D1458" s="9"/>
      <c r="E1458" s="7"/>
      <c r="F1458" s="7"/>
      <c r="G1458" s="7"/>
      <c r="H1458" s="7"/>
      <c r="I1458" s="7"/>
      <c r="J1458" s="39"/>
      <c r="L1458" s="16" t="str">
        <f t="shared" si="879"/>
        <v/>
      </c>
      <c r="M1458" s="16" t="str">
        <f t="shared" si="880"/>
        <v/>
      </c>
      <c r="N1458" s="16" t="str">
        <f t="shared" si="881"/>
        <v/>
      </c>
      <c r="O1458" s="16" t="str">
        <f>IF(N1458="","",COUNTIF($N$8:N1458,N1458))</f>
        <v/>
      </c>
      <c r="P1458" s="34" t="str">
        <f t="shared" si="882"/>
        <v/>
      </c>
      <c r="Q1458" s="34" t="str">
        <f t="shared" si="883"/>
        <v/>
      </c>
      <c r="R1458" s="34" t="str">
        <f t="shared" si="884"/>
        <v/>
      </c>
      <c r="S1458" s="34" t="str">
        <f t="shared" si="885"/>
        <v/>
      </c>
      <c r="T1458" s="34" t="str">
        <f t="shared" si="886"/>
        <v/>
      </c>
      <c r="U1458" s="34" t="str">
        <f>IF(AND(L1458=1,bp_kode=T1458,T1458&lt;&gt;""),COUNTIF($T$8:T1458,T1458),"")</f>
        <v/>
      </c>
      <c r="V1458" s="34" t="str">
        <f t="shared" si="887"/>
        <v/>
      </c>
      <c r="W1458" s="34" t="str">
        <f t="shared" si="888"/>
        <v/>
      </c>
      <c r="X1458" s="34" t="str">
        <f>IF(B1458="","",COUNTIF($C$8:C1458,C1458)&amp;C1458)</f>
        <v/>
      </c>
    </row>
    <row r="1459" spans="2:24" ht="23.1" customHeight="1">
      <c r="B1459" s="31"/>
      <c r="C1459" s="9"/>
      <c r="D1459" s="9"/>
      <c r="E1459" s="7"/>
      <c r="F1459" s="7"/>
      <c r="G1459" s="7"/>
      <c r="H1459" s="7"/>
      <c r="I1459" s="7"/>
      <c r="J1459" s="39"/>
      <c r="L1459" s="16" t="str">
        <f t="shared" si="879"/>
        <v/>
      </c>
      <c r="M1459" s="16" t="str">
        <f t="shared" si="880"/>
        <v/>
      </c>
      <c r="N1459" s="16" t="str">
        <f t="shared" si="881"/>
        <v/>
      </c>
      <c r="O1459" s="16" t="str">
        <f>IF(N1459="","",COUNTIF($N$8:N1459,N1459))</f>
        <v/>
      </c>
      <c r="P1459" s="34" t="str">
        <f t="shared" si="882"/>
        <v/>
      </c>
      <c r="Q1459" s="34" t="str">
        <f t="shared" si="883"/>
        <v/>
      </c>
      <c r="R1459" s="34" t="str">
        <f t="shared" si="884"/>
        <v/>
      </c>
      <c r="S1459" s="34" t="str">
        <f t="shared" si="885"/>
        <v/>
      </c>
      <c r="T1459" s="34" t="str">
        <f t="shared" si="886"/>
        <v/>
      </c>
      <c r="U1459" s="34" t="str">
        <f>IF(AND(L1459=1,bp_kode=T1459,T1459&lt;&gt;""),COUNTIF($T$8:T1459,T1459),"")</f>
        <v/>
      </c>
      <c r="V1459" s="34" t="str">
        <f t="shared" si="887"/>
        <v/>
      </c>
      <c r="W1459" s="34" t="str">
        <f t="shared" si="888"/>
        <v/>
      </c>
      <c r="X1459" s="34" t="str">
        <f>IF(B1459="","",COUNTIF($C$8:C1459,C1459)&amp;C1459)</f>
        <v/>
      </c>
    </row>
    <row r="1460" spans="2:24" ht="23.1" customHeight="1">
      <c r="B1460" s="31"/>
      <c r="C1460" s="9"/>
      <c r="D1460" s="9"/>
      <c r="E1460" s="7"/>
      <c r="F1460" s="7"/>
      <c r="G1460" s="7"/>
      <c r="H1460" s="7"/>
      <c r="I1460" s="7"/>
      <c r="J1460" s="39"/>
      <c r="L1460" s="16" t="str">
        <f t="shared" si="879"/>
        <v/>
      </c>
      <c r="M1460" s="16" t="str">
        <f t="shared" si="880"/>
        <v/>
      </c>
      <c r="N1460" s="16" t="str">
        <f t="shared" si="881"/>
        <v/>
      </c>
      <c r="O1460" s="16" t="str">
        <f>IF(N1460="","",COUNTIF($N$8:N1460,N1460))</f>
        <v/>
      </c>
      <c r="P1460" s="34" t="str">
        <f t="shared" si="882"/>
        <v/>
      </c>
      <c r="Q1460" s="34" t="str">
        <f t="shared" si="883"/>
        <v/>
      </c>
      <c r="R1460" s="34" t="str">
        <f t="shared" si="884"/>
        <v/>
      </c>
      <c r="S1460" s="34" t="str">
        <f t="shared" si="885"/>
        <v/>
      </c>
      <c r="T1460" s="34" t="str">
        <f t="shared" si="886"/>
        <v/>
      </c>
      <c r="U1460" s="34" t="str">
        <f>IF(AND(L1460=1,bp_kode=T1460,T1460&lt;&gt;""),COUNTIF($T$8:T1460,T1460),"")</f>
        <v/>
      </c>
      <c r="V1460" s="34" t="str">
        <f t="shared" si="887"/>
        <v/>
      </c>
      <c r="W1460" s="34" t="str">
        <f t="shared" si="888"/>
        <v/>
      </c>
      <c r="X1460" s="34" t="str">
        <f>IF(B1460="","",COUNTIF($C$8:C1460,C1460)&amp;C1460)</f>
        <v/>
      </c>
    </row>
    <row r="1461" spans="2:24" ht="23.1" customHeight="1">
      <c r="B1461" s="31"/>
      <c r="C1461" s="9"/>
      <c r="D1461" s="9"/>
      <c r="E1461" s="7"/>
      <c r="F1461" s="7"/>
      <c r="G1461" s="7"/>
      <c r="H1461" s="7"/>
      <c r="I1461" s="7"/>
      <c r="J1461" s="39"/>
      <c r="L1461" s="16" t="str">
        <f t="shared" si="879"/>
        <v/>
      </c>
      <c r="M1461" s="16" t="str">
        <f t="shared" si="880"/>
        <v/>
      </c>
      <c r="N1461" s="16" t="str">
        <f t="shared" si="881"/>
        <v/>
      </c>
      <c r="O1461" s="16" t="str">
        <f>IF(N1461="","",COUNTIF($N$8:N1461,N1461))</f>
        <v/>
      </c>
      <c r="P1461" s="34" t="str">
        <f t="shared" si="882"/>
        <v/>
      </c>
      <c r="Q1461" s="34" t="str">
        <f t="shared" si="883"/>
        <v/>
      </c>
      <c r="R1461" s="34" t="str">
        <f t="shared" si="884"/>
        <v/>
      </c>
      <c r="S1461" s="34" t="str">
        <f t="shared" si="885"/>
        <v/>
      </c>
      <c r="T1461" s="34" t="str">
        <f t="shared" si="886"/>
        <v/>
      </c>
      <c r="U1461" s="34" t="str">
        <f>IF(AND(L1461=1,bp_kode=T1461,T1461&lt;&gt;""),COUNTIF($T$8:T1461,T1461),"")</f>
        <v/>
      </c>
      <c r="V1461" s="34" t="str">
        <f t="shared" si="887"/>
        <v/>
      </c>
      <c r="W1461" s="34" t="str">
        <f t="shared" si="888"/>
        <v/>
      </c>
      <c r="X1461" s="34" t="str">
        <f>IF(B1461="","",COUNTIF($C$8:C1461,C1461)&amp;C1461)</f>
        <v/>
      </c>
    </row>
    <row r="1462" spans="2:24" ht="23.1" customHeight="1">
      <c r="B1462" s="31"/>
      <c r="C1462" s="9"/>
      <c r="D1462" s="9"/>
      <c r="E1462" s="7"/>
      <c r="F1462" s="7"/>
      <c r="G1462" s="7"/>
      <c r="H1462" s="7"/>
      <c r="I1462" s="7"/>
      <c r="J1462" s="39"/>
      <c r="L1462" s="16" t="str">
        <f t="shared" si="879"/>
        <v/>
      </c>
      <c r="M1462" s="16" t="str">
        <f t="shared" si="880"/>
        <v/>
      </c>
      <c r="N1462" s="16" t="str">
        <f t="shared" si="881"/>
        <v/>
      </c>
      <c r="O1462" s="16" t="str">
        <f>IF(N1462="","",COUNTIF($N$8:N1462,N1462))</f>
        <v/>
      </c>
      <c r="P1462" s="34" t="str">
        <f t="shared" si="882"/>
        <v/>
      </c>
      <c r="Q1462" s="34" t="str">
        <f t="shared" si="883"/>
        <v/>
      </c>
      <c r="R1462" s="34" t="str">
        <f t="shared" si="884"/>
        <v/>
      </c>
      <c r="S1462" s="34" t="str">
        <f t="shared" si="885"/>
        <v/>
      </c>
      <c r="T1462" s="34" t="str">
        <f t="shared" si="886"/>
        <v/>
      </c>
      <c r="U1462" s="34" t="str">
        <f>IF(AND(L1462=1,bp_kode=T1462,T1462&lt;&gt;""),COUNTIF($T$8:T1462,T1462),"")</f>
        <v/>
      </c>
      <c r="V1462" s="34" t="str">
        <f t="shared" si="887"/>
        <v/>
      </c>
      <c r="W1462" s="34" t="str">
        <f t="shared" si="888"/>
        <v/>
      </c>
      <c r="X1462" s="34" t="str">
        <f>IF(B1462="","",COUNTIF($C$8:C1462,C1462)&amp;C1462)</f>
        <v/>
      </c>
    </row>
    <row r="1463" spans="2:24" ht="23.1" customHeight="1">
      <c r="B1463" s="31"/>
      <c r="C1463" s="9"/>
      <c r="D1463" s="9"/>
      <c r="E1463" s="7"/>
      <c r="F1463" s="7"/>
      <c r="G1463" s="7"/>
      <c r="H1463" s="7"/>
      <c r="I1463" s="7"/>
      <c r="J1463" s="39"/>
      <c r="L1463" s="16" t="str">
        <f t="shared" si="879"/>
        <v/>
      </c>
      <c r="M1463" s="16" t="str">
        <f t="shared" si="880"/>
        <v/>
      </c>
      <c r="N1463" s="16" t="str">
        <f t="shared" si="881"/>
        <v/>
      </c>
      <c r="O1463" s="16" t="str">
        <f>IF(N1463="","",COUNTIF($N$8:N1463,N1463))</f>
        <v/>
      </c>
      <c r="P1463" s="34" t="str">
        <f t="shared" si="882"/>
        <v/>
      </c>
      <c r="Q1463" s="34" t="str">
        <f t="shared" si="883"/>
        <v/>
      </c>
      <c r="R1463" s="34" t="str">
        <f t="shared" si="884"/>
        <v/>
      </c>
      <c r="S1463" s="34" t="str">
        <f t="shared" si="885"/>
        <v/>
      </c>
      <c r="T1463" s="34" t="str">
        <f t="shared" si="886"/>
        <v/>
      </c>
      <c r="U1463" s="34" t="str">
        <f>IF(AND(L1463=1,bp_kode=T1463,T1463&lt;&gt;""),COUNTIF($T$8:T1463,T1463),"")</f>
        <v/>
      </c>
      <c r="V1463" s="34" t="str">
        <f t="shared" si="887"/>
        <v/>
      </c>
      <c r="W1463" s="34" t="str">
        <f t="shared" si="888"/>
        <v/>
      </c>
      <c r="X1463" s="34" t="str">
        <f>IF(B1463="","",COUNTIF($C$8:C1463,C1463)&amp;C1463)</f>
        <v/>
      </c>
    </row>
    <row r="1464" spans="2:24" ht="23.1" customHeight="1">
      <c r="B1464" s="31"/>
      <c r="C1464" s="9"/>
      <c r="D1464" s="9"/>
      <c r="E1464" s="7"/>
      <c r="F1464" s="7"/>
      <c r="G1464" s="7"/>
      <c r="H1464" s="7"/>
      <c r="I1464" s="7"/>
      <c r="J1464" s="39"/>
      <c r="L1464" s="16" t="str">
        <f t="shared" si="879"/>
        <v/>
      </c>
      <c r="M1464" s="16" t="str">
        <f t="shared" si="880"/>
        <v/>
      </c>
      <c r="N1464" s="16" t="str">
        <f t="shared" si="881"/>
        <v/>
      </c>
      <c r="O1464" s="16" t="str">
        <f>IF(N1464="","",COUNTIF($N$8:N1464,N1464))</f>
        <v/>
      </c>
      <c r="P1464" s="34" t="str">
        <f t="shared" si="882"/>
        <v/>
      </c>
      <c r="Q1464" s="34" t="str">
        <f t="shared" si="883"/>
        <v/>
      </c>
      <c r="R1464" s="34" t="str">
        <f t="shared" si="884"/>
        <v/>
      </c>
      <c r="S1464" s="34" t="str">
        <f t="shared" si="885"/>
        <v/>
      </c>
      <c r="T1464" s="34" t="str">
        <f t="shared" si="886"/>
        <v/>
      </c>
      <c r="U1464" s="34" t="str">
        <f>IF(AND(L1464=1,bp_kode=T1464,T1464&lt;&gt;""),COUNTIF($T$8:T1464,T1464),"")</f>
        <v/>
      </c>
      <c r="V1464" s="34" t="str">
        <f t="shared" si="887"/>
        <v/>
      </c>
      <c r="W1464" s="34" t="str">
        <f t="shared" si="888"/>
        <v/>
      </c>
      <c r="X1464" s="34" t="str">
        <f>IF(B1464="","",COUNTIF($C$8:C1464,C1464)&amp;C1464)</f>
        <v/>
      </c>
    </row>
    <row r="1465" spans="2:24" ht="23.1" customHeight="1">
      <c r="B1465" s="31"/>
      <c r="C1465" s="9"/>
      <c r="D1465" s="9"/>
      <c r="E1465" s="7"/>
      <c r="F1465" s="7"/>
      <c r="G1465" s="7"/>
      <c r="H1465" s="7"/>
      <c r="I1465" s="7"/>
      <c r="J1465" s="39"/>
      <c r="L1465" s="16" t="str">
        <f t="shared" si="879"/>
        <v/>
      </c>
      <c r="M1465" s="16" t="str">
        <f t="shared" si="880"/>
        <v/>
      </c>
      <c r="N1465" s="16" t="str">
        <f t="shared" si="881"/>
        <v/>
      </c>
      <c r="O1465" s="16" t="str">
        <f>IF(N1465="","",COUNTIF($N$8:N1465,N1465))</f>
        <v/>
      </c>
      <c r="P1465" s="34" t="str">
        <f t="shared" si="882"/>
        <v/>
      </c>
      <c r="Q1465" s="34" t="str">
        <f t="shared" si="883"/>
        <v/>
      </c>
      <c r="R1465" s="34" t="str">
        <f t="shared" si="884"/>
        <v/>
      </c>
      <c r="S1465" s="34" t="str">
        <f t="shared" si="885"/>
        <v/>
      </c>
      <c r="T1465" s="34" t="str">
        <f t="shared" si="886"/>
        <v/>
      </c>
      <c r="U1465" s="34" t="str">
        <f>IF(AND(L1465=1,bp_kode=T1465,T1465&lt;&gt;""),COUNTIF($T$8:T1465,T1465),"")</f>
        <v/>
      </c>
      <c r="V1465" s="34" t="str">
        <f t="shared" si="887"/>
        <v/>
      </c>
      <c r="W1465" s="34" t="str">
        <f t="shared" si="888"/>
        <v/>
      </c>
      <c r="X1465" s="34" t="str">
        <f>IF(B1465="","",COUNTIF($C$8:C1465,C1465)&amp;C1465)</f>
        <v/>
      </c>
    </row>
    <row r="1466" spans="2:24" ht="23.1" customHeight="1">
      <c r="B1466" s="31"/>
      <c r="C1466" s="9"/>
      <c r="D1466" s="9"/>
      <c r="E1466" s="7"/>
      <c r="F1466" s="7"/>
      <c r="G1466" s="7"/>
      <c r="H1466" s="7"/>
      <c r="I1466" s="7"/>
      <c r="J1466" s="39"/>
      <c r="L1466" s="16" t="str">
        <f t="shared" si="879"/>
        <v/>
      </c>
      <c r="M1466" s="16" t="str">
        <f t="shared" si="880"/>
        <v/>
      </c>
      <c r="N1466" s="16" t="str">
        <f t="shared" si="881"/>
        <v/>
      </c>
      <c r="O1466" s="16" t="str">
        <f>IF(N1466="","",COUNTIF($N$8:N1466,N1466))</f>
        <v/>
      </c>
      <c r="P1466" s="34" t="str">
        <f t="shared" si="882"/>
        <v/>
      </c>
      <c r="Q1466" s="34" t="str">
        <f t="shared" si="883"/>
        <v/>
      </c>
      <c r="R1466" s="34" t="str">
        <f t="shared" si="884"/>
        <v/>
      </c>
      <c r="S1466" s="34" t="str">
        <f t="shared" si="885"/>
        <v/>
      </c>
      <c r="T1466" s="34" t="str">
        <f t="shared" si="886"/>
        <v/>
      </c>
      <c r="U1466" s="34" t="str">
        <f>IF(AND(L1466=1,bp_kode=T1466,T1466&lt;&gt;""),COUNTIF($T$8:T1466,T1466),"")</f>
        <v/>
      </c>
      <c r="V1466" s="34" t="str">
        <f t="shared" si="887"/>
        <v/>
      </c>
      <c r="W1466" s="34" t="str">
        <f t="shared" si="888"/>
        <v/>
      </c>
      <c r="X1466" s="34" t="str">
        <f>IF(B1466="","",COUNTIF($C$8:C1466,C1466)&amp;C1466)</f>
        <v/>
      </c>
    </row>
    <row r="1467" spans="2:24" ht="23.1" customHeight="1">
      <c r="B1467" s="31"/>
      <c r="C1467" s="9"/>
      <c r="D1467" s="9"/>
      <c r="E1467" s="7"/>
      <c r="F1467" s="7"/>
      <c r="G1467" s="7"/>
      <c r="H1467" s="7"/>
      <c r="I1467" s="7"/>
      <c r="J1467" s="39"/>
      <c r="L1467" s="16" t="str">
        <f t="shared" si="879"/>
        <v/>
      </c>
      <c r="M1467" s="16" t="str">
        <f t="shared" si="880"/>
        <v/>
      </c>
      <c r="N1467" s="16" t="str">
        <f t="shared" si="881"/>
        <v/>
      </c>
      <c r="O1467" s="16" t="str">
        <f>IF(N1467="","",COUNTIF($N$8:N1467,N1467))</f>
        <v/>
      </c>
      <c r="P1467" s="34" t="str">
        <f t="shared" si="882"/>
        <v/>
      </c>
      <c r="Q1467" s="34" t="str">
        <f t="shared" si="883"/>
        <v/>
      </c>
      <c r="R1467" s="34" t="str">
        <f t="shared" si="884"/>
        <v/>
      </c>
      <c r="S1467" s="34" t="str">
        <f t="shared" si="885"/>
        <v/>
      </c>
      <c r="T1467" s="34" t="str">
        <f t="shared" si="886"/>
        <v/>
      </c>
      <c r="U1467" s="34" t="str">
        <f>IF(AND(L1467=1,bp_kode=T1467,T1467&lt;&gt;""),COUNTIF($T$8:T1467,T1467),"")</f>
        <v/>
      </c>
      <c r="V1467" s="34" t="str">
        <f t="shared" si="887"/>
        <v/>
      </c>
      <c r="W1467" s="34" t="str">
        <f t="shared" si="888"/>
        <v/>
      </c>
      <c r="X1467" s="34" t="str">
        <f>IF(B1467="","",COUNTIF($C$8:C1467,C1467)&amp;C1467)</f>
        <v/>
      </c>
    </row>
    <row r="1468" spans="2:24" ht="23.1" customHeight="1">
      <c r="B1468" s="31"/>
      <c r="C1468" s="9"/>
      <c r="D1468" s="9"/>
      <c r="E1468" s="7"/>
      <c r="F1468" s="7"/>
      <c r="G1468" s="7"/>
      <c r="H1468" s="7"/>
      <c r="I1468" s="7"/>
      <c r="J1468" s="39"/>
      <c r="L1468" s="16" t="str">
        <f t="shared" si="879"/>
        <v/>
      </c>
      <c r="M1468" s="16" t="str">
        <f t="shared" si="880"/>
        <v/>
      </c>
      <c r="N1468" s="16" t="str">
        <f t="shared" si="881"/>
        <v/>
      </c>
      <c r="O1468" s="16" t="str">
        <f>IF(N1468="","",COUNTIF($N$8:N1468,N1468))</f>
        <v/>
      </c>
      <c r="P1468" s="34" t="str">
        <f t="shared" si="882"/>
        <v/>
      </c>
      <c r="Q1468" s="34" t="str">
        <f t="shared" si="883"/>
        <v/>
      </c>
      <c r="R1468" s="34" t="str">
        <f t="shared" si="884"/>
        <v/>
      </c>
      <c r="S1468" s="34" t="str">
        <f t="shared" si="885"/>
        <v/>
      </c>
      <c r="T1468" s="34" t="str">
        <f t="shared" si="886"/>
        <v/>
      </c>
      <c r="U1468" s="34" t="str">
        <f>IF(AND(L1468=1,bp_kode=T1468,T1468&lt;&gt;""),COUNTIF($T$8:T1468,T1468),"")</f>
        <v/>
      </c>
      <c r="V1468" s="34" t="str">
        <f t="shared" si="887"/>
        <v/>
      </c>
      <c r="W1468" s="34" t="str">
        <f t="shared" si="888"/>
        <v/>
      </c>
      <c r="X1468" s="34" t="str">
        <f>IF(B1468="","",COUNTIF($C$8:C1468,C1468)&amp;C1468)</f>
        <v/>
      </c>
    </row>
    <row r="1469" spans="2:24" ht="23.1" customHeight="1">
      <c r="B1469" s="31"/>
      <c r="C1469" s="9"/>
      <c r="D1469" s="9"/>
      <c r="E1469" s="7"/>
      <c r="F1469" s="7"/>
      <c r="G1469" s="7"/>
      <c r="H1469" s="7"/>
      <c r="I1469" s="7"/>
      <c r="J1469" s="39"/>
      <c r="L1469" s="16" t="str">
        <f t="shared" ref="L1469:L1522" si="889">IF(AND(B1469&gt;=awal,B1469&lt;=akhir,B1469&lt;&gt;""),1,IF(AND(B1469&lt;&gt;"",B1469&lt;awal),2,""))</f>
        <v/>
      </c>
      <c r="M1469" s="16" t="str">
        <f t="shared" ref="M1469:M1522" si="890">IF(B1469="","",TEXT(B1469,"mmmm"))</f>
        <v/>
      </c>
      <c r="N1469" s="16" t="str">
        <f t="shared" ref="N1469:N1522" si="891">IF(AND(L1469=1,H1469=bb_akun),"Awe",IF(AND(L1469=1,I1469=bb_akun),"Awe",""))</f>
        <v/>
      </c>
      <c r="O1469" s="16" t="str">
        <f>IF(N1469="","",COUNTIF($N$8:N1469,N1469))</f>
        <v/>
      </c>
      <c r="P1469" s="34" t="str">
        <f t="shared" ref="P1469:P1522" si="892">IFERROR(IF(OR(INDEX(akun_type,MATCH(H1469,akun_kb,0))="Kas",INDEX(akun_type,MATCH(H1469,akun_kb,0))="Bank"),"In"&amp;INDEX(akun_type,MATCH(I1469,akun_kb,0)),IF(OR(INDEX(akun_type,MATCH(I1469,akun_kb,0))="Kas",INDEX(akun_type,MATCH(I1469,akun_kb,0))="Bank"),"out"&amp;INDEX(akun_type,MATCH(H1469,akun_kb,0)),"")),"")</f>
        <v/>
      </c>
      <c r="Q1469" s="34" t="str">
        <f t="shared" ref="Q1469:Q1522" si="893">IFERROR(IF(OR(INDEX(akun_type,MATCH(H1469,akun_kb,0))="Kas",INDEX(akun_type,MATCH(H1469,akun_kb,0))="Bank"),"in"&amp;TEXT(B1469,"mmmm")&amp;INDEX(akun_type,MATCH(I1469,akun_kb,0)),IF(OR(INDEX(akun_type,MATCH(I1469,akun_kb,0))="Kas",INDEX(akun_type,MATCH(I1469,akun_kb,0))="Bank"),"out"&amp;TEXT(B1469,"mmmm")&amp;INDEX(akun_type,MATCH(H1469,akun_kb,0)),"")),"")</f>
        <v/>
      </c>
      <c r="R1469" s="34" t="str">
        <f t="shared" ref="R1469:R1522" si="894">IFERROR(INDEX(akun_type,MATCH(H1469,akun_kb,0)),"")</f>
        <v/>
      </c>
      <c r="S1469" s="34" t="str">
        <f t="shared" ref="S1469:S1522" si="895">IFERROR(INDEX(akun_type,MATCH(I1469,akun_kb,0)),"")</f>
        <v/>
      </c>
      <c r="T1469" s="34" t="str">
        <f t="shared" ref="T1469:T1522" si="896">IF(AND(L1469=1,OR(R1469="Akun Piutang",R1469="akun hutang",S1469="akun piutang",S1469="akun hutang")),E1469,"")</f>
        <v/>
      </c>
      <c r="U1469" s="34" t="str">
        <f>IF(AND(L1469=1,bp_kode=T1469,T1469&lt;&gt;""),COUNTIF($T$8:T1469,T1469),"")</f>
        <v/>
      </c>
      <c r="V1469" s="34" t="str">
        <f t="shared" ref="V1469:V1522" si="897">IF(OR(R1469="Pendapatan",R1469="Pendapatan Lainnya",R1469="Beban",R1469="Harga Pokok Penjualan",R1469="Beban Lainnya"),"db"&amp;F1469,IF(OR(S1469="Pendapatan",S1469="Pendapatan Lainnya",S1469="Beban",S1469="Harga Pokok Penjualan",S1469="Beban Lainnya"),"kr"&amp;F1469,""))</f>
        <v/>
      </c>
      <c r="W1469" s="34" t="str">
        <f t="shared" ref="W1469:W1522" si="898">IF(OR(R1469="Pendapatan",R1469="Pendapatan Lainnya",R1469="Beban",R1469="Harga Pokok Penjualan",R1469="Beban Lainnya"),"db"&amp;G1469,IF(OR(S1469="Pendapatan",S1469="Pendapatan Lainnya",S1469="Beban",S1469="Harga Pokok Penjualan",S1469="Beban Lainnya"),"kr"&amp;G1469,""))</f>
        <v/>
      </c>
      <c r="X1469" s="34" t="str">
        <f>IF(B1469="","",COUNTIF($C$8:C1469,C1469)&amp;C1469)</f>
        <v/>
      </c>
    </row>
    <row r="1470" spans="2:24" ht="23.1" customHeight="1">
      <c r="B1470" s="31"/>
      <c r="C1470" s="9"/>
      <c r="D1470" s="9"/>
      <c r="E1470" s="7"/>
      <c r="F1470" s="7"/>
      <c r="G1470" s="7"/>
      <c r="H1470" s="7"/>
      <c r="I1470" s="7"/>
      <c r="J1470" s="39"/>
      <c r="L1470" s="16" t="str">
        <f t="shared" si="889"/>
        <v/>
      </c>
      <c r="M1470" s="16" t="str">
        <f t="shared" si="890"/>
        <v/>
      </c>
      <c r="N1470" s="16" t="str">
        <f t="shared" si="891"/>
        <v/>
      </c>
      <c r="O1470" s="16" t="str">
        <f>IF(N1470="","",COUNTIF($N$8:N1470,N1470))</f>
        <v/>
      </c>
      <c r="P1470" s="34" t="str">
        <f t="shared" si="892"/>
        <v/>
      </c>
      <c r="Q1470" s="34" t="str">
        <f t="shared" si="893"/>
        <v/>
      </c>
      <c r="R1470" s="34" t="str">
        <f t="shared" si="894"/>
        <v/>
      </c>
      <c r="S1470" s="34" t="str">
        <f t="shared" si="895"/>
        <v/>
      </c>
      <c r="T1470" s="34" t="str">
        <f t="shared" si="896"/>
        <v/>
      </c>
      <c r="U1470" s="34" t="str">
        <f>IF(AND(L1470=1,bp_kode=T1470,T1470&lt;&gt;""),COUNTIF($T$8:T1470,T1470),"")</f>
        <v/>
      </c>
      <c r="V1470" s="34" t="str">
        <f t="shared" si="897"/>
        <v/>
      </c>
      <c r="W1470" s="34" t="str">
        <f t="shared" si="898"/>
        <v/>
      </c>
      <c r="X1470" s="34" t="str">
        <f>IF(B1470="","",COUNTIF($C$8:C1470,C1470)&amp;C1470)</f>
        <v/>
      </c>
    </row>
    <row r="1471" spans="2:24" ht="23.1" customHeight="1">
      <c r="B1471" s="31"/>
      <c r="C1471" s="9"/>
      <c r="D1471" s="9"/>
      <c r="E1471" s="7"/>
      <c r="F1471" s="7"/>
      <c r="G1471" s="7"/>
      <c r="H1471" s="7"/>
      <c r="I1471" s="7"/>
      <c r="J1471" s="39"/>
      <c r="L1471" s="16" t="str">
        <f t="shared" si="889"/>
        <v/>
      </c>
      <c r="M1471" s="16" t="str">
        <f t="shared" si="890"/>
        <v/>
      </c>
      <c r="N1471" s="16" t="str">
        <f t="shared" si="891"/>
        <v/>
      </c>
      <c r="O1471" s="16" t="str">
        <f>IF(N1471="","",COUNTIF($N$8:N1471,N1471))</f>
        <v/>
      </c>
      <c r="P1471" s="34" t="str">
        <f t="shared" si="892"/>
        <v/>
      </c>
      <c r="Q1471" s="34" t="str">
        <f t="shared" si="893"/>
        <v/>
      </c>
      <c r="R1471" s="34" t="str">
        <f t="shared" si="894"/>
        <v/>
      </c>
      <c r="S1471" s="34" t="str">
        <f t="shared" si="895"/>
        <v/>
      </c>
      <c r="T1471" s="34" t="str">
        <f t="shared" si="896"/>
        <v/>
      </c>
      <c r="U1471" s="34" t="str">
        <f>IF(AND(L1471=1,bp_kode=T1471,T1471&lt;&gt;""),COUNTIF($T$8:T1471,T1471),"")</f>
        <v/>
      </c>
      <c r="V1471" s="34" t="str">
        <f t="shared" si="897"/>
        <v/>
      </c>
      <c r="W1471" s="34" t="str">
        <f t="shared" si="898"/>
        <v/>
      </c>
      <c r="X1471" s="34" t="str">
        <f>IF(B1471="","",COUNTIF($C$8:C1471,C1471)&amp;C1471)</f>
        <v/>
      </c>
    </row>
    <row r="1472" spans="2:24" ht="23.1" customHeight="1">
      <c r="B1472" s="31"/>
      <c r="C1472" s="9"/>
      <c r="D1472" s="9"/>
      <c r="E1472" s="7"/>
      <c r="F1472" s="7"/>
      <c r="G1472" s="7"/>
      <c r="H1472" s="7"/>
      <c r="I1472" s="7"/>
      <c r="J1472" s="39"/>
      <c r="L1472" s="16" t="str">
        <f t="shared" si="889"/>
        <v/>
      </c>
      <c r="M1472" s="16" t="str">
        <f t="shared" si="890"/>
        <v/>
      </c>
      <c r="N1472" s="16" t="str">
        <f t="shared" si="891"/>
        <v/>
      </c>
      <c r="O1472" s="16" t="str">
        <f>IF(N1472="","",COUNTIF($N$8:N1472,N1472))</f>
        <v/>
      </c>
      <c r="P1472" s="34" t="str">
        <f t="shared" si="892"/>
        <v/>
      </c>
      <c r="Q1472" s="34" t="str">
        <f t="shared" si="893"/>
        <v/>
      </c>
      <c r="R1472" s="34" t="str">
        <f t="shared" si="894"/>
        <v/>
      </c>
      <c r="S1472" s="34" t="str">
        <f t="shared" si="895"/>
        <v/>
      </c>
      <c r="T1472" s="34" t="str">
        <f t="shared" si="896"/>
        <v/>
      </c>
      <c r="U1472" s="34" t="str">
        <f>IF(AND(L1472=1,bp_kode=T1472,T1472&lt;&gt;""),COUNTIF($T$8:T1472,T1472),"")</f>
        <v/>
      </c>
      <c r="V1472" s="34" t="str">
        <f t="shared" si="897"/>
        <v/>
      </c>
      <c r="W1472" s="34" t="str">
        <f t="shared" si="898"/>
        <v/>
      </c>
      <c r="X1472" s="34" t="str">
        <f>IF(B1472="","",COUNTIF($C$8:C1472,C1472)&amp;C1472)</f>
        <v/>
      </c>
    </row>
    <row r="1473" spans="2:24" ht="23.1" customHeight="1">
      <c r="B1473" s="31"/>
      <c r="C1473" s="9"/>
      <c r="D1473" s="9"/>
      <c r="E1473" s="7"/>
      <c r="F1473" s="7"/>
      <c r="G1473" s="7"/>
      <c r="H1473" s="7"/>
      <c r="I1473" s="7"/>
      <c r="J1473" s="39"/>
      <c r="L1473" s="16" t="str">
        <f t="shared" si="889"/>
        <v/>
      </c>
      <c r="M1473" s="16" t="str">
        <f t="shared" si="890"/>
        <v/>
      </c>
      <c r="N1473" s="16" t="str">
        <f t="shared" si="891"/>
        <v/>
      </c>
      <c r="O1473" s="16" t="str">
        <f>IF(N1473="","",COUNTIF($N$8:N1473,N1473))</f>
        <v/>
      </c>
      <c r="P1473" s="34" t="str">
        <f t="shared" si="892"/>
        <v/>
      </c>
      <c r="Q1473" s="34" t="str">
        <f t="shared" si="893"/>
        <v/>
      </c>
      <c r="R1473" s="34" t="str">
        <f t="shared" si="894"/>
        <v/>
      </c>
      <c r="S1473" s="34" t="str">
        <f t="shared" si="895"/>
        <v/>
      </c>
      <c r="T1473" s="34" t="str">
        <f t="shared" si="896"/>
        <v/>
      </c>
      <c r="U1473" s="34" t="str">
        <f>IF(AND(L1473=1,bp_kode=T1473,T1473&lt;&gt;""),COUNTIF($T$8:T1473,T1473),"")</f>
        <v/>
      </c>
      <c r="V1473" s="34" t="str">
        <f t="shared" si="897"/>
        <v/>
      </c>
      <c r="W1473" s="34" t="str">
        <f t="shared" si="898"/>
        <v/>
      </c>
      <c r="X1473" s="34" t="str">
        <f>IF(B1473="","",COUNTIF($C$8:C1473,C1473)&amp;C1473)</f>
        <v/>
      </c>
    </row>
    <row r="1474" spans="2:24" ht="23.1" customHeight="1">
      <c r="B1474" s="31"/>
      <c r="C1474" s="9"/>
      <c r="D1474" s="9"/>
      <c r="E1474" s="7"/>
      <c r="F1474" s="7"/>
      <c r="G1474" s="7"/>
      <c r="H1474" s="7"/>
      <c r="I1474" s="7"/>
      <c r="J1474" s="39"/>
      <c r="L1474" s="16" t="str">
        <f t="shared" si="889"/>
        <v/>
      </c>
      <c r="M1474" s="16" t="str">
        <f t="shared" si="890"/>
        <v/>
      </c>
      <c r="N1474" s="16" t="str">
        <f t="shared" si="891"/>
        <v/>
      </c>
      <c r="O1474" s="16" t="str">
        <f>IF(N1474="","",COUNTIF($N$8:N1474,N1474))</f>
        <v/>
      </c>
      <c r="P1474" s="34" t="str">
        <f t="shared" si="892"/>
        <v/>
      </c>
      <c r="Q1474" s="34" t="str">
        <f t="shared" si="893"/>
        <v/>
      </c>
      <c r="R1474" s="34" t="str">
        <f t="shared" si="894"/>
        <v/>
      </c>
      <c r="S1474" s="34" t="str">
        <f t="shared" si="895"/>
        <v/>
      </c>
      <c r="T1474" s="34" t="str">
        <f t="shared" si="896"/>
        <v/>
      </c>
      <c r="U1474" s="34" t="str">
        <f>IF(AND(L1474=1,bp_kode=T1474,T1474&lt;&gt;""),COUNTIF($T$8:T1474,T1474),"")</f>
        <v/>
      </c>
      <c r="V1474" s="34" t="str">
        <f t="shared" si="897"/>
        <v/>
      </c>
      <c r="W1474" s="34" t="str">
        <f t="shared" si="898"/>
        <v/>
      </c>
      <c r="X1474" s="34" t="str">
        <f>IF(B1474="","",COUNTIF($C$8:C1474,C1474)&amp;C1474)</f>
        <v/>
      </c>
    </row>
    <row r="1475" spans="2:24" ht="23.1" customHeight="1">
      <c r="B1475" s="31"/>
      <c r="C1475" s="9"/>
      <c r="D1475" s="9"/>
      <c r="E1475" s="7"/>
      <c r="F1475" s="7"/>
      <c r="G1475" s="7"/>
      <c r="H1475" s="7"/>
      <c r="I1475" s="7"/>
      <c r="J1475" s="39"/>
      <c r="L1475" s="16" t="str">
        <f t="shared" si="889"/>
        <v/>
      </c>
      <c r="M1475" s="16" t="str">
        <f t="shared" si="890"/>
        <v/>
      </c>
      <c r="N1475" s="16" t="str">
        <f t="shared" si="891"/>
        <v/>
      </c>
      <c r="O1475" s="16" t="str">
        <f>IF(N1475="","",COUNTIF($N$8:N1475,N1475))</f>
        <v/>
      </c>
      <c r="P1475" s="34" t="str">
        <f t="shared" si="892"/>
        <v/>
      </c>
      <c r="Q1475" s="34" t="str">
        <f t="shared" si="893"/>
        <v/>
      </c>
      <c r="R1475" s="34" t="str">
        <f t="shared" si="894"/>
        <v/>
      </c>
      <c r="S1475" s="34" t="str">
        <f t="shared" si="895"/>
        <v/>
      </c>
      <c r="T1475" s="34" t="str">
        <f t="shared" si="896"/>
        <v/>
      </c>
      <c r="U1475" s="34" t="str">
        <f>IF(AND(L1475=1,bp_kode=T1475,T1475&lt;&gt;""),COUNTIF($T$8:T1475,T1475),"")</f>
        <v/>
      </c>
      <c r="V1475" s="34" t="str">
        <f t="shared" si="897"/>
        <v/>
      </c>
      <c r="W1475" s="34" t="str">
        <f t="shared" si="898"/>
        <v/>
      </c>
      <c r="X1475" s="34" t="str">
        <f>IF(B1475="","",COUNTIF($C$8:C1475,C1475)&amp;C1475)</f>
        <v/>
      </c>
    </row>
    <row r="1476" spans="2:24" ht="23.1" customHeight="1">
      <c r="B1476" s="31"/>
      <c r="C1476" s="9"/>
      <c r="D1476" s="9"/>
      <c r="E1476" s="7"/>
      <c r="F1476" s="7"/>
      <c r="G1476" s="7"/>
      <c r="H1476" s="7"/>
      <c r="I1476" s="7"/>
      <c r="J1476" s="39"/>
      <c r="L1476" s="16" t="str">
        <f t="shared" si="889"/>
        <v/>
      </c>
      <c r="M1476" s="16" t="str">
        <f t="shared" si="890"/>
        <v/>
      </c>
      <c r="N1476" s="16" t="str">
        <f t="shared" si="891"/>
        <v/>
      </c>
      <c r="O1476" s="16" t="str">
        <f>IF(N1476="","",COUNTIF($N$8:N1476,N1476))</f>
        <v/>
      </c>
      <c r="P1476" s="34" t="str">
        <f t="shared" si="892"/>
        <v/>
      </c>
      <c r="Q1476" s="34" t="str">
        <f t="shared" si="893"/>
        <v/>
      </c>
      <c r="R1476" s="34" t="str">
        <f t="shared" si="894"/>
        <v/>
      </c>
      <c r="S1476" s="34" t="str">
        <f t="shared" si="895"/>
        <v/>
      </c>
      <c r="T1476" s="34" t="str">
        <f t="shared" si="896"/>
        <v/>
      </c>
      <c r="U1476" s="34" t="str">
        <f>IF(AND(L1476=1,bp_kode=T1476,T1476&lt;&gt;""),COUNTIF($T$8:T1476,T1476),"")</f>
        <v/>
      </c>
      <c r="V1476" s="34" t="str">
        <f t="shared" si="897"/>
        <v/>
      </c>
      <c r="W1476" s="34" t="str">
        <f t="shared" si="898"/>
        <v/>
      </c>
      <c r="X1476" s="34" t="str">
        <f>IF(B1476="","",COUNTIF($C$8:C1476,C1476)&amp;C1476)</f>
        <v/>
      </c>
    </row>
    <row r="1477" spans="2:24" ht="23.1" customHeight="1">
      <c r="B1477" s="31"/>
      <c r="C1477" s="9"/>
      <c r="D1477" s="9"/>
      <c r="E1477" s="7"/>
      <c r="F1477" s="7"/>
      <c r="G1477" s="7"/>
      <c r="H1477" s="7"/>
      <c r="I1477" s="7"/>
      <c r="J1477" s="39"/>
      <c r="L1477" s="16" t="str">
        <f t="shared" si="889"/>
        <v/>
      </c>
      <c r="M1477" s="16" t="str">
        <f t="shared" si="890"/>
        <v/>
      </c>
      <c r="N1477" s="16" t="str">
        <f t="shared" si="891"/>
        <v/>
      </c>
      <c r="O1477" s="16" t="str">
        <f>IF(N1477="","",COUNTIF($N$8:N1477,N1477))</f>
        <v/>
      </c>
      <c r="P1477" s="34" t="str">
        <f t="shared" si="892"/>
        <v/>
      </c>
      <c r="Q1477" s="34" t="str">
        <f t="shared" si="893"/>
        <v/>
      </c>
      <c r="R1477" s="34" t="str">
        <f t="shared" si="894"/>
        <v/>
      </c>
      <c r="S1477" s="34" t="str">
        <f t="shared" si="895"/>
        <v/>
      </c>
      <c r="T1477" s="34" t="str">
        <f t="shared" si="896"/>
        <v/>
      </c>
      <c r="U1477" s="34" t="str">
        <f>IF(AND(L1477=1,bp_kode=T1477,T1477&lt;&gt;""),COUNTIF($T$8:T1477,T1477),"")</f>
        <v/>
      </c>
      <c r="V1477" s="34" t="str">
        <f t="shared" si="897"/>
        <v/>
      </c>
      <c r="W1477" s="34" t="str">
        <f t="shared" si="898"/>
        <v/>
      </c>
      <c r="X1477" s="34" t="str">
        <f>IF(B1477="","",COUNTIF($C$8:C1477,C1477)&amp;C1477)</f>
        <v/>
      </c>
    </row>
    <row r="1478" spans="2:24" ht="23.1" customHeight="1">
      <c r="B1478" s="31"/>
      <c r="C1478" s="9"/>
      <c r="D1478" s="9"/>
      <c r="E1478" s="7"/>
      <c r="F1478" s="7"/>
      <c r="G1478" s="7"/>
      <c r="H1478" s="7"/>
      <c r="I1478" s="7"/>
      <c r="J1478" s="39"/>
      <c r="L1478" s="16" t="str">
        <f t="shared" si="889"/>
        <v/>
      </c>
      <c r="M1478" s="16" t="str">
        <f t="shared" si="890"/>
        <v/>
      </c>
      <c r="N1478" s="16" t="str">
        <f t="shared" si="891"/>
        <v/>
      </c>
      <c r="O1478" s="16" t="str">
        <f>IF(N1478="","",COUNTIF($N$8:N1478,N1478))</f>
        <v/>
      </c>
      <c r="P1478" s="34" t="str">
        <f t="shared" si="892"/>
        <v/>
      </c>
      <c r="Q1478" s="34" t="str">
        <f t="shared" si="893"/>
        <v/>
      </c>
      <c r="R1478" s="34" t="str">
        <f t="shared" si="894"/>
        <v/>
      </c>
      <c r="S1478" s="34" t="str">
        <f t="shared" si="895"/>
        <v/>
      </c>
      <c r="T1478" s="34" t="str">
        <f t="shared" si="896"/>
        <v/>
      </c>
      <c r="U1478" s="34" t="str">
        <f>IF(AND(L1478=1,bp_kode=T1478,T1478&lt;&gt;""),COUNTIF($T$8:T1478,T1478),"")</f>
        <v/>
      </c>
      <c r="V1478" s="34" t="str">
        <f t="shared" si="897"/>
        <v/>
      </c>
      <c r="W1478" s="34" t="str">
        <f t="shared" si="898"/>
        <v/>
      </c>
      <c r="X1478" s="34" t="str">
        <f>IF(B1478="","",COUNTIF($C$8:C1478,C1478)&amp;C1478)</f>
        <v/>
      </c>
    </row>
    <row r="1479" spans="2:24" ht="23.1" customHeight="1">
      <c r="B1479" s="31"/>
      <c r="C1479" s="9"/>
      <c r="D1479" s="9"/>
      <c r="E1479" s="7"/>
      <c r="F1479" s="7"/>
      <c r="G1479" s="7"/>
      <c r="H1479" s="7"/>
      <c r="I1479" s="7"/>
      <c r="J1479" s="39"/>
      <c r="L1479" s="16" t="str">
        <f t="shared" si="889"/>
        <v/>
      </c>
      <c r="M1479" s="16" t="str">
        <f t="shared" si="890"/>
        <v/>
      </c>
      <c r="N1479" s="16" t="str">
        <f t="shared" si="891"/>
        <v/>
      </c>
      <c r="O1479" s="16" t="str">
        <f>IF(N1479="","",COUNTIF($N$8:N1479,N1479))</f>
        <v/>
      </c>
      <c r="P1479" s="34" t="str">
        <f t="shared" si="892"/>
        <v/>
      </c>
      <c r="Q1479" s="34" t="str">
        <f t="shared" si="893"/>
        <v/>
      </c>
      <c r="R1479" s="34" t="str">
        <f t="shared" si="894"/>
        <v/>
      </c>
      <c r="S1479" s="34" t="str">
        <f t="shared" si="895"/>
        <v/>
      </c>
      <c r="T1479" s="34" t="str">
        <f t="shared" si="896"/>
        <v/>
      </c>
      <c r="U1479" s="34" t="str">
        <f>IF(AND(L1479=1,bp_kode=T1479,T1479&lt;&gt;""),COUNTIF($T$8:T1479,T1479),"")</f>
        <v/>
      </c>
      <c r="V1479" s="34" t="str">
        <f t="shared" si="897"/>
        <v/>
      </c>
      <c r="W1479" s="34" t="str">
        <f t="shared" si="898"/>
        <v/>
      </c>
      <c r="X1479" s="34" t="str">
        <f>IF(B1479="","",COUNTIF($C$8:C1479,C1479)&amp;C1479)</f>
        <v/>
      </c>
    </row>
    <row r="1480" spans="2:24" ht="23.1" customHeight="1">
      <c r="B1480" s="31"/>
      <c r="C1480" s="9"/>
      <c r="D1480" s="9"/>
      <c r="E1480" s="7"/>
      <c r="F1480" s="7"/>
      <c r="G1480" s="7"/>
      <c r="H1480" s="7"/>
      <c r="I1480" s="7"/>
      <c r="J1480" s="39"/>
      <c r="L1480" s="16" t="str">
        <f t="shared" si="889"/>
        <v/>
      </c>
      <c r="M1480" s="16" t="str">
        <f t="shared" si="890"/>
        <v/>
      </c>
      <c r="N1480" s="16" t="str">
        <f t="shared" si="891"/>
        <v/>
      </c>
      <c r="O1480" s="16" t="str">
        <f>IF(N1480="","",COUNTIF($N$8:N1480,N1480))</f>
        <v/>
      </c>
      <c r="P1480" s="34" t="str">
        <f t="shared" si="892"/>
        <v/>
      </c>
      <c r="Q1480" s="34" t="str">
        <f t="shared" si="893"/>
        <v/>
      </c>
      <c r="R1480" s="34" t="str">
        <f t="shared" si="894"/>
        <v/>
      </c>
      <c r="S1480" s="34" t="str">
        <f t="shared" si="895"/>
        <v/>
      </c>
      <c r="T1480" s="34" t="str">
        <f t="shared" si="896"/>
        <v/>
      </c>
      <c r="U1480" s="34" t="str">
        <f>IF(AND(L1480=1,bp_kode=T1480,T1480&lt;&gt;""),COUNTIF($T$8:T1480,T1480),"")</f>
        <v/>
      </c>
      <c r="V1480" s="34" t="str">
        <f t="shared" si="897"/>
        <v/>
      </c>
      <c r="W1480" s="34" t="str">
        <f t="shared" si="898"/>
        <v/>
      </c>
      <c r="X1480" s="34" t="str">
        <f>IF(B1480="","",COUNTIF($C$8:C1480,C1480)&amp;C1480)</f>
        <v/>
      </c>
    </row>
    <row r="1481" spans="2:24" ht="23.1" customHeight="1">
      <c r="B1481" s="31"/>
      <c r="C1481" s="9"/>
      <c r="D1481" s="9"/>
      <c r="E1481" s="7"/>
      <c r="F1481" s="7"/>
      <c r="G1481" s="7"/>
      <c r="H1481" s="7"/>
      <c r="I1481" s="7"/>
      <c r="J1481" s="39"/>
      <c r="L1481" s="16" t="str">
        <f t="shared" si="889"/>
        <v/>
      </c>
      <c r="M1481" s="16" t="str">
        <f t="shared" si="890"/>
        <v/>
      </c>
      <c r="N1481" s="16" t="str">
        <f t="shared" si="891"/>
        <v/>
      </c>
      <c r="O1481" s="16" t="str">
        <f>IF(N1481="","",COUNTIF($N$8:N1481,N1481))</f>
        <v/>
      </c>
      <c r="P1481" s="34" t="str">
        <f t="shared" si="892"/>
        <v/>
      </c>
      <c r="Q1481" s="34" t="str">
        <f t="shared" si="893"/>
        <v/>
      </c>
      <c r="R1481" s="34" t="str">
        <f t="shared" si="894"/>
        <v/>
      </c>
      <c r="S1481" s="34" t="str">
        <f t="shared" si="895"/>
        <v/>
      </c>
      <c r="T1481" s="34" t="str">
        <f t="shared" si="896"/>
        <v/>
      </c>
      <c r="U1481" s="34" t="str">
        <f>IF(AND(L1481=1,bp_kode=T1481,T1481&lt;&gt;""),COUNTIF($T$8:T1481,T1481),"")</f>
        <v/>
      </c>
      <c r="V1481" s="34" t="str">
        <f t="shared" si="897"/>
        <v/>
      </c>
      <c r="W1481" s="34" t="str">
        <f t="shared" si="898"/>
        <v/>
      </c>
      <c r="X1481" s="34" t="str">
        <f>IF(B1481="","",COUNTIF($C$8:C1481,C1481)&amp;C1481)</f>
        <v/>
      </c>
    </row>
    <row r="1482" spans="2:24" ht="23.1" customHeight="1">
      <c r="B1482" s="31"/>
      <c r="C1482" s="9"/>
      <c r="D1482" s="9"/>
      <c r="E1482" s="7"/>
      <c r="F1482" s="7"/>
      <c r="G1482" s="7"/>
      <c r="H1482" s="7"/>
      <c r="I1482" s="7"/>
      <c r="J1482" s="39"/>
      <c r="L1482" s="16" t="str">
        <f t="shared" si="889"/>
        <v/>
      </c>
      <c r="M1482" s="16" t="str">
        <f t="shared" si="890"/>
        <v/>
      </c>
      <c r="N1482" s="16" t="str">
        <f t="shared" si="891"/>
        <v/>
      </c>
      <c r="O1482" s="16" t="str">
        <f>IF(N1482="","",COUNTIF($N$8:N1482,N1482))</f>
        <v/>
      </c>
      <c r="P1482" s="34" t="str">
        <f t="shared" si="892"/>
        <v/>
      </c>
      <c r="Q1482" s="34" t="str">
        <f t="shared" si="893"/>
        <v/>
      </c>
      <c r="R1482" s="34" t="str">
        <f t="shared" si="894"/>
        <v/>
      </c>
      <c r="S1482" s="34" t="str">
        <f t="shared" si="895"/>
        <v/>
      </c>
      <c r="T1482" s="34" t="str">
        <f t="shared" si="896"/>
        <v/>
      </c>
      <c r="U1482" s="34" t="str">
        <f>IF(AND(L1482=1,bp_kode=T1482,T1482&lt;&gt;""),COUNTIF($T$8:T1482,T1482),"")</f>
        <v/>
      </c>
      <c r="V1482" s="34" t="str">
        <f t="shared" si="897"/>
        <v/>
      </c>
      <c r="W1482" s="34" t="str">
        <f t="shared" si="898"/>
        <v/>
      </c>
      <c r="X1482" s="34" t="str">
        <f>IF(B1482="","",COUNTIF($C$8:C1482,C1482)&amp;C1482)</f>
        <v/>
      </c>
    </row>
    <row r="1483" spans="2:24" ht="23.1" customHeight="1">
      <c r="B1483" s="31"/>
      <c r="C1483" s="9"/>
      <c r="D1483" s="9"/>
      <c r="E1483" s="7"/>
      <c r="F1483" s="7"/>
      <c r="G1483" s="7"/>
      <c r="H1483" s="7"/>
      <c r="I1483" s="7"/>
      <c r="J1483" s="39"/>
      <c r="L1483" s="16" t="str">
        <f t="shared" si="889"/>
        <v/>
      </c>
      <c r="M1483" s="16" t="str">
        <f t="shared" si="890"/>
        <v/>
      </c>
      <c r="N1483" s="16" t="str">
        <f t="shared" si="891"/>
        <v/>
      </c>
      <c r="O1483" s="16" t="str">
        <f>IF(N1483="","",COUNTIF($N$8:N1483,N1483))</f>
        <v/>
      </c>
      <c r="P1483" s="34" t="str">
        <f t="shared" si="892"/>
        <v/>
      </c>
      <c r="Q1483" s="34" t="str">
        <f t="shared" si="893"/>
        <v/>
      </c>
      <c r="R1483" s="34" t="str">
        <f t="shared" si="894"/>
        <v/>
      </c>
      <c r="S1483" s="34" t="str">
        <f t="shared" si="895"/>
        <v/>
      </c>
      <c r="T1483" s="34" t="str">
        <f t="shared" si="896"/>
        <v/>
      </c>
      <c r="U1483" s="34" t="str">
        <f>IF(AND(L1483=1,bp_kode=T1483,T1483&lt;&gt;""),COUNTIF($T$8:T1483,T1483),"")</f>
        <v/>
      </c>
      <c r="V1483" s="34" t="str">
        <f t="shared" si="897"/>
        <v/>
      </c>
      <c r="W1483" s="34" t="str">
        <f t="shared" si="898"/>
        <v/>
      </c>
      <c r="X1483" s="34" t="str">
        <f>IF(B1483="","",COUNTIF($C$8:C1483,C1483)&amp;C1483)</f>
        <v/>
      </c>
    </row>
    <row r="1484" spans="2:24" ht="23.1" customHeight="1">
      <c r="B1484" s="31"/>
      <c r="C1484" s="9"/>
      <c r="D1484" s="9"/>
      <c r="E1484" s="7"/>
      <c r="F1484" s="7"/>
      <c r="G1484" s="7"/>
      <c r="H1484" s="7"/>
      <c r="I1484" s="7"/>
      <c r="J1484" s="39"/>
      <c r="L1484" s="16" t="str">
        <f t="shared" si="889"/>
        <v/>
      </c>
      <c r="M1484" s="16" t="str">
        <f t="shared" si="890"/>
        <v/>
      </c>
      <c r="N1484" s="16" t="str">
        <f t="shared" si="891"/>
        <v/>
      </c>
      <c r="O1484" s="16" t="str">
        <f>IF(N1484="","",COUNTIF($N$8:N1484,N1484))</f>
        <v/>
      </c>
      <c r="P1484" s="34" t="str">
        <f t="shared" si="892"/>
        <v/>
      </c>
      <c r="Q1484" s="34" t="str">
        <f t="shared" si="893"/>
        <v/>
      </c>
      <c r="R1484" s="34" t="str">
        <f t="shared" si="894"/>
        <v/>
      </c>
      <c r="S1484" s="34" t="str">
        <f t="shared" si="895"/>
        <v/>
      </c>
      <c r="T1484" s="34" t="str">
        <f t="shared" si="896"/>
        <v/>
      </c>
      <c r="U1484" s="34" t="str">
        <f>IF(AND(L1484=1,bp_kode=T1484,T1484&lt;&gt;""),COUNTIF($T$8:T1484,T1484),"")</f>
        <v/>
      </c>
      <c r="V1484" s="34" t="str">
        <f t="shared" si="897"/>
        <v/>
      </c>
      <c r="W1484" s="34" t="str">
        <f t="shared" si="898"/>
        <v/>
      </c>
      <c r="X1484" s="34" t="str">
        <f>IF(B1484="","",COUNTIF($C$8:C1484,C1484)&amp;C1484)</f>
        <v/>
      </c>
    </row>
    <row r="1485" spans="2:24" ht="23.1" customHeight="1">
      <c r="B1485" s="31"/>
      <c r="C1485" s="9"/>
      <c r="D1485" s="9"/>
      <c r="E1485" s="7"/>
      <c r="F1485" s="7"/>
      <c r="G1485" s="7"/>
      <c r="H1485" s="7"/>
      <c r="I1485" s="7"/>
      <c r="J1485" s="39"/>
      <c r="L1485" s="16" t="str">
        <f t="shared" si="889"/>
        <v/>
      </c>
      <c r="M1485" s="16" t="str">
        <f t="shared" si="890"/>
        <v/>
      </c>
      <c r="N1485" s="16" t="str">
        <f t="shared" si="891"/>
        <v/>
      </c>
      <c r="O1485" s="16" t="str">
        <f>IF(N1485="","",COUNTIF($N$8:N1485,N1485))</f>
        <v/>
      </c>
      <c r="P1485" s="34" t="str">
        <f t="shared" si="892"/>
        <v/>
      </c>
      <c r="Q1485" s="34" t="str">
        <f t="shared" si="893"/>
        <v/>
      </c>
      <c r="R1485" s="34" t="str">
        <f t="shared" si="894"/>
        <v/>
      </c>
      <c r="S1485" s="34" t="str">
        <f t="shared" si="895"/>
        <v/>
      </c>
      <c r="T1485" s="34" t="str">
        <f t="shared" si="896"/>
        <v/>
      </c>
      <c r="U1485" s="34" t="str">
        <f>IF(AND(L1485=1,bp_kode=T1485,T1485&lt;&gt;""),COUNTIF($T$8:T1485,T1485),"")</f>
        <v/>
      </c>
      <c r="V1485" s="34" t="str">
        <f t="shared" si="897"/>
        <v/>
      </c>
      <c r="W1485" s="34" t="str">
        <f t="shared" si="898"/>
        <v/>
      </c>
      <c r="X1485" s="34" t="str">
        <f>IF(B1485="","",COUNTIF($C$8:C1485,C1485)&amp;C1485)</f>
        <v/>
      </c>
    </row>
    <row r="1486" spans="2:24" ht="23.1" customHeight="1">
      <c r="B1486" s="31"/>
      <c r="C1486" s="9"/>
      <c r="D1486" s="9"/>
      <c r="E1486" s="7"/>
      <c r="F1486" s="7"/>
      <c r="G1486" s="7"/>
      <c r="H1486" s="7"/>
      <c r="I1486" s="7"/>
      <c r="J1486" s="39"/>
      <c r="L1486" s="16" t="str">
        <f t="shared" si="889"/>
        <v/>
      </c>
      <c r="M1486" s="16" t="str">
        <f t="shared" si="890"/>
        <v/>
      </c>
      <c r="N1486" s="16" t="str">
        <f t="shared" si="891"/>
        <v/>
      </c>
      <c r="O1486" s="16" t="str">
        <f>IF(N1486="","",COUNTIF($N$8:N1486,N1486))</f>
        <v/>
      </c>
      <c r="P1486" s="34" t="str">
        <f t="shared" si="892"/>
        <v/>
      </c>
      <c r="Q1486" s="34" t="str">
        <f t="shared" si="893"/>
        <v/>
      </c>
      <c r="R1486" s="34" t="str">
        <f t="shared" si="894"/>
        <v/>
      </c>
      <c r="S1486" s="34" t="str">
        <f t="shared" si="895"/>
        <v/>
      </c>
      <c r="T1486" s="34" t="str">
        <f t="shared" si="896"/>
        <v/>
      </c>
      <c r="U1486" s="34" t="str">
        <f>IF(AND(L1486=1,bp_kode=T1486,T1486&lt;&gt;""),COUNTIF($T$8:T1486,T1486),"")</f>
        <v/>
      </c>
      <c r="V1486" s="34" t="str">
        <f t="shared" si="897"/>
        <v/>
      </c>
      <c r="W1486" s="34" t="str">
        <f t="shared" si="898"/>
        <v/>
      </c>
      <c r="X1486" s="34" t="str">
        <f>IF(B1486="","",COUNTIF($C$8:C1486,C1486)&amp;C1486)</f>
        <v/>
      </c>
    </row>
    <row r="1487" spans="2:24" ht="23.1" customHeight="1">
      <c r="B1487" s="31"/>
      <c r="C1487" s="9"/>
      <c r="D1487" s="9"/>
      <c r="E1487" s="7"/>
      <c r="F1487" s="7"/>
      <c r="G1487" s="7"/>
      <c r="H1487" s="7"/>
      <c r="I1487" s="7"/>
      <c r="J1487" s="39"/>
      <c r="L1487" s="16" t="str">
        <f t="shared" si="889"/>
        <v/>
      </c>
      <c r="M1487" s="16" t="str">
        <f t="shared" si="890"/>
        <v/>
      </c>
      <c r="N1487" s="16" t="str">
        <f t="shared" si="891"/>
        <v/>
      </c>
      <c r="O1487" s="16" t="str">
        <f>IF(N1487="","",COUNTIF($N$8:N1487,N1487))</f>
        <v/>
      </c>
      <c r="P1487" s="34" t="str">
        <f t="shared" si="892"/>
        <v/>
      </c>
      <c r="Q1487" s="34" t="str">
        <f t="shared" si="893"/>
        <v/>
      </c>
      <c r="R1487" s="34" t="str">
        <f t="shared" si="894"/>
        <v/>
      </c>
      <c r="S1487" s="34" t="str">
        <f t="shared" si="895"/>
        <v/>
      </c>
      <c r="T1487" s="34" t="str">
        <f t="shared" si="896"/>
        <v/>
      </c>
      <c r="U1487" s="34" t="str">
        <f>IF(AND(L1487=1,bp_kode=T1487,T1487&lt;&gt;""),COUNTIF($T$8:T1487,T1487),"")</f>
        <v/>
      </c>
      <c r="V1487" s="34" t="str">
        <f t="shared" si="897"/>
        <v/>
      </c>
      <c r="W1487" s="34" t="str">
        <f t="shared" si="898"/>
        <v/>
      </c>
      <c r="X1487" s="34" t="str">
        <f>IF(B1487="","",COUNTIF($C$8:C1487,C1487)&amp;C1487)</f>
        <v/>
      </c>
    </row>
    <row r="1488" spans="2:24" ht="23.1" customHeight="1">
      <c r="B1488" s="31"/>
      <c r="C1488" s="9"/>
      <c r="D1488" s="9"/>
      <c r="E1488" s="7"/>
      <c r="F1488" s="7"/>
      <c r="G1488" s="7"/>
      <c r="H1488" s="7"/>
      <c r="I1488" s="7"/>
      <c r="J1488" s="39"/>
      <c r="L1488" s="16" t="str">
        <f t="shared" si="889"/>
        <v/>
      </c>
      <c r="M1488" s="16" t="str">
        <f t="shared" si="890"/>
        <v/>
      </c>
      <c r="N1488" s="16" t="str">
        <f t="shared" si="891"/>
        <v/>
      </c>
      <c r="O1488" s="16" t="str">
        <f>IF(N1488="","",COUNTIF($N$8:N1488,N1488))</f>
        <v/>
      </c>
      <c r="P1488" s="34" t="str">
        <f t="shared" si="892"/>
        <v/>
      </c>
      <c r="Q1488" s="34" t="str">
        <f t="shared" si="893"/>
        <v/>
      </c>
      <c r="R1488" s="34" t="str">
        <f t="shared" si="894"/>
        <v/>
      </c>
      <c r="S1488" s="34" t="str">
        <f t="shared" si="895"/>
        <v/>
      </c>
      <c r="T1488" s="34" t="str">
        <f t="shared" si="896"/>
        <v/>
      </c>
      <c r="U1488" s="34" t="str">
        <f>IF(AND(L1488=1,bp_kode=T1488,T1488&lt;&gt;""),COUNTIF($T$8:T1488,T1488),"")</f>
        <v/>
      </c>
      <c r="V1488" s="34" t="str">
        <f t="shared" si="897"/>
        <v/>
      </c>
      <c r="W1488" s="34" t="str">
        <f t="shared" si="898"/>
        <v/>
      </c>
      <c r="X1488" s="34" t="str">
        <f>IF(B1488="","",COUNTIF($C$8:C1488,C1488)&amp;C1488)</f>
        <v/>
      </c>
    </row>
    <row r="1489" spans="2:24" ht="23.1" customHeight="1">
      <c r="B1489" s="31"/>
      <c r="C1489" s="9"/>
      <c r="D1489" s="9"/>
      <c r="E1489" s="7"/>
      <c r="F1489" s="7"/>
      <c r="G1489" s="7"/>
      <c r="H1489" s="7"/>
      <c r="I1489" s="7"/>
      <c r="J1489" s="39"/>
      <c r="L1489" s="16" t="str">
        <f t="shared" si="889"/>
        <v/>
      </c>
      <c r="M1489" s="16" t="str">
        <f t="shared" si="890"/>
        <v/>
      </c>
      <c r="N1489" s="16" t="str">
        <f t="shared" si="891"/>
        <v/>
      </c>
      <c r="O1489" s="16" t="str">
        <f>IF(N1489="","",COUNTIF($N$8:N1489,N1489))</f>
        <v/>
      </c>
      <c r="P1489" s="34" t="str">
        <f t="shared" si="892"/>
        <v/>
      </c>
      <c r="Q1489" s="34" t="str">
        <f t="shared" si="893"/>
        <v/>
      </c>
      <c r="R1489" s="34" t="str">
        <f t="shared" si="894"/>
        <v/>
      </c>
      <c r="S1489" s="34" t="str">
        <f t="shared" si="895"/>
        <v/>
      </c>
      <c r="T1489" s="34" t="str">
        <f t="shared" si="896"/>
        <v/>
      </c>
      <c r="U1489" s="34" t="str">
        <f>IF(AND(L1489=1,bp_kode=T1489,T1489&lt;&gt;""),COUNTIF($T$8:T1489,T1489),"")</f>
        <v/>
      </c>
      <c r="V1489" s="34" t="str">
        <f t="shared" si="897"/>
        <v/>
      </c>
      <c r="W1489" s="34" t="str">
        <f t="shared" si="898"/>
        <v/>
      </c>
      <c r="X1489" s="34" t="str">
        <f>IF(B1489="","",COUNTIF($C$8:C1489,C1489)&amp;C1489)</f>
        <v/>
      </c>
    </row>
    <row r="1490" spans="2:24" ht="23.1" customHeight="1">
      <c r="B1490" s="31"/>
      <c r="C1490" s="9"/>
      <c r="D1490" s="9"/>
      <c r="E1490" s="7"/>
      <c r="F1490" s="7"/>
      <c r="G1490" s="7"/>
      <c r="H1490" s="7"/>
      <c r="I1490" s="7"/>
      <c r="J1490" s="39"/>
      <c r="L1490" s="16" t="str">
        <f t="shared" si="889"/>
        <v/>
      </c>
      <c r="M1490" s="16" t="str">
        <f t="shared" si="890"/>
        <v/>
      </c>
      <c r="N1490" s="16" t="str">
        <f t="shared" si="891"/>
        <v/>
      </c>
      <c r="O1490" s="16" t="str">
        <f>IF(N1490="","",COUNTIF($N$8:N1490,N1490))</f>
        <v/>
      </c>
      <c r="P1490" s="34" t="str">
        <f t="shared" si="892"/>
        <v/>
      </c>
      <c r="Q1490" s="34" t="str">
        <f t="shared" si="893"/>
        <v/>
      </c>
      <c r="R1490" s="34" t="str">
        <f t="shared" si="894"/>
        <v/>
      </c>
      <c r="S1490" s="34" t="str">
        <f t="shared" si="895"/>
        <v/>
      </c>
      <c r="T1490" s="34" t="str">
        <f t="shared" si="896"/>
        <v/>
      </c>
      <c r="U1490" s="34" t="str">
        <f>IF(AND(L1490=1,bp_kode=T1490,T1490&lt;&gt;""),COUNTIF($T$8:T1490,T1490),"")</f>
        <v/>
      </c>
      <c r="V1490" s="34" t="str">
        <f t="shared" si="897"/>
        <v/>
      </c>
      <c r="W1490" s="34" t="str">
        <f t="shared" si="898"/>
        <v/>
      </c>
      <c r="X1490" s="34" t="str">
        <f>IF(B1490="","",COUNTIF($C$8:C1490,C1490)&amp;C1490)</f>
        <v/>
      </c>
    </row>
    <row r="1491" spans="2:24" ht="23.1" customHeight="1">
      <c r="B1491" s="31"/>
      <c r="C1491" s="9"/>
      <c r="D1491" s="9"/>
      <c r="E1491" s="7"/>
      <c r="F1491" s="7"/>
      <c r="G1491" s="7"/>
      <c r="H1491" s="7"/>
      <c r="I1491" s="7"/>
      <c r="J1491" s="39"/>
      <c r="L1491" s="16" t="str">
        <f t="shared" si="889"/>
        <v/>
      </c>
      <c r="M1491" s="16" t="str">
        <f t="shared" si="890"/>
        <v/>
      </c>
      <c r="N1491" s="16" t="str">
        <f t="shared" si="891"/>
        <v/>
      </c>
      <c r="O1491" s="16" t="str">
        <f>IF(N1491="","",COUNTIF($N$8:N1491,N1491))</f>
        <v/>
      </c>
      <c r="P1491" s="34" t="str">
        <f t="shared" si="892"/>
        <v/>
      </c>
      <c r="Q1491" s="34" t="str">
        <f t="shared" si="893"/>
        <v/>
      </c>
      <c r="R1491" s="34" t="str">
        <f t="shared" si="894"/>
        <v/>
      </c>
      <c r="S1491" s="34" t="str">
        <f t="shared" si="895"/>
        <v/>
      </c>
      <c r="T1491" s="34" t="str">
        <f t="shared" si="896"/>
        <v/>
      </c>
      <c r="U1491" s="34" t="str">
        <f>IF(AND(L1491=1,bp_kode=T1491,T1491&lt;&gt;""),COUNTIF($T$8:T1491,T1491),"")</f>
        <v/>
      </c>
      <c r="V1491" s="34" t="str">
        <f t="shared" si="897"/>
        <v/>
      </c>
      <c r="W1491" s="34" t="str">
        <f t="shared" si="898"/>
        <v/>
      </c>
      <c r="X1491" s="34" t="str">
        <f>IF(B1491="","",COUNTIF($C$8:C1491,C1491)&amp;C1491)</f>
        <v/>
      </c>
    </row>
    <row r="1492" spans="2:24" ht="23.1" customHeight="1">
      <c r="B1492" s="31"/>
      <c r="C1492" s="9"/>
      <c r="D1492" s="9"/>
      <c r="E1492" s="7"/>
      <c r="F1492" s="7"/>
      <c r="G1492" s="7"/>
      <c r="H1492" s="7"/>
      <c r="I1492" s="7"/>
      <c r="J1492" s="39"/>
      <c r="L1492" s="16" t="str">
        <f t="shared" si="889"/>
        <v/>
      </c>
      <c r="M1492" s="16" t="str">
        <f t="shared" si="890"/>
        <v/>
      </c>
      <c r="N1492" s="16" t="str">
        <f t="shared" si="891"/>
        <v/>
      </c>
      <c r="O1492" s="16" t="str">
        <f>IF(N1492="","",COUNTIF($N$8:N1492,N1492))</f>
        <v/>
      </c>
      <c r="P1492" s="34" t="str">
        <f t="shared" si="892"/>
        <v/>
      </c>
      <c r="Q1492" s="34" t="str">
        <f t="shared" si="893"/>
        <v/>
      </c>
      <c r="R1492" s="34" t="str">
        <f t="shared" si="894"/>
        <v/>
      </c>
      <c r="S1492" s="34" t="str">
        <f t="shared" si="895"/>
        <v/>
      </c>
      <c r="T1492" s="34" t="str">
        <f t="shared" si="896"/>
        <v/>
      </c>
      <c r="U1492" s="34" t="str">
        <f>IF(AND(L1492=1,bp_kode=T1492,T1492&lt;&gt;""),COUNTIF($T$8:T1492,T1492),"")</f>
        <v/>
      </c>
      <c r="V1492" s="34" t="str">
        <f t="shared" si="897"/>
        <v/>
      </c>
      <c r="W1492" s="34" t="str">
        <f t="shared" si="898"/>
        <v/>
      </c>
      <c r="X1492" s="34" t="str">
        <f>IF(B1492="","",COUNTIF($C$8:C1492,C1492)&amp;C1492)</f>
        <v/>
      </c>
    </row>
    <row r="1493" spans="2:24" ht="23.1" customHeight="1">
      <c r="B1493" s="31"/>
      <c r="C1493" s="9"/>
      <c r="D1493" s="9"/>
      <c r="E1493" s="7"/>
      <c r="F1493" s="7"/>
      <c r="G1493" s="7"/>
      <c r="H1493" s="7"/>
      <c r="I1493" s="7"/>
      <c r="J1493" s="39"/>
      <c r="L1493" s="16" t="str">
        <f t="shared" si="889"/>
        <v/>
      </c>
      <c r="M1493" s="16" t="str">
        <f t="shared" si="890"/>
        <v/>
      </c>
      <c r="N1493" s="16" t="str">
        <f t="shared" si="891"/>
        <v/>
      </c>
      <c r="O1493" s="16" t="str">
        <f>IF(N1493="","",COUNTIF($N$8:N1493,N1493))</f>
        <v/>
      </c>
      <c r="P1493" s="34" t="str">
        <f t="shared" si="892"/>
        <v/>
      </c>
      <c r="Q1493" s="34" t="str">
        <f t="shared" si="893"/>
        <v/>
      </c>
      <c r="R1493" s="34" t="str">
        <f t="shared" si="894"/>
        <v/>
      </c>
      <c r="S1493" s="34" t="str">
        <f t="shared" si="895"/>
        <v/>
      </c>
      <c r="T1493" s="34" t="str">
        <f t="shared" si="896"/>
        <v/>
      </c>
      <c r="U1493" s="34" t="str">
        <f>IF(AND(L1493=1,bp_kode=T1493,T1493&lt;&gt;""),COUNTIF($T$8:T1493,T1493),"")</f>
        <v/>
      </c>
      <c r="V1493" s="34" t="str">
        <f t="shared" si="897"/>
        <v/>
      </c>
      <c r="W1493" s="34" t="str">
        <f t="shared" si="898"/>
        <v/>
      </c>
      <c r="X1493" s="34" t="str">
        <f>IF(B1493="","",COUNTIF($C$8:C1493,C1493)&amp;C1493)</f>
        <v/>
      </c>
    </row>
    <row r="1494" spans="2:24" ht="23.1" customHeight="1">
      <c r="B1494" s="31"/>
      <c r="C1494" s="9"/>
      <c r="D1494" s="9"/>
      <c r="E1494" s="7"/>
      <c r="F1494" s="7"/>
      <c r="G1494" s="7"/>
      <c r="H1494" s="7"/>
      <c r="I1494" s="7"/>
      <c r="J1494" s="39"/>
      <c r="L1494" s="16" t="str">
        <f t="shared" si="889"/>
        <v/>
      </c>
      <c r="M1494" s="16" t="str">
        <f t="shared" si="890"/>
        <v/>
      </c>
      <c r="N1494" s="16" t="str">
        <f t="shared" si="891"/>
        <v/>
      </c>
      <c r="O1494" s="16" t="str">
        <f>IF(N1494="","",COUNTIF($N$8:N1494,N1494))</f>
        <v/>
      </c>
      <c r="P1494" s="34" t="str">
        <f t="shared" si="892"/>
        <v/>
      </c>
      <c r="Q1494" s="34" t="str">
        <f t="shared" si="893"/>
        <v/>
      </c>
      <c r="R1494" s="34" t="str">
        <f t="shared" si="894"/>
        <v/>
      </c>
      <c r="S1494" s="34" t="str">
        <f t="shared" si="895"/>
        <v/>
      </c>
      <c r="T1494" s="34" t="str">
        <f t="shared" si="896"/>
        <v/>
      </c>
      <c r="U1494" s="34" t="str">
        <f>IF(AND(L1494=1,bp_kode=T1494,T1494&lt;&gt;""),COUNTIF($T$8:T1494,T1494),"")</f>
        <v/>
      </c>
      <c r="V1494" s="34" t="str">
        <f t="shared" si="897"/>
        <v/>
      </c>
      <c r="W1494" s="34" t="str">
        <f t="shared" si="898"/>
        <v/>
      </c>
      <c r="X1494" s="34" t="str">
        <f>IF(B1494="","",COUNTIF($C$8:C1494,C1494)&amp;C1494)</f>
        <v/>
      </c>
    </row>
    <row r="1495" spans="2:24" ht="23.1" customHeight="1">
      <c r="B1495" s="31"/>
      <c r="C1495" s="9"/>
      <c r="D1495" s="9"/>
      <c r="E1495" s="7"/>
      <c r="F1495" s="7"/>
      <c r="G1495" s="7"/>
      <c r="H1495" s="7"/>
      <c r="I1495" s="7"/>
      <c r="J1495" s="39"/>
      <c r="L1495" s="16" t="str">
        <f t="shared" si="889"/>
        <v/>
      </c>
      <c r="M1495" s="16" t="str">
        <f t="shared" si="890"/>
        <v/>
      </c>
      <c r="N1495" s="16" t="str">
        <f t="shared" si="891"/>
        <v/>
      </c>
      <c r="O1495" s="16" t="str">
        <f>IF(N1495="","",COUNTIF($N$8:N1495,N1495))</f>
        <v/>
      </c>
      <c r="P1495" s="34" t="str">
        <f t="shared" si="892"/>
        <v/>
      </c>
      <c r="Q1495" s="34" t="str">
        <f t="shared" si="893"/>
        <v/>
      </c>
      <c r="R1495" s="34" t="str">
        <f t="shared" si="894"/>
        <v/>
      </c>
      <c r="S1495" s="34" t="str">
        <f t="shared" si="895"/>
        <v/>
      </c>
      <c r="T1495" s="34" t="str">
        <f t="shared" si="896"/>
        <v/>
      </c>
      <c r="U1495" s="34" t="str">
        <f>IF(AND(L1495=1,bp_kode=T1495,T1495&lt;&gt;""),COUNTIF($T$8:T1495,T1495),"")</f>
        <v/>
      </c>
      <c r="V1495" s="34" t="str">
        <f t="shared" si="897"/>
        <v/>
      </c>
      <c r="W1495" s="34" t="str">
        <f t="shared" si="898"/>
        <v/>
      </c>
      <c r="X1495" s="34" t="str">
        <f>IF(B1495="","",COUNTIF($C$8:C1495,C1495)&amp;C1495)</f>
        <v/>
      </c>
    </row>
    <row r="1496" spans="2:24" ht="23.1" customHeight="1">
      <c r="B1496" s="31"/>
      <c r="C1496" s="9"/>
      <c r="D1496" s="9"/>
      <c r="E1496" s="7"/>
      <c r="F1496" s="7"/>
      <c r="G1496" s="7"/>
      <c r="H1496" s="7"/>
      <c r="I1496" s="7"/>
      <c r="J1496" s="39"/>
      <c r="L1496" s="16" t="str">
        <f t="shared" si="889"/>
        <v/>
      </c>
      <c r="M1496" s="16" t="str">
        <f t="shared" si="890"/>
        <v/>
      </c>
      <c r="N1496" s="16" t="str">
        <f t="shared" si="891"/>
        <v/>
      </c>
      <c r="O1496" s="16" t="str">
        <f>IF(N1496="","",COUNTIF($N$8:N1496,N1496))</f>
        <v/>
      </c>
      <c r="P1496" s="34" t="str">
        <f t="shared" si="892"/>
        <v/>
      </c>
      <c r="Q1496" s="34" t="str">
        <f t="shared" si="893"/>
        <v/>
      </c>
      <c r="R1496" s="34" t="str">
        <f t="shared" si="894"/>
        <v/>
      </c>
      <c r="S1496" s="34" t="str">
        <f t="shared" si="895"/>
        <v/>
      </c>
      <c r="T1496" s="34" t="str">
        <f t="shared" si="896"/>
        <v/>
      </c>
      <c r="U1496" s="34" t="str">
        <f>IF(AND(L1496=1,bp_kode=T1496,T1496&lt;&gt;""),COUNTIF($T$8:T1496,T1496),"")</f>
        <v/>
      </c>
      <c r="V1496" s="34" t="str">
        <f t="shared" si="897"/>
        <v/>
      </c>
      <c r="W1496" s="34" t="str">
        <f t="shared" si="898"/>
        <v/>
      </c>
      <c r="X1496" s="34" t="str">
        <f>IF(B1496="","",COUNTIF($C$8:C1496,C1496)&amp;C1496)</f>
        <v/>
      </c>
    </row>
    <row r="1497" spans="2:24" ht="23.1" customHeight="1">
      <c r="B1497" s="31"/>
      <c r="C1497" s="9"/>
      <c r="D1497" s="9"/>
      <c r="E1497" s="7"/>
      <c r="F1497" s="7"/>
      <c r="G1497" s="7"/>
      <c r="H1497" s="7"/>
      <c r="I1497" s="7"/>
      <c r="J1497" s="39"/>
      <c r="L1497" s="16" t="str">
        <f t="shared" si="889"/>
        <v/>
      </c>
      <c r="M1497" s="16" t="str">
        <f t="shared" si="890"/>
        <v/>
      </c>
      <c r="N1497" s="16" t="str">
        <f t="shared" si="891"/>
        <v/>
      </c>
      <c r="O1497" s="16" t="str">
        <f>IF(N1497="","",COUNTIF($N$8:N1497,N1497))</f>
        <v/>
      </c>
      <c r="P1497" s="34" t="str">
        <f t="shared" si="892"/>
        <v/>
      </c>
      <c r="Q1497" s="34" t="str">
        <f t="shared" si="893"/>
        <v/>
      </c>
      <c r="R1497" s="34" t="str">
        <f t="shared" si="894"/>
        <v/>
      </c>
      <c r="S1497" s="34" t="str">
        <f t="shared" si="895"/>
        <v/>
      </c>
      <c r="T1497" s="34" t="str">
        <f t="shared" si="896"/>
        <v/>
      </c>
      <c r="U1497" s="34" t="str">
        <f>IF(AND(L1497=1,bp_kode=T1497,T1497&lt;&gt;""),COUNTIF($T$8:T1497,T1497),"")</f>
        <v/>
      </c>
      <c r="V1497" s="34" t="str">
        <f t="shared" si="897"/>
        <v/>
      </c>
      <c r="W1497" s="34" t="str">
        <f t="shared" si="898"/>
        <v/>
      </c>
      <c r="X1497" s="34" t="str">
        <f>IF(B1497="","",COUNTIF($C$8:C1497,C1497)&amp;C1497)</f>
        <v/>
      </c>
    </row>
    <row r="1498" spans="2:24" ht="23.1" customHeight="1">
      <c r="B1498" s="31"/>
      <c r="C1498" s="9"/>
      <c r="D1498" s="9"/>
      <c r="E1498" s="7"/>
      <c r="F1498" s="7"/>
      <c r="G1498" s="7"/>
      <c r="H1498" s="7"/>
      <c r="I1498" s="7"/>
      <c r="J1498" s="39"/>
      <c r="L1498" s="16" t="str">
        <f t="shared" si="889"/>
        <v/>
      </c>
      <c r="M1498" s="16" t="str">
        <f t="shared" si="890"/>
        <v/>
      </c>
      <c r="N1498" s="16" t="str">
        <f t="shared" si="891"/>
        <v/>
      </c>
      <c r="O1498" s="16" t="str">
        <f>IF(N1498="","",COUNTIF($N$8:N1498,N1498))</f>
        <v/>
      </c>
      <c r="P1498" s="34" t="str">
        <f t="shared" si="892"/>
        <v/>
      </c>
      <c r="Q1498" s="34" t="str">
        <f t="shared" si="893"/>
        <v/>
      </c>
      <c r="R1498" s="34" t="str">
        <f t="shared" si="894"/>
        <v/>
      </c>
      <c r="S1498" s="34" t="str">
        <f t="shared" si="895"/>
        <v/>
      </c>
      <c r="T1498" s="34" t="str">
        <f t="shared" si="896"/>
        <v/>
      </c>
      <c r="U1498" s="34" t="str">
        <f>IF(AND(L1498=1,bp_kode=T1498,T1498&lt;&gt;""),COUNTIF($T$8:T1498,T1498),"")</f>
        <v/>
      </c>
      <c r="V1498" s="34" t="str">
        <f t="shared" si="897"/>
        <v/>
      </c>
      <c r="W1498" s="34" t="str">
        <f t="shared" si="898"/>
        <v/>
      </c>
      <c r="X1498" s="34" t="str">
        <f>IF(B1498="","",COUNTIF($C$8:C1498,C1498)&amp;C1498)</f>
        <v/>
      </c>
    </row>
    <row r="1499" spans="2:24" ht="23.1" customHeight="1">
      <c r="B1499" s="31"/>
      <c r="C1499" s="9"/>
      <c r="D1499" s="9"/>
      <c r="E1499" s="7"/>
      <c r="F1499" s="7"/>
      <c r="G1499" s="7"/>
      <c r="H1499" s="7"/>
      <c r="I1499" s="7"/>
      <c r="J1499" s="39"/>
      <c r="L1499" s="16" t="str">
        <f t="shared" si="889"/>
        <v/>
      </c>
      <c r="M1499" s="16" t="str">
        <f t="shared" si="890"/>
        <v/>
      </c>
      <c r="N1499" s="16" t="str">
        <f t="shared" si="891"/>
        <v/>
      </c>
      <c r="O1499" s="16" t="str">
        <f>IF(N1499="","",COUNTIF($N$8:N1499,N1499))</f>
        <v/>
      </c>
      <c r="P1499" s="34" t="str">
        <f t="shared" si="892"/>
        <v/>
      </c>
      <c r="Q1499" s="34" t="str">
        <f t="shared" si="893"/>
        <v/>
      </c>
      <c r="R1499" s="34" t="str">
        <f t="shared" si="894"/>
        <v/>
      </c>
      <c r="S1499" s="34" t="str">
        <f t="shared" si="895"/>
        <v/>
      </c>
      <c r="T1499" s="34" t="str">
        <f t="shared" si="896"/>
        <v/>
      </c>
      <c r="U1499" s="34" t="str">
        <f>IF(AND(L1499=1,bp_kode=T1499,T1499&lt;&gt;""),COUNTIF($T$8:T1499,T1499),"")</f>
        <v/>
      </c>
      <c r="V1499" s="34" t="str">
        <f t="shared" si="897"/>
        <v/>
      </c>
      <c r="W1499" s="34" t="str">
        <f t="shared" si="898"/>
        <v/>
      </c>
      <c r="X1499" s="34" t="str">
        <f>IF(B1499="","",COUNTIF($C$8:C1499,C1499)&amp;C1499)</f>
        <v/>
      </c>
    </row>
    <row r="1500" spans="2:24" ht="23.1" customHeight="1">
      <c r="B1500" s="31"/>
      <c r="C1500" s="9"/>
      <c r="D1500" s="9"/>
      <c r="E1500" s="7"/>
      <c r="F1500" s="7"/>
      <c r="G1500" s="7"/>
      <c r="H1500" s="7"/>
      <c r="I1500" s="7"/>
      <c r="J1500" s="39"/>
      <c r="L1500" s="16" t="str">
        <f t="shared" si="889"/>
        <v/>
      </c>
      <c r="M1500" s="16" t="str">
        <f t="shared" si="890"/>
        <v/>
      </c>
      <c r="N1500" s="16" t="str">
        <f t="shared" si="891"/>
        <v/>
      </c>
      <c r="O1500" s="16" t="str">
        <f>IF(N1500="","",COUNTIF($N$8:N1500,N1500))</f>
        <v/>
      </c>
      <c r="P1500" s="34" t="str">
        <f t="shared" si="892"/>
        <v/>
      </c>
      <c r="Q1500" s="34" t="str">
        <f t="shared" si="893"/>
        <v/>
      </c>
      <c r="R1500" s="34" t="str">
        <f t="shared" si="894"/>
        <v/>
      </c>
      <c r="S1500" s="34" t="str">
        <f t="shared" si="895"/>
        <v/>
      </c>
      <c r="T1500" s="34" t="str">
        <f t="shared" si="896"/>
        <v/>
      </c>
      <c r="U1500" s="34" t="str">
        <f>IF(AND(L1500=1,bp_kode=T1500,T1500&lt;&gt;""),COUNTIF($T$8:T1500,T1500),"")</f>
        <v/>
      </c>
      <c r="V1500" s="34" t="str">
        <f t="shared" si="897"/>
        <v/>
      </c>
      <c r="W1500" s="34" t="str">
        <f t="shared" si="898"/>
        <v/>
      </c>
      <c r="X1500" s="34" t="str">
        <f>IF(B1500="","",COUNTIF($C$8:C1500,C1500)&amp;C1500)</f>
        <v/>
      </c>
    </row>
    <row r="1501" spans="2:24" ht="23.1" customHeight="1">
      <c r="B1501" s="31"/>
      <c r="C1501" s="9"/>
      <c r="D1501" s="9"/>
      <c r="E1501" s="7"/>
      <c r="F1501" s="7"/>
      <c r="G1501" s="7"/>
      <c r="H1501" s="7"/>
      <c r="I1501" s="7"/>
      <c r="J1501" s="39"/>
      <c r="L1501" s="16" t="str">
        <f t="shared" si="889"/>
        <v/>
      </c>
      <c r="M1501" s="16" t="str">
        <f t="shared" si="890"/>
        <v/>
      </c>
      <c r="N1501" s="16" t="str">
        <f t="shared" si="891"/>
        <v/>
      </c>
      <c r="O1501" s="16" t="str">
        <f>IF(N1501="","",COUNTIF($N$8:N1501,N1501))</f>
        <v/>
      </c>
      <c r="P1501" s="34" t="str">
        <f t="shared" si="892"/>
        <v/>
      </c>
      <c r="Q1501" s="34" t="str">
        <f t="shared" si="893"/>
        <v/>
      </c>
      <c r="R1501" s="34" t="str">
        <f t="shared" si="894"/>
        <v/>
      </c>
      <c r="S1501" s="34" t="str">
        <f t="shared" si="895"/>
        <v/>
      </c>
      <c r="T1501" s="34" t="str">
        <f t="shared" si="896"/>
        <v/>
      </c>
      <c r="U1501" s="34" t="str">
        <f>IF(AND(L1501=1,bp_kode=T1501,T1501&lt;&gt;""),COUNTIF($T$8:T1501,T1501),"")</f>
        <v/>
      </c>
      <c r="V1501" s="34" t="str">
        <f t="shared" si="897"/>
        <v/>
      </c>
      <c r="W1501" s="34" t="str">
        <f t="shared" si="898"/>
        <v/>
      </c>
      <c r="X1501" s="34" t="str">
        <f>IF(B1501="","",COUNTIF($C$8:C1501,C1501)&amp;C1501)</f>
        <v/>
      </c>
    </row>
    <row r="1502" spans="2:24" ht="23.1" customHeight="1">
      <c r="B1502" s="31"/>
      <c r="C1502" s="9"/>
      <c r="D1502" s="9"/>
      <c r="E1502" s="7"/>
      <c r="F1502" s="7"/>
      <c r="G1502" s="7"/>
      <c r="H1502" s="7"/>
      <c r="I1502" s="7"/>
      <c r="J1502" s="39"/>
      <c r="L1502" s="16" t="str">
        <f t="shared" si="889"/>
        <v/>
      </c>
      <c r="M1502" s="16" t="str">
        <f t="shared" si="890"/>
        <v/>
      </c>
      <c r="N1502" s="16" t="str">
        <f t="shared" si="891"/>
        <v/>
      </c>
      <c r="O1502" s="16" t="str">
        <f>IF(N1502="","",COUNTIF($N$8:N1502,N1502))</f>
        <v/>
      </c>
      <c r="P1502" s="34" t="str">
        <f t="shared" si="892"/>
        <v/>
      </c>
      <c r="Q1502" s="34" t="str">
        <f t="shared" si="893"/>
        <v/>
      </c>
      <c r="R1502" s="34" t="str">
        <f t="shared" si="894"/>
        <v/>
      </c>
      <c r="S1502" s="34" t="str">
        <f t="shared" si="895"/>
        <v/>
      </c>
      <c r="T1502" s="34" t="str">
        <f t="shared" si="896"/>
        <v/>
      </c>
      <c r="U1502" s="34" t="str">
        <f>IF(AND(L1502=1,bp_kode=T1502,T1502&lt;&gt;""),COUNTIF($T$8:T1502,T1502),"")</f>
        <v/>
      </c>
      <c r="V1502" s="34" t="str">
        <f t="shared" si="897"/>
        <v/>
      </c>
      <c r="W1502" s="34" t="str">
        <f t="shared" si="898"/>
        <v/>
      </c>
      <c r="X1502" s="34" t="str">
        <f>IF(B1502="","",COUNTIF($C$8:C1502,C1502)&amp;C1502)</f>
        <v/>
      </c>
    </row>
    <row r="1503" spans="2:24" ht="23.1" customHeight="1">
      <c r="B1503" s="31"/>
      <c r="C1503" s="9"/>
      <c r="D1503" s="9"/>
      <c r="E1503" s="7"/>
      <c r="F1503" s="7"/>
      <c r="G1503" s="7"/>
      <c r="H1503" s="7"/>
      <c r="I1503" s="7"/>
      <c r="J1503" s="39"/>
      <c r="L1503" s="16" t="str">
        <f t="shared" si="889"/>
        <v/>
      </c>
      <c r="M1503" s="16" t="str">
        <f t="shared" si="890"/>
        <v/>
      </c>
      <c r="N1503" s="16" t="str">
        <f t="shared" si="891"/>
        <v/>
      </c>
      <c r="O1503" s="16" t="str">
        <f>IF(N1503="","",COUNTIF($N$8:N1503,N1503))</f>
        <v/>
      </c>
      <c r="P1503" s="34" t="str">
        <f t="shared" si="892"/>
        <v/>
      </c>
      <c r="Q1503" s="34" t="str">
        <f t="shared" si="893"/>
        <v/>
      </c>
      <c r="R1503" s="34" t="str">
        <f t="shared" si="894"/>
        <v/>
      </c>
      <c r="S1503" s="34" t="str">
        <f t="shared" si="895"/>
        <v/>
      </c>
      <c r="T1503" s="34" t="str">
        <f t="shared" si="896"/>
        <v/>
      </c>
      <c r="U1503" s="34" t="str">
        <f>IF(AND(L1503=1,bp_kode=T1503,T1503&lt;&gt;""),COUNTIF($T$8:T1503,T1503),"")</f>
        <v/>
      </c>
      <c r="V1503" s="34" t="str">
        <f t="shared" si="897"/>
        <v/>
      </c>
      <c r="W1503" s="34" t="str">
        <f t="shared" si="898"/>
        <v/>
      </c>
      <c r="X1503" s="34" t="str">
        <f>IF(B1503="","",COUNTIF($C$8:C1503,C1503)&amp;C1503)</f>
        <v/>
      </c>
    </row>
    <row r="1504" spans="2:24" ht="23.1" customHeight="1">
      <c r="B1504" s="31"/>
      <c r="C1504" s="9"/>
      <c r="D1504" s="9"/>
      <c r="E1504" s="7"/>
      <c r="F1504" s="7"/>
      <c r="G1504" s="7"/>
      <c r="H1504" s="7"/>
      <c r="I1504" s="7"/>
      <c r="J1504" s="39"/>
      <c r="L1504" s="16" t="str">
        <f t="shared" si="889"/>
        <v/>
      </c>
      <c r="M1504" s="16" t="str">
        <f t="shared" si="890"/>
        <v/>
      </c>
      <c r="N1504" s="16" t="str">
        <f t="shared" si="891"/>
        <v/>
      </c>
      <c r="O1504" s="16" t="str">
        <f>IF(N1504="","",COUNTIF($N$8:N1504,N1504))</f>
        <v/>
      </c>
      <c r="P1504" s="34" t="str">
        <f t="shared" si="892"/>
        <v/>
      </c>
      <c r="Q1504" s="34" t="str">
        <f t="shared" si="893"/>
        <v/>
      </c>
      <c r="R1504" s="34" t="str">
        <f t="shared" si="894"/>
        <v/>
      </c>
      <c r="S1504" s="34" t="str">
        <f t="shared" si="895"/>
        <v/>
      </c>
      <c r="T1504" s="34" t="str">
        <f t="shared" si="896"/>
        <v/>
      </c>
      <c r="U1504" s="34" t="str">
        <f>IF(AND(L1504=1,bp_kode=T1504,T1504&lt;&gt;""),COUNTIF($T$8:T1504,T1504),"")</f>
        <v/>
      </c>
      <c r="V1504" s="34" t="str">
        <f t="shared" si="897"/>
        <v/>
      </c>
      <c r="W1504" s="34" t="str">
        <f t="shared" si="898"/>
        <v/>
      </c>
      <c r="X1504" s="34" t="str">
        <f>IF(B1504="","",COUNTIF($C$8:C1504,C1504)&amp;C1504)</f>
        <v/>
      </c>
    </row>
    <row r="1505" spans="2:24" ht="23.1" customHeight="1">
      <c r="B1505" s="31"/>
      <c r="C1505" s="9"/>
      <c r="D1505" s="9"/>
      <c r="E1505" s="7"/>
      <c r="F1505" s="7"/>
      <c r="G1505" s="7"/>
      <c r="H1505" s="7"/>
      <c r="I1505" s="7"/>
      <c r="J1505" s="39"/>
      <c r="L1505" s="16" t="str">
        <f t="shared" si="889"/>
        <v/>
      </c>
      <c r="M1505" s="16" t="str">
        <f t="shared" si="890"/>
        <v/>
      </c>
      <c r="N1505" s="16" t="str">
        <f t="shared" si="891"/>
        <v/>
      </c>
      <c r="O1505" s="16" t="str">
        <f>IF(N1505="","",COUNTIF($N$8:N1505,N1505))</f>
        <v/>
      </c>
      <c r="P1505" s="34" t="str">
        <f t="shared" si="892"/>
        <v/>
      </c>
      <c r="Q1505" s="34" t="str">
        <f t="shared" si="893"/>
        <v/>
      </c>
      <c r="R1505" s="34" t="str">
        <f t="shared" si="894"/>
        <v/>
      </c>
      <c r="S1505" s="34" t="str">
        <f t="shared" si="895"/>
        <v/>
      </c>
      <c r="T1505" s="34" t="str">
        <f t="shared" si="896"/>
        <v/>
      </c>
      <c r="U1505" s="34" t="str">
        <f>IF(AND(L1505=1,bp_kode=T1505,T1505&lt;&gt;""),COUNTIF($T$8:T1505,T1505),"")</f>
        <v/>
      </c>
      <c r="V1505" s="34" t="str">
        <f t="shared" si="897"/>
        <v/>
      </c>
      <c r="W1505" s="34" t="str">
        <f t="shared" si="898"/>
        <v/>
      </c>
      <c r="X1505" s="34" t="str">
        <f>IF(B1505="","",COUNTIF($C$8:C1505,C1505)&amp;C1505)</f>
        <v/>
      </c>
    </row>
    <row r="1506" spans="2:24" ht="23.1" customHeight="1">
      <c r="B1506" s="31"/>
      <c r="C1506" s="9"/>
      <c r="D1506" s="9"/>
      <c r="E1506" s="7"/>
      <c r="F1506" s="7"/>
      <c r="G1506" s="7"/>
      <c r="H1506" s="7"/>
      <c r="I1506" s="7"/>
      <c r="J1506" s="39"/>
      <c r="L1506" s="16" t="str">
        <f t="shared" si="889"/>
        <v/>
      </c>
      <c r="M1506" s="16" t="str">
        <f t="shared" si="890"/>
        <v/>
      </c>
      <c r="N1506" s="16" t="str">
        <f t="shared" si="891"/>
        <v/>
      </c>
      <c r="O1506" s="16" t="str">
        <f>IF(N1506="","",COUNTIF($N$8:N1506,N1506))</f>
        <v/>
      </c>
      <c r="P1506" s="34" t="str">
        <f t="shared" si="892"/>
        <v/>
      </c>
      <c r="Q1506" s="34" t="str">
        <f t="shared" si="893"/>
        <v/>
      </c>
      <c r="R1506" s="34" t="str">
        <f t="shared" si="894"/>
        <v/>
      </c>
      <c r="S1506" s="34" t="str">
        <f t="shared" si="895"/>
        <v/>
      </c>
      <c r="T1506" s="34" t="str">
        <f t="shared" si="896"/>
        <v/>
      </c>
      <c r="U1506" s="34" t="str">
        <f>IF(AND(L1506=1,bp_kode=T1506,T1506&lt;&gt;""),COUNTIF($T$8:T1506,T1506),"")</f>
        <v/>
      </c>
      <c r="V1506" s="34" t="str">
        <f t="shared" si="897"/>
        <v/>
      </c>
      <c r="W1506" s="34" t="str">
        <f t="shared" si="898"/>
        <v/>
      </c>
      <c r="X1506" s="34" t="str">
        <f>IF(B1506="","",COUNTIF($C$8:C1506,C1506)&amp;C1506)</f>
        <v/>
      </c>
    </row>
    <row r="1507" spans="2:24" ht="23.1" customHeight="1">
      <c r="B1507" s="31"/>
      <c r="C1507" s="9"/>
      <c r="D1507" s="9"/>
      <c r="E1507" s="7"/>
      <c r="F1507" s="7"/>
      <c r="G1507" s="7"/>
      <c r="H1507" s="7"/>
      <c r="I1507" s="7"/>
      <c r="J1507" s="39"/>
      <c r="L1507" s="16" t="str">
        <f t="shared" si="889"/>
        <v/>
      </c>
      <c r="M1507" s="16" t="str">
        <f t="shared" si="890"/>
        <v/>
      </c>
      <c r="N1507" s="16" t="str">
        <f t="shared" si="891"/>
        <v/>
      </c>
      <c r="O1507" s="16" t="str">
        <f>IF(N1507="","",COUNTIF($N$8:N1507,N1507))</f>
        <v/>
      </c>
      <c r="P1507" s="34" t="str">
        <f t="shared" si="892"/>
        <v/>
      </c>
      <c r="Q1507" s="34" t="str">
        <f t="shared" si="893"/>
        <v/>
      </c>
      <c r="R1507" s="34" t="str">
        <f t="shared" si="894"/>
        <v/>
      </c>
      <c r="S1507" s="34" t="str">
        <f t="shared" si="895"/>
        <v/>
      </c>
      <c r="T1507" s="34" t="str">
        <f t="shared" si="896"/>
        <v/>
      </c>
      <c r="U1507" s="34" t="str">
        <f>IF(AND(L1507=1,bp_kode=T1507,T1507&lt;&gt;""),COUNTIF($T$8:T1507,T1507),"")</f>
        <v/>
      </c>
      <c r="V1507" s="34" t="str">
        <f t="shared" si="897"/>
        <v/>
      </c>
      <c r="W1507" s="34" t="str">
        <f t="shared" si="898"/>
        <v/>
      </c>
      <c r="X1507" s="34" t="str">
        <f>IF(B1507="","",COUNTIF($C$8:C1507,C1507)&amp;C1507)</f>
        <v/>
      </c>
    </row>
    <row r="1508" spans="2:24" ht="23.1" customHeight="1">
      <c r="B1508" s="31"/>
      <c r="C1508" s="9"/>
      <c r="D1508" s="9"/>
      <c r="E1508" s="7"/>
      <c r="F1508" s="7"/>
      <c r="G1508" s="7"/>
      <c r="H1508" s="7"/>
      <c r="I1508" s="7"/>
      <c r="J1508" s="39"/>
      <c r="L1508" s="16" t="str">
        <f t="shared" si="889"/>
        <v/>
      </c>
      <c r="M1508" s="16" t="str">
        <f t="shared" si="890"/>
        <v/>
      </c>
      <c r="N1508" s="16" t="str">
        <f t="shared" si="891"/>
        <v/>
      </c>
      <c r="O1508" s="16" t="str">
        <f>IF(N1508="","",COUNTIF($N$8:N1508,N1508))</f>
        <v/>
      </c>
      <c r="P1508" s="34" t="str">
        <f t="shared" si="892"/>
        <v/>
      </c>
      <c r="Q1508" s="34" t="str">
        <f t="shared" si="893"/>
        <v/>
      </c>
      <c r="R1508" s="34" t="str">
        <f t="shared" si="894"/>
        <v/>
      </c>
      <c r="S1508" s="34" t="str">
        <f t="shared" si="895"/>
        <v/>
      </c>
      <c r="T1508" s="34" t="str">
        <f t="shared" si="896"/>
        <v/>
      </c>
      <c r="U1508" s="34" t="str">
        <f>IF(AND(L1508=1,bp_kode=T1508,T1508&lt;&gt;""),COUNTIF($T$8:T1508,T1508),"")</f>
        <v/>
      </c>
      <c r="V1508" s="34" t="str">
        <f t="shared" si="897"/>
        <v/>
      </c>
      <c r="W1508" s="34" t="str">
        <f t="shared" si="898"/>
        <v/>
      </c>
      <c r="X1508" s="34" t="str">
        <f>IF(B1508="","",COUNTIF($C$8:C1508,C1508)&amp;C1508)</f>
        <v/>
      </c>
    </row>
    <row r="1509" spans="2:24" ht="23.1" customHeight="1">
      <c r="B1509" s="31"/>
      <c r="C1509" s="9"/>
      <c r="D1509" s="9"/>
      <c r="E1509" s="7"/>
      <c r="F1509" s="7"/>
      <c r="G1509" s="7"/>
      <c r="H1509" s="7"/>
      <c r="I1509" s="7"/>
      <c r="J1509" s="39"/>
      <c r="L1509" s="16" t="str">
        <f t="shared" si="889"/>
        <v/>
      </c>
      <c r="M1509" s="16" t="str">
        <f t="shared" si="890"/>
        <v/>
      </c>
      <c r="N1509" s="16" t="str">
        <f t="shared" si="891"/>
        <v/>
      </c>
      <c r="O1509" s="16" t="str">
        <f>IF(N1509="","",COUNTIF($N$8:N1509,N1509))</f>
        <v/>
      </c>
      <c r="P1509" s="34" t="str">
        <f t="shared" si="892"/>
        <v/>
      </c>
      <c r="Q1509" s="34" t="str">
        <f t="shared" si="893"/>
        <v/>
      </c>
      <c r="R1509" s="34" t="str">
        <f t="shared" si="894"/>
        <v/>
      </c>
      <c r="S1509" s="34" t="str">
        <f t="shared" si="895"/>
        <v/>
      </c>
      <c r="T1509" s="34" t="str">
        <f t="shared" si="896"/>
        <v/>
      </c>
      <c r="U1509" s="34" t="str">
        <f>IF(AND(L1509=1,bp_kode=T1509,T1509&lt;&gt;""),COUNTIF($T$8:T1509,T1509),"")</f>
        <v/>
      </c>
      <c r="V1509" s="34" t="str">
        <f t="shared" si="897"/>
        <v/>
      </c>
      <c r="W1509" s="34" t="str">
        <f t="shared" si="898"/>
        <v/>
      </c>
      <c r="X1509" s="34" t="str">
        <f>IF(B1509="","",COUNTIF($C$8:C1509,C1509)&amp;C1509)</f>
        <v/>
      </c>
    </row>
    <row r="1510" spans="2:24" ht="23.1" customHeight="1">
      <c r="B1510" s="31"/>
      <c r="C1510" s="9"/>
      <c r="D1510" s="9"/>
      <c r="E1510" s="7"/>
      <c r="F1510" s="7"/>
      <c r="G1510" s="7"/>
      <c r="H1510" s="7"/>
      <c r="I1510" s="7"/>
      <c r="J1510" s="39"/>
      <c r="L1510" s="16" t="str">
        <f t="shared" si="889"/>
        <v/>
      </c>
      <c r="M1510" s="16" t="str">
        <f t="shared" si="890"/>
        <v/>
      </c>
      <c r="N1510" s="16" t="str">
        <f t="shared" si="891"/>
        <v/>
      </c>
      <c r="O1510" s="16" t="str">
        <f>IF(N1510="","",COUNTIF($N$8:N1510,N1510))</f>
        <v/>
      </c>
      <c r="P1510" s="34" t="str">
        <f t="shared" si="892"/>
        <v/>
      </c>
      <c r="Q1510" s="34" t="str">
        <f t="shared" si="893"/>
        <v/>
      </c>
      <c r="R1510" s="34" t="str">
        <f t="shared" si="894"/>
        <v/>
      </c>
      <c r="S1510" s="34" t="str">
        <f t="shared" si="895"/>
        <v/>
      </c>
      <c r="T1510" s="34" t="str">
        <f t="shared" si="896"/>
        <v/>
      </c>
      <c r="U1510" s="34" t="str">
        <f>IF(AND(L1510=1,bp_kode=T1510,T1510&lt;&gt;""),COUNTIF($T$8:T1510,T1510),"")</f>
        <v/>
      </c>
      <c r="V1510" s="34" t="str">
        <f t="shared" si="897"/>
        <v/>
      </c>
      <c r="W1510" s="34" t="str">
        <f t="shared" si="898"/>
        <v/>
      </c>
      <c r="X1510" s="34" t="str">
        <f>IF(B1510="","",COUNTIF($C$8:C1510,C1510)&amp;C1510)</f>
        <v/>
      </c>
    </row>
    <row r="1511" spans="2:24" ht="23.1" customHeight="1">
      <c r="B1511" s="31"/>
      <c r="C1511" s="9"/>
      <c r="D1511" s="9"/>
      <c r="E1511" s="7"/>
      <c r="F1511" s="7"/>
      <c r="G1511" s="7"/>
      <c r="H1511" s="7"/>
      <c r="I1511" s="7"/>
      <c r="J1511" s="39"/>
      <c r="L1511" s="16" t="str">
        <f t="shared" si="889"/>
        <v/>
      </c>
      <c r="M1511" s="16" t="str">
        <f t="shared" si="890"/>
        <v/>
      </c>
      <c r="N1511" s="16" t="str">
        <f t="shared" si="891"/>
        <v/>
      </c>
      <c r="O1511" s="16" t="str">
        <f>IF(N1511="","",COUNTIF($N$8:N1511,N1511))</f>
        <v/>
      </c>
      <c r="P1511" s="34" t="str">
        <f t="shared" si="892"/>
        <v/>
      </c>
      <c r="Q1511" s="34" t="str">
        <f t="shared" si="893"/>
        <v/>
      </c>
      <c r="R1511" s="34" t="str">
        <f t="shared" si="894"/>
        <v/>
      </c>
      <c r="S1511" s="34" t="str">
        <f t="shared" si="895"/>
        <v/>
      </c>
      <c r="T1511" s="34" t="str">
        <f t="shared" si="896"/>
        <v/>
      </c>
      <c r="U1511" s="34" t="str">
        <f>IF(AND(L1511=1,bp_kode=T1511,T1511&lt;&gt;""),COUNTIF($T$8:T1511,T1511),"")</f>
        <v/>
      </c>
      <c r="V1511" s="34" t="str">
        <f t="shared" si="897"/>
        <v/>
      </c>
      <c r="W1511" s="34" t="str">
        <f t="shared" si="898"/>
        <v/>
      </c>
      <c r="X1511" s="34" t="str">
        <f>IF(B1511="","",COUNTIF($C$8:C1511,C1511)&amp;C1511)</f>
        <v/>
      </c>
    </row>
    <row r="1512" spans="2:24" ht="23.1" customHeight="1">
      <c r="B1512" s="31"/>
      <c r="C1512" s="9"/>
      <c r="D1512" s="9"/>
      <c r="E1512" s="7"/>
      <c r="F1512" s="7"/>
      <c r="G1512" s="7"/>
      <c r="H1512" s="7"/>
      <c r="I1512" s="7"/>
      <c r="J1512" s="39"/>
      <c r="L1512" s="16" t="str">
        <f t="shared" si="889"/>
        <v/>
      </c>
      <c r="M1512" s="16" t="str">
        <f t="shared" si="890"/>
        <v/>
      </c>
      <c r="N1512" s="16" t="str">
        <f t="shared" si="891"/>
        <v/>
      </c>
      <c r="O1512" s="16" t="str">
        <f>IF(N1512="","",COUNTIF($N$8:N1512,N1512))</f>
        <v/>
      </c>
      <c r="P1512" s="34" t="str">
        <f t="shared" si="892"/>
        <v/>
      </c>
      <c r="Q1512" s="34" t="str">
        <f t="shared" si="893"/>
        <v/>
      </c>
      <c r="R1512" s="34" t="str">
        <f t="shared" si="894"/>
        <v/>
      </c>
      <c r="S1512" s="34" t="str">
        <f t="shared" si="895"/>
        <v/>
      </c>
      <c r="T1512" s="34" t="str">
        <f t="shared" si="896"/>
        <v/>
      </c>
      <c r="U1512" s="34" t="str">
        <f>IF(AND(L1512=1,bp_kode=T1512,T1512&lt;&gt;""),COUNTIF($T$8:T1512,T1512),"")</f>
        <v/>
      </c>
      <c r="V1512" s="34" t="str">
        <f t="shared" si="897"/>
        <v/>
      </c>
      <c r="W1512" s="34" t="str">
        <f t="shared" si="898"/>
        <v/>
      </c>
      <c r="X1512" s="34" t="str">
        <f>IF(B1512="","",COUNTIF($C$8:C1512,C1512)&amp;C1512)</f>
        <v/>
      </c>
    </row>
    <row r="1513" spans="2:24" ht="23.1" customHeight="1">
      <c r="B1513" s="31"/>
      <c r="C1513" s="9"/>
      <c r="D1513" s="9"/>
      <c r="E1513" s="7"/>
      <c r="F1513" s="7"/>
      <c r="G1513" s="7"/>
      <c r="H1513" s="7"/>
      <c r="I1513" s="7"/>
      <c r="J1513" s="39"/>
      <c r="L1513" s="16" t="str">
        <f t="shared" si="889"/>
        <v/>
      </c>
      <c r="M1513" s="16" t="str">
        <f t="shared" si="890"/>
        <v/>
      </c>
      <c r="N1513" s="16" t="str">
        <f t="shared" si="891"/>
        <v/>
      </c>
      <c r="O1513" s="16" t="str">
        <f>IF(N1513="","",COUNTIF($N$8:N1513,N1513))</f>
        <v/>
      </c>
      <c r="P1513" s="34" t="str">
        <f t="shared" si="892"/>
        <v/>
      </c>
      <c r="Q1513" s="34" t="str">
        <f t="shared" si="893"/>
        <v/>
      </c>
      <c r="R1513" s="34" t="str">
        <f t="shared" si="894"/>
        <v/>
      </c>
      <c r="S1513" s="34" t="str">
        <f t="shared" si="895"/>
        <v/>
      </c>
      <c r="T1513" s="34" t="str">
        <f t="shared" si="896"/>
        <v/>
      </c>
      <c r="U1513" s="34" t="str">
        <f>IF(AND(L1513=1,bp_kode=T1513,T1513&lt;&gt;""),COUNTIF($T$8:T1513,T1513),"")</f>
        <v/>
      </c>
      <c r="V1513" s="34" t="str">
        <f t="shared" si="897"/>
        <v/>
      </c>
      <c r="W1513" s="34" t="str">
        <f t="shared" si="898"/>
        <v/>
      </c>
      <c r="X1513" s="34" t="str">
        <f>IF(B1513="","",COUNTIF($C$8:C1513,C1513)&amp;C1513)</f>
        <v/>
      </c>
    </row>
    <row r="1514" spans="2:24" ht="23.1" customHeight="1">
      <c r="B1514" s="31"/>
      <c r="C1514" s="9"/>
      <c r="D1514" s="9"/>
      <c r="E1514" s="7"/>
      <c r="F1514" s="7"/>
      <c r="G1514" s="7"/>
      <c r="H1514" s="7"/>
      <c r="I1514" s="7"/>
      <c r="J1514" s="39"/>
      <c r="L1514" s="16" t="str">
        <f t="shared" si="889"/>
        <v/>
      </c>
      <c r="M1514" s="16" t="str">
        <f t="shared" si="890"/>
        <v/>
      </c>
      <c r="N1514" s="16" t="str">
        <f t="shared" si="891"/>
        <v/>
      </c>
      <c r="O1514" s="16" t="str">
        <f>IF(N1514="","",COUNTIF($N$8:N1514,N1514))</f>
        <v/>
      </c>
      <c r="P1514" s="34" t="str">
        <f t="shared" si="892"/>
        <v/>
      </c>
      <c r="Q1514" s="34" t="str">
        <f t="shared" si="893"/>
        <v/>
      </c>
      <c r="R1514" s="34" t="str">
        <f t="shared" si="894"/>
        <v/>
      </c>
      <c r="S1514" s="34" t="str">
        <f t="shared" si="895"/>
        <v/>
      </c>
      <c r="T1514" s="34" t="str">
        <f t="shared" si="896"/>
        <v/>
      </c>
      <c r="U1514" s="34" t="str">
        <f>IF(AND(L1514=1,bp_kode=T1514,T1514&lt;&gt;""),COUNTIF($T$8:T1514,T1514),"")</f>
        <v/>
      </c>
      <c r="V1514" s="34" t="str">
        <f t="shared" si="897"/>
        <v/>
      </c>
      <c r="W1514" s="34" t="str">
        <f t="shared" si="898"/>
        <v/>
      </c>
      <c r="X1514" s="34" t="str">
        <f>IF(B1514="","",COUNTIF($C$8:C1514,C1514)&amp;C1514)</f>
        <v/>
      </c>
    </row>
    <row r="1515" spans="2:24" ht="23.1" customHeight="1">
      <c r="B1515" s="31"/>
      <c r="C1515" s="9"/>
      <c r="D1515" s="9"/>
      <c r="E1515" s="7"/>
      <c r="F1515" s="7"/>
      <c r="G1515" s="7"/>
      <c r="H1515" s="7"/>
      <c r="I1515" s="7"/>
      <c r="J1515" s="39"/>
      <c r="L1515" s="16" t="str">
        <f t="shared" si="889"/>
        <v/>
      </c>
      <c r="M1515" s="16" t="str">
        <f t="shared" si="890"/>
        <v/>
      </c>
      <c r="N1515" s="16" t="str">
        <f t="shared" si="891"/>
        <v/>
      </c>
      <c r="O1515" s="16" t="str">
        <f>IF(N1515="","",COUNTIF($N$8:N1515,N1515))</f>
        <v/>
      </c>
      <c r="P1515" s="34" t="str">
        <f t="shared" si="892"/>
        <v/>
      </c>
      <c r="Q1515" s="34" t="str">
        <f t="shared" si="893"/>
        <v/>
      </c>
      <c r="R1515" s="34" t="str">
        <f t="shared" si="894"/>
        <v/>
      </c>
      <c r="S1515" s="34" t="str">
        <f t="shared" si="895"/>
        <v/>
      </c>
      <c r="T1515" s="34" t="str">
        <f t="shared" si="896"/>
        <v/>
      </c>
      <c r="U1515" s="34" t="str">
        <f>IF(AND(L1515=1,bp_kode=T1515,T1515&lt;&gt;""),COUNTIF($T$8:T1515,T1515),"")</f>
        <v/>
      </c>
      <c r="V1515" s="34" t="str">
        <f t="shared" si="897"/>
        <v/>
      </c>
      <c r="W1515" s="34" t="str">
        <f t="shared" si="898"/>
        <v/>
      </c>
      <c r="X1515" s="34" t="str">
        <f>IF(B1515="","",COUNTIF($C$8:C1515,C1515)&amp;C1515)</f>
        <v/>
      </c>
    </row>
    <row r="1516" spans="2:24" ht="23.1" customHeight="1">
      <c r="B1516" s="31"/>
      <c r="C1516" s="9"/>
      <c r="D1516" s="9"/>
      <c r="E1516" s="7"/>
      <c r="F1516" s="7"/>
      <c r="G1516" s="7"/>
      <c r="H1516" s="7"/>
      <c r="I1516" s="7"/>
      <c r="J1516" s="39"/>
      <c r="L1516" s="16" t="str">
        <f t="shared" si="889"/>
        <v/>
      </c>
      <c r="M1516" s="16" t="str">
        <f t="shared" si="890"/>
        <v/>
      </c>
      <c r="N1516" s="16" t="str">
        <f t="shared" si="891"/>
        <v/>
      </c>
      <c r="O1516" s="16" t="str">
        <f>IF(N1516="","",COUNTIF($N$8:N1516,N1516))</f>
        <v/>
      </c>
      <c r="P1516" s="34" t="str">
        <f t="shared" si="892"/>
        <v/>
      </c>
      <c r="Q1516" s="34" t="str">
        <f t="shared" si="893"/>
        <v/>
      </c>
      <c r="R1516" s="34" t="str">
        <f t="shared" si="894"/>
        <v/>
      </c>
      <c r="S1516" s="34" t="str">
        <f t="shared" si="895"/>
        <v/>
      </c>
      <c r="T1516" s="34" t="str">
        <f t="shared" si="896"/>
        <v/>
      </c>
      <c r="U1516" s="34" t="str">
        <f>IF(AND(L1516=1,bp_kode=T1516,T1516&lt;&gt;""),COUNTIF($T$8:T1516,T1516),"")</f>
        <v/>
      </c>
      <c r="V1516" s="34" t="str">
        <f t="shared" si="897"/>
        <v/>
      </c>
      <c r="W1516" s="34" t="str">
        <f t="shared" si="898"/>
        <v/>
      </c>
      <c r="X1516" s="34" t="str">
        <f>IF(B1516="","",COUNTIF($C$8:C1516,C1516)&amp;C1516)</f>
        <v/>
      </c>
    </row>
    <row r="1517" spans="2:24" ht="23.1" customHeight="1">
      <c r="B1517" s="31"/>
      <c r="C1517" s="9"/>
      <c r="D1517" s="9"/>
      <c r="E1517" s="7"/>
      <c r="F1517" s="7"/>
      <c r="G1517" s="7"/>
      <c r="H1517" s="7"/>
      <c r="I1517" s="7"/>
      <c r="J1517" s="39"/>
      <c r="L1517" s="16" t="str">
        <f t="shared" si="889"/>
        <v/>
      </c>
      <c r="M1517" s="16" t="str">
        <f t="shared" si="890"/>
        <v/>
      </c>
      <c r="N1517" s="16" t="str">
        <f t="shared" si="891"/>
        <v/>
      </c>
      <c r="O1517" s="16" t="str">
        <f>IF(N1517="","",COUNTIF($N$8:N1517,N1517))</f>
        <v/>
      </c>
      <c r="P1517" s="34" t="str">
        <f t="shared" si="892"/>
        <v/>
      </c>
      <c r="Q1517" s="34" t="str">
        <f t="shared" si="893"/>
        <v/>
      </c>
      <c r="R1517" s="34" t="str">
        <f t="shared" si="894"/>
        <v/>
      </c>
      <c r="S1517" s="34" t="str">
        <f t="shared" si="895"/>
        <v/>
      </c>
      <c r="T1517" s="34" t="str">
        <f t="shared" si="896"/>
        <v/>
      </c>
      <c r="U1517" s="34" t="str">
        <f>IF(AND(L1517=1,bp_kode=T1517,T1517&lt;&gt;""),COUNTIF($T$8:T1517,T1517),"")</f>
        <v/>
      </c>
      <c r="V1517" s="34" t="str">
        <f t="shared" si="897"/>
        <v/>
      </c>
      <c r="W1517" s="34" t="str">
        <f t="shared" si="898"/>
        <v/>
      </c>
      <c r="X1517" s="34" t="str">
        <f>IF(B1517="","",COUNTIF($C$8:C1517,C1517)&amp;C1517)</f>
        <v/>
      </c>
    </row>
    <row r="1518" spans="2:24" ht="23.1" customHeight="1">
      <c r="B1518" s="31"/>
      <c r="C1518" s="9"/>
      <c r="D1518" s="9"/>
      <c r="E1518" s="7"/>
      <c r="F1518" s="7"/>
      <c r="G1518" s="7"/>
      <c r="H1518" s="7"/>
      <c r="I1518" s="7"/>
      <c r="J1518" s="39"/>
      <c r="L1518" s="16" t="str">
        <f t="shared" si="889"/>
        <v/>
      </c>
      <c r="M1518" s="16" t="str">
        <f t="shared" si="890"/>
        <v/>
      </c>
      <c r="N1518" s="16" t="str">
        <f t="shared" si="891"/>
        <v/>
      </c>
      <c r="O1518" s="16" t="str">
        <f>IF(N1518="","",COUNTIF($N$8:N1518,N1518))</f>
        <v/>
      </c>
      <c r="P1518" s="34" t="str">
        <f t="shared" si="892"/>
        <v/>
      </c>
      <c r="Q1518" s="34" t="str">
        <f t="shared" si="893"/>
        <v/>
      </c>
      <c r="R1518" s="34" t="str">
        <f t="shared" si="894"/>
        <v/>
      </c>
      <c r="S1518" s="34" t="str">
        <f t="shared" si="895"/>
        <v/>
      </c>
      <c r="T1518" s="34" t="str">
        <f t="shared" si="896"/>
        <v/>
      </c>
      <c r="U1518" s="34" t="str">
        <f>IF(AND(L1518=1,bp_kode=T1518,T1518&lt;&gt;""),COUNTIF($T$8:T1518,T1518),"")</f>
        <v/>
      </c>
      <c r="V1518" s="34" t="str">
        <f t="shared" si="897"/>
        <v/>
      </c>
      <c r="W1518" s="34" t="str">
        <f t="shared" si="898"/>
        <v/>
      </c>
      <c r="X1518" s="34" t="str">
        <f>IF(B1518="","",COUNTIF($C$8:C1518,C1518)&amp;C1518)</f>
        <v/>
      </c>
    </row>
    <row r="1519" spans="2:24" ht="23.1" customHeight="1">
      <c r="B1519" s="31"/>
      <c r="C1519" s="9"/>
      <c r="D1519" s="9"/>
      <c r="E1519" s="7"/>
      <c r="F1519" s="7"/>
      <c r="G1519" s="7"/>
      <c r="H1519" s="7"/>
      <c r="I1519" s="7"/>
      <c r="J1519" s="39"/>
      <c r="L1519" s="16" t="str">
        <f t="shared" si="889"/>
        <v/>
      </c>
      <c r="M1519" s="16" t="str">
        <f t="shared" si="890"/>
        <v/>
      </c>
      <c r="N1519" s="16" t="str">
        <f t="shared" si="891"/>
        <v/>
      </c>
      <c r="O1519" s="16" t="str">
        <f>IF(N1519="","",COUNTIF($N$8:N1519,N1519))</f>
        <v/>
      </c>
      <c r="P1519" s="34" t="str">
        <f t="shared" si="892"/>
        <v/>
      </c>
      <c r="Q1519" s="34" t="str">
        <f t="shared" si="893"/>
        <v/>
      </c>
      <c r="R1519" s="34" t="str">
        <f t="shared" si="894"/>
        <v/>
      </c>
      <c r="S1519" s="34" t="str">
        <f t="shared" si="895"/>
        <v/>
      </c>
      <c r="T1519" s="34" t="str">
        <f t="shared" si="896"/>
        <v/>
      </c>
      <c r="U1519" s="34" t="str">
        <f>IF(AND(L1519=1,bp_kode=T1519,T1519&lt;&gt;""),COUNTIF($T$8:T1519,T1519),"")</f>
        <v/>
      </c>
      <c r="V1519" s="34" t="str">
        <f t="shared" si="897"/>
        <v/>
      </c>
      <c r="W1519" s="34" t="str">
        <f t="shared" si="898"/>
        <v/>
      </c>
      <c r="X1519" s="34" t="str">
        <f>IF(B1519="","",COUNTIF($C$8:C1519,C1519)&amp;C1519)</f>
        <v/>
      </c>
    </row>
    <row r="1520" spans="2:24" ht="23.1" customHeight="1">
      <c r="B1520" s="31"/>
      <c r="C1520" s="9"/>
      <c r="D1520" s="9"/>
      <c r="E1520" s="7"/>
      <c r="F1520" s="7"/>
      <c r="G1520" s="7"/>
      <c r="H1520" s="7"/>
      <c r="I1520" s="7"/>
      <c r="J1520" s="39"/>
      <c r="L1520" s="16" t="str">
        <f t="shared" si="889"/>
        <v/>
      </c>
      <c r="M1520" s="16" t="str">
        <f t="shared" si="890"/>
        <v/>
      </c>
      <c r="N1520" s="16" t="str">
        <f t="shared" si="891"/>
        <v/>
      </c>
      <c r="O1520" s="16" t="str">
        <f>IF(N1520="","",COUNTIF($N$8:N1520,N1520))</f>
        <v/>
      </c>
      <c r="P1520" s="34" t="str">
        <f t="shared" si="892"/>
        <v/>
      </c>
      <c r="Q1520" s="34" t="str">
        <f t="shared" si="893"/>
        <v/>
      </c>
      <c r="R1520" s="34" t="str">
        <f t="shared" si="894"/>
        <v/>
      </c>
      <c r="S1520" s="34" t="str">
        <f t="shared" si="895"/>
        <v/>
      </c>
      <c r="T1520" s="34" t="str">
        <f t="shared" si="896"/>
        <v/>
      </c>
      <c r="U1520" s="34" t="str">
        <f>IF(AND(L1520=1,bp_kode=T1520,T1520&lt;&gt;""),COUNTIF($T$8:T1520,T1520),"")</f>
        <v/>
      </c>
      <c r="V1520" s="34" t="str">
        <f t="shared" si="897"/>
        <v/>
      </c>
      <c r="W1520" s="34" t="str">
        <f t="shared" si="898"/>
        <v/>
      </c>
      <c r="X1520" s="34" t="str">
        <f>IF(B1520="","",COUNTIF($C$8:C1520,C1520)&amp;C1520)</f>
        <v/>
      </c>
    </row>
    <row r="1521" spans="2:24" ht="23.1" customHeight="1">
      <c r="B1521" s="31"/>
      <c r="C1521" s="9"/>
      <c r="D1521" s="9"/>
      <c r="E1521" s="7"/>
      <c r="F1521" s="7"/>
      <c r="G1521" s="7"/>
      <c r="H1521" s="7"/>
      <c r="I1521" s="7"/>
      <c r="J1521" s="39"/>
      <c r="L1521" s="16" t="str">
        <f t="shared" si="889"/>
        <v/>
      </c>
      <c r="M1521" s="16" t="str">
        <f t="shared" si="890"/>
        <v/>
      </c>
      <c r="N1521" s="16" t="str">
        <f t="shared" si="891"/>
        <v/>
      </c>
      <c r="O1521" s="16" t="str">
        <f>IF(N1521="","",COUNTIF($N$8:N1521,N1521))</f>
        <v/>
      </c>
      <c r="P1521" s="34" t="str">
        <f t="shared" si="892"/>
        <v/>
      </c>
      <c r="Q1521" s="34" t="str">
        <f t="shared" si="893"/>
        <v/>
      </c>
      <c r="R1521" s="34" t="str">
        <f t="shared" si="894"/>
        <v/>
      </c>
      <c r="S1521" s="34" t="str">
        <f t="shared" si="895"/>
        <v/>
      </c>
      <c r="T1521" s="34" t="str">
        <f t="shared" si="896"/>
        <v/>
      </c>
      <c r="U1521" s="34" t="str">
        <f>IF(AND(L1521=1,bp_kode=T1521,T1521&lt;&gt;""),COUNTIF($T$8:T1521,T1521),"")</f>
        <v/>
      </c>
      <c r="V1521" s="34" t="str">
        <f t="shared" si="897"/>
        <v/>
      </c>
      <c r="W1521" s="34" t="str">
        <f t="shared" si="898"/>
        <v/>
      </c>
      <c r="X1521" s="34" t="str">
        <f>IF(B1521="","",COUNTIF($C$8:C1521,C1521)&amp;C1521)</f>
        <v/>
      </c>
    </row>
    <row r="1522" spans="2:24" ht="23.1" customHeight="1">
      <c r="B1522" s="31"/>
      <c r="C1522" s="9"/>
      <c r="D1522" s="9"/>
      <c r="E1522" s="7"/>
      <c r="F1522" s="7"/>
      <c r="G1522" s="7"/>
      <c r="H1522" s="7"/>
      <c r="I1522" s="7"/>
      <c r="J1522" s="39"/>
      <c r="L1522" s="16" t="str">
        <f t="shared" si="889"/>
        <v/>
      </c>
      <c r="M1522" s="16" t="str">
        <f t="shared" si="890"/>
        <v/>
      </c>
      <c r="N1522" s="16" t="str">
        <f t="shared" si="891"/>
        <v/>
      </c>
      <c r="O1522" s="16" t="str">
        <f>IF(N1522="","",COUNTIF($N$8:N1522,N1522))</f>
        <v/>
      </c>
      <c r="P1522" s="34" t="str">
        <f t="shared" si="892"/>
        <v/>
      </c>
      <c r="Q1522" s="34" t="str">
        <f t="shared" si="893"/>
        <v/>
      </c>
      <c r="R1522" s="34" t="str">
        <f t="shared" si="894"/>
        <v/>
      </c>
      <c r="S1522" s="34" t="str">
        <f t="shared" si="895"/>
        <v/>
      </c>
      <c r="T1522" s="34" t="str">
        <f t="shared" si="896"/>
        <v/>
      </c>
      <c r="U1522" s="34" t="str">
        <f>IF(AND(L1522=1,bp_kode=T1522,T1522&lt;&gt;""),COUNTIF($T$8:T1522,T1522),"")</f>
        <v/>
      </c>
      <c r="V1522" s="34" t="str">
        <f t="shared" si="897"/>
        <v/>
      </c>
      <c r="W1522" s="34" t="str">
        <f t="shared" si="898"/>
        <v/>
      </c>
      <c r="X1522" s="34" t="str">
        <f>IF(B1522="","",COUNTIF($C$8:C1522,C1522)&amp;C1522)</f>
        <v/>
      </c>
    </row>
    <row r="1523" spans="2:24" ht="23.1" customHeight="1">
      <c r="B1523" s="31"/>
      <c r="C1523" s="9"/>
      <c r="D1523" s="9"/>
      <c r="E1523" s="7"/>
      <c r="F1523" s="7"/>
      <c r="G1523" s="7"/>
      <c r="H1523" s="7"/>
      <c r="I1523" s="7"/>
      <c r="J1523" s="39"/>
      <c r="L1523" s="16" t="str">
        <f t="shared" ref="L1523:L1552" si="899">IF(AND(B1523&gt;=awal,B1523&lt;=akhir,B1523&lt;&gt;""),1,IF(AND(B1523&lt;&gt;"",B1523&lt;awal),2,""))</f>
        <v/>
      </c>
      <c r="M1523" s="16" t="str">
        <f t="shared" ref="M1523:M1552" si="900">IF(B1523="","",TEXT(B1523,"mmmm"))</f>
        <v/>
      </c>
      <c r="N1523" s="16" t="str">
        <f t="shared" ref="N1523:N1552" si="901">IF(AND(L1523=1,H1523=bb_akun),"Awe",IF(AND(L1523=1,I1523=bb_akun),"Awe",""))</f>
        <v/>
      </c>
      <c r="O1523" s="16" t="str">
        <f>IF(N1523="","",COUNTIF($N$8:N1523,N1523))</f>
        <v/>
      </c>
      <c r="P1523" s="34" t="str">
        <f t="shared" ref="P1523:P1552" si="902">IFERROR(IF(OR(INDEX(akun_type,MATCH(H1523,akun_kb,0))="Kas",INDEX(akun_type,MATCH(H1523,akun_kb,0))="Bank"),"In"&amp;INDEX(akun_type,MATCH(I1523,akun_kb,0)),IF(OR(INDEX(akun_type,MATCH(I1523,akun_kb,0))="Kas",INDEX(akun_type,MATCH(I1523,akun_kb,0))="Bank"),"out"&amp;INDEX(akun_type,MATCH(H1523,akun_kb,0)),"")),"")</f>
        <v/>
      </c>
      <c r="Q1523" s="34" t="str">
        <f t="shared" ref="Q1523:Q1552" si="903">IFERROR(IF(OR(INDEX(akun_type,MATCH(H1523,akun_kb,0))="Kas",INDEX(akun_type,MATCH(H1523,akun_kb,0))="Bank"),"in"&amp;TEXT(B1523,"mmmm")&amp;INDEX(akun_type,MATCH(I1523,akun_kb,0)),IF(OR(INDEX(akun_type,MATCH(I1523,akun_kb,0))="Kas",INDEX(akun_type,MATCH(I1523,akun_kb,0))="Bank"),"out"&amp;TEXT(B1523,"mmmm")&amp;INDEX(akun_type,MATCH(H1523,akun_kb,0)),"")),"")</f>
        <v/>
      </c>
      <c r="R1523" s="34" t="str">
        <f t="shared" ref="R1523:R1552" si="904">IFERROR(INDEX(akun_type,MATCH(H1523,akun_kb,0)),"")</f>
        <v/>
      </c>
      <c r="S1523" s="34" t="str">
        <f t="shared" ref="S1523:S1552" si="905">IFERROR(INDEX(akun_type,MATCH(I1523,akun_kb,0)),"")</f>
        <v/>
      </c>
      <c r="T1523" s="34" t="str">
        <f t="shared" ref="T1523:T1552" si="906">IF(AND(L1523=1,OR(R1523="Akun Piutang",R1523="akun hutang",S1523="akun piutang",S1523="akun hutang")),E1523,"")</f>
        <v/>
      </c>
      <c r="U1523" s="34" t="str">
        <f>IF(AND(L1523=1,bp_kode=T1523,T1523&lt;&gt;""),COUNTIF($T$8:T1523,T1523),"")</f>
        <v/>
      </c>
      <c r="V1523" s="34" t="str">
        <f t="shared" ref="V1523:V1552" si="907">IF(OR(R1523="Pendapatan",R1523="Pendapatan Lainnya",R1523="Beban",R1523="Harga Pokok Penjualan",R1523="Beban Lainnya"),"db"&amp;F1523,IF(OR(S1523="Pendapatan",S1523="Pendapatan Lainnya",S1523="Beban",S1523="Harga Pokok Penjualan",S1523="Beban Lainnya"),"kr"&amp;F1523,""))</f>
        <v/>
      </c>
      <c r="W1523" s="34" t="str">
        <f t="shared" ref="W1523:W1552" si="908">IF(OR(R1523="Pendapatan",R1523="Pendapatan Lainnya",R1523="Beban",R1523="Harga Pokok Penjualan",R1523="Beban Lainnya"),"db"&amp;G1523,IF(OR(S1523="Pendapatan",S1523="Pendapatan Lainnya",S1523="Beban",S1523="Harga Pokok Penjualan",S1523="Beban Lainnya"),"kr"&amp;G1523,""))</f>
        <v/>
      </c>
      <c r="X1523" s="34" t="str">
        <f>IF(B1523="","",COUNTIF($C$8:C1523,C1523)&amp;C1523)</f>
        <v/>
      </c>
    </row>
    <row r="1524" spans="2:24" ht="23.1" customHeight="1">
      <c r="B1524" s="31"/>
      <c r="C1524" s="9"/>
      <c r="D1524" s="9"/>
      <c r="E1524" s="7"/>
      <c r="F1524" s="7"/>
      <c r="G1524" s="7"/>
      <c r="H1524" s="7"/>
      <c r="I1524" s="7"/>
      <c r="J1524" s="39"/>
      <c r="L1524" s="16" t="str">
        <f t="shared" si="899"/>
        <v/>
      </c>
      <c r="M1524" s="16" t="str">
        <f t="shared" si="900"/>
        <v/>
      </c>
      <c r="N1524" s="16" t="str">
        <f t="shared" si="901"/>
        <v/>
      </c>
      <c r="O1524" s="16" t="str">
        <f>IF(N1524="","",COUNTIF($N$8:N1524,N1524))</f>
        <v/>
      </c>
      <c r="P1524" s="34" t="str">
        <f t="shared" si="902"/>
        <v/>
      </c>
      <c r="Q1524" s="34" t="str">
        <f t="shared" si="903"/>
        <v/>
      </c>
      <c r="R1524" s="34" t="str">
        <f t="shared" si="904"/>
        <v/>
      </c>
      <c r="S1524" s="34" t="str">
        <f t="shared" si="905"/>
        <v/>
      </c>
      <c r="T1524" s="34" t="str">
        <f t="shared" si="906"/>
        <v/>
      </c>
      <c r="U1524" s="34" t="str">
        <f>IF(AND(L1524=1,bp_kode=T1524,T1524&lt;&gt;""),COUNTIF($T$8:T1524,T1524),"")</f>
        <v/>
      </c>
      <c r="V1524" s="34" t="str">
        <f t="shared" si="907"/>
        <v/>
      </c>
      <c r="W1524" s="34" t="str">
        <f t="shared" si="908"/>
        <v/>
      </c>
      <c r="X1524" s="34" t="str">
        <f>IF(B1524="","",COUNTIF($C$8:C1524,C1524)&amp;C1524)</f>
        <v/>
      </c>
    </row>
    <row r="1525" spans="2:24" ht="23.1" customHeight="1">
      <c r="B1525" s="31"/>
      <c r="C1525" s="9"/>
      <c r="D1525" s="9"/>
      <c r="E1525" s="7"/>
      <c r="F1525" s="7"/>
      <c r="G1525" s="7"/>
      <c r="H1525" s="7"/>
      <c r="I1525" s="7"/>
      <c r="J1525" s="39"/>
      <c r="L1525" s="16" t="str">
        <f t="shared" si="899"/>
        <v/>
      </c>
      <c r="M1525" s="16" t="str">
        <f t="shared" si="900"/>
        <v/>
      </c>
      <c r="N1525" s="16" t="str">
        <f t="shared" si="901"/>
        <v/>
      </c>
      <c r="O1525" s="16" t="str">
        <f>IF(N1525="","",COUNTIF($N$8:N1525,N1525))</f>
        <v/>
      </c>
      <c r="P1525" s="34" t="str">
        <f t="shared" si="902"/>
        <v/>
      </c>
      <c r="Q1525" s="34" t="str">
        <f t="shared" si="903"/>
        <v/>
      </c>
      <c r="R1525" s="34" t="str">
        <f t="shared" si="904"/>
        <v/>
      </c>
      <c r="S1525" s="34" t="str">
        <f t="shared" si="905"/>
        <v/>
      </c>
      <c r="T1525" s="34" t="str">
        <f t="shared" si="906"/>
        <v/>
      </c>
      <c r="U1525" s="34" t="str">
        <f>IF(AND(L1525=1,bp_kode=T1525,T1525&lt;&gt;""),COUNTIF($T$8:T1525,T1525),"")</f>
        <v/>
      </c>
      <c r="V1525" s="34" t="str">
        <f t="shared" si="907"/>
        <v/>
      </c>
      <c r="W1525" s="34" t="str">
        <f t="shared" si="908"/>
        <v/>
      </c>
      <c r="X1525" s="34" t="str">
        <f>IF(B1525="","",COUNTIF($C$8:C1525,C1525)&amp;C1525)</f>
        <v/>
      </c>
    </row>
    <row r="1526" spans="2:24" ht="23.1" customHeight="1">
      <c r="B1526" s="31"/>
      <c r="C1526" s="9"/>
      <c r="D1526" s="9"/>
      <c r="E1526" s="7"/>
      <c r="F1526" s="7"/>
      <c r="G1526" s="7"/>
      <c r="H1526" s="7"/>
      <c r="I1526" s="7"/>
      <c r="J1526" s="39"/>
      <c r="L1526" s="16" t="str">
        <f t="shared" si="899"/>
        <v/>
      </c>
      <c r="M1526" s="16" t="str">
        <f t="shared" si="900"/>
        <v/>
      </c>
      <c r="N1526" s="16" t="str">
        <f t="shared" si="901"/>
        <v/>
      </c>
      <c r="O1526" s="16" t="str">
        <f>IF(N1526="","",COUNTIF($N$8:N1526,N1526))</f>
        <v/>
      </c>
      <c r="P1526" s="34" t="str">
        <f t="shared" si="902"/>
        <v/>
      </c>
      <c r="Q1526" s="34" t="str">
        <f t="shared" si="903"/>
        <v/>
      </c>
      <c r="R1526" s="34" t="str">
        <f t="shared" si="904"/>
        <v/>
      </c>
      <c r="S1526" s="34" t="str">
        <f t="shared" si="905"/>
        <v/>
      </c>
      <c r="T1526" s="34" t="str">
        <f t="shared" si="906"/>
        <v/>
      </c>
      <c r="U1526" s="34" t="str">
        <f>IF(AND(L1526=1,bp_kode=T1526,T1526&lt;&gt;""),COUNTIF($T$8:T1526,T1526),"")</f>
        <v/>
      </c>
      <c r="V1526" s="34" t="str">
        <f t="shared" si="907"/>
        <v/>
      </c>
      <c r="W1526" s="34" t="str">
        <f t="shared" si="908"/>
        <v/>
      </c>
      <c r="X1526" s="34" t="str">
        <f>IF(B1526="","",COUNTIF($C$8:C1526,C1526)&amp;C1526)</f>
        <v/>
      </c>
    </row>
    <row r="1527" spans="2:24" ht="23.1" customHeight="1">
      <c r="B1527" s="31"/>
      <c r="C1527" s="9"/>
      <c r="D1527" s="9"/>
      <c r="E1527" s="7"/>
      <c r="F1527" s="7"/>
      <c r="G1527" s="7"/>
      <c r="H1527" s="7"/>
      <c r="I1527" s="7"/>
      <c r="J1527" s="39"/>
      <c r="L1527" s="16" t="str">
        <f t="shared" si="899"/>
        <v/>
      </c>
      <c r="M1527" s="16" t="str">
        <f t="shared" si="900"/>
        <v/>
      </c>
      <c r="N1527" s="16" t="str">
        <f t="shared" si="901"/>
        <v/>
      </c>
      <c r="O1527" s="16" t="str">
        <f>IF(N1527="","",COUNTIF($N$8:N1527,N1527))</f>
        <v/>
      </c>
      <c r="P1527" s="34" t="str">
        <f t="shared" si="902"/>
        <v/>
      </c>
      <c r="Q1527" s="34" t="str">
        <f t="shared" si="903"/>
        <v/>
      </c>
      <c r="R1527" s="34" t="str">
        <f t="shared" si="904"/>
        <v/>
      </c>
      <c r="S1527" s="34" t="str">
        <f t="shared" si="905"/>
        <v/>
      </c>
      <c r="T1527" s="34" t="str">
        <f t="shared" si="906"/>
        <v/>
      </c>
      <c r="U1527" s="34" t="str">
        <f>IF(AND(L1527=1,bp_kode=T1527,T1527&lt;&gt;""),COUNTIF($T$8:T1527,T1527),"")</f>
        <v/>
      </c>
      <c r="V1527" s="34" t="str">
        <f t="shared" si="907"/>
        <v/>
      </c>
      <c r="W1527" s="34" t="str">
        <f t="shared" si="908"/>
        <v/>
      </c>
      <c r="X1527" s="34" t="str">
        <f>IF(B1527="","",COUNTIF($C$8:C1527,C1527)&amp;C1527)</f>
        <v/>
      </c>
    </row>
    <row r="1528" spans="2:24" ht="23.1" customHeight="1">
      <c r="B1528" s="31"/>
      <c r="C1528" s="9"/>
      <c r="D1528" s="9"/>
      <c r="E1528" s="7"/>
      <c r="F1528" s="7"/>
      <c r="G1528" s="7"/>
      <c r="H1528" s="7"/>
      <c r="I1528" s="7"/>
      <c r="J1528" s="39"/>
      <c r="L1528" s="16" t="str">
        <f t="shared" si="899"/>
        <v/>
      </c>
      <c r="M1528" s="16" t="str">
        <f t="shared" si="900"/>
        <v/>
      </c>
      <c r="N1528" s="16" t="str">
        <f t="shared" si="901"/>
        <v/>
      </c>
      <c r="O1528" s="16" t="str">
        <f>IF(N1528="","",COUNTIF($N$8:N1528,N1528))</f>
        <v/>
      </c>
      <c r="P1528" s="34" t="str">
        <f t="shared" si="902"/>
        <v/>
      </c>
      <c r="Q1528" s="34" t="str">
        <f t="shared" si="903"/>
        <v/>
      </c>
      <c r="R1528" s="34" t="str">
        <f t="shared" si="904"/>
        <v/>
      </c>
      <c r="S1528" s="34" t="str">
        <f t="shared" si="905"/>
        <v/>
      </c>
      <c r="T1528" s="34" t="str">
        <f t="shared" si="906"/>
        <v/>
      </c>
      <c r="U1528" s="34" t="str">
        <f>IF(AND(L1528=1,bp_kode=T1528,T1528&lt;&gt;""),COUNTIF($T$8:T1528,T1528),"")</f>
        <v/>
      </c>
      <c r="V1528" s="34" t="str">
        <f t="shared" si="907"/>
        <v/>
      </c>
      <c r="W1528" s="34" t="str">
        <f t="shared" si="908"/>
        <v/>
      </c>
      <c r="X1528" s="34" t="str">
        <f>IF(B1528="","",COUNTIF($C$8:C1528,C1528)&amp;C1528)</f>
        <v/>
      </c>
    </row>
    <row r="1529" spans="2:24" ht="23.1" customHeight="1">
      <c r="B1529" s="31"/>
      <c r="C1529" s="9"/>
      <c r="D1529" s="9"/>
      <c r="E1529" s="7"/>
      <c r="F1529" s="7"/>
      <c r="G1529" s="7"/>
      <c r="H1529" s="7"/>
      <c r="I1529" s="7"/>
      <c r="J1529" s="39"/>
      <c r="L1529" s="16" t="str">
        <f t="shared" si="899"/>
        <v/>
      </c>
      <c r="M1529" s="16" t="str">
        <f t="shared" si="900"/>
        <v/>
      </c>
      <c r="N1529" s="16" t="str">
        <f t="shared" si="901"/>
        <v/>
      </c>
      <c r="O1529" s="16" t="str">
        <f>IF(N1529="","",COUNTIF($N$8:N1529,N1529))</f>
        <v/>
      </c>
      <c r="P1529" s="34" t="str">
        <f t="shared" si="902"/>
        <v/>
      </c>
      <c r="Q1529" s="34" t="str">
        <f t="shared" si="903"/>
        <v/>
      </c>
      <c r="R1529" s="34" t="str">
        <f t="shared" si="904"/>
        <v/>
      </c>
      <c r="S1529" s="34" t="str">
        <f t="shared" si="905"/>
        <v/>
      </c>
      <c r="T1529" s="34" t="str">
        <f t="shared" si="906"/>
        <v/>
      </c>
      <c r="U1529" s="34" t="str">
        <f>IF(AND(L1529=1,bp_kode=T1529,T1529&lt;&gt;""),COUNTIF($T$8:T1529,T1529),"")</f>
        <v/>
      </c>
      <c r="V1529" s="34" t="str">
        <f t="shared" si="907"/>
        <v/>
      </c>
      <c r="W1529" s="34" t="str">
        <f t="shared" si="908"/>
        <v/>
      </c>
      <c r="X1529" s="34" t="str">
        <f>IF(B1529="","",COUNTIF($C$8:C1529,C1529)&amp;C1529)</f>
        <v/>
      </c>
    </row>
    <row r="1530" spans="2:24" ht="23.1" customHeight="1">
      <c r="B1530" s="31"/>
      <c r="C1530" s="9"/>
      <c r="D1530" s="9"/>
      <c r="E1530" s="7"/>
      <c r="F1530" s="7"/>
      <c r="G1530" s="7"/>
      <c r="H1530" s="7"/>
      <c r="I1530" s="7"/>
      <c r="J1530" s="39"/>
      <c r="L1530" s="16" t="str">
        <f t="shared" si="899"/>
        <v/>
      </c>
      <c r="M1530" s="16" t="str">
        <f t="shared" si="900"/>
        <v/>
      </c>
      <c r="N1530" s="16" t="str">
        <f t="shared" si="901"/>
        <v/>
      </c>
      <c r="O1530" s="16" t="str">
        <f>IF(N1530="","",COUNTIF($N$8:N1530,N1530))</f>
        <v/>
      </c>
      <c r="P1530" s="34" t="str">
        <f t="shared" si="902"/>
        <v/>
      </c>
      <c r="Q1530" s="34" t="str">
        <f t="shared" si="903"/>
        <v/>
      </c>
      <c r="R1530" s="34" t="str">
        <f t="shared" si="904"/>
        <v/>
      </c>
      <c r="S1530" s="34" t="str">
        <f t="shared" si="905"/>
        <v/>
      </c>
      <c r="T1530" s="34" t="str">
        <f t="shared" si="906"/>
        <v/>
      </c>
      <c r="U1530" s="34" t="str">
        <f>IF(AND(L1530=1,bp_kode=T1530,T1530&lt;&gt;""),COUNTIF($T$8:T1530,T1530),"")</f>
        <v/>
      </c>
      <c r="V1530" s="34" t="str">
        <f t="shared" si="907"/>
        <v/>
      </c>
      <c r="W1530" s="34" t="str">
        <f t="shared" si="908"/>
        <v/>
      </c>
      <c r="X1530" s="34" t="str">
        <f>IF(B1530="","",COUNTIF($C$8:C1530,C1530)&amp;C1530)</f>
        <v/>
      </c>
    </row>
    <row r="1531" spans="2:24" ht="23.1" customHeight="1">
      <c r="B1531" s="31"/>
      <c r="C1531" s="9"/>
      <c r="D1531" s="9"/>
      <c r="E1531" s="7"/>
      <c r="F1531" s="7"/>
      <c r="G1531" s="7"/>
      <c r="H1531" s="7"/>
      <c r="I1531" s="7"/>
      <c r="J1531" s="39"/>
      <c r="L1531" s="16" t="str">
        <f t="shared" si="899"/>
        <v/>
      </c>
      <c r="M1531" s="16" t="str">
        <f t="shared" si="900"/>
        <v/>
      </c>
      <c r="N1531" s="16" t="str">
        <f t="shared" si="901"/>
        <v/>
      </c>
      <c r="O1531" s="16" t="str">
        <f>IF(N1531="","",COUNTIF($N$8:N1531,N1531))</f>
        <v/>
      </c>
      <c r="P1531" s="34" t="str">
        <f t="shared" si="902"/>
        <v/>
      </c>
      <c r="Q1531" s="34" t="str">
        <f t="shared" si="903"/>
        <v/>
      </c>
      <c r="R1531" s="34" t="str">
        <f t="shared" si="904"/>
        <v/>
      </c>
      <c r="S1531" s="34" t="str">
        <f t="shared" si="905"/>
        <v/>
      </c>
      <c r="T1531" s="34" t="str">
        <f t="shared" si="906"/>
        <v/>
      </c>
      <c r="U1531" s="34" t="str">
        <f>IF(AND(L1531=1,bp_kode=T1531,T1531&lt;&gt;""),COUNTIF($T$8:T1531,T1531),"")</f>
        <v/>
      </c>
      <c r="V1531" s="34" t="str">
        <f t="shared" si="907"/>
        <v/>
      </c>
      <c r="W1531" s="34" t="str">
        <f t="shared" si="908"/>
        <v/>
      </c>
      <c r="X1531" s="34" t="str">
        <f>IF(B1531="","",COUNTIF($C$8:C1531,C1531)&amp;C1531)</f>
        <v/>
      </c>
    </row>
    <row r="1532" spans="2:24" ht="23.1" customHeight="1">
      <c r="B1532" s="31"/>
      <c r="C1532" s="9"/>
      <c r="D1532" s="9"/>
      <c r="E1532" s="7"/>
      <c r="F1532" s="7"/>
      <c r="G1532" s="7"/>
      <c r="H1532" s="7"/>
      <c r="I1532" s="7"/>
      <c r="J1532" s="39"/>
      <c r="L1532" s="16" t="str">
        <f t="shared" si="899"/>
        <v/>
      </c>
      <c r="M1532" s="16" t="str">
        <f t="shared" si="900"/>
        <v/>
      </c>
      <c r="N1532" s="16" t="str">
        <f t="shared" si="901"/>
        <v/>
      </c>
      <c r="O1532" s="16" t="str">
        <f>IF(N1532="","",COUNTIF($N$8:N1532,N1532))</f>
        <v/>
      </c>
      <c r="P1532" s="34" t="str">
        <f t="shared" si="902"/>
        <v/>
      </c>
      <c r="Q1532" s="34" t="str">
        <f t="shared" si="903"/>
        <v/>
      </c>
      <c r="R1532" s="34" t="str">
        <f t="shared" si="904"/>
        <v/>
      </c>
      <c r="S1532" s="34" t="str">
        <f t="shared" si="905"/>
        <v/>
      </c>
      <c r="T1532" s="34" t="str">
        <f t="shared" si="906"/>
        <v/>
      </c>
      <c r="U1532" s="34" t="str">
        <f>IF(AND(L1532=1,bp_kode=T1532,T1532&lt;&gt;""),COUNTIF($T$8:T1532,T1532),"")</f>
        <v/>
      </c>
      <c r="V1532" s="34" t="str">
        <f t="shared" si="907"/>
        <v/>
      </c>
      <c r="W1532" s="34" t="str">
        <f t="shared" si="908"/>
        <v/>
      </c>
      <c r="X1532" s="34" t="str">
        <f>IF(B1532="","",COUNTIF($C$8:C1532,C1532)&amp;C1532)</f>
        <v/>
      </c>
    </row>
    <row r="1533" spans="2:24" ht="23.1" customHeight="1">
      <c r="B1533" s="31"/>
      <c r="C1533" s="9"/>
      <c r="D1533" s="9"/>
      <c r="E1533" s="7"/>
      <c r="F1533" s="7"/>
      <c r="G1533" s="7"/>
      <c r="H1533" s="7"/>
      <c r="I1533" s="7"/>
      <c r="J1533" s="39"/>
      <c r="L1533" s="16" t="str">
        <f t="shared" si="899"/>
        <v/>
      </c>
      <c r="M1533" s="16" t="str">
        <f t="shared" si="900"/>
        <v/>
      </c>
      <c r="N1533" s="16" t="str">
        <f t="shared" si="901"/>
        <v/>
      </c>
      <c r="O1533" s="16" t="str">
        <f>IF(N1533="","",COUNTIF($N$8:N1533,N1533))</f>
        <v/>
      </c>
      <c r="P1533" s="34" t="str">
        <f t="shared" si="902"/>
        <v/>
      </c>
      <c r="Q1533" s="34" t="str">
        <f t="shared" si="903"/>
        <v/>
      </c>
      <c r="R1533" s="34" t="str">
        <f t="shared" si="904"/>
        <v/>
      </c>
      <c r="S1533" s="34" t="str">
        <f t="shared" si="905"/>
        <v/>
      </c>
      <c r="T1533" s="34" t="str">
        <f t="shared" si="906"/>
        <v/>
      </c>
      <c r="U1533" s="34" t="str">
        <f>IF(AND(L1533=1,bp_kode=T1533,T1533&lt;&gt;""),COUNTIF($T$8:T1533,T1533),"")</f>
        <v/>
      </c>
      <c r="V1533" s="34" t="str">
        <f t="shared" si="907"/>
        <v/>
      </c>
      <c r="W1533" s="34" t="str">
        <f t="shared" si="908"/>
        <v/>
      </c>
      <c r="X1533" s="34" t="str">
        <f>IF(B1533="","",COUNTIF($C$8:C1533,C1533)&amp;C1533)</f>
        <v/>
      </c>
    </row>
    <row r="1534" spans="2:24" ht="23.1" customHeight="1">
      <c r="B1534" s="31"/>
      <c r="C1534" s="9"/>
      <c r="D1534" s="9"/>
      <c r="E1534" s="7"/>
      <c r="F1534" s="7"/>
      <c r="G1534" s="7"/>
      <c r="H1534" s="7"/>
      <c r="I1534" s="7"/>
      <c r="J1534" s="39"/>
      <c r="L1534" s="16" t="str">
        <f t="shared" si="899"/>
        <v/>
      </c>
      <c r="M1534" s="16" t="str">
        <f t="shared" si="900"/>
        <v/>
      </c>
      <c r="N1534" s="16" t="str">
        <f t="shared" si="901"/>
        <v/>
      </c>
      <c r="O1534" s="16" t="str">
        <f>IF(N1534="","",COUNTIF($N$8:N1534,N1534))</f>
        <v/>
      </c>
      <c r="P1534" s="34" t="str">
        <f t="shared" si="902"/>
        <v/>
      </c>
      <c r="Q1534" s="34" t="str">
        <f t="shared" si="903"/>
        <v/>
      </c>
      <c r="R1534" s="34" t="str">
        <f t="shared" si="904"/>
        <v/>
      </c>
      <c r="S1534" s="34" t="str">
        <f t="shared" si="905"/>
        <v/>
      </c>
      <c r="T1534" s="34" t="str">
        <f t="shared" si="906"/>
        <v/>
      </c>
      <c r="U1534" s="34" t="str">
        <f>IF(AND(L1534=1,bp_kode=T1534,T1534&lt;&gt;""),COUNTIF($T$8:T1534,T1534),"")</f>
        <v/>
      </c>
      <c r="V1534" s="34" t="str">
        <f t="shared" si="907"/>
        <v/>
      </c>
      <c r="W1534" s="34" t="str">
        <f t="shared" si="908"/>
        <v/>
      </c>
      <c r="X1534" s="34" t="str">
        <f>IF(B1534="","",COUNTIF($C$8:C1534,C1534)&amp;C1534)</f>
        <v/>
      </c>
    </row>
    <row r="1535" spans="2:24" ht="23.1" customHeight="1">
      <c r="B1535" s="31"/>
      <c r="C1535" s="9"/>
      <c r="D1535" s="9"/>
      <c r="E1535" s="7"/>
      <c r="F1535" s="7"/>
      <c r="G1535" s="7"/>
      <c r="H1535" s="7"/>
      <c r="I1535" s="7"/>
      <c r="J1535" s="39"/>
      <c r="L1535" s="16" t="str">
        <f t="shared" si="899"/>
        <v/>
      </c>
      <c r="M1535" s="16" t="str">
        <f t="shared" si="900"/>
        <v/>
      </c>
      <c r="N1535" s="16" t="str">
        <f t="shared" si="901"/>
        <v/>
      </c>
      <c r="O1535" s="16" t="str">
        <f>IF(N1535="","",COUNTIF($N$8:N1535,N1535))</f>
        <v/>
      </c>
      <c r="P1535" s="34" t="str">
        <f t="shared" si="902"/>
        <v/>
      </c>
      <c r="Q1535" s="34" t="str">
        <f t="shared" si="903"/>
        <v/>
      </c>
      <c r="R1535" s="34" t="str">
        <f t="shared" si="904"/>
        <v/>
      </c>
      <c r="S1535" s="34" t="str">
        <f t="shared" si="905"/>
        <v/>
      </c>
      <c r="T1535" s="34" t="str">
        <f t="shared" si="906"/>
        <v/>
      </c>
      <c r="U1535" s="34" t="str">
        <f>IF(AND(L1535=1,bp_kode=T1535,T1535&lt;&gt;""),COUNTIF($T$8:T1535,T1535),"")</f>
        <v/>
      </c>
      <c r="V1535" s="34" t="str">
        <f t="shared" si="907"/>
        <v/>
      </c>
      <c r="W1535" s="34" t="str">
        <f t="shared" si="908"/>
        <v/>
      </c>
      <c r="X1535" s="34" t="str">
        <f>IF(B1535="","",COUNTIF($C$8:C1535,C1535)&amp;C1535)</f>
        <v/>
      </c>
    </row>
    <row r="1536" spans="2:24" ht="23.1" customHeight="1">
      <c r="B1536" s="31"/>
      <c r="C1536" s="9"/>
      <c r="D1536" s="9"/>
      <c r="E1536" s="7"/>
      <c r="F1536" s="7"/>
      <c r="G1536" s="7"/>
      <c r="H1536" s="7"/>
      <c r="I1536" s="7"/>
      <c r="J1536" s="39"/>
      <c r="L1536" s="16" t="str">
        <f t="shared" si="899"/>
        <v/>
      </c>
      <c r="M1536" s="16" t="str">
        <f t="shared" si="900"/>
        <v/>
      </c>
      <c r="N1536" s="16" t="str">
        <f t="shared" si="901"/>
        <v/>
      </c>
      <c r="O1536" s="16" t="str">
        <f>IF(N1536="","",COUNTIF($N$8:N1536,N1536))</f>
        <v/>
      </c>
      <c r="P1536" s="34" t="str">
        <f t="shared" si="902"/>
        <v/>
      </c>
      <c r="Q1536" s="34" t="str">
        <f t="shared" si="903"/>
        <v/>
      </c>
      <c r="R1536" s="34" t="str">
        <f t="shared" si="904"/>
        <v/>
      </c>
      <c r="S1536" s="34" t="str">
        <f t="shared" si="905"/>
        <v/>
      </c>
      <c r="T1536" s="34" t="str">
        <f t="shared" si="906"/>
        <v/>
      </c>
      <c r="U1536" s="34" t="str">
        <f>IF(AND(L1536=1,bp_kode=T1536,T1536&lt;&gt;""),COUNTIF($T$8:T1536,T1536),"")</f>
        <v/>
      </c>
      <c r="V1536" s="34" t="str">
        <f t="shared" si="907"/>
        <v/>
      </c>
      <c r="W1536" s="34" t="str">
        <f t="shared" si="908"/>
        <v/>
      </c>
      <c r="X1536" s="34" t="str">
        <f>IF(B1536="","",COUNTIF($C$8:C1536,C1536)&amp;C1536)</f>
        <v/>
      </c>
    </row>
    <row r="1537" spans="2:24" ht="23.1" customHeight="1">
      <c r="B1537" s="31"/>
      <c r="C1537" s="9"/>
      <c r="D1537" s="9"/>
      <c r="E1537" s="7"/>
      <c r="F1537" s="7"/>
      <c r="G1537" s="7"/>
      <c r="H1537" s="7"/>
      <c r="I1537" s="7"/>
      <c r="J1537" s="39"/>
      <c r="L1537" s="16" t="str">
        <f t="shared" si="899"/>
        <v/>
      </c>
      <c r="M1537" s="16" t="str">
        <f t="shared" si="900"/>
        <v/>
      </c>
      <c r="N1537" s="16" t="str">
        <f t="shared" si="901"/>
        <v/>
      </c>
      <c r="O1537" s="16" t="str">
        <f>IF(N1537="","",COUNTIF($N$8:N1537,N1537))</f>
        <v/>
      </c>
      <c r="P1537" s="34" t="str">
        <f t="shared" si="902"/>
        <v/>
      </c>
      <c r="Q1537" s="34" t="str">
        <f t="shared" si="903"/>
        <v/>
      </c>
      <c r="R1537" s="34" t="str">
        <f t="shared" si="904"/>
        <v/>
      </c>
      <c r="S1537" s="34" t="str">
        <f t="shared" si="905"/>
        <v/>
      </c>
      <c r="T1537" s="34" t="str">
        <f t="shared" si="906"/>
        <v/>
      </c>
      <c r="U1537" s="34" t="str">
        <f>IF(AND(L1537=1,bp_kode=T1537,T1537&lt;&gt;""),COUNTIF($T$8:T1537,T1537),"")</f>
        <v/>
      </c>
      <c r="V1537" s="34" t="str">
        <f t="shared" si="907"/>
        <v/>
      </c>
      <c r="W1537" s="34" t="str">
        <f t="shared" si="908"/>
        <v/>
      </c>
      <c r="X1537" s="34" t="str">
        <f>IF(B1537="","",COUNTIF($C$8:C1537,C1537)&amp;C1537)</f>
        <v/>
      </c>
    </row>
    <row r="1538" spans="2:24" ht="23.1" customHeight="1">
      <c r="B1538" s="31"/>
      <c r="C1538" s="9"/>
      <c r="D1538" s="9"/>
      <c r="E1538" s="7"/>
      <c r="F1538" s="7"/>
      <c r="G1538" s="7"/>
      <c r="H1538" s="7"/>
      <c r="I1538" s="7"/>
      <c r="J1538" s="39"/>
      <c r="L1538" s="16" t="str">
        <f t="shared" si="899"/>
        <v/>
      </c>
      <c r="M1538" s="16" t="str">
        <f t="shared" si="900"/>
        <v/>
      </c>
      <c r="N1538" s="16" t="str">
        <f t="shared" si="901"/>
        <v/>
      </c>
      <c r="O1538" s="16" t="str">
        <f>IF(N1538="","",COUNTIF($N$8:N1538,N1538))</f>
        <v/>
      </c>
      <c r="P1538" s="34" t="str">
        <f t="shared" si="902"/>
        <v/>
      </c>
      <c r="Q1538" s="34" t="str">
        <f t="shared" si="903"/>
        <v/>
      </c>
      <c r="R1538" s="34" t="str">
        <f t="shared" si="904"/>
        <v/>
      </c>
      <c r="S1538" s="34" t="str">
        <f t="shared" si="905"/>
        <v/>
      </c>
      <c r="T1538" s="34" t="str">
        <f t="shared" si="906"/>
        <v/>
      </c>
      <c r="U1538" s="34" t="str">
        <f>IF(AND(L1538=1,bp_kode=T1538,T1538&lt;&gt;""),COUNTIF($T$8:T1538,T1538),"")</f>
        <v/>
      </c>
      <c r="V1538" s="34" t="str">
        <f t="shared" si="907"/>
        <v/>
      </c>
      <c r="W1538" s="34" t="str">
        <f t="shared" si="908"/>
        <v/>
      </c>
      <c r="X1538" s="34" t="str">
        <f>IF(B1538="","",COUNTIF($C$8:C1538,C1538)&amp;C1538)</f>
        <v/>
      </c>
    </row>
    <row r="1539" spans="2:24" ht="23.1" customHeight="1">
      <c r="B1539" s="31"/>
      <c r="C1539" s="9"/>
      <c r="D1539" s="9"/>
      <c r="E1539" s="7"/>
      <c r="F1539" s="7"/>
      <c r="G1539" s="7"/>
      <c r="H1539" s="7"/>
      <c r="I1539" s="7"/>
      <c r="J1539" s="39"/>
      <c r="L1539" s="16" t="str">
        <f t="shared" si="899"/>
        <v/>
      </c>
      <c r="M1539" s="16" t="str">
        <f t="shared" si="900"/>
        <v/>
      </c>
      <c r="N1539" s="16" t="str">
        <f t="shared" si="901"/>
        <v/>
      </c>
      <c r="O1539" s="16" t="str">
        <f>IF(N1539="","",COUNTIF($N$8:N1539,N1539))</f>
        <v/>
      </c>
      <c r="P1539" s="34" t="str">
        <f t="shared" si="902"/>
        <v/>
      </c>
      <c r="Q1539" s="34" t="str">
        <f t="shared" si="903"/>
        <v/>
      </c>
      <c r="R1539" s="34" t="str">
        <f t="shared" si="904"/>
        <v/>
      </c>
      <c r="S1539" s="34" t="str">
        <f t="shared" si="905"/>
        <v/>
      </c>
      <c r="T1539" s="34" t="str">
        <f t="shared" si="906"/>
        <v/>
      </c>
      <c r="U1539" s="34" t="str">
        <f>IF(AND(L1539=1,bp_kode=T1539,T1539&lt;&gt;""),COUNTIF($T$8:T1539,T1539),"")</f>
        <v/>
      </c>
      <c r="V1539" s="34" t="str">
        <f t="shared" si="907"/>
        <v/>
      </c>
      <c r="W1539" s="34" t="str">
        <f t="shared" si="908"/>
        <v/>
      </c>
      <c r="X1539" s="34" t="str">
        <f>IF(B1539="","",COUNTIF($C$8:C1539,C1539)&amp;C1539)</f>
        <v/>
      </c>
    </row>
    <row r="1540" spans="2:24" ht="23.1" customHeight="1">
      <c r="B1540" s="31"/>
      <c r="C1540" s="9"/>
      <c r="D1540" s="9"/>
      <c r="E1540" s="7"/>
      <c r="F1540" s="7"/>
      <c r="G1540" s="7"/>
      <c r="H1540" s="7"/>
      <c r="I1540" s="7"/>
      <c r="J1540" s="39"/>
      <c r="L1540" s="16" t="str">
        <f t="shared" si="899"/>
        <v/>
      </c>
      <c r="M1540" s="16" t="str">
        <f t="shared" si="900"/>
        <v/>
      </c>
      <c r="N1540" s="16" t="str">
        <f t="shared" si="901"/>
        <v/>
      </c>
      <c r="O1540" s="16" t="str">
        <f>IF(N1540="","",COUNTIF($N$8:N1540,N1540))</f>
        <v/>
      </c>
      <c r="P1540" s="34" t="str">
        <f t="shared" si="902"/>
        <v/>
      </c>
      <c r="Q1540" s="34" t="str">
        <f t="shared" si="903"/>
        <v/>
      </c>
      <c r="R1540" s="34" t="str">
        <f t="shared" si="904"/>
        <v/>
      </c>
      <c r="S1540" s="34" t="str">
        <f t="shared" si="905"/>
        <v/>
      </c>
      <c r="T1540" s="34" t="str">
        <f t="shared" si="906"/>
        <v/>
      </c>
      <c r="U1540" s="34" t="str">
        <f>IF(AND(L1540=1,bp_kode=T1540,T1540&lt;&gt;""),COUNTIF($T$8:T1540,T1540),"")</f>
        <v/>
      </c>
      <c r="V1540" s="34" t="str">
        <f t="shared" si="907"/>
        <v/>
      </c>
      <c r="W1540" s="34" t="str">
        <f t="shared" si="908"/>
        <v/>
      </c>
      <c r="X1540" s="34" t="str">
        <f>IF(B1540="","",COUNTIF($C$8:C1540,C1540)&amp;C1540)</f>
        <v/>
      </c>
    </row>
    <row r="1541" spans="2:24" ht="23.1" customHeight="1">
      <c r="B1541" s="31"/>
      <c r="C1541" s="9"/>
      <c r="D1541" s="9"/>
      <c r="E1541" s="7"/>
      <c r="F1541" s="7"/>
      <c r="G1541" s="7"/>
      <c r="H1541" s="7"/>
      <c r="I1541" s="7"/>
      <c r="J1541" s="39"/>
      <c r="L1541" s="16" t="str">
        <f t="shared" si="899"/>
        <v/>
      </c>
      <c r="M1541" s="16" t="str">
        <f t="shared" si="900"/>
        <v/>
      </c>
      <c r="N1541" s="16" t="str">
        <f t="shared" si="901"/>
        <v/>
      </c>
      <c r="O1541" s="16" t="str">
        <f>IF(N1541="","",COUNTIF($N$8:N1541,N1541))</f>
        <v/>
      </c>
      <c r="P1541" s="34" t="str">
        <f t="shared" si="902"/>
        <v/>
      </c>
      <c r="Q1541" s="34" t="str">
        <f t="shared" si="903"/>
        <v/>
      </c>
      <c r="R1541" s="34" t="str">
        <f t="shared" si="904"/>
        <v/>
      </c>
      <c r="S1541" s="34" t="str">
        <f t="shared" si="905"/>
        <v/>
      </c>
      <c r="T1541" s="34" t="str">
        <f t="shared" si="906"/>
        <v/>
      </c>
      <c r="U1541" s="34" t="str">
        <f>IF(AND(L1541=1,bp_kode=T1541,T1541&lt;&gt;""),COUNTIF($T$8:T1541,T1541),"")</f>
        <v/>
      </c>
      <c r="V1541" s="34" t="str">
        <f t="shared" si="907"/>
        <v/>
      </c>
      <c r="W1541" s="34" t="str">
        <f t="shared" si="908"/>
        <v/>
      </c>
      <c r="X1541" s="34" t="str">
        <f>IF(B1541="","",COUNTIF($C$8:C1541,C1541)&amp;C1541)</f>
        <v/>
      </c>
    </row>
    <row r="1542" spans="2:24" ht="23.1" customHeight="1">
      <c r="B1542" s="31"/>
      <c r="C1542" s="9"/>
      <c r="D1542" s="9"/>
      <c r="E1542" s="7"/>
      <c r="F1542" s="7"/>
      <c r="G1542" s="7"/>
      <c r="H1542" s="7"/>
      <c r="I1542" s="7"/>
      <c r="J1542" s="39"/>
      <c r="L1542" s="16" t="str">
        <f t="shared" si="899"/>
        <v/>
      </c>
      <c r="M1542" s="16" t="str">
        <f t="shared" si="900"/>
        <v/>
      </c>
      <c r="N1542" s="16" t="str">
        <f t="shared" si="901"/>
        <v/>
      </c>
      <c r="O1542" s="16" t="str">
        <f>IF(N1542="","",COUNTIF($N$8:N1542,N1542))</f>
        <v/>
      </c>
      <c r="P1542" s="34" t="str">
        <f t="shared" si="902"/>
        <v/>
      </c>
      <c r="Q1542" s="34" t="str">
        <f t="shared" si="903"/>
        <v/>
      </c>
      <c r="R1542" s="34" t="str">
        <f t="shared" si="904"/>
        <v/>
      </c>
      <c r="S1542" s="34" t="str">
        <f t="shared" si="905"/>
        <v/>
      </c>
      <c r="T1542" s="34" t="str">
        <f t="shared" si="906"/>
        <v/>
      </c>
      <c r="U1542" s="34" t="str">
        <f>IF(AND(L1542=1,bp_kode=T1542,T1542&lt;&gt;""),COUNTIF($T$8:T1542,T1542),"")</f>
        <v/>
      </c>
      <c r="V1542" s="34" t="str">
        <f t="shared" si="907"/>
        <v/>
      </c>
      <c r="W1542" s="34" t="str">
        <f t="shared" si="908"/>
        <v/>
      </c>
      <c r="X1542" s="34" t="str">
        <f>IF(B1542="","",COUNTIF($C$8:C1542,C1542)&amp;C1542)</f>
        <v/>
      </c>
    </row>
    <row r="1543" spans="2:24" ht="23.1" customHeight="1">
      <c r="B1543" s="31"/>
      <c r="C1543" s="9"/>
      <c r="D1543" s="9"/>
      <c r="E1543" s="7"/>
      <c r="F1543" s="7"/>
      <c r="G1543" s="7"/>
      <c r="H1543" s="7"/>
      <c r="I1543" s="7"/>
      <c r="J1543" s="39"/>
      <c r="L1543" s="16" t="str">
        <f t="shared" si="899"/>
        <v/>
      </c>
      <c r="M1543" s="16" t="str">
        <f t="shared" si="900"/>
        <v/>
      </c>
      <c r="N1543" s="16" t="str">
        <f t="shared" si="901"/>
        <v/>
      </c>
      <c r="O1543" s="16" t="str">
        <f>IF(N1543="","",COUNTIF($N$8:N1543,N1543))</f>
        <v/>
      </c>
      <c r="P1543" s="34" t="str">
        <f t="shared" si="902"/>
        <v/>
      </c>
      <c r="Q1543" s="34" t="str">
        <f t="shared" si="903"/>
        <v/>
      </c>
      <c r="R1543" s="34" t="str">
        <f t="shared" si="904"/>
        <v/>
      </c>
      <c r="S1543" s="34" t="str">
        <f t="shared" si="905"/>
        <v/>
      </c>
      <c r="T1543" s="34" t="str">
        <f t="shared" si="906"/>
        <v/>
      </c>
      <c r="U1543" s="34" t="str">
        <f>IF(AND(L1543=1,bp_kode=T1543,T1543&lt;&gt;""),COUNTIF($T$8:T1543,T1543),"")</f>
        <v/>
      </c>
      <c r="V1543" s="34" t="str">
        <f t="shared" si="907"/>
        <v/>
      </c>
      <c r="W1543" s="34" t="str">
        <f t="shared" si="908"/>
        <v/>
      </c>
      <c r="X1543" s="34" t="str">
        <f>IF(B1543="","",COUNTIF($C$8:C1543,C1543)&amp;C1543)</f>
        <v/>
      </c>
    </row>
    <row r="1544" spans="2:24" ht="23.1" customHeight="1">
      <c r="B1544" s="31"/>
      <c r="C1544" s="9"/>
      <c r="D1544" s="9"/>
      <c r="E1544" s="7"/>
      <c r="F1544" s="7"/>
      <c r="G1544" s="7"/>
      <c r="H1544" s="7"/>
      <c r="I1544" s="7"/>
      <c r="J1544" s="39"/>
      <c r="L1544" s="16" t="str">
        <f t="shared" si="899"/>
        <v/>
      </c>
      <c r="M1544" s="16" t="str">
        <f t="shared" si="900"/>
        <v/>
      </c>
      <c r="N1544" s="16" t="str">
        <f t="shared" si="901"/>
        <v/>
      </c>
      <c r="O1544" s="16" t="str">
        <f>IF(N1544="","",COUNTIF($N$8:N1544,N1544))</f>
        <v/>
      </c>
      <c r="P1544" s="34" t="str">
        <f t="shared" si="902"/>
        <v/>
      </c>
      <c r="Q1544" s="34" t="str">
        <f t="shared" si="903"/>
        <v/>
      </c>
      <c r="R1544" s="34" t="str">
        <f t="shared" si="904"/>
        <v/>
      </c>
      <c r="S1544" s="34" t="str">
        <f t="shared" si="905"/>
        <v/>
      </c>
      <c r="T1544" s="34" t="str">
        <f t="shared" si="906"/>
        <v/>
      </c>
      <c r="U1544" s="34" t="str">
        <f>IF(AND(L1544=1,bp_kode=T1544,T1544&lt;&gt;""),COUNTIF($T$8:T1544,T1544),"")</f>
        <v/>
      </c>
      <c r="V1544" s="34" t="str">
        <f t="shared" si="907"/>
        <v/>
      </c>
      <c r="W1544" s="34" t="str">
        <f t="shared" si="908"/>
        <v/>
      </c>
      <c r="X1544" s="34" t="str">
        <f>IF(B1544="","",COUNTIF($C$8:C1544,C1544)&amp;C1544)</f>
        <v/>
      </c>
    </row>
    <row r="1545" spans="2:24" ht="23.1" customHeight="1">
      <c r="B1545" s="31"/>
      <c r="C1545" s="9"/>
      <c r="D1545" s="9"/>
      <c r="E1545" s="7"/>
      <c r="F1545" s="7"/>
      <c r="G1545" s="7"/>
      <c r="H1545" s="7"/>
      <c r="I1545" s="7"/>
      <c r="J1545" s="39"/>
      <c r="L1545" s="16" t="str">
        <f t="shared" si="899"/>
        <v/>
      </c>
      <c r="M1545" s="16" t="str">
        <f t="shared" si="900"/>
        <v/>
      </c>
      <c r="N1545" s="16" t="str">
        <f t="shared" si="901"/>
        <v/>
      </c>
      <c r="O1545" s="16" t="str">
        <f>IF(N1545="","",COUNTIF($N$8:N1545,N1545))</f>
        <v/>
      </c>
      <c r="P1545" s="34" t="str">
        <f t="shared" si="902"/>
        <v/>
      </c>
      <c r="Q1545" s="34" t="str">
        <f t="shared" si="903"/>
        <v/>
      </c>
      <c r="R1545" s="34" t="str">
        <f t="shared" si="904"/>
        <v/>
      </c>
      <c r="S1545" s="34" t="str">
        <f t="shared" si="905"/>
        <v/>
      </c>
      <c r="T1545" s="34" t="str">
        <f t="shared" si="906"/>
        <v/>
      </c>
      <c r="U1545" s="34" t="str">
        <f>IF(AND(L1545=1,bp_kode=T1545,T1545&lt;&gt;""),COUNTIF($T$8:T1545,T1545),"")</f>
        <v/>
      </c>
      <c r="V1545" s="34" t="str">
        <f t="shared" si="907"/>
        <v/>
      </c>
      <c r="W1545" s="34" t="str">
        <f t="shared" si="908"/>
        <v/>
      </c>
      <c r="X1545" s="34" t="str">
        <f>IF(B1545="","",COUNTIF($C$8:C1545,C1545)&amp;C1545)</f>
        <v/>
      </c>
    </row>
    <row r="1546" spans="2:24" ht="23.1" customHeight="1">
      <c r="B1546" s="31"/>
      <c r="C1546" s="9"/>
      <c r="D1546" s="9"/>
      <c r="E1546" s="7"/>
      <c r="F1546" s="7"/>
      <c r="G1546" s="7"/>
      <c r="H1546" s="7"/>
      <c r="I1546" s="7"/>
      <c r="J1546" s="39"/>
      <c r="L1546" s="16" t="str">
        <f t="shared" si="899"/>
        <v/>
      </c>
      <c r="M1546" s="16" t="str">
        <f t="shared" si="900"/>
        <v/>
      </c>
      <c r="N1546" s="16" t="str">
        <f t="shared" si="901"/>
        <v/>
      </c>
      <c r="O1546" s="16" t="str">
        <f>IF(N1546="","",COUNTIF($N$8:N1546,N1546))</f>
        <v/>
      </c>
      <c r="P1546" s="34" t="str">
        <f t="shared" si="902"/>
        <v/>
      </c>
      <c r="Q1546" s="34" t="str">
        <f t="shared" si="903"/>
        <v/>
      </c>
      <c r="R1546" s="34" t="str">
        <f t="shared" si="904"/>
        <v/>
      </c>
      <c r="S1546" s="34" t="str">
        <f t="shared" si="905"/>
        <v/>
      </c>
      <c r="T1546" s="34" t="str">
        <f t="shared" si="906"/>
        <v/>
      </c>
      <c r="U1546" s="34" t="str">
        <f>IF(AND(L1546=1,bp_kode=T1546,T1546&lt;&gt;""),COUNTIF($T$8:T1546,T1546),"")</f>
        <v/>
      </c>
      <c r="V1546" s="34" t="str">
        <f t="shared" si="907"/>
        <v/>
      </c>
      <c r="W1546" s="34" t="str">
        <f t="shared" si="908"/>
        <v/>
      </c>
      <c r="X1546" s="34" t="str">
        <f>IF(B1546="","",COUNTIF($C$8:C1546,C1546)&amp;C1546)</f>
        <v/>
      </c>
    </row>
    <row r="1547" spans="2:24" ht="23.1" customHeight="1">
      <c r="B1547" s="31"/>
      <c r="C1547" s="9"/>
      <c r="D1547" s="9"/>
      <c r="E1547" s="7"/>
      <c r="F1547" s="7"/>
      <c r="G1547" s="7"/>
      <c r="H1547" s="7"/>
      <c r="I1547" s="7"/>
      <c r="J1547" s="39"/>
      <c r="L1547" s="16" t="str">
        <f t="shared" si="899"/>
        <v/>
      </c>
      <c r="M1547" s="16" t="str">
        <f t="shared" si="900"/>
        <v/>
      </c>
      <c r="N1547" s="16" t="str">
        <f t="shared" si="901"/>
        <v/>
      </c>
      <c r="O1547" s="16" t="str">
        <f>IF(N1547="","",COUNTIF($N$8:N1547,N1547))</f>
        <v/>
      </c>
      <c r="P1547" s="34" t="str">
        <f t="shared" si="902"/>
        <v/>
      </c>
      <c r="Q1547" s="34" t="str">
        <f t="shared" si="903"/>
        <v/>
      </c>
      <c r="R1547" s="34" t="str">
        <f t="shared" si="904"/>
        <v/>
      </c>
      <c r="S1547" s="34" t="str">
        <f t="shared" si="905"/>
        <v/>
      </c>
      <c r="T1547" s="34" t="str">
        <f t="shared" si="906"/>
        <v/>
      </c>
      <c r="U1547" s="34" t="str">
        <f>IF(AND(L1547=1,bp_kode=T1547,T1547&lt;&gt;""),COUNTIF($T$8:T1547,T1547),"")</f>
        <v/>
      </c>
      <c r="V1547" s="34" t="str">
        <f t="shared" si="907"/>
        <v/>
      </c>
      <c r="W1547" s="34" t="str">
        <f t="shared" si="908"/>
        <v/>
      </c>
      <c r="X1547" s="34" t="str">
        <f>IF(B1547="","",COUNTIF($C$8:C1547,C1547)&amp;C1547)</f>
        <v/>
      </c>
    </row>
    <row r="1548" spans="2:24" ht="23.1" customHeight="1">
      <c r="B1548" s="31"/>
      <c r="C1548" s="9"/>
      <c r="D1548" s="9"/>
      <c r="E1548" s="7"/>
      <c r="F1548" s="7"/>
      <c r="G1548" s="7"/>
      <c r="H1548" s="7"/>
      <c r="I1548" s="7"/>
      <c r="J1548" s="39"/>
      <c r="L1548" s="16" t="str">
        <f t="shared" si="899"/>
        <v/>
      </c>
      <c r="M1548" s="16" t="str">
        <f t="shared" si="900"/>
        <v/>
      </c>
      <c r="N1548" s="16" t="str">
        <f t="shared" si="901"/>
        <v/>
      </c>
      <c r="O1548" s="16" t="str">
        <f>IF(N1548="","",COUNTIF($N$8:N1548,N1548))</f>
        <v/>
      </c>
      <c r="P1548" s="34" t="str">
        <f t="shared" si="902"/>
        <v/>
      </c>
      <c r="Q1548" s="34" t="str">
        <f t="shared" si="903"/>
        <v/>
      </c>
      <c r="R1548" s="34" t="str">
        <f t="shared" si="904"/>
        <v/>
      </c>
      <c r="S1548" s="34" t="str">
        <f t="shared" si="905"/>
        <v/>
      </c>
      <c r="T1548" s="34" t="str">
        <f t="shared" si="906"/>
        <v/>
      </c>
      <c r="U1548" s="34" t="str">
        <f>IF(AND(L1548=1,bp_kode=T1548,T1548&lt;&gt;""),COUNTIF($T$8:T1548,T1548),"")</f>
        <v/>
      </c>
      <c r="V1548" s="34" t="str">
        <f t="shared" si="907"/>
        <v/>
      </c>
      <c r="W1548" s="34" t="str">
        <f t="shared" si="908"/>
        <v/>
      </c>
      <c r="X1548" s="34" t="str">
        <f>IF(B1548="","",COUNTIF($C$8:C1548,C1548)&amp;C1548)</f>
        <v/>
      </c>
    </row>
    <row r="1549" spans="2:24" ht="23.1" customHeight="1">
      <c r="B1549" s="31"/>
      <c r="C1549" s="9"/>
      <c r="D1549" s="9"/>
      <c r="E1549" s="7"/>
      <c r="F1549" s="7"/>
      <c r="G1549" s="7"/>
      <c r="H1549" s="7"/>
      <c r="I1549" s="7"/>
      <c r="J1549" s="39"/>
      <c r="L1549" s="16" t="str">
        <f t="shared" si="899"/>
        <v/>
      </c>
      <c r="M1549" s="16" t="str">
        <f t="shared" si="900"/>
        <v/>
      </c>
      <c r="N1549" s="16" t="str">
        <f t="shared" si="901"/>
        <v/>
      </c>
      <c r="O1549" s="16" t="str">
        <f>IF(N1549="","",COUNTIF($N$8:N1549,N1549))</f>
        <v/>
      </c>
      <c r="P1549" s="34" t="str">
        <f t="shared" si="902"/>
        <v/>
      </c>
      <c r="Q1549" s="34" t="str">
        <f t="shared" si="903"/>
        <v/>
      </c>
      <c r="R1549" s="34" t="str">
        <f t="shared" si="904"/>
        <v/>
      </c>
      <c r="S1549" s="34" t="str">
        <f t="shared" si="905"/>
        <v/>
      </c>
      <c r="T1549" s="34" t="str">
        <f t="shared" si="906"/>
        <v/>
      </c>
      <c r="U1549" s="34" t="str">
        <f>IF(AND(L1549=1,bp_kode=T1549,T1549&lt;&gt;""),COUNTIF($T$8:T1549,T1549),"")</f>
        <v/>
      </c>
      <c r="V1549" s="34" t="str">
        <f t="shared" si="907"/>
        <v/>
      </c>
      <c r="W1549" s="34" t="str">
        <f t="shared" si="908"/>
        <v/>
      </c>
      <c r="X1549" s="34" t="str">
        <f>IF(B1549="","",COUNTIF($C$8:C1549,C1549)&amp;C1549)</f>
        <v/>
      </c>
    </row>
    <row r="1550" spans="2:24" ht="23.1" customHeight="1">
      <c r="B1550" s="31"/>
      <c r="C1550" s="9"/>
      <c r="D1550" s="9"/>
      <c r="E1550" s="7"/>
      <c r="F1550" s="7"/>
      <c r="G1550" s="7"/>
      <c r="H1550" s="7"/>
      <c r="I1550" s="7"/>
      <c r="J1550" s="39"/>
      <c r="L1550" s="16" t="str">
        <f t="shared" si="899"/>
        <v/>
      </c>
      <c r="M1550" s="16" t="str">
        <f t="shared" si="900"/>
        <v/>
      </c>
      <c r="N1550" s="16" t="str">
        <f t="shared" si="901"/>
        <v/>
      </c>
      <c r="O1550" s="16" t="str">
        <f>IF(N1550="","",COUNTIF($N$8:N1550,N1550))</f>
        <v/>
      </c>
      <c r="P1550" s="34" t="str">
        <f t="shared" si="902"/>
        <v/>
      </c>
      <c r="Q1550" s="34" t="str">
        <f t="shared" si="903"/>
        <v/>
      </c>
      <c r="R1550" s="34" t="str">
        <f t="shared" si="904"/>
        <v/>
      </c>
      <c r="S1550" s="34" t="str">
        <f t="shared" si="905"/>
        <v/>
      </c>
      <c r="T1550" s="34" t="str">
        <f t="shared" si="906"/>
        <v/>
      </c>
      <c r="U1550" s="34" t="str">
        <f>IF(AND(L1550=1,bp_kode=T1550,T1550&lt;&gt;""),COUNTIF($T$8:T1550,T1550),"")</f>
        <v/>
      </c>
      <c r="V1550" s="34" t="str">
        <f t="shared" si="907"/>
        <v/>
      </c>
      <c r="W1550" s="34" t="str">
        <f t="shared" si="908"/>
        <v/>
      </c>
      <c r="X1550" s="34" t="str">
        <f>IF(B1550="","",COUNTIF($C$8:C1550,C1550)&amp;C1550)</f>
        <v/>
      </c>
    </row>
    <row r="1551" spans="2:24" ht="23.1" customHeight="1">
      <c r="B1551" s="31"/>
      <c r="C1551" s="9"/>
      <c r="D1551" s="9"/>
      <c r="E1551" s="7"/>
      <c r="F1551" s="7"/>
      <c r="G1551" s="7"/>
      <c r="H1551" s="7"/>
      <c r="I1551" s="7"/>
      <c r="J1551" s="39"/>
      <c r="L1551" s="16" t="str">
        <f t="shared" si="899"/>
        <v/>
      </c>
      <c r="M1551" s="16" t="str">
        <f t="shared" si="900"/>
        <v/>
      </c>
      <c r="N1551" s="16" t="str">
        <f t="shared" si="901"/>
        <v/>
      </c>
      <c r="O1551" s="16" t="str">
        <f>IF(N1551="","",COUNTIF($N$8:N1551,N1551))</f>
        <v/>
      </c>
      <c r="P1551" s="34" t="str">
        <f t="shared" si="902"/>
        <v/>
      </c>
      <c r="Q1551" s="34" t="str">
        <f t="shared" si="903"/>
        <v/>
      </c>
      <c r="R1551" s="34" t="str">
        <f t="shared" si="904"/>
        <v/>
      </c>
      <c r="S1551" s="34" t="str">
        <f t="shared" si="905"/>
        <v/>
      </c>
      <c r="T1551" s="34" t="str">
        <f t="shared" si="906"/>
        <v/>
      </c>
      <c r="U1551" s="34" t="str">
        <f>IF(AND(L1551=1,bp_kode=T1551,T1551&lt;&gt;""),COUNTIF($T$8:T1551,T1551),"")</f>
        <v/>
      </c>
      <c r="V1551" s="34" t="str">
        <f t="shared" si="907"/>
        <v/>
      </c>
      <c r="W1551" s="34" t="str">
        <f t="shared" si="908"/>
        <v/>
      </c>
      <c r="X1551" s="34" t="str">
        <f>IF(B1551="","",COUNTIF($C$8:C1551,C1551)&amp;C1551)</f>
        <v/>
      </c>
    </row>
    <row r="1552" spans="2:24" ht="23.1" customHeight="1">
      <c r="B1552" s="31"/>
      <c r="C1552" s="9"/>
      <c r="D1552" s="9"/>
      <c r="E1552" s="7"/>
      <c r="F1552" s="7"/>
      <c r="G1552" s="7"/>
      <c r="H1552" s="7"/>
      <c r="I1552" s="7"/>
      <c r="J1552" s="39"/>
      <c r="L1552" s="16" t="str">
        <f t="shared" si="899"/>
        <v/>
      </c>
      <c r="M1552" s="16" t="str">
        <f t="shared" si="900"/>
        <v/>
      </c>
      <c r="N1552" s="16" t="str">
        <f t="shared" si="901"/>
        <v/>
      </c>
      <c r="O1552" s="16" t="str">
        <f>IF(N1552="","",COUNTIF($N$8:N1552,N1552))</f>
        <v/>
      </c>
      <c r="P1552" s="34" t="str">
        <f t="shared" si="902"/>
        <v/>
      </c>
      <c r="Q1552" s="34" t="str">
        <f t="shared" si="903"/>
        <v/>
      </c>
      <c r="R1552" s="34" t="str">
        <f t="shared" si="904"/>
        <v/>
      </c>
      <c r="S1552" s="34" t="str">
        <f t="shared" si="905"/>
        <v/>
      </c>
      <c r="T1552" s="34" t="str">
        <f t="shared" si="906"/>
        <v/>
      </c>
      <c r="U1552" s="34" t="str">
        <f>IF(AND(L1552=1,bp_kode=T1552,T1552&lt;&gt;""),COUNTIF($T$8:T1552,T1552),"")</f>
        <v/>
      </c>
      <c r="V1552" s="34" t="str">
        <f t="shared" si="907"/>
        <v/>
      </c>
      <c r="W1552" s="34" t="str">
        <f t="shared" si="908"/>
        <v/>
      </c>
      <c r="X1552" s="34" t="str">
        <f>IF(B1552="","",COUNTIF($C$8:C1552,C1552)&amp;C1552)</f>
        <v/>
      </c>
    </row>
    <row r="1553" spans="2:24" ht="23.1" customHeight="1">
      <c r="B1553" s="31"/>
      <c r="C1553" s="9"/>
      <c r="D1553" s="9"/>
      <c r="E1553" s="7"/>
      <c r="F1553" s="7"/>
      <c r="G1553" s="7"/>
      <c r="H1553" s="7"/>
      <c r="I1553" s="7"/>
      <c r="J1553" s="39"/>
      <c r="L1553" s="16" t="str">
        <f t="shared" ref="L1553:L1616" si="909">IF(AND(B1553&gt;=awal,B1553&lt;=akhir,B1553&lt;&gt;""),1,IF(AND(B1553&lt;&gt;"",B1553&lt;awal),2,""))</f>
        <v/>
      </c>
      <c r="M1553" s="16" t="str">
        <f t="shared" ref="M1553:M1616" si="910">IF(B1553="","",TEXT(B1553,"mmmm"))</f>
        <v/>
      </c>
      <c r="N1553" s="16" t="str">
        <f t="shared" ref="N1553:N1616" si="911">IF(AND(L1553=1,H1553=bb_akun),"Awe",IF(AND(L1553=1,I1553=bb_akun),"Awe",""))</f>
        <v/>
      </c>
      <c r="O1553" s="16" t="str">
        <f>IF(N1553="","",COUNTIF($N$8:N1553,N1553))</f>
        <v/>
      </c>
      <c r="P1553" s="34" t="str">
        <f t="shared" ref="P1553:P1616" si="912">IFERROR(IF(OR(INDEX(akun_type,MATCH(H1553,akun_kb,0))="Kas",INDEX(akun_type,MATCH(H1553,akun_kb,0))="Bank"),"In"&amp;INDEX(akun_type,MATCH(I1553,akun_kb,0)),IF(OR(INDEX(akun_type,MATCH(I1553,akun_kb,0))="Kas",INDEX(akun_type,MATCH(I1553,akun_kb,0))="Bank"),"out"&amp;INDEX(akun_type,MATCH(H1553,akun_kb,0)),"")),"")</f>
        <v/>
      </c>
      <c r="Q1553" s="34" t="str">
        <f t="shared" ref="Q1553:Q1616" si="913">IFERROR(IF(OR(INDEX(akun_type,MATCH(H1553,akun_kb,0))="Kas",INDEX(akun_type,MATCH(H1553,akun_kb,0))="Bank"),"in"&amp;TEXT(B1553,"mmmm")&amp;INDEX(akun_type,MATCH(I1553,akun_kb,0)),IF(OR(INDEX(akun_type,MATCH(I1553,akun_kb,0))="Kas",INDEX(akun_type,MATCH(I1553,akun_kb,0))="Bank"),"out"&amp;TEXT(B1553,"mmmm")&amp;INDEX(akun_type,MATCH(H1553,akun_kb,0)),"")),"")</f>
        <v/>
      </c>
      <c r="R1553" s="34" t="str">
        <f t="shared" ref="R1553:R1616" si="914">IFERROR(INDEX(akun_type,MATCH(H1553,akun_kb,0)),"")</f>
        <v/>
      </c>
      <c r="S1553" s="34" t="str">
        <f t="shared" ref="S1553:S1616" si="915">IFERROR(INDEX(akun_type,MATCH(I1553,akun_kb,0)),"")</f>
        <v/>
      </c>
      <c r="T1553" s="34" t="str">
        <f t="shared" ref="T1553:T1616" si="916">IF(AND(L1553=1,OR(R1553="Akun Piutang",R1553="akun hutang",S1553="akun piutang",S1553="akun hutang")),E1553,"")</f>
        <v/>
      </c>
      <c r="U1553" s="34" t="str">
        <f>IF(AND(L1553=1,bp_kode=T1553,T1553&lt;&gt;""),COUNTIF($T$8:T1553,T1553),"")</f>
        <v/>
      </c>
      <c r="V1553" s="34" t="str">
        <f t="shared" ref="V1553:V1616" si="917">IF(OR(R1553="Pendapatan",R1553="Pendapatan Lainnya",R1553="Beban",R1553="Harga Pokok Penjualan",R1553="Beban Lainnya"),"db"&amp;F1553,IF(OR(S1553="Pendapatan",S1553="Pendapatan Lainnya",S1553="Beban",S1553="Harga Pokok Penjualan",S1553="Beban Lainnya"),"kr"&amp;F1553,""))</f>
        <v/>
      </c>
      <c r="W1553" s="34" t="str">
        <f t="shared" ref="W1553:W1616" si="918">IF(OR(R1553="Pendapatan",R1553="Pendapatan Lainnya",R1553="Beban",R1553="Harga Pokok Penjualan",R1553="Beban Lainnya"),"db"&amp;G1553,IF(OR(S1553="Pendapatan",S1553="Pendapatan Lainnya",S1553="Beban",S1553="Harga Pokok Penjualan",S1553="Beban Lainnya"),"kr"&amp;G1553,""))</f>
        <v/>
      </c>
      <c r="X1553" s="34" t="str">
        <f>IF(B1553="","",COUNTIF($C$8:C1553,C1553)&amp;C1553)</f>
        <v/>
      </c>
    </row>
    <row r="1554" spans="2:24" ht="23.1" customHeight="1">
      <c r="B1554" s="31"/>
      <c r="C1554" s="9"/>
      <c r="D1554" s="9"/>
      <c r="E1554" s="7"/>
      <c r="F1554" s="7"/>
      <c r="G1554" s="7"/>
      <c r="H1554" s="7"/>
      <c r="I1554" s="7"/>
      <c r="J1554" s="39"/>
      <c r="L1554" s="16" t="str">
        <f t="shared" si="909"/>
        <v/>
      </c>
      <c r="M1554" s="16" t="str">
        <f t="shared" si="910"/>
        <v/>
      </c>
      <c r="N1554" s="16" t="str">
        <f t="shared" si="911"/>
        <v/>
      </c>
      <c r="O1554" s="16" t="str">
        <f>IF(N1554="","",COUNTIF($N$8:N1554,N1554))</f>
        <v/>
      </c>
      <c r="P1554" s="34" t="str">
        <f t="shared" si="912"/>
        <v/>
      </c>
      <c r="Q1554" s="34" t="str">
        <f t="shared" si="913"/>
        <v/>
      </c>
      <c r="R1554" s="34" t="str">
        <f t="shared" si="914"/>
        <v/>
      </c>
      <c r="S1554" s="34" t="str">
        <f t="shared" si="915"/>
        <v/>
      </c>
      <c r="T1554" s="34" t="str">
        <f t="shared" si="916"/>
        <v/>
      </c>
      <c r="U1554" s="34" t="str">
        <f>IF(AND(L1554=1,bp_kode=T1554,T1554&lt;&gt;""),COUNTIF($T$8:T1554,T1554),"")</f>
        <v/>
      </c>
      <c r="V1554" s="34" t="str">
        <f t="shared" si="917"/>
        <v/>
      </c>
      <c r="W1554" s="34" t="str">
        <f t="shared" si="918"/>
        <v/>
      </c>
      <c r="X1554" s="34" t="str">
        <f>IF(B1554="","",COUNTIF($C$8:C1554,C1554)&amp;C1554)</f>
        <v/>
      </c>
    </row>
    <row r="1555" spans="2:24" ht="23.1" customHeight="1">
      <c r="B1555" s="31"/>
      <c r="C1555" s="9"/>
      <c r="D1555" s="9"/>
      <c r="E1555" s="7"/>
      <c r="F1555" s="7"/>
      <c r="G1555" s="7"/>
      <c r="H1555" s="7"/>
      <c r="I1555" s="7"/>
      <c r="J1555" s="39"/>
      <c r="L1555" s="16" t="str">
        <f t="shared" si="909"/>
        <v/>
      </c>
      <c r="M1555" s="16" t="str">
        <f t="shared" si="910"/>
        <v/>
      </c>
      <c r="N1555" s="16" t="str">
        <f t="shared" si="911"/>
        <v/>
      </c>
      <c r="O1555" s="16" t="str">
        <f>IF(N1555="","",COUNTIF($N$8:N1555,N1555))</f>
        <v/>
      </c>
      <c r="P1555" s="34" t="str">
        <f t="shared" si="912"/>
        <v/>
      </c>
      <c r="Q1555" s="34" t="str">
        <f t="shared" si="913"/>
        <v/>
      </c>
      <c r="R1555" s="34" t="str">
        <f t="shared" si="914"/>
        <v/>
      </c>
      <c r="S1555" s="34" t="str">
        <f t="shared" si="915"/>
        <v/>
      </c>
      <c r="T1555" s="34" t="str">
        <f t="shared" si="916"/>
        <v/>
      </c>
      <c r="U1555" s="34" t="str">
        <f>IF(AND(L1555=1,bp_kode=T1555,T1555&lt;&gt;""),COUNTIF($T$8:T1555,T1555),"")</f>
        <v/>
      </c>
      <c r="V1555" s="34" t="str">
        <f t="shared" si="917"/>
        <v/>
      </c>
      <c r="W1555" s="34" t="str">
        <f t="shared" si="918"/>
        <v/>
      </c>
      <c r="X1555" s="34" t="str">
        <f>IF(B1555="","",COUNTIF($C$8:C1555,C1555)&amp;C1555)</f>
        <v/>
      </c>
    </row>
    <row r="1556" spans="2:24" ht="23.1" customHeight="1">
      <c r="B1556" s="31"/>
      <c r="C1556" s="9"/>
      <c r="D1556" s="9"/>
      <c r="E1556" s="7"/>
      <c r="F1556" s="7"/>
      <c r="G1556" s="7"/>
      <c r="H1556" s="7"/>
      <c r="I1556" s="7"/>
      <c r="J1556" s="39"/>
      <c r="L1556" s="16" t="str">
        <f t="shared" si="909"/>
        <v/>
      </c>
      <c r="M1556" s="16" t="str">
        <f t="shared" si="910"/>
        <v/>
      </c>
      <c r="N1556" s="16" t="str">
        <f t="shared" si="911"/>
        <v/>
      </c>
      <c r="O1556" s="16" t="str">
        <f>IF(N1556="","",COUNTIF($N$8:N1556,N1556))</f>
        <v/>
      </c>
      <c r="P1556" s="34" t="str">
        <f t="shared" si="912"/>
        <v/>
      </c>
      <c r="Q1556" s="34" t="str">
        <f t="shared" si="913"/>
        <v/>
      </c>
      <c r="R1556" s="34" t="str">
        <f t="shared" si="914"/>
        <v/>
      </c>
      <c r="S1556" s="34" t="str">
        <f t="shared" si="915"/>
        <v/>
      </c>
      <c r="T1556" s="34" t="str">
        <f t="shared" si="916"/>
        <v/>
      </c>
      <c r="U1556" s="34" t="str">
        <f>IF(AND(L1556=1,bp_kode=T1556,T1556&lt;&gt;""),COUNTIF($T$8:T1556,T1556),"")</f>
        <v/>
      </c>
      <c r="V1556" s="34" t="str">
        <f t="shared" si="917"/>
        <v/>
      </c>
      <c r="W1556" s="34" t="str">
        <f t="shared" si="918"/>
        <v/>
      </c>
      <c r="X1556" s="34" t="str">
        <f>IF(B1556="","",COUNTIF($C$8:C1556,C1556)&amp;C1556)</f>
        <v/>
      </c>
    </row>
    <row r="1557" spans="2:24" ht="23.1" customHeight="1">
      <c r="B1557" s="31"/>
      <c r="C1557" s="9"/>
      <c r="D1557" s="9"/>
      <c r="E1557" s="7"/>
      <c r="F1557" s="7"/>
      <c r="G1557" s="7"/>
      <c r="H1557" s="7"/>
      <c r="I1557" s="7"/>
      <c r="J1557" s="39"/>
      <c r="L1557" s="16" t="str">
        <f t="shared" si="909"/>
        <v/>
      </c>
      <c r="M1557" s="16" t="str">
        <f t="shared" si="910"/>
        <v/>
      </c>
      <c r="N1557" s="16" t="str">
        <f t="shared" si="911"/>
        <v/>
      </c>
      <c r="O1557" s="16" t="str">
        <f>IF(N1557="","",COUNTIF($N$8:N1557,N1557))</f>
        <v/>
      </c>
      <c r="P1557" s="34" t="str">
        <f t="shared" si="912"/>
        <v/>
      </c>
      <c r="Q1557" s="34" t="str">
        <f t="shared" si="913"/>
        <v/>
      </c>
      <c r="R1557" s="34" t="str">
        <f t="shared" si="914"/>
        <v/>
      </c>
      <c r="S1557" s="34" t="str">
        <f t="shared" si="915"/>
        <v/>
      </c>
      <c r="T1557" s="34" t="str">
        <f t="shared" si="916"/>
        <v/>
      </c>
      <c r="U1557" s="34" t="str">
        <f>IF(AND(L1557=1,bp_kode=T1557,T1557&lt;&gt;""),COUNTIF($T$8:T1557,T1557),"")</f>
        <v/>
      </c>
      <c r="V1557" s="34" t="str">
        <f t="shared" si="917"/>
        <v/>
      </c>
      <c r="W1557" s="34" t="str">
        <f t="shared" si="918"/>
        <v/>
      </c>
      <c r="X1557" s="34" t="str">
        <f>IF(B1557="","",COUNTIF($C$8:C1557,C1557)&amp;C1557)</f>
        <v/>
      </c>
    </row>
    <row r="1558" spans="2:24" ht="23.1" customHeight="1">
      <c r="B1558" s="31"/>
      <c r="C1558" s="9"/>
      <c r="D1558" s="9"/>
      <c r="E1558" s="7"/>
      <c r="F1558" s="7"/>
      <c r="G1558" s="7"/>
      <c r="H1558" s="7"/>
      <c r="I1558" s="7"/>
      <c r="J1558" s="39"/>
      <c r="L1558" s="16" t="str">
        <f t="shared" si="909"/>
        <v/>
      </c>
      <c r="M1558" s="16" t="str">
        <f t="shared" si="910"/>
        <v/>
      </c>
      <c r="N1558" s="16" t="str">
        <f t="shared" si="911"/>
        <v/>
      </c>
      <c r="O1558" s="16" t="str">
        <f>IF(N1558="","",COUNTIF($N$8:N1558,N1558))</f>
        <v/>
      </c>
      <c r="P1558" s="34" t="str">
        <f t="shared" si="912"/>
        <v/>
      </c>
      <c r="Q1558" s="34" t="str">
        <f t="shared" si="913"/>
        <v/>
      </c>
      <c r="R1558" s="34" t="str">
        <f t="shared" si="914"/>
        <v/>
      </c>
      <c r="S1558" s="34" t="str">
        <f t="shared" si="915"/>
        <v/>
      </c>
      <c r="T1558" s="34" t="str">
        <f t="shared" si="916"/>
        <v/>
      </c>
      <c r="U1558" s="34" t="str">
        <f>IF(AND(L1558=1,bp_kode=T1558,T1558&lt;&gt;""),COUNTIF($T$8:T1558,T1558),"")</f>
        <v/>
      </c>
      <c r="V1558" s="34" t="str">
        <f t="shared" si="917"/>
        <v/>
      </c>
      <c r="W1558" s="34" t="str">
        <f t="shared" si="918"/>
        <v/>
      </c>
      <c r="X1558" s="34" t="str">
        <f>IF(B1558="","",COUNTIF($C$8:C1558,C1558)&amp;C1558)</f>
        <v/>
      </c>
    </row>
    <row r="1559" spans="2:24" ht="23.1" customHeight="1">
      <c r="B1559" s="31"/>
      <c r="C1559" s="9"/>
      <c r="D1559" s="9"/>
      <c r="E1559" s="7"/>
      <c r="F1559" s="7"/>
      <c r="G1559" s="7"/>
      <c r="H1559" s="7"/>
      <c r="I1559" s="7"/>
      <c r="J1559" s="39"/>
      <c r="L1559" s="16" t="str">
        <f t="shared" si="909"/>
        <v/>
      </c>
      <c r="M1559" s="16" t="str">
        <f t="shared" si="910"/>
        <v/>
      </c>
      <c r="N1559" s="16" t="str">
        <f t="shared" si="911"/>
        <v/>
      </c>
      <c r="O1559" s="16" t="str">
        <f>IF(N1559="","",COUNTIF($N$8:N1559,N1559))</f>
        <v/>
      </c>
      <c r="P1559" s="34" t="str">
        <f t="shared" si="912"/>
        <v/>
      </c>
      <c r="Q1559" s="34" t="str">
        <f t="shared" si="913"/>
        <v/>
      </c>
      <c r="R1559" s="34" t="str">
        <f t="shared" si="914"/>
        <v/>
      </c>
      <c r="S1559" s="34" t="str">
        <f t="shared" si="915"/>
        <v/>
      </c>
      <c r="T1559" s="34" t="str">
        <f t="shared" si="916"/>
        <v/>
      </c>
      <c r="U1559" s="34" t="str">
        <f>IF(AND(L1559=1,bp_kode=T1559,T1559&lt;&gt;""),COUNTIF($T$8:T1559,T1559),"")</f>
        <v/>
      </c>
      <c r="V1559" s="34" t="str">
        <f t="shared" si="917"/>
        <v/>
      </c>
      <c r="W1559" s="34" t="str">
        <f t="shared" si="918"/>
        <v/>
      </c>
      <c r="X1559" s="34" t="str">
        <f>IF(B1559="","",COUNTIF($C$8:C1559,C1559)&amp;C1559)</f>
        <v/>
      </c>
    </row>
    <row r="1560" spans="2:24" ht="23.1" customHeight="1">
      <c r="B1560" s="31"/>
      <c r="C1560" s="9"/>
      <c r="D1560" s="9"/>
      <c r="E1560" s="7"/>
      <c r="F1560" s="7"/>
      <c r="G1560" s="7"/>
      <c r="H1560" s="7"/>
      <c r="I1560" s="7"/>
      <c r="J1560" s="39"/>
      <c r="L1560" s="16" t="str">
        <f t="shared" si="909"/>
        <v/>
      </c>
      <c r="M1560" s="16" t="str">
        <f t="shared" si="910"/>
        <v/>
      </c>
      <c r="N1560" s="16" t="str">
        <f t="shared" si="911"/>
        <v/>
      </c>
      <c r="O1560" s="16" t="str">
        <f>IF(N1560="","",COUNTIF($N$8:N1560,N1560))</f>
        <v/>
      </c>
      <c r="P1560" s="34" t="str">
        <f t="shared" si="912"/>
        <v/>
      </c>
      <c r="Q1560" s="34" t="str">
        <f t="shared" si="913"/>
        <v/>
      </c>
      <c r="R1560" s="34" t="str">
        <f t="shared" si="914"/>
        <v/>
      </c>
      <c r="S1560" s="34" t="str">
        <f t="shared" si="915"/>
        <v/>
      </c>
      <c r="T1560" s="34" t="str">
        <f t="shared" si="916"/>
        <v/>
      </c>
      <c r="U1560" s="34" t="str">
        <f>IF(AND(L1560=1,bp_kode=T1560,T1560&lt;&gt;""),COUNTIF($T$8:T1560,T1560),"")</f>
        <v/>
      </c>
      <c r="V1560" s="34" t="str">
        <f t="shared" si="917"/>
        <v/>
      </c>
      <c r="W1560" s="34" t="str">
        <f t="shared" si="918"/>
        <v/>
      </c>
      <c r="X1560" s="34" t="str">
        <f>IF(B1560="","",COUNTIF($C$8:C1560,C1560)&amp;C1560)</f>
        <v/>
      </c>
    </row>
    <row r="1561" spans="2:24" ht="23.1" customHeight="1">
      <c r="B1561" s="31"/>
      <c r="C1561" s="9"/>
      <c r="D1561" s="9"/>
      <c r="E1561" s="7"/>
      <c r="F1561" s="7"/>
      <c r="G1561" s="7"/>
      <c r="H1561" s="7"/>
      <c r="I1561" s="7"/>
      <c r="J1561" s="39"/>
      <c r="L1561" s="16" t="str">
        <f t="shared" si="909"/>
        <v/>
      </c>
      <c r="M1561" s="16" t="str">
        <f t="shared" si="910"/>
        <v/>
      </c>
      <c r="N1561" s="16" t="str">
        <f t="shared" si="911"/>
        <v/>
      </c>
      <c r="O1561" s="16" t="str">
        <f>IF(N1561="","",COUNTIF($N$8:N1561,N1561))</f>
        <v/>
      </c>
      <c r="P1561" s="34" t="str">
        <f t="shared" si="912"/>
        <v/>
      </c>
      <c r="Q1561" s="34" t="str">
        <f t="shared" si="913"/>
        <v/>
      </c>
      <c r="R1561" s="34" t="str">
        <f t="shared" si="914"/>
        <v/>
      </c>
      <c r="S1561" s="34" t="str">
        <f t="shared" si="915"/>
        <v/>
      </c>
      <c r="T1561" s="34" t="str">
        <f t="shared" si="916"/>
        <v/>
      </c>
      <c r="U1561" s="34" t="str">
        <f>IF(AND(L1561=1,bp_kode=T1561,T1561&lt;&gt;""),COUNTIF($T$8:T1561,T1561),"")</f>
        <v/>
      </c>
      <c r="V1561" s="34" t="str">
        <f t="shared" si="917"/>
        <v/>
      </c>
      <c r="W1561" s="34" t="str">
        <f t="shared" si="918"/>
        <v/>
      </c>
      <c r="X1561" s="34" t="str">
        <f>IF(B1561="","",COUNTIF($C$8:C1561,C1561)&amp;C1561)</f>
        <v/>
      </c>
    </row>
    <row r="1562" spans="2:24" ht="23.1" customHeight="1">
      <c r="B1562" s="31"/>
      <c r="C1562" s="9"/>
      <c r="D1562" s="9"/>
      <c r="E1562" s="7"/>
      <c r="F1562" s="7"/>
      <c r="G1562" s="7"/>
      <c r="H1562" s="7"/>
      <c r="I1562" s="7"/>
      <c r="J1562" s="39"/>
      <c r="L1562" s="16" t="str">
        <f t="shared" si="909"/>
        <v/>
      </c>
      <c r="M1562" s="16" t="str">
        <f t="shared" si="910"/>
        <v/>
      </c>
      <c r="N1562" s="16" t="str">
        <f t="shared" si="911"/>
        <v/>
      </c>
      <c r="O1562" s="16" t="str">
        <f>IF(N1562="","",COUNTIF($N$8:N1562,N1562))</f>
        <v/>
      </c>
      <c r="P1562" s="34" t="str">
        <f t="shared" si="912"/>
        <v/>
      </c>
      <c r="Q1562" s="34" t="str">
        <f t="shared" si="913"/>
        <v/>
      </c>
      <c r="R1562" s="34" t="str">
        <f t="shared" si="914"/>
        <v/>
      </c>
      <c r="S1562" s="34" t="str">
        <f t="shared" si="915"/>
        <v/>
      </c>
      <c r="T1562" s="34" t="str">
        <f t="shared" si="916"/>
        <v/>
      </c>
      <c r="U1562" s="34" t="str">
        <f>IF(AND(L1562=1,bp_kode=T1562,T1562&lt;&gt;""),COUNTIF($T$8:T1562,T1562),"")</f>
        <v/>
      </c>
      <c r="V1562" s="34" t="str">
        <f t="shared" si="917"/>
        <v/>
      </c>
      <c r="W1562" s="34" t="str">
        <f t="shared" si="918"/>
        <v/>
      </c>
      <c r="X1562" s="34" t="str">
        <f>IF(B1562="","",COUNTIF($C$8:C1562,C1562)&amp;C1562)</f>
        <v/>
      </c>
    </row>
    <row r="1563" spans="2:24" ht="23.1" customHeight="1">
      <c r="B1563" s="31"/>
      <c r="C1563" s="9"/>
      <c r="D1563" s="9"/>
      <c r="E1563" s="7"/>
      <c r="F1563" s="7"/>
      <c r="G1563" s="7"/>
      <c r="H1563" s="7"/>
      <c r="I1563" s="7"/>
      <c r="J1563" s="39"/>
      <c r="L1563" s="16" t="str">
        <f t="shared" si="909"/>
        <v/>
      </c>
      <c r="M1563" s="16" t="str">
        <f t="shared" si="910"/>
        <v/>
      </c>
      <c r="N1563" s="16" t="str">
        <f t="shared" si="911"/>
        <v/>
      </c>
      <c r="O1563" s="16" t="str">
        <f>IF(N1563="","",COUNTIF($N$8:N1563,N1563))</f>
        <v/>
      </c>
      <c r="P1563" s="34" t="str">
        <f t="shared" si="912"/>
        <v/>
      </c>
      <c r="Q1563" s="34" t="str">
        <f t="shared" si="913"/>
        <v/>
      </c>
      <c r="R1563" s="34" t="str">
        <f t="shared" si="914"/>
        <v/>
      </c>
      <c r="S1563" s="34" t="str">
        <f t="shared" si="915"/>
        <v/>
      </c>
      <c r="T1563" s="34" t="str">
        <f t="shared" si="916"/>
        <v/>
      </c>
      <c r="U1563" s="34" t="str">
        <f>IF(AND(L1563=1,bp_kode=T1563,T1563&lt;&gt;""),COUNTIF($T$8:T1563,T1563),"")</f>
        <v/>
      </c>
      <c r="V1563" s="34" t="str">
        <f t="shared" si="917"/>
        <v/>
      </c>
      <c r="W1563" s="34" t="str">
        <f t="shared" si="918"/>
        <v/>
      </c>
      <c r="X1563" s="34" t="str">
        <f>IF(B1563="","",COUNTIF($C$8:C1563,C1563)&amp;C1563)</f>
        <v/>
      </c>
    </row>
    <row r="1564" spans="2:24" ht="23.1" customHeight="1">
      <c r="B1564" s="31"/>
      <c r="C1564" s="9"/>
      <c r="D1564" s="9"/>
      <c r="E1564" s="7"/>
      <c r="F1564" s="7"/>
      <c r="G1564" s="7"/>
      <c r="H1564" s="7"/>
      <c r="I1564" s="7"/>
      <c r="J1564" s="39"/>
      <c r="L1564" s="16" t="str">
        <f t="shared" si="909"/>
        <v/>
      </c>
      <c r="M1564" s="16" t="str">
        <f t="shared" si="910"/>
        <v/>
      </c>
      <c r="N1564" s="16" t="str">
        <f t="shared" si="911"/>
        <v/>
      </c>
      <c r="O1564" s="16" t="str">
        <f>IF(N1564="","",COUNTIF($N$8:N1564,N1564))</f>
        <v/>
      </c>
      <c r="P1564" s="34" t="str">
        <f t="shared" si="912"/>
        <v/>
      </c>
      <c r="Q1564" s="34" t="str">
        <f t="shared" si="913"/>
        <v/>
      </c>
      <c r="R1564" s="34" t="str">
        <f t="shared" si="914"/>
        <v/>
      </c>
      <c r="S1564" s="34" t="str">
        <f t="shared" si="915"/>
        <v/>
      </c>
      <c r="T1564" s="34" t="str">
        <f t="shared" si="916"/>
        <v/>
      </c>
      <c r="U1564" s="34" t="str">
        <f>IF(AND(L1564=1,bp_kode=T1564,T1564&lt;&gt;""),COUNTIF($T$8:T1564,T1564),"")</f>
        <v/>
      </c>
      <c r="V1564" s="34" t="str">
        <f t="shared" si="917"/>
        <v/>
      </c>
      <c r="W1564" s="34" t="str">
        <f t="shared" si="918"/>
        <v/>
      </c>
      <c r="X1564" s="34" t="str">
        <f>IF(B1564="","",COUNTIF($C$8:C1564,C1564)&amp;C1564)</f>
        <v/>
      </c>
    </row>
    <row r="1565" spans="2:24" ht="23.1" customHeight="1">
      <c r="B1565" s="31"/>
      <c r="C1565" s="9"/>
      <c r="D1565" s="9"/>
      <c r="E1565" s="7"/>
      <c r="F1565" s="7"/>
      <c r="G1565" s="7"/>
      <c r="H1565" s="7"/>
      <c r="I1565" s="7"/>
      <c r="J1565" s="39"/>
      <c r="L1565" s="16" t="str">
        <f t="shared" si="909"/>
        <v/>
      </c>
      <c r="M1565" s="16" t="str">
        <f t="shared" si="910"/>
        <v/>
      </c>
      <c r="N1565" s="16" t="str">
        <f t="shared" si="911"/>
        <v/>
      </c>
      <c r="O1565" s="16" t="str">
        <f>IF(N1565="","",COUNTIF($N$8:N1565,N1565))</f>
        <v/>
      </c>
      <c r="P1565" s="34" t="str">
        <f t="shared" si="912"/>
        <v/>
      </c>
      <c r="Q1565" s="34" t="str">
        <f t="shared" si="913"/>
        <v/>
      </c>
      <c r="R1565" s="34" t="str">
        <f t="shared" si="914"/>
        <v/>
      </c>
      <c r="S1565" s="34" t="str">
        <f t="shared" si="915"/>
        <v/>
      </c>
      <c r="T1565" s="34" t="str">
        <f t="shared" si="916"/>
        <v/>
      </c>
      <c r="U1565" s="34" t="str">
        <f>IF(AND(L1565=1,bp_kode=T1565,T1565&lt;&gt;""),COUNTIF($T$8:T1565,T1565),"")</f>
        <v/>
      </c>
      <c r="V1565" s="34" t="str">
        <f t="shared" si="917"/>
        <v/>
      </c>
      <c r="W1565" s="34" t="str">
        <f t="shared" si="918"/>
        <v/>
      </c>
      <c r="X1565" s="34" t="str">
        <f>IF(B1565="","",COUNTIF($C$8:C1565,C1565)&amp;C1565)</f>
        <v/>
      </c>
    </row>
    <row r="1566" spans="2:24" ht="23.1" customHeight="1">
      <c r="B1566" s="31"/>
      <c r="C1566" s="9"/>
      <c r="D1566" s="9"/>
      <c r="E1566" s="7"/>
      <c r="F1566" s="7"/>
      <c r="G1566" s="7"/>
      <c r="H1566" s="7"/>
      <c r="I1566" s="7"/>
      <c r="J1566" s="39"/>
      <c r="L1566" s="16" t="str">
        <f t="shared" si="909"/>
        <v/>
      </c>
      <c r="M1566" s="16" t="str">
        <f t="shared" si="910"/>
        <v/>
      </c>
      <c r="N1566" s="16" t="str">
        <f t="shared" si="911"/>
        <v/>
      </c>
      <c r="O1566" s="16" t="str">
        <f>IF(N1566="","",COUNTIF($N$8:N1566,N1566))</f>
        <v/>
      </c>
      <c r="P1566" s="34" t="str">
        <f t="shared" si="912"/>
        <v/>
      </c>
      <c r="Q1566" s="34" t="str">
        <f t="shared" si="913"/>
        <v/>
      </c>
      <c r="R1566" s="34" t="str">
        <f t="shared" si="914"/>
        <v/>
      </c>
      <c r="S1566" s="34" t="str">
        <f t="shared" si="915"/>
        <v/>
      </c>
      <c r="T1566" s="34" t="str">
        <f t="shared" si="916"/>
        <v/>
      </c>
      <c r="U1566" s="34" t="str">
        <f>IF(AND(L1566=1,bp_kode=T1566,T1566&lt;&gt;""),COUNTIF($T$8:T1566,T1566),"")</f>
        <v/>
      </c>
      <c r="V1566" s="34" t="str">
        <f t="shared" si="917"/>
        <v/>
      </c>
      <c r="W1566" s="34" t="str">
        <f t="shared" si="918"/>
        <v/>
      </c>
      <c r="X1566" s="34" t="str">
        <f>IF(B1566="","",COUNTIF($C$8:C1566,C1566)&amp;C1566)</f>
        <v/>
      </c>
    </row>
    <row r="1567" spans="2:24" ht="23.1" customHeight="1">
      <c r="B1567" s="31"/>
      <c r="C1567" s="9"/>
      <c r="D1567" s="9"/>
      <c r="E1567" s="7"/>
      <c r="F1567" s="7"/>
      <c r="G1567" s="7"/>
      <c r="H1567" s="7"/>
      <c r="I1567" s="7"/>
      <c r="J1567" s="39"/>
      <c r="L1567" s="16" t="str">
        <f t="shared" si="909"/>
        <v/>
      </c>
      <c r="M1567" s="16" t="str">
        <f t="shared" si="910"/>
        <v/>
      </c>
      <c r="N1567" s="16" t="str">
        <f t="shared" si="911"/>
        <v/>
      </c>
      <c r="O1567" s="16" t="str">
        <f>IF(N1567="","",COUNTIF($N$8:N1567,N1567))</f>
        <v/>
      </c>
      <c r="P1567" s="34" t="str">
        <f t="shared" si="912"/>
        <v/>
      </c>
      <c r="Q1567" s="34" t="str">
        <f t="shared" si="913"/>
        <v/>
      </c>
      <c r="R1567" s="34" t="str">
        <f t="shared" si="914"/>
        <v/>
      </c>
      <c r="S1567" s="34" t="str">
        <f t="shared" si="915"/>
        <v/>
      </c>
      <c r="T1567" s="34" t="str">
        <f t="shared" si="916"/>
        <v/>
      </c>
      <c r="U1567" s="34" t="str">
        <f>IF(AND(L1567=1,bp_kode=T1567,T1567&lt;&gt;""),COUNTIF($T$8:T1567,T1567),"")</f>
        <v/>
      </c>
      <c r="V1567" s="34" t="str">
        <f t="shared" si="917"/>
        <v/>
      </c>
      <c r="W1567" s="34" t="str">
        <f t="shared" si="918"/>
        <v/>
      </c>
      <c r="X1567" s="34" t="str">
        <f>IF(B1567="","",COUNTIF($C$8:C1567,C1567)&amp;C1567)</f>
        <v/>
      </c>
    </row>
    <row r="1568" spans="2:24" ht="23.1" customHeight="1">
      <c r="B1568" s="31"/>
      <c r="C1568" s="9"/>
      <c r="D1568" s="9"/>
      <c r="E1568" s="7"/>
      <c r="F1568" s="7"/>
      <c r="G1568" s="7"/>
      <c r="H1568" s="7"/>
      <c r="I1568" s="7"/>
      <c r="J1568" s="39"/>
      <c r="L1568" s="16" t="str">
        <f t="shared" si="909"/>
        <v/>
      </c>
      <c r="M1568" s="16" t="str">
        <f t="shared" si="910"/>
        <v/>
      </c>
      <c r="N1568" s="16" t="str">
        <f t="shared" si="911"/>
        <v/>
      </c>
      <c r="O1568" s="16" t="str">
        <f>IF(N1568="","",COUNTIF($N$8:N1568,N1568))</f>
        <v/>
      </c>
      <c r="P1568" s="34" t="str">
        <f t="shared" si="912"/>
        <v/>
      </c>
      <c r="Q1568" s="34" t="str">
        <f t="shared" si="913"/>
        <v/>
      </c>
      <c r="R1568" s="34" t="str">
        <f t="shared" si="914"/>
        <v/>
      </c>
      <c r="S1568" s="34" t="str">
        <f t="shared" si="915"/>
        <v/>
      </c>
      <c r="T1568" s="34" t="str">
        <f t="shared" si="916"/>
        <v/>
      </c>
      <c r="U1568" s="34" t="str">
        <f>IF(AND(L1568=1,bp_kode=T1568,T1568&lt;&gt;""),COUNTIF($T$8:T1568,T1568),"")</f>
        <v/>
      </c>
      <c r="V1568" s="34" t="str">
        <f t="shared" si="917"/>
        <v/>
      </c>
      <c r="W1568" s="34" t="str">
        <f t="shared" si="918"/>
        <v/>
      </c>
      <c r="X1568" s="34" t="str">
        <f>IF(B1568="","",COUNTIF($C$8:C1568,C1568)&amp;C1568)</f>
        <v/>
      </c>
    </row>
    <row r="1569" spans="2:24" ht="23.1" customHeight="1">
      <c r="B1569" s="31"/>
      <c r="C1569" s="9"/>
      <c r="D1569" s="9"/>
      <c r="E1569" s="7"/>
      <c r="F1569" s="7"/>
      <c r="G1569" s="7"/>
      <c r="H1569" s="7"/>
      <c r="I1569" s="7"/>
      <c r="J1569" s="39"/>
      <c r="L1569" s="16" t="str">
        <f t="shared" si="909"/>
        <v/>
      </c>
      <c r="M1569" s="16" t="str">
        <f t="shared" si="910"/>
        <v/>
      </c>
      <c r="N1569" s="16" t="str">
        <f t="shared" si="911"/>
        <v/>
      </c>
      <c r="O1569" s="16" t="str">
        <f>IF(N1569="","",COUNTIF($N$8:N1569,N1569))</f>
        <v/>
      </c>
      <c r="P1569" s="34" t="str">
        <f t="shared" si="912"/>
        <v/>
      </c>
      <c r="Q1569" s="34" t="str">
        <f t="shared" si="913"/>
        <v/>
      </c>
      <c r="R1569" s="34" t="str">
        <f t="shared" si="914"/>
        <v/>
      </c>
      <c r="S1569" s="34" t="str">
        <f t="shared" si="915"/>
        <v/>
      </c>
      <c r="T1569" s="34" t="str">
        <f t="shared" si="916"/>
        <v/>
      </c>
      <c r="U1569" s="34" t="str">
        <f>IF(AND(L1569=1,bp_kode=T1569,T1569&lt;&gt;""),COUNTIF($T$8:T1569,T1569),"")</f>
        <v/>
      </c>
      <c r="V1569" s="34" t="str">
        <f t="shared" si="917"/>
        <v/>
      </c>
      <c r="W1569" s="34" t="str">
        <f t="shared" si="918"/>
        <v/>
      </c>
      <c r="X1569" s="34" t="str">
        <f>IF(B1569="","",COUNTIF($C$8:C1569,C1569)&amp;C1569)</f>
        <v/>
      </c>
    </row>
    <row r="1570" spans="2:24" ht="23.1" customHeight="1">
      <c r="B1570" s="31"/>
      <c r="C1570" s="9"/>
      <c r="D1570" s="9"/>
      <c r="E1570" s="7"/>
      <c r="F1570" s="7"/>
      <c r="G1570" s="7"/>
      <c r="H1570" s="7"/>
      <c r="I1570" s="7"/>
      <c r="J1570" s="39"/>
      <c r="L1570" s="16" t="str">
        <f t="shared" si="909"/>
        <v/>
      </c>
      <c r="M1570" s="16" t="str">
        <f t="shared" si="910"/>
        <v/>
      </c>
      <c r="N1570" s="16" t="str">
        <f t="shared" si="911"/>
        <v/>
      </c>
      <c r="O1570" s="16" t="str">
        <f>IF(N1570="","",COUNTIF($N$8:N1570,N1570))</f>
        <v/>
      </c>
      <c r="P1570" s="34" t="str">
        <f t="shared" si="912"/>
        <v/>
      </c>
      <c r="Q1570" s="34" t="str">
        <f t="shared" si="913"/>
        <v/>
      </c>
      <c r="R1570" s="34" t="str">
        <f t="shared" si="914"/>
        <v/>
      </c>
      <c r="S1570" s="34" t="str">
        <f t="shared" si="915"/>
        <v/>
      </c>
      <c r="T1570" s="34" t="str">
        <f t="shared" si="916"/>
        <v/>
      </c>
      <c r="U1570" s="34" t="str">
        <f>IF(AND(L1570=1,bp_kode=T1570,T1570&lt;&gt;""),COUNTIF($T$8:T1570,T1570),"")</f>
        <v/>
      </c>
      <c r="V1570" s="34" t="str">
        <f t="shared" si="917"/>
        <v/>
      </c>
      <c r="W1570" s="34" t="str">
        <f t="shared" si="918"/>
        <v/>
      </c>
      <c r="X1570" s="34" t="str">
        <f>IF(B1570="","",COUNTIF($C$8:C1570,C1570)&amp;C1570)</f>
        <v/>
      </c>
    </row>
    <row r="1571" spans="2:24" ht="23.1" customHeight="1">
      <c r="B1571" s="31"/>
      <c r="C1571" s="9"/>
      <c r="D1571" s="9"/>
      <c r="E1571" s="7"/>
      <c r="F1571" s="7"/>
      <c r="G1571" s="7"/>
      <c r="H1571" s="7"/>
      <c r="I1571" s="7"/>
      <c r="J1571" s="39"/>
      <c r="L1571" s="16" t="str">
        <f t="shared" si="909"/>
        <v/>
      </c>
      <c r="M1571" s="16" t="str">
        <f t="shared" si="910"/>
        <v/>
      </c>
      <c r="N1571" s="16" t="str">
        <f t="shared" si="911"/>
        <v/>
      </c>
      <c r="O1571" s="16" t="str">
        <f>IF(N1571="","",COUNTIF($N$8:N1571,N1571))</f>
        <v/>
      </c>
      <c r="P1571" s="34" t="str">
        <f t="shared" si="912"/>
        <v/>
      </c>
      <c r="Q1571" s="34" t="str">
        <f t="shared" si="913"/>
        <v/>
      </c>
      <c r="R1571" s="34" t="str">
        <f t="shared" si="914"/>
        <v/>
      </c>
      <c r="S1571" s="34" t="str">
        <f t="shared" si="915"/>
        <v/>
      </c>
      <c r="T1571" s="34" t="str">
        <f t="shared" si="916"/>
        <v/>
      </c>
      <c r="U1571" s="34" t="str">
        <f>IF(AND(L1571=1,bp_kode=T1571,T1571&lt;&gt;""),COUNTIF($T$8:T1571,T1571),"")</f>
        <v/>
      </c>
      <c r="V1571" s="34" t="str">
        <f t="shared" si="917"/>
        <v/>
      </c>
      <c r="W1571" s="34" t="str">
        <f t="shared" si="918"/>
        <v/>
      </c>
      <c r="X1571" s="34" t="str">
        <f>IF(B1571="","",COUNTIF($C$8:C1571,C1571)&amp;C1571)</f>
        <v/>
      </c>
    </row>
    <row r="1572" spans="2:24" ht="23.1" customHeight="1">
      <c r="B1572" s="31"/>
      <c r="C1572" s="9"/>
      <c r="D1572" s="9"/>
      <c r="E1572" s="7"/>
      <c r="F1572" s="7"/>
      <c r="G1572" s="7"/>
      <c r="H1572" s="7"/>
      <c r="I1572" s="7"/>
      <c r="J1572" s="39"/>
      <c r="L1572" s="16" t="str">
        <f t="shared" si="909"/>
        <v/>
      </c>
      <c r="M1572" s="16" t="str">
        <f t="shared" si="910"/>
        <v/>
      </c>
      <c r="N1572" s="16" t="str">
        <f t="shared" si="911"/>
        <v/>
      </c>
      <c r="O1572" s="16" t="str">
        <f>IF(N1572="","",COUNTIF($N$8:N1572,N1572))</f>
        <v/>
      </c>
      <c r="P1572" s="34" t="str">
        <f t="shared" si="912"/>
        <v/>
      </c>
      <c r="Q1572" s="34" t="str">
        <f t="shared" si="913"/>
        <v/>
      </c>
      <c r="R1572" s="34" t="str">
        <f t="shared" si="914"/>
        <v/>
      </c>
      <c r="S1572" s="34" t="str">
        <f t="shared" si="915"/>
        <v/>
      </c>
      <c r="T1572" s="34" t="str">
        <f t="shared" si="916"/>
        <v/>
      </c>
      <c r="U1572" s="34" t="str">
        <f>IF(AND(L1572=1,bp_kode=T1572,T1572&lt;&gt;""),COUNTIF($T$8:T1572,T1572),"")</f>
        <v/>
      </c>
      <c r="V1572" s="34" t="str">
        <f t="shared" si="917"/>
        <v/>
      </c>
      <c r="W1572" s="34" t="str">
        <f t="shared" si="918"/>
        <v/>
      </c>
      <c r="X1572" s="34" t="str">
        <f>IF(B1572="","",COUNTIF($C$8:C1572,C1572)&amp;C1572)</f>
        <v/>
      </c>
    </row>
    <row r="1573" spans="2:24" ht="23.1" customHeight="1">
      <c r="B1573" s="31"/>
      <c r="C1573" s="9"/>
      <c r="D1573" s="9"/>
      <c r="E1573" s="7"/>
      <c r="F1573" s="7"/>
      <c r="G1573" s="7"/>
      <c r="H1573" s="7"/>
      <c r="I1573" s="7"/>
      <c r="J1573" s="39"/>
      <c r="L1573" s="16" t="str">
        <f t="shared" si="909"/>
        <v/>
      </c>
      <c r="M1573" s="16" t="str">
        <f t="shared" si="910"/>
        <v/>
      </c>
      <c r="N1573" s="16" t="str">
        <f t="shared" si="911"/>
        <v/>
      </c>
      <c r="O1573" s="16" t="str">
        <f>IF(N1573="","",COUNTIF($N$8:N1573,N1573))</f>
        <v/>
      </c>
      <c r="P1573" s="34" t="str">
        <f t="shared" si="912"/>
        <v/>
      </c>
      <c r="Q1573" s="34" t="str">
        <f t="shared" si="913"/>
        <v/>
      </c>
      <c r="R1573" s="34" t="str">
        <f t="shared" si="914"/>
        <v/>
      </c>
      <c r="S1573" s="34" t="str">
        <f t="shared" si="915"/>
        <v/>
      </c>
      <c r="T1573" s="34" t="str">
        <f t="shared" si="916"/>
        <v/>
      </c>
      <c r="U1573" s="34" t="str">
        <f>IF(AND(L1573=1,bp_kode=T1573,T1573&lt;&gt;""),COUNTIF($T$8:T1573,T1573),"")</f>
        <v/>
      </c>
      <c r="V1573" s="34" t="str">
        <f t="shared" si="917"/>
        <v/>
      </c>
      <c r="W1573" s="34" t="str">
        <f t="shared" si="918"/>
        <v/>
      </c>
      <c r="X1573" s="34" t="str">
        <f>IF(B1573="","",COUNTIF($C$8:C1573,C1573)&amp;C1573)</f>
        <v/>
      </c>
    </row>
    <row r="1574" spans="2:24" ht="23.1" customHeight="1">
      <c r="B1574" s="31"/>
      <c r="C1574" s="9"/>
      <c r="D1574" s="9"/>
      <c r="E1574" s="7"/>
      <c r="F1574" s="7"/>
      <c r="G1574" s="7"/>
      <c r="H1574" s="7"/>
      <c r="I1574" s="7"/>
      <c r="J1574" s="39"/>
      <c r="L1574" s="16" t="str">
        <f t="shared" si="909"/>
        <v/>
      </c>
      <c r="M1574" s="16" t="str">
        <f t="shared" si="910"/>
        <v/>
      </c>
      <c r="N1574" s="16" t="str">
        <f t="shared" si="911"/>
        <v/>
      </c>
      <c r="O1574" s="16" t="str">
        <f>IF(N1574="","",COUNTIF($N$8:N1574,N1574))</f>
        <v/>
      </c>
      <c r="P1574" s="34" t="str">
        <f t="shared" si="912"/>
        <v/>
      </c>
      <c r="Q1574" s="34" t="str">
        <f t="shared" si="913"/>
        <v/>
      </c>
      <c r="R1574" s="34" t="str">
        <f t="shared" si="914"/>
        <v/>
      </c>
      <c r="S1574" s="34" t="str">
        <f t="shared" si="915"/>
        <v/>
      </c>
      <c r="T1574" s="34" t="str">
        <f t="shared" si="916"/>
        <v/>
      </c>
      <c r="U1574" s="34" t="str">
        <f>IF(AND(L1574=1,bp_kode=T1574,T1574&lt;&gt;""),COUNTIF($T$8:T1574,T1574),"")</f>
        <v/>
      </c>
      <c r="V1574" s="34" t="str">
        <f t="shared" si="917"/>
        <v/>
      </c>
      <c r="W1574" s="34" t="str">
        <f t="shared" si="918"/>
        <v/>
      </c>
      <c r="X1574" s="34" t="str">
        <f>IF(B1574="","",COUNTIF($C$8:C1574,C1574)&amp;C1574)</f>
        <v/>
      </c>
    </row>
    <row r="1575" spans="2:24" ht="23.1" customHeight="1">
      <c r="B1575" s="31"/>
      <c r="C1575" s="9"/>
      <c r="D1575" s="9"/>
      <c r="E1575" s="7"/>
      <c r="F1575" s="7"/>
      <c r="G1575" s="7"/>
      <c r="H1575" s="7"/>
      <c r="I1575" s="7"/>
      <c r="J1575" s="39"/>
      <c r="L1575" s="16" t="str">
        <f t="shared" si="909"/>
        <v/>
      </c>
      <c r="M1575" s="16" t="str">
        <f t="shared" si="910"/>
        <v/>
      </c>
      <c r="N1575" s="16" t="str">
        <f t="shared" si="911"/>
        <v/>
      </c>
      <c r="O1575" s="16" t="str">
        <f>IF(N1575="","",COUNTIF($N$8:N1575,N1575))</f>
        <v/>
      </c>
      <c r="P1575" s="34" t="str">
        <f t="shared" si="912"/>
        <v/>
      </c>
      <c r="Q1575" s="34" t="str">
        <f t="shared" si="913"/>
        <v/>
      </c>
      <c r="R1575" s="34" t="str">
        <f t="shared" si="914"/>
        <v/>
      </c>
      <c r="S1575" s="34" t="str">
        <f t="shared" si="915"/>
        <v/>
      </c>
      <c r="T1575" s="34" t="str">
        <f t="shared" si="916"/>
        <v/>
      </c>
      <c r="U1575" s="34" t="str">
        <f>IF(AND(L1575=1,bp_kode=T1575,T1575&lt;&gt;""),COUNTIF($T$8:T1575,T1575),"")</f>
        <v/>
      </c>
      <c r="V1575" s="34" t="str">
        <f t="shared" si="917"/>
        <v/>
      </c>
      <c r="W1575" s="34" t="str">
        <f t="shared" si="918"/>
        <v/>
      </c>
      <c r="X1575" s="34" t="str">
        <f>IF(B1575="","",COUNTIF($C$8:C1575,C1575)&amp;C1575)</f>
        <v/>
      </c>
    </row>
    <row r="1576" spans="2:24" ht="23.1" customHeight="1">
      <c r="B1576" s="31"/>
      <c r="C1576" s="9"/>
      <c r="D1576" s="9"/>
      <c r="E1576" s="7"/>
      <c r="F1576" s="7"/>
      <c r="G1576" s="7"/>
      <c r="H1576" s="7"/>
      <c r="I1576" s="7"/>
      <c r="J1576" s="39"/>
      <c r="L1576" s="16" t="str">
        <f t="shared" si="909"/>
        <v/>
      </c>
      <c r="M1576" s="16" t="str">
        <f t="shared" si="910"/>
        <v/>
      </c>
      <c r="N1576" s="16" t="str">
        <f t="shared" si="911"/>
        <v/>
      </c>
      <c r="O1576" s="16" t="str">
        <f>IF(N1576="","",COUNTIF($N$8:N1576,N1576))</f>
        <v/>
      </c>
      <c r="P1576" s="34" t="str">
        <f t="shared" si="912"/>
        <v/>
      </c>
      <c r="Q1576" s="34" t="str">
        <f t="shared" si="913"/>
        <v/>
      </c>
      <c r="R1576" s="34" t="str">
        <f t="shared" si="914"/>
        <v/>
      </c>
      <c r="S1576" s="34" t="str">
        <f t="shared" si="915"/>
        <v/>
      </c>
      <c r="T1576" s="34" t="str">
        <f t="shared" si="916"/>
        <v/>
      </c>
      <c r="U1576" s="34" t="str">
        <f>IF(AND(L1576=1,bp_kode=T1576,T1576&lt;&gt;""),COUNTIF($T$8:T1576,T1576),"")</f>
        <v/>
      </c>
      <c r="V1576" s="34" t="str">
        <f t="shared" si="917"/>
        <v/>
      </c>
      <c r="W1576" s="34" t="str">
        <f t="shared" si="918"/>
        <v/>
      </c>
      <c r="X1576" s="34" t="str">
        <f>IF(B1576="","",COUNTIF($C$8:C1576,C1576)&amp;C1576)</f>
        <v/>
      </c>
    </row>
    <row r="1577" spans="2:24" ht="23.1" customHeight="1">
      <c r="B1577" s="31"/>
      <c r="C1577" s="9"/>
      <c r="D1577" s="9"/>
      <c r="E1577" s="7"/>
      <c r="F1577" s="7"/>
      <c r="G1577" s="7"/>
      <c r="H1577" s="7"/>
      <c r="I1577" s="7"/>
      <c r="J1577" s="39"/>
      <c r="L1577" s="16" t="str">
        <f t="shared" si="909"/>
        <v/>
      </c>
      <c r="M1577" s="16" t="str">
        <f t="shared" si="910"/>
        <v/>
      </c>
      <c r="N1577" s="16" t="str">
        <f t="shared" si="911"/>
        <v/>
      </c>
      <c r="O1577" s="16" t="str">
        <f>IF(N1577="","",COUNTIF($N$8:N1577,N1577))</f>
        <v/>
      </c>
      <c r="P1577" s="34" t="str">
        <f t="shared" si="912"/>
        <v/>
      </c>
      <c r="Q1577" s="34" t="str">
        <f t="shared" si="913"/>
        <v/>
      </c>
      <c r="R1577" s="34" t="str">
        <f t="shared" si="914"/>
        <v/>
      </c>
      <c r="S1577" s="34" t="str">
        <f t="shared" si="915"/>
        <v/>
      </c>
      <c r="T1577" s="34" t="str">
        <f t="shared" si="916"/>
        <v/>
      </c>
      <c r="U1577" s="34" t="str">
        <f>IF(AND(L1577=1,bp_kode=T1577,T1577&lt;&gt;""),COUNTIF($T$8:T1577,T1577),"")</f>
        <v/>
      </c>
      <c r="V1577" s="34" t="str">
        <f t="shared" si="917"/>
        <v/>
      </c>
      <c r="W1577" s="34" t="str">
        <f t="shared" si="918"/>
        <v/>
      </c>
      <c r="X1577" s="34" t="str">
        <f>IF(B1577="","",COUNTIF($C$8:C1577,C1577)&amp;C1577)</f>
        <v/>
      </c>
    </row>
    <row r="1578" spans="2:24" ht="23.1" customHeight="1">
      <c r="B1578" s="31"/>
      <c r="C1578" s="9"/>
      <c r="D1578" s="9"/>
      <c r="E1578" s="7"/>
      <c r="F1578" s="7"/>
      <c r="G1578" s="7"/>
      <c r="H1578" s="7"/>
      <c r="I1578" s="7"/>
      <c r="J1578" s="39"/>
      <c r="L1578" s="16" t="str">
        <f t="shared" si="909"/>
        <v/>
      </c>
      <c r="M1578" s="16" t="str">
        <f t="shared" si="910"/>
        <v/>
      </c>
      <c r="N1578" s="16" t="str">
        <f t="shared" si="911"/>
        <v/>
      </c>
      <c r="O1578" s="16" t="str">
        <f>IF(N1578="","",COUNTIF($N$8:N1578,N1578))</f>
        <v/>
      </c>
      <c r="P1578" s="34" t="str">
        <f t="shared" si="912"/>
        <v/>
      </c>
      <c r="Q1578" s="34" t="str">
        <f t="shared" si="913"/>
        <v/>
      </c>
      <c r="R1578" s="34" t="str">
        <f t="shared" si="914"/>
        <v/>
      </c>
      <c r="S1578" s="34" t="str">
        <f t="shared" si="915"/>
        <v/>
      </c>
      <c r="T1578" s="34" t="str">
        <f t="shared" si="916"/>
        <v/>
      </c>
      <c r="U1578" s="34" t="str">
        <f>IF(AND(L1578=1,bp_kode=T1578,T1578&lt;&gt;""),COUNTIF($T$8:T1578,T1578),"")</f>
        <v/>
      </c>
      <c r="V1578" s="34" t="str">
        <f t="shared" si="917"/>
        <v/>
      </c>
      <c r="W1578" s="34" t="str">
        <f t="shared" si="918"/>
        <v/>
      </c>
      <c r="X1578" s="34" t="str">
        <f>IF(B1578="","",COUNTIF($C$8:C1578,C1578)&amp;C1578)</f>
        <v/>
      </c>
    </row>
    <row r="1579" spans="2:24" ht="23.1" customHeight="1">
      <c r="B1579" s="31"/>
      <c r="C1579" s="9"/>
      <c r="D1579" s="9"/>
      <c r="E1579" s="7"/>
      <c r="F1579" s="7"/>
      <c r="G1579" s="7"/>
      <c r="H1579" s="7"/>
      <c r="I1579" s="7"/>
      <c r="J1579" s="39"/>
      <c r="L1579" s="16" t="str">
        <f t="shared" si="909"/>
        <v/>
      </c>
      <c r="M1579" s="16" t="str">
        <f t="shared" si="910"/>
        <v/>
      </c>
      <c r="N1579" s="16" t="str">
        <f t="shared" si="911"/>
        <v/>
      </c>
      <c r="O1579" s="16" t="str">
        <f>IF(N1579="","",COUNTIF($N$8:N1579,N1579))</f>
        <v/>
      </c>
      <c r="P1579" s="34" t="str">
        <f t="shared" si="912"/>
        <v/>
      </c>
      <c r="Q1579" s="34" t="str">
        <f t="shared" si="913"/>
        <v/>
      </c>
      <c r="R1579" s="34" t="str">
        <f t="shared" si="914"/>
        <v/>
      </c>
      <c r="S1579" s="34" t="str">
        <f t="shared" si="915"/>
        <v/>
      </c>
      <c r="T1579" s="34" t="str">
        <f t="shared" si="916"/>
        <v/>
      </c>
      <c r="U1579" s="34" t="str">
        <f>IF(AND(L1579=1,bp_kode=T1579,T1579&lt;&gt;""),COUNTIF($T$8:T1579,T1579),"")</f>
        <v/>
      </c>
      <c r="V1579" s="34" t="str">
        <f t="shared" si="917"/>
        <v/>
      </c>
      <c r="W1579" s="34" t="str">
        <f t="shared" si="918"/>
        <v/>
      </c>
      <c r="X1579" s="34" t="str">
        <f>IF(B1579="","",COUNTIF($C$8:C1579,C1579)&amp;C1579)</f>
        <v/>
      </c>
    </row>
    <row r="1580" spans="2:24" ht="23.1" customHeight="1">
      <c r="B1580" s="31"/>
      <c r="C1580" s="9"/>
      <c r="D1580" s="9"/>
      <c r="E1580" s="7"/>
      <c r="F1580" s="7"/>
      <c r="G1580" s="7"/>
      <c r="H1580" s="7"/>
      <c r="I1580" s="7"/>
      <c r="J1580" s="39"/>
      <c r="L1580" s="16" t="str">
        <f t="shared" si="909"/>
        <v/>
      </c>
      <c r="M1580" s="16" t="str">
        <f t="shared" si="910"/>
        <v/>
      </c>
      <c r="N1580" s="16" t="str">
        <f t="shared" si="911"/>
        <v/>
      </c>
      <c r="O1580" s="16" t="str">
        <f>IF(N1580="","",COUNTIF($N$8:N1580,N1580))</f>
        <v/>
      </c>
      <c r="P1580" s="34" t="str">
        <f t="shared" si="912"/>
        <v/>
      </c>
      <c r="Q1580" s="34" t="str">
        <f t="shared" si="913"/>
        <v/>
      </c>
      <c r="R1580" s="34" t="str">
        <f t="shared" si="914"/>
        <v/>
      </c>
      <c r="S1580" s="34" t="str">
        <f t="shared" si="915"/>
        <v/>
      </c>
      <c r="T1580" s="34" t="str">
        <f t="shared" si="916"/>
        <v/>
      </c>
      <c r="U1580" s="34" t="str">
        <f>IF(AND(L1580=1,bp_kode=T1580,T1580&lt;&gt;""),COUNTIF($T$8:T1580,T1580),"")</f>
        <v/>
      </c>
      <c r="V1580" s="34" t="str">
        <f t="shared" si="917"/>
        <v/>
      </c>
      <c r="W1580" s="34" t="str">
        <f t="shared" si="918"/>
        <v/>
      </c>
      <c r="X1580" s="34" t="str">
        <f>IF(B1580="","",COUNTIF($C$8:C1580,C1580)&amp;C1580)</f>
        <v/>
      </c>
    </row>
    <row r="1581" spans="2:24" ht="23.1" customHeight="1">
      <c r="B1581" s="31"/>
      <c r="C1581" s="9"/>
      <c r="D1581" s="9"/>
      <c r="E1581" s="7"/>
      <c r="F1581" s="7"/>
      <c r="G1581" s="7"/>
      <c r="H1581" s="7"/>
      <c r="I1581" s="7"/>
      <c r="J1581" s="39"/>
      <c r="L1581" s="16" t="str">
        <f t="shared" si="909"/>
        <v/>
      </c>
      <c r="M1581" s="16" t="str">
        <f t="shared" si="910"/>
        <v/>
      </c>
      <c r="N1581" s="16" t="str">
        <f t="shared" si="911"/>
        <v/>
      </c>
      <c r="O1581" s="16" t="str">
        <f>IF(N1581="","",COUNTIF($N$8:N1581,N1581))</f>
        <v/>
      </c>
      <c r="P1581" s="34" t="str">
        <f t="shared" si="912"/>
        <v/>
      </c>
      <c r="Q1581" s="34" t="str">
        <f t="shared" si="913"/>
        <v/>
      </c>
      <c r="R1581" s="34" t="str">
        <f t="shared" si="914"/>
        <v/>
      </c>
      <c r="S1581" s="34" t="str">
        <f t="shared" si="915"/>
        <v/>
      </c>
      <c r="T1581" s="34" t="str">
        <f t="shared" si="916"/>
        <v/>
      </c>
      <c r="U1581" s="34" t="str">
        <f>IF(AND(L1581=1,bp_kode=T1581,T1581&lt;&gt;""),COUNTIF($T$8:T1581,T1581),"")</f>
        <v/>
      </c>
      <c r="V1581" s="34" t="str">
        <f t="shared" si="917"/>
        <v/>
      </c>
      <c r="W1581" s="34" t="str">
        <f t="shared" si="918"/>
        <v/>
      </c>
      <c r="X1581" s="34" t="str">
        <f>IF(B1581="","",COUNTIF($C$8:C1581,C1581)&amp;C1581)</f>
        <v/>
      </c>
    </row>
    <row r="1582" spans="2:24" ht="23.1" customHeight="1">
      <c r="B1582" s="31"/>
      <c r="C1582" s="9"/>
      <c r="D1582" s="9"/>
      <c r="E1582" s="7"/>
      <c r="F1582" s="7"/>
      <c r="G1582" s="7"/>
      <c r="H1582" s="7"/>
      <c r="I1582" s="7"/>
      <c r="J1582" s="39"/>
      <c r="L1582" s="16" t="str">
        <f t="shared" si="909"/>
        <v/>
      </c>
      <c r="M1582" s="16" t="str">
        <f t="shared" si="910"/>
        <v/>
      </c>
      <c r="N1582" s="16" t="str">
        <f t="shared" si="911"/>
        <v/>
      </c>
      <c r="O1582" s="16" t="str">
        <f>IF(N1582="","",COUNTIF($N$8:N1582,N1582))</f>
        <v/>
      </c>
      <c r="P1582" s="34" t="str">
        <f t="shared" si="912"/>
        <v/>
      </c>
      <c r="Q1582" s="34" t="str">
        <f t="shared" si="913"/>
        <v/>
      </c>
      <c r="R1582" s="34" t="str">
        <f t="shared" si="914"/>
        <v/>
      </c>
      <c r="S1582" s="34" t="str">
        <f t="shared" si="915"/>
        <v/>
      </c>
      <c r="T1582" s="34" t="str">
        <f t="shared" si="916"/>
        <v/>
      </c>
      <c r="U1582" s="34" t="str">
        <f>IF(AND(L1582=1,bp_kode=T1582,T1582&lt;&gt;""),COUNTIF($T$8:T1582,T1582),"")</f>
        <v/>
      </c>
      <c r="V1582" s="34" t="str">
        <f t="shared" si="917"/>
        <v/>
      </c>
      <c r="W1582" s="34" t="str">
        <f t="shared" si="918"/>
        <v/>
      </c>
      <c r="X1582" s="34" t="str">
        <f>IF(B1582="","",COUNTIF($C$8:C1582,C1582)&amp;C1582)</f>
        <v/>
      </c>
    </row>
    <row r="1583" spans="2:24" ht="23.1" customHeight="1">
      <c r="B1583" s="31"/>
      <c r="C1583" s="9"/>
      <c r="D1583" s="9"/>
      <c r="E1583" s="7"/>
      <c r="F1583" s="7"/>
      <c r="G1583" s="7"/>
      <c r="H1583" s="7"/>
      <c r="I1583" s="7"/>
      <c r="J1583" s="39"/>
      <c r="L1583" s="16" t="str">
        <f t="shared" si="909"/>
        <v/>
      </c>
      <c r="M1583" s="16" t="str">
        <f t="shared" si="910"/>
        <v/>
      </c>
      <c r="N1583" s="16" t="str">
        <f t="shared" si="911"/>
        <v/>
      </c>
      <c r="O1583" s="16" t="str">
        <f>IF(N1583="","",COUNTIF($N$8:N1583,N1583))</f>
        <v/>
      </c>
      <c r="P1583" s="34" t="str">
        <f t="shared" si="912"/>
        <v/>
      </c>
      <c r="Q1583" s="34" t="str">
        <f t="shared" si="913"/>
        <v/>
      </c>
      <c r="R1583" s="34" t="str">
        <f t="shared" si="914"/>
        <v/>
      </c>
      <c r="S1583" s="34" t="str">
        <f t="shared" si="915"/>
        <v/>
      </c>
      <c r="T1583" s="34" t="str">
        <f t="shared" si="916"/>
        <v/>
      </c>
      <c r="U1583" s="34" t="str">
        <f>IF(AND(L1583=1,bp_kode=T1583,T1583&lt;&gt;""),COUNTIF($T$8:T1583,T1583),"")</f>
        <v/>
      </c>
      <c r="V1583" s="34" t="str">
        <f t="shared" si="917"/>
        <v/>
      </c>
      <c r="W1583" s="34" t="str">
        <f t="shared" si="918"/>
        <v/>
      </c>
      <c r="X1583" s="34" t="str">
        <f>IF(B1583="","",COUNTIF($C$8:C1583,C1583)&amp;C1583)</f>
        <v/>
      </c>
    </row>
    <row r="1584" spans="2:24" ht="23.1" customHeight="1">
      <c r="B1584" s="31"/>
      <c r="C1584" s="9"/>
      <c r="D1584" s="9"/>
      <c r="E1584" s="7"/>
      <c r="F1584" s="7"/>
      <c r="G1584" s="7"/>
      <c r="H1584" s="7"/>
      <c r="I1584" s="7"/>
      <c r="J1584" s="39"/>
      <c r="L1584" s="16" t="str">
        <f t="shared" si="909"/>
        <v/>
      </c>
      <c r="M1584" s="16" t="str">
        <f t="shared" si="910"/>
        <v/>
      </c>
      <c r="N1584" s="16" t="str">
        <f t="shared" si="911"/>
        <v/>
      </c>
      <c r="O1584" s="16" t="str">
        <f>IF(N1584="","",COUNTIF($N$8:N1584,N1584))</f>
        <v/>
      </c>
      <c r="P1584" s="34" t="str">
        <f t="shared" si="912"/>
        <v/>
      </c>
      <c r="Q1584" s="34" t="str">
        <f t="shared" si="913"/>
        <v/>
      </c>
      <c r="R1584" s="34" t="str">
        <f t="shared" si="914"/>
        <v/>
      </c>
      <c r="S1584" s="34" t="str">
        <f t="shared" si="915"/>
        <v/>
      </c>
      <c r="T1584" s="34" t="str">
        <f t="shared" si="916"/>
        <v/>
      </c>
      <c r="U1584" s="34" t="str">
        <f>IF(AND(L1584=1,bp_kode=T1584,T1584&lt;&gt;""),COUNTIF($T$8:T1584,T1584),"")</f>
        <v/>
      </c>
      <c r="V1584" s="34" t="str">
        <f t="shared" si="917"/>
        <v/>
      </c>
      <c r="W1584" s="34" t="str">
        <f t="shared" si="918"/>
        <v/>
      </c>
      <c r="X1584" s="34" t="str">
        <f>IF(B1584="","",COUNTIF($C$8:C1584,C1584)&amp;C1584)</f>
        <v/>
      </c>
    </row>
    <row r="1585" spans="2:24" ht="23.1" customHeight="1">
      <c r="B1585" s="31"/>
      <c r="C1585" s="9"/>
      <c r="D1585" s="9"/>
      <c r="E1585" s="7"/>
      <c r="F1585" s="7"/>
      <c r="G1585" s="7"/>
      <c r="H1585" s="7"/>
      <c r="I1585" s="7"/>
      <c r="J1585" s="39"/>
      <c r="L1585" s="16" t="str">
        <f t="shared" si="909"/>
        <v/>
      </c>
      <c r="M1585" s="16" t="str">
        <f t="shared" si="910"/>
        <v/>
      </c>
      <c r="N1585" s="16" t="str">
        <f t="shared" si="911"/>
        <v/>
      </c>
      <c r="O1585" s="16" t="str">
        <f>IF(N1585="","",COUNTIF($N$8:N1585,N1585))</f>
        <v/>
      </c>
      <c r="P1585" s="34" t="str">
        <f t="shared" si="912"/>
        <v/>
      </c>
      <c r="Q1585" s="34" t="str">
        <f t="shared" si="913"/>
        <v/>
      </c>
      <c r="R1585" s="34" t="str">
        <f t="shared" si="914"/>
        <v/>
      </c>
      <c r="S1585" s="34" t="str">
        <f t="shared" si="915"/>
        <v/>
      </c>
      <c r="T1585" s="34" t="str">
        <f t="shared" si="916"/>
        <v/>
      </c>
      <c r="U1585" s="34" t="str">
        <f>IF(AND(L1585=1,bp_kode=T1585,T1585&lt;&gt;""),COUNTIF($T$8:T1585,T1585),"")</f>
        <v/>
      </c>
      <c r="V1585" s="34" t="str">
        <f t="shared" si="917"/>
        <v/>
      </c>
      <c r="W1585" s="34" t="str">
        <f t="shared" si="918"/>
        <v/>
      </c>
      <c r="X1585" s="34" t="str">
        <f>IF(B1585="","",COUNTIF($C$8:C1585,C1585)&amp;C1585)</f>
        <v/>
      </c>
    </row>
    <row r="1586" spans="2:24" ht="23.1" customHeight="1">
      <c r="B1586" s="31"/>
      <c r="C1586" s="9"/>
      <c r="D1586" s="9"/>
      <c r="E1586" s="7"/>
      <c r="F1586" s="7"/>
      <c r="G1586" s="7"/>
      <c r="H1586" s="7"/>
      <c r="I1586" s="7"/>
      <c r="J1586" s="39"/>
      <c r="L1586" s="16" t="str">
        <f t="shared" si="909"/>
        <v/>
      </c>
      <c r="M1586" s="16" t="str">
        <f t="shared" si="910"/>
        <v/>
      </c>
      <c r="N1586" s="16" t="str">
        <f t="shared" si="911"/>
        <v/>
      </c>
      <c r="O1586" s="16" t="str">
        <f>IF(N1586="","",COUNTIF($N$8:N1586,N1586))</f>
        <v/>
      </c>
      <c r="P1586" s="34" t="str">
        <f t="shared" si="912"/>
        <v/>
      </c>
      <c r="Q1586" s="34" t="str">
        <f t="shared" si="913"/>
        <v/>
      </c>
      <c r="R1586" s="34" t="str">
        <f t="shared" si="914"/>
        <v/>
      </c>
      <c r="S1586" s="34" t="str">
        <f t="shared" si="915"/>
        <v/>
      </c>
      <c r="T1586" s="34" t="str">
        <f t="shared" si="916"/>
        <v/>
      </c>
      <c r="U1586" s="34" t="str">
        <f>IF(AND(L1586=1,bp_kode=T1586,T1586&lt;&gt;""),COUNTIF($T$8:T1586,T1586),"")</f>
        <v/>
      </c>
      <c r="V1586" s="34" t="str">
        <f t="shared" si="917"/>
        <v/>
      </c>
      <c r="W1586" s="34" t="str">
        <f t="shared" si="918"/>
        <v/>
      </c>
      <c r="X1586" s="34" t="str">
        <f>IF(B1586="","",COUNTIF($C$8:C1586,C1586)&amp;C1586)</f>
        <v/>
      </c>
    </row>
    <row r="1587" spans="2:24" ht="23.1" customHeight="1">
      <c r="B1587" s="31"/>
      <c r="C1587" s="9"/>
      <c r="D1587" s="9"/>
      <c r="E1587" s="7"/>
      <c r="F1587" s="7"/>
      <c r="G1587" s="7"/>
      <c r="H1587" s="7"/>
      <c r="I1587" s="7"/>
      <c r="J1587" s="39"/>
      <c r="L1587" s="16" t="str">
        <f t="shared" si="909"/>
        <v/>
      </c>
      <c r="M1587" s="16" t="str">
        <f t="shared" si="910"/>
        <v/>
      </c>
      <c r="N1587" s="16" t="str">
        <f t="shared" si="911"/>
        <v/>
      </c>
      <c r="O1587" s="16" t="str">
        <f>IF(N1587="","",COUNTIF($N$8:N1587,N1587))</f>
        <v/>
      </c>
      <c r="P1587" s="34" t="str">
        <f t="shared" si="912"/>
        <v/>
      </c>
      <c r="Q1587" s="34" t="str">
        <f t="shared" si="913"/>
        <v/>
      </c>
      <c r="R1587" s="34" t="str">
        <f t="shared" si="914"/>
        <v/>
      </c>
      <c r="S1587" s="34" t="str">
        <f t="shared" si="915"/>
        <v/>
      </c>
      <c r="T1587" s="34" t="str">
        <f t="shared" si="916"/>
        <v/>
      </c>
      <c r="U1587" s="34" t="str">
        <f>IF(AND(L1587=1,bp_kode=T1587,T1587&lt;&gt;""),COUNTIF($T$8:T1587,T1587),"")</f>
        <v/>
      </c>
      <c r="V1587" s="34" t="str">
        <f t="shared" si="917"/>
        <v/>
      </c>
      <c r="W1587" s="34" t="str">
        <f t="shared" si="918"/>
        <v/>
      </c>
      <c r="X1587" s="34" t="str">
        <f>IF(B1587="","",COUNTIF($C$8:C1587,C1587)&amp;C1587)</f>
        <v/>
      </c>
    </row>
    <row r="1588" spans="2:24" ht="23.1" customHeight="1">
      <c r="B1588" s="31"/>
      <c r="C1588" s="9"/>
      <c r="D1588" s="9"/>
      <c r="E1588" s="7"/>
      <c r="F1588" s="7"/>
      <c r="G1588" s="7"/>
      <c r="H1588" s="7"/>
      <c r="I1588" s="7"/>
      <c r="J1588" s="39"/>
      <c r="L1588" s="16" t="str">
        <f t="shared" si="909"/>
        <v/>
      </c>
      <c r="M1588" s="16" t="str">
        <f t="shared" si="910"/>
        <v/>
      </c>
      <c r="N1588" s="16" t="str">
        <f t="shared" si="911"/>
        <v/>
      </c>
      <c r="O1588" s="16" t="str">
        <f>IF(N1588="","",COUNTIF($N$8:N1588,N1588))</f>
        <v/>
      </c>
      <c r="P1588" s="34" t="str">
        <f t="shared" si="912"/>
        <v/>
      </c>
      <c r="Q1588" s="34" t="str">
        <f t="shared" si="913"/>
        <v/>
      </c>
      <c r="R1588" s="34" t="str">
        <f t="shared" si="914"/>
        <v/>
      </c>
      <c r="S1588" s="34" t="str">
        <f t="shared" si="915"/>
        <v/>
      </c>
      <c r="T1588" s="34" t="str">
        <f t="shared" si="916"/>
        <v/>
      </c>
      <c r="U1588" s="34" t="str">
        <f>IF(AND(L1588=1,bp_kode=T1588,T1588&lt;&gt;""),COUNTIF($T$8:T1588,T1588),"")</f>
        <v/>
      </c>
      <c r="V1588" s="34" t="str">
        <f t="shared" si="917"/>
        <v/>
      </c>
      <c r="W1588" s="34" t="str">
        <f t="shared" si="918"/>
        <v/>
      </c>
      <c r="X1588" s="34" t="str">
        <f>IF(B1588="","",COUNTIF($C$8:C1588,C1588)&amp;C1588)</f>
        <v/>
      </c>
    </row>
    <row r="1589" spans="2:24" ht="23.1" customHeight="1">
      <c r="B1589" s="31"/>
      <c r="C1589" s="9"/>
      <c r="D1589" s="9"/>
      <c r="E1589" s="7"/>
      <c r="F1589" s="7"/>
      <c r="G1589" s="7"/>
      <c r="H1589" s="7"/>
      <c r="I1589" s="7"/>
      <c r="J1589" s="39"/>
      <c r="L1589" s="16" t="str">
        <f t="shared" si="909"/>
        <v/>
      </c>
      <c r="M1589" s="16" t="str">
        <f t="shared" si="910"/>
        <v/>
      </c>
      <c r="N1589" s="16" t="str">
        <f t="shared" si="911"/>
        <v/>
      </c>
      <c r="O1589" s="16" t="str">
        <f>IF(N1589="","",COUNTIF($N$8:N1589,N1589))</f>
        <v/>
      </c>
      <c r="P1589" s="34" t="str">
        <f t="shared" si="912"/>
        <v/>
      </c>
      <c r="Q1589" s="34" t="str">
        <f t="shared" si="913"/>
        <v/>
      </c>
      <c r="R1589" s="34" t="str">
        <f t="shared" si="914"/>
        <v/>
      </c>
      <c r="S1589" s="34" t="str">
        <f t="shared" si="915"/>
        <v/>
      </c>
      <c r="T1589" s="34" t="str">
        <f t="shared" si="916"/>
        <v/>
      </c>
      <c r="U1589" s="34" t="str">
        <f>IF(AND(L1589=1,bp_kode=T1589,T1589&lt;&gt;""),COUNTIF($T$8:T1589,T1589),"")</f>
        <v/>
      </c>
      <c r="V1589" s="34" t="str">
        <f t="shared" si="917"/>
        <v/>
      </c>
      <c r="W1589" s="34" t="str">
        <f t="shared" si="918"/>
        <v/>
      </c>
      <c r="X1589" s="34" t="str">
        <f>IF(B1589="","",COUNTIF($C$8:C1589,C1589)&amp;C1589)</f>
        <v/>
      </c>
    </row>
    <row r="1590" spans="2:24" ht="23.1" customHeight="1">
      <c r="B1590" s="31"/>
      <c r="C1590" s="9"/>
      <c r="D1590" s="9"/>
      <c r="E1590" s="7"/>
      <c r="F1590" s="7"/>
      <c r="G1590" s="7"/>
      <c r="H1590" s="7"/>
      <c r="I1590" s="7"/>
      <c r="J1590" s="39"/>
      <c r="L1590" s="16" t="str">
        <f t="shared" si="909"/>
        <v/>
      </c>
      <c r="M1590" s="16" t="str">
        <f t="shared" si="910"/>
        <v/>
      </c>
      <c r="N1590" s="16" t="str">
        <f t="shared" si="911"/>
        <v/>
      </c>
      <c r="O1590" s="16" t="str">
        <f>IF(N1590="","",COUNTIF($N$8:N1590,N1590))</f>
        <v/>
      </c>
      <c r="P1590" s="34" t="str">
        <f t="shared" si="912"/>
        <v/>
      </c>
      <c r="Q1590" s="34" t="str">
        <f t="shared" si="913"/>
        <v/>
      </c>
      <c r="R1590" s="34" t="str">
        <f t="shared" si="914"/>
        <v/>
      </c>
      <c r="S1590" s="34" t="str">
        <f t="shared" si="915"/>
        <v/>
      </c>
      <c r="T1590" s="34" t="str">
        <f t="shared" si="916"/>
        <v/>
      </c>
      <c r="U1590" s="34" t="str">
        <f>IF(AND(L1590=1,bp_kode=T1590,T1590&lt;&gt;""),COUNTIF($T$8:T1590,T1590),"")</f>
        <v/>
      </c>
      <c r="V1590" s="34" t="str">
        <f t="shared" si="917"/>
        <v/>
      </c>
      <c r="W1590" s="34" t="str">
        <f t="shared" si="918"/>
        <v/>
      </c>
      <c r="X1590" s="34" t="str">
        <f>IF(B1590="","",COUNTIF($C$8:C1590,C1590)&amp;C1590)</f>
        <v/>
      </c>
    </row>
    <row r="1591" spans="2:24" ht="23.1" customHeight="1">
      <c r="B1591" s="31"/>
      <c r="C1591" s="9"/>
      <c r="D1591" s="9"/>
      <c r="E1591" s="7"/>
      <c r="F1591" s="7"/>
      <c r="G1591" s="7"/>
      <c r="H1591" s="7"/>
      <c r="I1591" s="7"/>
      <c r="J1591" s="39"/>
      <c r="L1591" s="16" t="str">
        <f t="shared" si="909"/>
        <v/>
      </c>
      <c r="M1591" s="16" t="str">
        <f t="shared" si="910"/>
        <v/>
      </c>
      <c r="N1591" s="16" t="str">
        <f t="shared" si="911"/>
        <v/>
      </c>
      <c r="O1591" s="16" t="str">
        <f>IF(N1591="","",COUNTIF($N$8:N1591,N1591))</f>
        <v/>
      </c>
      <c r="P1591" s="34" t="str">
        <f t="shared" si="912"/>
        <v/>
      </c>
      <c r="Q1591" s="34" t="str">
        <f t="shared" si="913"/>
        <v/>
      </c>
      <c r="R1591" s="34" t="str">
        <f t="shared" si="914"/>
        <v/>
      </c>
      <c r="S1591" s="34" t="str">
        <f t="shared" si="915"/>
        <v/>
      </c>
      <c r="T1591" s="34" t="str">
        <f t="shared" si="916"/>
        <v/>
      </c>
      <c r="U1591" s="34" t="str">
        <f>IF(AND(L1591=1,bp_kode=T1591,T1591&lt;&gt;""),COUNTIF($T$8:T1591,T1591),"")</f>
        <v/>
      </c>
      <c r="V1591" s="34" t="str">
        <f t="shared" si="917"/>
        <v/>
      </c>
      <c r="W1591" s="34" t="str">
        <f t="shared" si="918"/>
        <v/>
      </c>
      <c r="X1591" s="34" t="str">
        <f>IF(B1591="","",COUNTIF($C$8:C1591,C1591)&amp;C1591)</f>
        <v/>
      </c>
    </row>
    <row r="1592" spans="2:24" ht="23.1" customHeight="1">
      <c r="B1592" s="31"/>
      <c r="C1592" s="9"/>
      <c r="D1592" s="9"/>
      <c r="E1592" s="7"/>
      <c r="F1592" s="7"/>
      <c r="G1592" s="7"/>
      <c r="H1592" s="7"/>
      <c r="I1592" s="7"/>
      <c r="J1592" s="39"/>
      <c r="L1592" s="16" t="str">
        <f t="shared" si="909"/>
        <v/>
      </c>
      <c r="M1592" s="16" t="str">
        <f t="shared" si="910"/>
        <v/>
      </c>
      <c r="N1592" s="16" t="str">
        <f t="shared" si="911"/>
        <v/>
      </c>
      <c r="O1592" s="16" t="str">
        <f>IF(N1592="","",COUNTIF($N$8:N1592,N1592))</f>
        <v/>
      </c>
      <c r="P1592" s="34" t="str">
        <f t="shared" si="912"/>
        <v/>
      </c>
      <c r="Q1592" s="34" t="str">
        <f t="shared" si="913"/>
        <v/>
      </c>
      <c r="R1592" s="34" t="str">
        <f t="shared" si="914"/>
        <v/>
      </c>
      <c r="S1592" s="34" t="str">
        <f t="shared" si="915"/>
        <v/>
      </c>
      <c r="T1592" s="34" t="str">
        <f t="shared" si="916"/>
        <v/>
      </c>
      <c r="U1592" s="34" t="str">
        <f>IF(AND(L1592=1,bp_kode=T1592,T1592&lt;&gt;""),COUNTIF($T$8:T1592,T1592),"")</f>
        <v/>
      </c>
      <c r="V1592" s="34" t="str">
        <f t="shared" si="917"/>
        <v/>
      </c>
      <c r="W1592" s="34" t="str">
        <f t="shared" si="918"/>
        <v/>
      </c>
      <c r="X1592" s="34" t="str">
        <f>IF(B1592="","",COUNTIF($C$8:C1592,C1592)&amp;C1592)</f>
        <v/>
      </c>
    </row>
    <row r="1593" spans="2:24" ht="23.1" customHeight="1">
      <c r="B1593" s="31"/>
      <c r="C1593" s="9"/>
      <c r="D1593" s="9"/>
      <c r="E1593" s="7"/>
      <c r="F1593" s="7"/>
      <c r="G1593" s="7"/>
      <c r="H1593" s="7"/>
      <c r="I1593" s="7"/>
      <c r="J1593" s="39"/>
      <c r="L1593" s="16" t="str">
        <f t="shared" si="909"/>
        <v/>
      </c>
      <c r="M1593" s="16" t="str">
        <f t="shared" si="910"/>
        <v/>
      </c>
      <c r="N1593" s="16" t="str">
        <f t="shared" si="911"/>
        <v/>
      </c>
      <c r="O1593" s="16" t="str">
        <f>IF(N1593="","",COUNTIF($N$8:N1593,N1593))</f>
        <v/>
      </c>
      <c r="P1593" s="34" t="str">
        <f t="shared" si="912"/>
        <v/>
      </c>
      <c r="Q1593" s="34" t="str">
        <f t="shared" si="913"/>
        <v/>
      </c>
      <c r="R1593" s="34" t="str">
        <f t="shared" si="914"/>
        <v/>
      </c>
      <c r="S1593" s="34" t="str">
        <f t="shared" si="915"/>
        <v/>
      </c>
      <c r="T1593" s="34" t="str">
        <f t="shared" si="916"/>
        <v/>
      </c>
      <c r="U1593" s="34" t="str">
        <f>IF(AND(L1593=1,bp_kode=T1593,T1593&lt;&gt;""),COUNTIF($T$8:T1593,T1593),"")</f>
        <v/>
      </c>
      <c r="V1593" s="34" t="str">
        <f t="shared" si="917"/>
        <v/>
      </c>
      <c r="W1593" s="34" t="str">
        <f t="shared" si="918"/>
        <v/>
      </c>
      <c r="X1593" s="34" t="str">
        <f>IF(B1593="","",COUNTIF($C$8:C1593,C1593)&amp;C1593)</f>
        <v/>
      </c>
    </row>
    <row r="1594" spans="2:24" ht="23.1" customHeight="1">
      <c r="B1594" s="31"/>
      <c r="C1594" s="9"/>
      <c r="D1594" s="9"/>
      <c r="E1594" s="7"/>
      <c r="F1594" s="7"/>
      <c r="G1594" s="7"/>
      <c r="H1594" s="7"/>
      <c r="I1594" s="7"/>
      <c r="J1594" s="39"/>
      <c r="L1594" s="16" t="str">
        <f t="shared" si="909"/>
        <v/>
      </c>
      <c r="M1594" s="16" t="str">
        <f t="shared" si="910"/>
        <v/>
      </c>
      <c r="N1594" s="16" t="str">
        <f t="shared" si="911"/>
        <v/>
      </c>
      <c r="O1594" s="16" t="str">
        <f>IF(N1594="","",COUNTIF($N$8:N1594,N1594))</f>
        <v/>
      </c>
      <c r="P1594" s="34" t="str">
        <f t="shared" si="912"/>
        <v/>
      </c>
      <c r="Q1594" s="34" t="str">
        <f t="shared" si="913"/>
        <v/>
      </c>
      <c r="R1594" s="34" t="str">
        <f t="shared" si="914"/>
        <v/>
      </c>
      <c r="S1594" s="34" t="str">
        <f t="shared" si="915"/>
        <v/>
      </c>
      <c r="T1594" s="34" t="str">
        <f t="shared" si="916"/>
        <v/>
      </c>
      <c r="U1594" s="34" t="str">
        <f>IF(AND(L1594=1,bp_kode=T1594,T1594&lt;&gt;""),COUNTIF($T$8:T1594,T1594),"")</f>
        <v/>
      </c>
      <c r="V1594" s="34" t="str">
        <f t="shared" si="917"/>
        <v/>
      </c>
      <c r="W1594" s="34" t="str">
        <f t="shared" si="918"/>
        <v/>
      </c>
      <c r="X1594" s="34" t="str">
        <f>IF(B1594="","",COUNTIF($C$8:C1594,C1594)&amp;C1594)</f>
        <v/>
      </c>
    </row>
    <row r="1595" spans="2:24" ht="23.1" customHeight="1">
      <c r="B1595" s="31"/>
      <c r="C1595" s="9"/>
      <c r="D1595" s="9"/>
      <c r="E1595" s="7"/>
      <c r="F1595" s="7"/>
      <c r="G1595" s="7"/>
      <c r="H1595" s="7"/>
      <c r="I1595" s="7"/>
      <c r="J1595" s="39"/>
      <c r="L1595" s="16" t="str">
        <f t="shared" si="909"/>
        <v/>
      </c>
      <c r="M1595" s="16" t="str">
        <f t="shared" si="910"/>
        <v/>
      </c>
      <c r="N1595" s="16" t="str">
        <f t="shared" si="911"/>
        <v/>
      </c>
      <c r="O1595" s="16" t="str">
        <f>IF(N1595="","",COUNTIF($N$8:N1595,N1595))</f>
        <v/>
      </c>
      <c r="P1595" s="34" t="str">
        <f t="shared" si="912"/>
        <v/>
      </c>
      <c r="Q1595" s="34" t="str">
        <f t="shared" si="913"/>
        <v/>
      </c>
      <c r="R1595" s="34" t="str">
        <f t="shared" si="914"/>
        <v/>
      </c>
      <c r="S1595" s="34" t="str">
        <f t="shared" si="915"/>
        <v/>
      </c>
      <c r="T1595" s="34" t="str">
        <f t="shared" si="916"/>
        <v/>
      </c>
      <c r="U1595" s="34" t="str">
        <f>IF(AND(L1595=1,bp_kode=T1595,T1595&lt;&gt;""),COUNTIF($T$8:T1595,T1595),"")</f>
        <v/>
      </c>
      <c r="V1595" s="34" t="str">
        <f t="shared" si="917"/>
        <v/>
      </c>
      <c r="W1595" s="34" t="str">
        <f t="shared" si="918"/>
        <v/>
      </c>
      <c r="X1595" s="34" t="str">
        <f>IF(B1595="","",COUNTIF($C$8:C1595,C1595)&amp;C1595)</f>
        <v/>
      </c>
    </row>
    <row r="1596" spans="2:24" ht="23.1" customHeight="1">
      <c r="B1596" s="31"/>
      <c r="C1596" s="9"/>
      <c r="D1596" s="9"/>
      <c r="E1596" s="7"/>
      <c r="F1596" s="7"/>
      <c r="G1596" s="7"/>
      <c r="H1596" s="7"/>
      <c r="I1596" s="7"/>
      <c r="J1596" s="39"/>
      <c r="L1596" s="16" t="str">
        <f t="shared" si="909"/>
        <v/>
      </c>
      <c r="M1596" s="16" t="str">
        <f t="shared" si="910"/>
        <v/>
      </c>
      <c r="N1596" s="16" t="str">
        <f t="shared" si="911"/>
        <v/>
      </c>
      <c r="O1596" s="16" t="str">
        <f>IF(N1596="","",COUNTIF($N$8:N1596,N1596))</f>
        <v/>
      </c>
      <c r="P1596" s="34" t="str">
        <f t="shared" si="912"/>
        <v/>
      </c>
      <c r="Q1596" s="34" t="str">
        <f t="shared" si="913"/>
        <v/>
      </c>
      <c r="R1596" s="34" t="str">
        <f t="shared" si="914"/>
        <v/>
      </c>
      <c r="S1596" s="34" t="str">
        <f t="shared" si="915"/>
        <v/>
      </c>
      <c r="T1596" s="34" t="str">
        <f t="shared" si="916"/>
        <v/>
      </c>
      <c r="U1596" s="34" t="str">
        <f>IF(AND(L1596=1,bp_kode=T1596,T1596&lt;&gt;""),COUNTIF($T$8:T1596,T1596),"")</f>
        <v/>
      </c>
      <c r="V1596" s="34" t="str">
        <f t="shared" si="917"/>
        <v/>
      </c>
      <c r="W1596" s="34" t="str">
        <f t="shared" si="918"/>
        <v/>
      </c>
      <c r="X1596" s="34" t="str">
        <f>IF(B1596="","",COUNTIF($C$8:C1596,C1596)&amp;C1596)</f>
        <v/>
      </c>
    </row>
    <row r="1597" spans="2:24" ht="23.1" customHeight="1">
      <c r="B1597" s="31"/>
      <c r="C1597" s="9"/>
      <c r="D1597" s="9"/>
      <c r="E1597" s="7"/>
      <c r="F1597" s="7"/>
      <c r="G1597" s="7"/>
      <c r="H1597" s="7"/>
      <c r="I1597" s="7"/>
      <c r="J1597" s="39"/>
      <c r="L1597" s="16" t="str">
        <f t="shared" si="909"/>
        <v/>
      </c>
      <c r="M1597" s="16" t="str">
        <f t="shared" si="910"/>
        <v/>
      </c>
      <c r="N1597" s="16" t="str">
        <f t="shared" si="911"/>
        <v/>
      </c>
      <c r="O1597" s="16" t="str">
        <f>IF(N1597="","",COUNTIF($N$8:N1597,N1597))</f>
        <v/>
      </c>
      <c r="P1597" s="34" t="str">
        <f t="shared" si="912"/>
        <v/>
      </c>
      <c r="Q1597" s="34" t="str">
        <f t="shared" si="913"/>
        <v/>
      </c>
      <c r="R1597" s="34" t="str">
        <f t="shared" si="914"/>
        <v/>
      </c>
      <c r="S1597" s="34" t="str">
        <f t="shared" si="915"/>
        <v/>
      </c>
      <c r="T1597" s="34" t="str">
        <f t="shared" si="916"/>
        <v/>
      </c>
      <c r="U1597" s="34" t="str">
        <f>IF(AND(L1597=1,bp_kode=T1597,T1597&lt;&gt;""),COUNTIF($T$8:T1597,T1597),"")</f>
        <v/>
      </c>
      <c r="V1597" s="34" t="str">
        <f t="shared" si="917"/>
        <v/>
      </c>
      <c r="W1597" s="34" t="str">
        <f t="shared" si="918"/>
        <v/>
      </c>
      <c r="X1597" s="34" t="str">
        <f>IF(B1597="","",COUNTIF($C$8:C1597,C1597)&amp;C1597)</f>
        <v/>
      </c>
    </row>
    <row r="1598" spans="2:24" ht="23.1" customHeight="1">
      <c r="B1598" s="31"/>
      <c r="C1598" s="9"/>
      <c r="D1598" s="9"/>
      <c r="E1598" s="7"/>
      <c r="F1598" s="7"/>
      <c r="G1598" s="7"/>
      <c r="H1598" s="7"/>
      <c r="I1598" s="7"/>
      <c r="J1598" s="39"/>
      <c r="L1598" s="16" t="str">
        <f t="shared" si="909"/>
        <v/>
      </c>
      <c r="M1598" s="16" t="str">
        <f t="shared" si="910"/>
        <v/>
      </c>
      <c r="N1598" s="16" t="str">
        <f t="shared" si="911"/>
        <v/>
      </c>
      <c r="O1598" s="16" t="str">
        <f>IF(N1598="","",COUNTIF($N$8:N1598,N1598))</f>
        <v/>
      </c>
      <c r="P1598" s="34" t="str">
        <f t="shared" si="912"/>
        <v/>
      </c>
      <c r="Q1598" s="34" t="str">
        <f t="shared" si="913"/>
        <v/>
      </c>
      <c r="R1598" s="34" t="str">
        <f t="shared" si="914"/>
        <v/>
      </c>
      <c r="S1598" s="34" t="str">
        <f t="shared" si="915"/>
        <v/>
      </c>
      <c r="T1598" s="34" t="str">
        <f t="shared" si="916"/>
        <v/>
      </c>
      <c r="U1598" s="34" t="str">
        <f>IF(AND(L1598=1,bp_kode=T1598,T1598&lt;&gt;""),COUNTIF($T$8:T1598,T1598),"")</f>
        <v/>
      </c>
      <c r="V1598" s="34" t="str">
        <f t="shared" si="917"/>
        <v/>
      </c>
      <c r="W1598" s="34" t="str">
        <f t="shared" si="918"/>
        <v/>
      </c>
      <c r="X1598" s="34" t="str">
        <f>IF(B1598="","",COUNTIF($C$8:C1598,C1598)&amp;C1598)</f>
        <v/>
      </c>
    </row>
    <row r="1599" spans="2:24" ht="23.1" customHeight="1">
      <c r="B1599" s="31"/>
      <c r="C1599" s="9"/>
      <c r="D1599" s="9"/>
      <c r="E1599" s="7"/>
      <c r="F1599" s="7"/>
      <c r="G1599" s="7"/>
      <c r="H1599" s="7"/>
      <c r="I1599" s="7"/>
      <c r="J1599" s="39"/>
      <c r="L1599" s="16" t="str">
        <f t="shared" si="909"/>
        <v/>
      </c>
      <c r="M1599" s="16" t="str">
        <f t="shared" si="910"/>
        <v/>
      </c>
      <c r="N1599" s="16" t="str">
        <f t="shared" si="911"/>
        <v/>
      </c>
      <c r="O1599" s="16" t="str">
        <f>IF(N1599="","",COUNTIF($N$8:N1599,N1599))</f>
        <v/>
      </c>
      <c r="P1599" s="34" t="str">
        <f t="shared" si="912"/>
        <v/>
      </c>
      <c r="Q1599" s="34" t="str">
        <f t="shared" si="913"/>
        <v/>
      </c>
      <c r="R1599" s="34" t="str">
        <f t="shared" si="914"/>
        <v/>
      </c>
      <c r="S1599" s="34" t="str">
        <f t="shared" si="915"/>
        <v/>
      </c>
      <c r="T1599" s="34" t="str">
        <f t="shared" si="916"/>
        <v/>
      </c>
      <c r="U1599" s="34" t="str">
        <f>IF(AND(L1599=1,bp_kode=T1599,T1599&lt;&gt;""),COUNTIF($T$8:T1599,T1599),"")</f>
        <v/>
      </c>
      <c r="V1599" s="34" t="str">
        <f t="shared" si="917"/>
        <v/>
      </c>
      <c r="W1599" s="34" t="str">
        <f t="shared" si="918"/>
        <v/>
      </c>
      <c r="X1599" s="34" t="str">
        <f>IF(B1599="","",COUNTIF($C$8:C1599,C1599)&amp;C1599)</f>
        <v/>
      </c>
    </row>
    <row r="1600" spans="2:24" ht="23.1" customHeight="1">
      <c r="B1600" s="31"/>
      <c r="C1600" s="9"/>
      <c r="D1600" s="9"/>
      <c r="E1600" s="7"/>
      <c r="F1600" s="7"/>
      <c r="G1600" s="7"/>
      <c r="H1600" s="7"/>
      <c r="I1600" s="7"/>
      <c r="J1600" s="39"/>
      <c r="L1600" s="16" t="str">
        <f t="shared" si="909"/>
        <v/>
      </c>
      <c r="M1600" s="16" t="str">
        <f t="shared" si="910"/>
        <v/>
      </c>
      <c r="N1600" s="16" t="str">
        <f t="shared" si="911"/>
        <v/>
      </c>
      <c r="O1600" s="16" t="str">
        <f>IF(N1600="","",COUNTIF($N$8:N1600,N1600))</f>
        <v/>
      </c>
      <c r="P1600" s="34" t="str">
        <f t="shared" si="912"/>
        <v/>
      </c>
      <c r="Q1600" s="34" t="str">
        <f t="shared" si="913"/>
        <v/>
      </c>
      <c r="R1600" s="34" t="str">
        <f t="shared" si="914"/>
        <v/>
      </c>
      <c r="S1600" s="34" t="str">
        <f t="shared" si="915"/>
        <v/>
      </c>
      <c r="T1600" s="34" t="str">
        <f t="shared" si="916"/>
        <v/>
      </c>
      <c r="U1600" s="34" t="str">
        <f>IF(AND(L1600=1,bp_kode=T1600,T1600&lt;&gt;""),COUNTIF($T$8:T1600,T1600),"")</f>
        <v/>
      </c>
      <c r="V1600" s="34" t="str">
        <f t="shared" si="917"/>
        <v/>
      </c>
      <c r="W1600" s="34" t="str">
        <f t="shared" si="918"/>
        <v/>
      </c>
      <c r="X1600" s="34" t="str">
        <f>IF(B1600="","",COUNTIF($C$8:C1600,C1600)&amp;C1600)</f>
        <v/>
      </c>
    </row>
    <row r="1601" spans="2:24" ht="23.1" customHeight="1">
      <c r="B1601" s="31"/>
      <c r="C1601" s="9"/>
      <c r="D1601" s="9"/>
      <c r="E1601" s="7"/>
      <c r="F1601" s="7"/>
      <c r="G1601" s="7"/>
      <c r="H1601" s="7"/>
      <c r="I1601" s="7"/>
      <c r="J1601" s="39"/>
      <c r="L1601" s="16" t="str">
        <f t="shared" si="909"/>
        <v/>
      </c>
      <c r="M1601" s="16" t="str">
        <f t="shared" si="910"/>
        <v/>
      </c>
      <c r="N1601" s="16" t="str">
        <f t="shared" si="911"/>
        <v/>
      </c>
      <c r="O1601" s="16" t="str">
        <f>IF(N1601="","",COUNTIF($N$8:N1601,N1601))</f>
        <v/>
      </c>
      <c r="P1601" s="34" t="str">
        <f t="shared" si="912"/>
        <v/>
      </c>
      <c r="Q1601" s="34" t="str">
        <f t="shared" si="913"/>
        <v/>
      </c>
      <c r="R1601" s="34" t="str">
        <f t="shared" si="914"/>
        <v/>
      </c>
      <c r="S1601" s="34" t="str">
        <f t="shared" si="915"/>
        <v/>
      </c>
      <c r="T1601" s="34" t="str">
        <f t="shared" si="916"/>
        <v/>
      </c>
      <c r="U1601" s="34" t="str">
        <f>IF(AND(L1601=1,bp_kode=T1601,T1601&lt;&gt;""),COUNTIF($T$8:T1601,T1601),"")</f>
        <v/>
      </c>
      <c r="V1601" s="34" t="str">
        <f t="shared" si="917"/>
        <v/>
      </c>
      <c r="W1601" s="34" t="str">
        <f t="shared" si="918"/>
        <v/>
      </c>
      <c r="X1601" s="34" t="str">
        <f>IF(B1601="","",COUNTIF($C$8:C1601,C1601)&amp;C1601)</f>
        <v/>
      </c>
    </row>
    <row r="1602" spans="2:24" ht="23.1" customHeight="1">
      <c r="B1602" s="31"/>
      <c r="C1602" s="9"/>
      <c r="D1602" s="9"/>
      <c r="E1602" s="7"/>
      <c r="F1602" s="7"/>
      <c r="G1602" s="7"/>
      <c r="H1602" s="7"/>
      <c r="I1602" s="7"/>
      <c r="J1602" s="39"/>
      <c r="L1602" s="16" t="str">
        <f t="shared" si="909"/>
        <v/>
      </c>
      <c r="M1602" s="16" t="str">
        <f t="shared" si="910"/>
        <v/>
      </c>
      <c r="N1602" s="16" t="str">
        <f t="shared" si="911"/>
        <v/>
      </c>
      <c r="O1602" s="16" t="str">
        <f>IF(N1602="","",COUNTIF($N$8:N1602,N1602))</f>
        <v/>
      </c>
      <c r="P1602" s="34" t="str">
        <f t="shared" si="912"/>
        <v/>
      </c>
      <c r="Q1602" s="34" t="str">
        <f t="shared" si="913"/>
        <v/>
      </c>
      <c r="R1602" s="34" t="str">
        <f t="shared" si="914"/>
        <v/>
      </c>
      <c r="S1602" s="34" t="str">
        <f t="shared" si="915"/>
        <v/>
      </c>
      <c r="T1602" s="34" t="str">
        <f t="shared" si="916"/>
        <v/>
      </c>
      <c r="U1602" s="34" t="str">
        <f>IF(AND(L1602=1,bp_kode=T1602,T1602&lt;&gt;""),COUNTIF($T$8:T1602,T1602),"")</f>
        <v/>
      </c>
      <c r="V1602" s="34" t="str">
        <f t="shared" si="917"/>
        <v/>
      </c>
      <c r="W1602" s="34" t="str">
        <f t="shared" si="918"/>
        <v/>
      </c>
      <c r="X1602" s="34" t="str">
        <f>IF(B1602="","",COUNTIF($C$8:C1602,C1602)&amp;C1602)</f>
        <v/>
      </c>
    </row>
    <row r="1603" spans="2:24" ht="23.1" customHeight="1">
      <c r="B1603" s="31"/>
      <c r="C1603" s="9"/>
      <c r="D1603" s="9"/>
      <c r="E1603" s="7"/>
      <c r="F1603" s="7"/>
      <c r="G1603" s="7"/>
      <c r="H1603" s="7"/>
      <c r="I1603" s="7"/>
      <c r="J1603" s="39"/>
      <c r="L1603" s="16" t="str">
        <f t="shared" si="909"/>
        <v/>
      </c>
      <c r="M1603" s="16" t="str">
        <f t="shared" si="910"/>
        <v/>
      </c>
      <c r="N1603" s="16" t="str">
        <f t="shared" si="911"/>
        <v/>
      </c>
      <c r="O1603" s="16" t="str">
        <f>IF(N1603="","",COUNTIF($N$8:N1603,N1603))</f>
        <v/>
      </c>
      <c r="P1603" s="34" t="str">
        <f t="shared" si="912"/>
        <v/>
      </c>
      <c r="Q1603" s="34" t="str">
        <f t="shared" si="913"/>
        <v/>
      </c>
      <c r="R1603" s="34" t="str">
        <f t="shared" si="914"/>
        <v/>
      </c>
      <c r="S1603" s="34" t="str">
        <f t="shared" si="915"/>
        <v/>
      </c>
      <c r="T1603" s="34" t="str">
        <f t="shared" si="916"/>
        <v/>
      </c>
      <c r="U1603" s="34" t="str">
        <f>IF(AND(L1603=1,bp_kode=T1603,T1603&lt;&gt;""),COUNTIF($T$8:T1603,T1603),"")</f>
        <v/>
      </c>
      <c r="V1603" s="34" t="str">
        <f t="shared" si="917"/>
        <v/>
      </c>
      <c r="W1603" s="34" t="str">
        <f t="shared" si="918"/>
        <v/>
      </c>
      <c r="X1603" s="34" t="str">
        <f>IF(B1603="","",COUNTIF($C$8:C1603,C1603)&amp;C1603)</f>
        <v/>
      </c>
    </row>
    <row r="1604" spans="2:24" ht="23.1" customHeight="1">
      <c r="B1604" s="31"/>
      <c r="C1604" s="9"/>
      <c r="D1604" s="9"/>
      <c r="E1604" s="7"/>
      <c r="F1604" s="7"/>
      <c r="G1604" s="7"/>
      <c r="H1604" s="7"/>
      <c r="I1604" s="7"/>
      <c r="J1604" s="39"/>
      <c r="L1604" s="16" t="str">
        <f t="shared" si="909"/>
        <v/>
      </c>
      <c r="M1604" s="16" t="str">
        <f t="shared" si="910"/>
        <v/>
      </c>
      <c r="N1604" s="16" t="str">
        <f t="shared" si="911"/>
        <v/>
      </c>
      <c r="O1604" s="16" t="str">
        <f>IF(N1604="","",COUNTIF($N$8:N1604,N1604))</f>
        <v/>
      </c>
      <c r="P1604" s="34" t="str">
        <f t="shared" si="912"/>
        <v/>
      </c>
      <c r="Q1604" s="34" t="str">
        <f t="shared" si="913"/>
        <v/>
      </c>
      <c r="R1604" s="34" t="str">
        <f t="shared" si="914"/>
        <v/>
      </c>
      <c r="S1604" s="34" t="str">
        <f t="shared" si="915"/>
        <v/>
      </c>
      <c r="T1604" s="34" t="str">
        <f t="shared" si="916"/>
        <v/>
      </c>
      <c r="U1604" s="34" t="str">
        <f>IF(AND(L1604=1,bp_kode=T1604,T1604&lt;&gt;""),COUNTIF($T$8:T1604,T1604),"")</f>
        <v/>
      </c>
      <c r="V1604" s="34" t="str">
        <f t="shared" si="917"/>
        <v/>
      </c>
      <c r="W1604" s="34" t="str">
        <f t="shared" si="918"/>
        <v/>
      </c>
      <c r="X1604" s="34" t="str">
        <f>IF(B1604="","",COUNTIF($C$8:C1604,C1604)&amp;C1604)</f>
        <v/>
      </c>
    </row>
    <row r="1605" spans="2:24" ht="23.1" customHeight="1">
      <c r="B1605" s="31"/>
      <c r="C1605" s="9"/>
      <c r="D1605" s="9"/>
      <c r="E1605" s="7"/>
      <c r="F1605" s="7"/>
      <c r="G1605" s="7"/>
      <c r="H1605" s="7"/>
      <c r="I1605" s="7"/>
      <c r="J1605" s="39"/>
      <c r="L1605" s="16" t="str">
        <f t="shared" si="909"/>
        <v/>
      </c>
      <c r="M1605" s="16" t="str">
        <f t="shared" si="910"/>
        <v/>
      </c>
      <c r="N1605" s="16" t="str">
        <f t="shared" si="911"/>
        <v/>
      </c>
      <c r="O1605" s="16" t="str">
        <f>IF(N1605="","",COUNTIF($N$8:N1605,N1605))</f>
        <v/>
      </c>
      <c r="P1605" s="34" t="str">
        <f t="shared" si="912"/>
        <v/>
      </c>
      <c r="Q1605" s="34" t="str">
        <f t="shared" si="913"/>
        <v/>
      </c>
      <c r="R1605" s="34" t="str">
        <f t="shared" si="914"/>
        <v/>
      </c>
      <c r="S1605" s="34" t="str">
        <f t="shared" si="915"/>
        <v/>
      </c>
      <c r="T1605" s="34" t="str">
        <f t="shared" si="916"/>
        <v/>
      </c>
      <c r="U1605" s="34" t="str">
        <f>IF(AND(L1605=1,bp_kode=T1605,T1605&lt;&gt;""),COUNTIF($T$8:T1605,T1605),"")</f>
        <v/>
      </c>
      <c r="V1605" s="34" t="str">
        <f t="shared" si="917"/>
        <v/>
      </c>
      <c r="W1605" s="34" t="str">
        <f t="shared" si="918"/>
        <v/>
      </c>
      <c r="X1605" s="34" t="str">
        <f>IF(B1605="","",COUNTIF($C$8:C1605,C1605)&amp;C1605)</f>
        <v/>
      </c>
    </row>
    <row r="1606" spans="2:24" ht="23.1" customHeight="1">
      <c r="B1606" s="31"/>
      <c r="C1606" s="9"/>
      <c r="D1606" s="9"/>
      <c r="E1606" s="7"/>
      <c r="F1606" s="7"/>
      <c r="G1606" s="7"/>
      <c r="H1606" s="7"/>
      <c r="I1606" s="7"/>
      <c r="J1606" s="39"/>
      <c r="L1606" s="16" t="str">
        <f t="shared" si="909"/>
        <v/>
      </c>
      <c r="M1606" s="16" t="str">
        <f t="shared" si="910"/>
        <v/>
      </c>
      <c r="N1606" s="16" t="str">
        <f t="shared" si="911"/>
        <v/>
      </c>
      <c r="O1606" s="16" t="str">
        <f>IF(N1606="","",COUNTIF($N$8:N1606,N1606))</f>
        <v/>
      </c>
      <c r="P1606" s="34" t="str">
        <f t="shared" si="912"/>
        <v/>
      </c>
      <c r="Q1606" s="34" t="str">
        <f t="shared" si="913"/>
        <v/>
      </c>
      <c r="R1606" s="34" t="str">
        <f t="shared" si="914"/>
        <v/>
      </c>
      <c r="S1606" s="34" t="str">
        <f t="shared" si="915"/>
        <v/>
      </c>
      <c r="T1606" s="34" t="str">
        <f t="shared" si="916"/>
        <v/>
      </c>
      <c r="U1606" s="34" t="str">
        <f>IF(AND(L1606=1,bp_kode=T1606,T1606&lt;&gt;""),COUNTIF($T$8:T1606,T1606),"")</f>
        <v/>
      </c>
      <c r="V1606" s="34" t="str">
        <f t="shared" si="917"/>
        <v/>
      </c>
      <c r="W1606" s="34" t="str">
        <f t="shared" si="918"/>
        <v/>
      </c>
      <c r="X1606" s="34" t="str">
        <f>IF(B1606="","",COUNTIF($C$8:C1606,C1606)&amp;C1606)</f>
        <v/>
      </c>
    </row>
    <row r="1607" spans="2:24" ht="23.1" customHeight="1">
      <c r="B1607" s="31"/>
      <c r="C1607" s="9"/>
      <c r="D1607" s="9"/>
      <c r="E1607" s="7"/>
      <c r="F1607" s="7"/>
      <c r="G1607" s="7"/>
      <c r="H1607" s="7"/>
      <c r="I1607" s="7"/>
      <c r="J1607" s="39"/>
      <c r="L1607" s="16" t="str">
        <f t="shared" si="909"/>
        <v/>
      </c>
      <c r="M1607" s="16" t="str">
        <f t="shared" si="910"/>
        <v/>
      </c>
      <c r="N1607" s="16" t="str">
        <f t="shared" si="911"/>
        <v/>
      </c>
      <c r="O1607" s="16" t="str">
        <f>IF(N1607="","",COUNTIF($N$8:N1607,N1607))</f>
        <v/>
      </c>
      <c r="P1607" s="34" t="str">
        <f t="shared" si="912"/>
        <v/>
      </c>
      <c r="Q1607" s="34" t="str">
        <f t="shared" si="913"/>
        <v/>
      </c>
      <c r="R1607" s="34" t="str">
        <f t="shared" si="914"/>
        <v/>
      </c>
      <c r="S1607" s="34" t="str">
        <f t="shared" si="915"/>
        <v/>
      </c>
      <c r="T1607" s="34" t="str">
        <f t="shared" si="916"/>
        <v/>
      </c>
      <c r="U1607" s="34" t="str">
        <f>IF(AND(L1607=1,bp_kode=T1607,T1607&lt;&gt;""),COUNTIF($T$8:T1607,T1607),"")</f>
        <v/>
      </c>
      <c r="V1607" s="34" t="str">
        <f t="shared" si="917"/>
        <v/>
      </c>
      <c r="W1607" s="34" t="str">
        <f t="shared" si="918"/>
        <v/>
      </c>
      <c r="X1607" s="34" t="str">
        <f>IF(B1607="","",COUNTIF($C$8:C1607,C1607)&amp;C1607)</f>
        <v/>
      </c>
    </row>
    <row r="1608" spans="2:24" ht="23.1" customHeight="1">
      <c r="B1608" s="31"/>
      <c r="C1608" s="9"/>
      <c r="D1608" s="9"/>
      <c r="E1608" s="7"/>
      <c r="F1608" s="7"/>
      <c r="G1608" s="7"/>
      <c r="H1608" s="7"/>
      <c r="I1608" s="7"/>
      <c r="J1608" s="39"/>
      <c r="L1608" s="16" t="str">
        <f t="shared" si="909"/>
        <v/>
      </c>
      <c r="M1608" s="16" t="str">
        <f t="shared" si="910"/>
        <v/>
      </c>
      <c r="N1608" s="16" t="str">
        <f t="shared" si="911"/>
        <v/>
      </c>
      <c r="O1608" s="16" t="str">
        <f>IF(N1608="","",COUNTIF($N$8:N1608,N1608))</f>
        <v/>
      </c>
      <c r="P1608" s="34" t="str">
        <f t="shared" si="912"/>
        <v/>
      </c>
      <c r="Q1608" s="34" t="str">
        <f t="shared" si="913"/>
        <v/>
      </c>
      <c r="R1608" s="34" t="str">
        <f t="shared" si="914"/>
        <v/>
      </c>
      <c r="S1608" s="34" t="str">
        <f t="shared" si="915"/>
        <v/>
      </c>
      <c r="T1608" s="34" t="str">
        <f t="shared" si="916"/>
        <v/>
      </c>
      <c r="U1608" s="34" t="str">
        <f>IF(AND(L1608=1,bp_kode=T1608,T1608&lt;&gt;""),COUNTIF($T$8:T1608,T1608),"")</f>
        <v/>
      </c>
      <c r="V1608" s="34" t="str">
        <f t="shared" si="917"/>
        <v/>
      </c>
      <c r="W1608" s="34" t="str">
        <f t="shared" si="918"/>
        <v/>
      </c>
      <c r="X1608" s="34" t="str">
        <f>IF(B1608="","",COUNTIF($C$8:C1608,C1608)&amp;C1608)</f>
        <v/>
      </c>
    </row>
    <row r="1609" spans="2:24" ht="23.1" customHeight="1">
      <c r="B1609" s="31"/>
      <c r="C1609" s="9"/>
      <c r="D1609" s="9"/>
      <c r="E1609" s="7"/>
      <c r="F1609" s="7"/>
      <c r="G1609" s="7"/>
      <c r="H1609" s="7"/>
      <c r="I1609" s="7"/>
      <c r="J1609" s="39"/>
      <c r="L1609" s="16" t="str">
        <f t="shared" si="909"/>
        <v/>
      </c>
      <c r="M1609" s="16" t="str">
        <f t="shared" si="910"/>
        <v/>
      </c>
      <c r="N1609" s="16" t="str">
        <f t="shared" si="911"/>
        <v/>
      </c>
      <c r="O1609" s="16" t="str">
        <f>IF(N1609="","",COUNTIF($N$8:N1609,N1609))</f>
        <v/>
      </c>
      <c r="P1609" s="34" t="str">
        <f t="shared" si="912"/>
        <v/>
      </c>
      <c r="Q1609" s="34" t="str">
        <f t="shared" si="913"/>
        <v/>
      </c>
      <c r="R1609" s="34" t="str">
        <f t="shared" si="914"/>
        <v/>
      </c>
      <c r="S1609" s="34" t="str">
        <f t="shared" si="915"/>
        <v/>
      </c>
      <c r="T1609" s="34" t="str">
        <f t="shared" si="916"/>
        <v/>
      </c>
      <c r="U1609" s="34" t="str">
        <f>IF(AND(L1609=1,bp_kode=T1609,T1609&lt;&gt;""),COUNTIF($T$8:T1609,T1609),"")</f>
        <v/>
      </c>
      <c r="V1609" s="34" t="str">
        <f t="shared" si="917"/>
        <v/>
      </c>
      <c r="W1609" s="34" t="str">
        <f t="shared" si="918"/>
        <v/>
      </c>
      <c r="X1609" s="34" t="str">
        <f>IF(B1609="","",COUNTIF($C$8:C1609,C1609)&amp;C1609)</f>
        <v/>
      </c>
    </row>
    <row r="1610" spans="2:24" ht="23.1" customHeight="1">
      <c r="B1610" s="31"/>
      <c r="C1610" s="9"/>
      <c r="D1610" s="9"/>
      <c r="E1610" s="7"/>
      <c r="F1610" s="7"/>
      <c r="G1610" s="7"/>
      <c r="H1610" s="7"/>
      <c r="I1610" s="7"/>
      <c r="J1610" s="39"/>
      <c r="L1610" s="16" t="str">
        <f t="shared" si="909"/>
        <v/>
      </c>
      <c r="M1610" s="16" t="str">
        <f t="shared" si="910"/>
        <v/>
      </c>
      <c r="N1610" s="16" t="str">
        <f t="shared" si="911"/>
        <v/>
      </c>
      <c r="O1610" s="16" t="str">
        <f>IF(N1610="","",COUNTIF($N$8:N1610,N1610))</f>
        <v/>
      </c>
      <c r="P1610" s="34" t="str">
        <f t="shared" si="912"/>
        <v/>
      </c>
      <c r="Q1610" s="34" t="str">
        <f t="shared" si="913"/>
        <v/>
      </c>
      <c r="R1610" s="34" t="str">
        <f t="shared" si="914"/>
        <v/>
      </c>
      <c r="S1610" s="34" t="str">
        <f t="shared" si="915"/>
        <v/>
      </c>
      <c r="T1610" s="34" t="str">
        <f t="shared" si="916"/>
        <v/>
      </c>
      <c r="U1610" s="34" t="str">
        <f>IF(AND(L1610=1,bp_kode=T1610,T1610&lt;&gt;""),COUNTIF($T$8:T1610,T1610),"")</f>
        <v/>
      </c>
      <c r="V1610" s="34" t="str">
        <f t="shared" si="917"/>
        <v/>
      </c>
      <c r="W1610" s="34" t="str">
        <f t="shared" si="918"/>
        <v/>
      </c>
      <c r="X1610" s="34" t="str">
        <f>IF(B1610="","",COUNTIF($C$8:C1610,C1610)&amp;C1610)</f>
        <v/>
      </c>
    </row>
    <row r="1611" spans="2:24" ht="23.1" customHeight="1">
      <c r="B1611" s="31"/>
      <c r="C1611" s="9"/>
      <c r="D1611" s="9"/>
      <c r="E1611" s="7"/>
      <c r="F1611" s="7"/>
      <c r="G1611" s="7"/>
      <c r="H1611" s="7"/>
      <c r="I1611" s="7"/>
      <c r="J1611" s="39"/>
      <c r="L1611" s="16" t="str">
        <f t="shared" si="909"/>
        <v/>
      </c>
      <c r="M1611" s="16" t="str">
        <f t="shared" si="910"/>
        <v/>
      </c>
      <c r="N1611" s="16" t="str">
        <f t="shared" si="911"/>
        <v/>
      </c>
      <c r="O1611" s="16" t="str">
        <f>IF(N1611="","",COUNTIF($N$8:N1611,N1611))</f>
        <v/>
      </c>
      <c r="P1611" s="34" t="str">
        <f t="shared" si="912"/>
        <v/>
      </c>
      <c r="Q1611" s="34" t="str">
        <f t="shared" si="913"/>
        <v/>
      </c>
      <c r="R1611" s="34" t="str">
        <f t="shared" si="914"/>
        <v/>
      </c>
      <c r="S1611" s="34" t="str">
        <f t="shared" si="915"/>
        <v/>
      </c>
      <c r="T1611" s="34" t="str">
        <f t="shared" si="916"/>
        <v/>
      </c>
      <c r="U1611" s="34" t="str">
        <f>IF(AND(L1611=1,bp_kode=T1611,T1611&lt;&gt;""),COUNTIF($T$8:T1611,T1611),"")</f>
        <v/>
      </c>
      <c r="V1611" s="34" t="str">
        <f t="shared" si="917"/>
        <v/>
      </c>
      <c r="W1611" s="34" t="str">
        <f t="shared" si="918"/>
        <v/>
      </c>
      <c r="X1611" s="34" t="str">
        <f>IF(B1611="","",COUNTIF($C$8:C1611,C1611)&amp;C1611)</f>
        <v/>
      </c>
    </row>
    <row r="1612" spans="2:24" ht="23.1" customHeight="1">
      <c r="B1612" s="31"/>
      <c r="C1612" s="9"/>
      <c r="D1612" s="9"/>
      <c r="E1612" s="7"/>
      <c r="F1612" s="7"/>
      <c r="G1612" s="7"/>
      <c r="H1612" s="7"/>
      <c r="I1612" s="7"/>
      <c r="J1612" s="39"/>
      <c r="L1612" s="16" t="str">
        <f t="shared" si="909"/>
        <v/>
      </c>
      <c r="M1612" s="16" t="str">
        <f t="shared" si="910"/>
        <v/>
      </c>
      <c r="N1612" s="16" t="str">
        <f t="shared" si="911"/>
        <v/>
      </c>
      <c r="O1612" s="16" t="str">
        <f>IF(N1612="","",COUNTIF($N$8:N1612,N1612))</f>
        <v/>
      </c>
      <c r="P1612" s="34" t="str">
        <f t="shared" si="912"/>
        <v/>
      </c>
      <c r="Q1612" s="34" t="str">
        <f t="shared" si="913"/>
        <v/>
      </c>
      <c r="R1612" s="34" t="str">
        <f t="shared" si="914"/>
        <v/>
      </c>
      <c r="S1612" s="34" t="str">
        <f t="shared" si="915"/>
        <v/>
      </c>
      <c r="T1612" s="34" t="str">
        <f t="shared" si="916"/>
        <v/>
      </c>
      <c r="U1612" s="34" t="str">
        <f>IF(AND(L1612=1,bp_kode=T1612,T1612&lt;&gt;""),COUNTIF($T$8:T1612,T1612),"")</f>
        <v/>
      </c>
      <c r="V1612" s="34" t="str">
        <f t="shared" si="917"/>
        <v/>
      </c>
      <c r="W1612" s="34" t="str">
        <f t="shared" si="918"/>
        <v/>
      </c>
      <c r="X1612" s="34" t="str">
        <f>IF(B1612="","",COUNTIF($C$8:C1612,C1612)&amp;C1612)</f>
        <v/>
      </c>
    </row>
    <row r="1613" spans="2:24" ht="23.1" customHeight="1">
      <c r="B1613" s="31"/>
      <c r="C1613" s="9"/>
      <c r="D1613" s="9"/>
      <c r="E1613" s="7"/>
      <c r="F1613" s="7"/>
      <c r="G1613" s="7"/>
      <c r="H1613" s="7"/>
      <c r="I1613" s="7"/>
      <c r="J1613" s="39"/>
      <c r="L1613" s="16" t="str">
        <f t="shared" si="909"/>
        <v/>
      </c>
      <c r="M1613" s="16" t="str">
        <f t="shared" si="910"/>
        <v/>
      </c>
      <c r="N1613" s="16" t="str">
        <f t="shared" si="911"/>
        <v/>
      </c>
      <c r="O1613" s="16" t="str">
        <f>IF(N1613="","",COUNTIF($N$8:N1613,N1613))</f>
        <v/>
      </c>
      <c r="P1613" s="34" t="str">
        <f t="shared" si="912"/>
        <v/>
      </c>
      <c r="Q1613" s="34" t="str">
        <f t="shared" si="913"/>
        <v/>
      </c>
      <c r="R1613" s="34" t="str">
        <f t="shared" si="914"/>
        <v/>
      </c>
      <c r="S1613" s="34" t="str">
        <f t="shared" si="915"/>
        <v/>
      </c>
      <c r="T1613" s="34" t="str">
        <f t="shared" si="916"/>
        <v/>
      </c>
      <c r="U1613" s="34" t="str">
        <f>IF(AND(L1613=1,bp_kode=T1613,T1613&lt;&gt;""),COUNTIF($T$8:T1613,T1613),"")</f>
        <v/>
      </c>
      <c r="V1613" s="34" t="str">
        <f t="shared" si="917"/>
        <v/>
      </c>
      <c r="W1613" s="34" t="str">
        <f t="shared" si="918"/>
        <v/>
      </c>
      <c r="X1613" s="34" t="str">
        <f>IF(B1613="","",COUNTIF($C$8:C1613,C1613)&amp;C1613)</f>
        <v/>
      </c>
    </row>
    <row r="1614" spans="2:24" ht="23.1" customHeight="1">
      <c r="B1614" s="31"/>
      <c r="C1614" s="9"/>
      <c r="D1614" s="9"/>
      <c r="E1614" s="7"/>
      <c r="F1614" s="7"/>
      <c r="G1614" s="7"/>
      <c r="H1614" s="7"/>
      <c r="I1614" s="7"/>
      <c r="J1614" s="39"/>
      <c r="L1614" s="16" t="str">
        <f t="shared" si="909"/>
        <v/>
      </c>
      <c r="M1614" s="16" t="str">
        <f t="shared" si="910"/>
        <v/>
      </c>
      <c r="N1614" s="16" t="str">
        <f t="shared" si="911"/>
        <v/>
      </c>
      <c r="O1614" s="16" t="str">
        <f>IF(N1614="","",COUNTIF($N$8:N1614,N1614))</f>
        <v/>
      </c>
      <c r="P1614" s="34" t="str">
        <f t="shared" si="912"/>
        <v/>
      </c>
      <c r="Q1614" s="34" t="str">
        <f t="shared" si="913"/>
        <v/>
      </c>
      <c r="R1614" s="34" t="str">
        <f t="shared" si="914"/>
        <v/>
      </c>
      <c r="S1614" s="34" t="str">
        <f t="shared" si="915"/>
        <v/>
      </c>
      <c r="T1614" s="34" t="str">
        <f t="shared" si="916"/>
        <v/>
      </c>
      <c r="U1614" s="34" t="str">
        <f>IF(AND(L1614=1,bp_kode=T1614,T1614&lt;&gt;""),COUNTIF($T$8:T1614,T1614),"")</f>
        <v/>
      </c>
      <c r="V1614" s="34" t="str">
        <f t="shared" si="917"/>
        <v/>
      </c>
      <c r="W1614" s="34" t="str">
        <f t="shared" si="918"/>
        <v/>
      </c>
      <c r="X1614" s="34" t="str">
        <f>IF(B1614="","",COUNTIF($C$8:C1614,C1614)&amp;C1614)</f>
        <v/>
      </c>
    </row>
    <row r="1615" spans="2:24" ht="23.1" customHeight="1">
      <c r="B1615" s="31"/>
      <c r="C1615" s="9"/>
      <c r="D1615" s="9"/>
      <c r="E1615" s="7"/>
      <c r="F1615" s="7"/>
      <c r="G1615" s="7"/>
      <c r="H1615" s="7"/>
      <c r="I1615" s="7"/>
      <c r="J1615" s="39"/>
      <c r="L1615" s="16" t="str">
        <f t="shared" si="909"/>
        <v/>
      </c>
      <c r="M1615" s="16" t="str">
        <f t="shared" si="910"/>
        <v/>
      </c>
      <c r="N1615" s="16" t="str">
        <f t="shared" si="911"/>
        <v/>
      </c>
      <c r="O1615" s="16" t="str">
        <f>IF(N1615="","",COUNTIF($N$8:N1615,N1615))</f>
        <v/>
      </c>
      <c r="P1615" s="34" t="str">
        <f t="shared" si="912"/>
        <v/>
      </c>
      <c r="Q1615" s="34" t="str">
        <f t="shared" si="913"/>
        <v/>
      </c>
      <c r="R1615" s="34" t="str">
        <f t="shared" si="914"/>
        <v/>
      </c>
      <c r="S1615" s="34" t="str">
        <f t="shared" si="915"/>
        <v/>
      </c>
      <c r="T1615" s="34" t="str">
        <f t="shared" si="916"/>
        <v/>
      </c>
      <c r="U1615" s="34" t="str">
        <f>IF(AND(L1615=1,bp_kode=T1615,T1615&lt;&gt;""),COUNTIF($T$8:T1615,T1615),"")</f>
        <v/>
      </c>
      <c r="V1615" s="34" t="str">
        <f t="shared" si="917"/>
        <v/>
      </c>
      <c r="W1615" s="34" t="str">
        <f t="shared" si="918"/>
        <v/>
      </c>
      <c r="X1615" s="34" t="str">
        <f>IF(B1615="","",COUNTIF($C$8:C1615,C1615)&amp;C1615)</f>
        <v/>
      </c>
    </row>
    <row r="1616" spans="2:24" ht="23.1" customHeight="1">
      <c r="B1616" s="31"/>
      <c r="C1616" s="9"/>
      <c r="D1616" s="9"/>
      <c r="E1616" s="7"/>
      <c r="F1616" s="7"/>
      <c r="G1616" s="7"/>
      <c r="H1616" s="7"/>
      <c r="I1616" s="7"/>
      <c r="J1616" s="39"/>
      <c r="L1616" s="16" t="str">
        <f t="shared" si="909"/>
        <v/>
      </c>
      <c r="M1616" s="16" t="str">
        <f t="shared" si="910"/>
        <v/>
      </c>
      <c r="N1616" s="16" t="str">
        <f t="shared" si="911"/>
        <v/>
      </c>
      <c r="O1616" s="16" t="str">
        <f>IF(N1616="","",COUNTIF($N$8:N1616,N1616))</f>
        <v/>
      </c>
      <c r="P1616" s="34" t="str">
        <f t="shared" si="912"/>
        <v/>
      </c>
      <c r="Q1616" s="34" t="str">
        <f t="shared" si="913"/>
        <v/>
      </c>
      <c r="R1616" s="34" t="str">
        <f t="shared" si="914"/>
        <v/>
      </c>
      <c r="S1616" s="34" t="str">
        <f t="shared" si="915"/>
        <v/>
      </c>
      <c r="T1616" s="34" t="str">
        <f t="shared" si="916"/>
        <v/>
      </c>
      <c r="U1616" s="34" t="str">
        <f>IF(AND(L1616=1,bp_kode=T1616,T1616&lt;&gt;""),COUNTIF($T$8:T1616,T1616),"")</f>
        <v/>
      </c>
      <c r="V1616" s="34" t="str">
        <f t="shared" si="917"/>
        <v/>
      </c>
      <c r="W1616" s="34" t="str">
        <f t="shared" si="918"/>
        <v/>
      </c>
      <c r="X1616" s="34" t="str">
        <f>IF(B1616="","",COUNTIF($C$8:C1616,C1616)&amp;C1616)</f>
        <v/>
      </c>
    </row>
    <row r="1617" spans="2:24" ht="23.1" customHeight="1">
      <c r="B1617" s="31"/>
      <c r="C1617" s="9"/>
      <c r="D1617" s="9"/>
      <c r="E1617" s="7"/>
      <c r="F1617" s="7"/>
      <c r="G1617" s="7"/>
      <c r="H1617" s="7"/>
      <c r="I1617" s="7"/>
      <c r="J1617" s="39"/>
      <c r="L1617" s="16" t="str">
        <f t="shared" ref="L1617:L1680" si="919">IF(AND(B1617&gt;=awal,B1617&lt;=akhir,B1617&lt;&gt;""),1,IF(AND(B1617&lt;&gt;"",B1617&lt;awal),2,""))</f>
        <v/>
      </c>
      <c r="M1617" s="16" t="str">
        <f t="shared" ref="M1617:M1680" si="920">IF(B1617="","",TEXT(B1617,"mmmm"))</f>
        <v/>
      </c>
      <c r="N1617" s="16" t="str">
        <f t="shared" ref="N1617:N1680" si="921">IF(AND(L1617=1,H1617=bb_akun),"Awe",IF(AND(L1617=1,I1617=bb_akun),"Awe",""))</f>
        <v/>
      </c>
      <c r="O1617" s="16" t="str">
        <f>IF(N1617="","",COUNTIF($N$8:N1617,N1617))</f>
        <v/>
      </c>
      <c r="P1617" s="34" t="str">
        <f t="shared" ref="P1617:P1680" si="922">IFERROR(IF(OR(INDEX(akun_type,MATCH(H1617,akun_kb,0))="Kas",INDEX(akun_type,MATCH(H1617,akun_kb,0))="Bank"),"In"&amp;INDEX(akun_type,MATCH(I1617,akun_kb,0)),IF(OR(INDEX(akun_type,MATCH(I1617,akun_kb,0))="Kas",INDEX(akun_type,MATCH(I1617,akun_kb,0))="Bank"),"out"&amp;INDEX(akun_type,MATCH(H1617,akun_kb,0)),"")),"")</f>
        <v/>
      </c>
      <c r="Q1617" s="34" t="str">
        <f t="shared" ref="Q1617:Q1680" si="923">IFERROR(IF(OR(INDEX(akun_type,MATCH(H1617,akun_kb,0))="Kas",INDEX(akun_type,MATCH(H1617,akun_kb,0))="Bank"),"in"&amp;TEXT(B1617,"mmmm")&amp;INDEX(akun_type,MATCH(I1617,akun_kb,0)),IF(OR(INDEX(akun_type,MATCH(I1617,akun_kb,0))="Kas",INDEX(akun_type,MATCH(I1617,akun_kb,0))="Bank"),"out"&amp;TEXT(B1617,"mmmm")&amp;INDEX(akun_type,MATCH(H1617,akun_kb,0)),"")),"")</f>
        <v/>
      </c>
      <c r="R1617" s="34" t="str">
        <f t="shared" ref="R1617:R1680" si="924">IFERROR(INDEX(akun_type,MATCH(H1617,akun_kb,0)),"")</f>
        <v/>
      </c>
      <c r="S1617" s="34" t="str">
        <f t="shared" ref="S1617:S1680" si="925">IFERROR(INDEX(akun_type,MATCH(I1617,akun_kb,0)),"")</f>
        <v/>
      </c>
      <c r="T1617" s="34" t="str">
        <f t="shared" ref="T1617:T1680" si="926">IF(AND(L1617=1,OR(R1617="Akun Piutang",R1617="akun hutang",S1617="akun piutang",S1617="akun hutang")),E1617,"")</f>
        <v/>
      </c>
      <c r="U1617" s="34" t="str">
        <f>IF(AND(L1617=1,bp_kode=T1617,T1617&lt;&gt;""),COUNTIF($T$8:T1617,T1617),"")</f>
        <v/>
      </c>
      <c r="V1617" s="34" t="str">
        <f t="shared" ref="V1617:V1680" si="927">IF(OR(R1617="Pendapatan",R1617="Pendapatan Lainnya",R1617="Beban",R1617="Harga Pokok Penjualan",R1617="Beban Lainnya"),"db"&amp;F1617,IF(OR(S1617="Pendapatan",S1617="Pendapatan Lainnya",S1617="Beban",S1617="Harga Pokok Penjualan",S1617="Beban Lainnya"),"kr"&amp;F1617,""))</f>
        <v/>
      </c>
      <c r="W1617" s="34" t="str">
        <f t="shared" ref="W1617:W1680" si="928">IF(OR(R1617="Pendapatan",R1617="Pendapatan Lainnya",R1617="Beban",R1617="Harga Pokok Penjualan",R1617="Beban Lainnya"),"db"&amp;G1617,IF(OR(S1617="Pendapatan",S1617="Pendapatan Lainnya",S1617="Beban",S1617="Harga Pokok Penjualan",S1617="Beban Lainnya"),"kr"&amp;G1617,""))</f>
        <v/>
      </c>
      <c r="X1617" s="34" t="str">
        <f>IF(B1617="","",COUNTIF($C$8:C1617,C1617)&amp;C1617)</f>
        <v/>
      </c>
    </row>
    <row r="1618" spans="2:24" ht="23.1" customHeight="1">
      <c r="B1618" s="31"/>
      <c r="C1618" s="9"/>
      <c r="D1618" s="9"/>
      <c r="E1618" s="7"/>
      <c r="F1618" s="7"/>
      <c r="G1618" s="7"/>
      <c r="H1618" s="7"/>
      <c r="I1618" s="7"/>
      <c r="J1618" s="39"/>
      <c r="L1618" s="16" t="str">
        <f t="shared" si="919"/>
        <v/>
      </c>
      <c r="M1618" s="16" t="str">
        <f t="shared" si="920"/>
        <v/>
      </c>
      <c r="N1618" s="16" t="str">
        <f t="shared" si="921"/>
        <v/>
      </c>
      <c r="O1618" s="16" t="str">
        <f>IF(N1618="","",COUNTIF($N$8:N1618,N1618))</f>
        <v/>
      </c>
      <c r="P1618" s="34" t="str">
        <f t="shared" si="922"/>
        <v/>
      </c>
      <c r="Q1618" s="34" t="str">
        <f t="shared" si="923"/>
        <v/>
      </c>
      <c r="R1618" s="34" t="str">
        <f t="shared" si="924"/>
        <v/>
      </c>
      <c r="S1618" s="34" t="str">
        <f t="shared" si="925"/>
        <v/>
      </c>
      <c r="T1618" s="34" t="str">
        <f t="shared" si="926"/>
        <v/>
      </c>
      <c r="U1618" s="34" t="str">
        <f>IF(AND(L1618=1,bp_kode=T1618,T1618&lt;&gt;""),COUNTIF($T$8:T1618,T1618),"")</f>
        <v/>
      </c>
      <c r="V1618" s="34" t="str">
        <f t="shared" si="927"/>
        <v/>
      </c>
      <c r="W1618" s="34" t="str">
        <f t="shared" si="928"/>
        <v/>
      </c>
      <c r="X1618" s="34" t="str">
        <f>IF(B1618="","",COUNTIF($C$8:C1618,C1618)&amp;C1618)</f>
        <v/>
      </c>
    </row>
    <row r="1619" spans="2:24" ht="23.1" customHeight="1">
      <c r="B1619" s="31"/>
      <c r="C1619" s="9"/>
      <c r="D1619" s="9"/>
      <c r="E1619" s="7"/>
      <c r="F1619" s="7"/>
      <c r="G1619" s="7"/>
      <c r="H1619" s="7"/>
      <c r="I1619" s="7"/>
      <c r="J1619" s="39"/>
      <c r="L1619" s="16" t="str">
        <f t="shared" si="919"/>
        <v/>
      </c>
      <c r="M1619" s="16" t="str">
        <f t="shared" si="920"/>
        <v/>
      </c>
      <c r="N1619" s="16" t="str">
        <f t="shared" si="921"/>
        <v/>
      </c>
      <c r="O1619" s="16" t="str">
        <f>IF(N1619="","",COUNTIF($N$8:N1619,N1619))</f>
        <v/>
      </c>
      <c r="P1619" s="34" t="str">
        <f t="shared" si="922"/>
        <v/>
      </c>
      <c r="Q1619" s="34" t="str">
        <f t="shared" si="923"/>
        <v/>
      </c>
      <c r="R1619" s="34" t="str">
        <f t="shared" si="924"/>
        <v/>
      </c>
      <c r="S1619" s="34" t="str">
        <f t="shared" si="925"/>
        <v/>
      </c>
      <c r="T1619" s="34" t="str">
        <f t="shared" si="926"/>
        <v/>
      </c>
      <c r="U1619" s="34" t="str">
        <f>IF(AND(L1619=1,bp_kode=T1619,T1619&lt;&gt;""),COUNTIF($T$8:T1619,T1619),"")</f>
        <v/>
      </c>
      <c r="V1619" s="34" t="str">
        <f t="shared" si="927"/>
        <v/>
      </c>
      <c r="W1619" s="34" t="str">
        <f t="shared" si="928"/>
        <v/>
      </c>
      <c r="X1619" s="34" t="str">
        <f>IF(B1619="","",COUNTIF($C$8:C1619,C1619)&amp;C1619)</f>
        <v/>
      </c>
    </row>
    <row r="1620" spans="2:24" ht="23.1" customHeight="1">
      <c r="B1620" s="31"/>
      <c r="C1620" s="9"/>
      <c r="D1620" s="9"/>
      <c r="E1620" s="7"/>
      <c r="F1620" s="7"/>
      <c r="G1620" s="7"/>
      <c r="H1620" s="7"/>
      <c r="I1620" s="7"/>
      <c r="J1620" s="39"/>
      <c r="L1620" s="16" t="str">
        <f t="shared" si="919"/>
        <v/>
      </c>
      <c r="M1620" s="16" t="str">
        <f t="shared" si="920"/>
        <v/>
      </c>
      <c r="N1620" s="16" t="str">
        <f t="shared" si="921"/>
        <v/>
      </c>
      <c r="O1620" s="16" t="str">
        <f>IF(N1620="","",COUNTIF($N$8:N1620,N1620))</f>
        <v/>
      </c>
      <c r="P1620" s="34" t="str">
        <f t="shared" si="922"/>
        <v/>
      </c>
      <c r="Q1620" s="34" t="str">
        <f t="shared" si="923"/>
        <v/>
      </c>
      <c r="R1620" s="34" t="str">
        <f t="shared" si="924"/>
        <v/>
      </c>
      <c r="S1620" s="34" t="str">
        <f t="shared" si="925"/>
        <v/>
      </c>
      <c r="T1620" s="34" t="str">
        <f t="shared" si="926"/>
        <v/>
      </c>
      <c r="U1620" s="34" t="str">
        <f>IF(AND(L1620=1,bp_kode=T1620,T1620&lt;&gt;""),COUNTIF($T$8:T1620,T1620),"")</f>
        <v/>
      </c>
      <c r="V1620" s="34" t="str">
        <f t="shared" si="927"/>
        <v/>
      </c>
      <c r="W1620" s="34" t="str">
        <f t="shared" si="928"/>
        <v/>
      </c>
      <c r="X1620" s="34" t="str">
        <f>IF(B1620="","",COUNTIF($C$8:C1620,C1620)&amp;C1620)</f>
        <v/>
      </c>
    </row>
    <row r="1621" spans="2:24" ht="23.1" customHeight="1">
      <c r="B1621" s="31"/>
      <c r="C1621" s="9"/>
      <c r="D1621" s="9"/>
      <c r="E1621" s="7"/>
      <c r="F1621" s="7"/>
      <c r="G1621" s="7"/>
      <c r="H1621" s="7"/>
      <c r="I1621" s="7"/>
      <c r="J1621" s="39"/>
      <c r="L1621" s="16" t="str">
        <f t="shared" si="919"/>
        <v/>
      </c>
      <c r="M1621" s="16" t="str">
        <f t="shared" si="920"/>
        <v/>
      </c>
      <c r="N1621" s="16" t="str">
        <f t="shared" si="921"/>
        <v/>
      </c>
      <c r="O1621" s="16" t="str">
        <f>IF(N1621="","",COUNTIF($N$8:N1621,N1621))</f>
        <v/>
      </c>
      <c r="P1621" s="34" t="str">
        <f t="shared" si="922"/>
        <v/>
      </c>
      <c r="Q1621" s="34" t="str">
        <f t="shared" si="923"/>
        <v/>
      </c>
      <c r="R1621" s="34" t="str">
        <f t="shared" si="924"/>
        <v/>
      </c>
      <c r="S1621" s="34" t="str">
        <f t="shared" si="925"/>
        <v/>
      </c>
      <c r="T1621" s="34" t="str">
        <f t="shared" si="926"/>
        <v/>
      </c>
      <c r="U1621" s="34" t="str">
        <f>IF(AND(L1621=1,bp_kode=T1621,T1621&lt;&gt;""),COUNTIF($T$8:T1621,T1621),"")</f>
        <v/>
      </c>
      <c r="V1621" s="34" t="str">
        <f t="shared" si="927"/>
        <v/>
      </c>
      <c r="W1621" s="34" t="str">
        <f t="shared" si="928"/>
        <v/>
      </c>
      <c r="X1621" s="34" t="str">
        <f>IF(B1621="","",COUNTIF($C$8:C1621,C1621)&amp;C1621)</f>
        <v/>
      </c>
    </row>
    <row r="1622" spans="2:24" ht="23.1" customHeight="1">
      <c r="B1622" s="31"/>
      <c r="C1622" s="9"/>
      <c r="D1622" s="9"/>
      <c r="E1622" s="7"/>
      <c r="F1622" s="7"/>
      <c r="G1622" s="7"/>
      <c r="H1622" s="7"/>
      <c r="I1622" s="7"/>
      <c r="J1622" s="39"/>
      <c r="L1622" s="16" t="str">
        <f t="shared" si="919"/>
        <v/>
      </c>
      <c r="M1622" s="16" t="str">
        <f t="shared" si="920"/>
        <v/>
      </c>
      <c r="N1622" s="16" t="str">
        <f t="shared" si="921"/>
        <v/>
      </c>
      <c r="O1622" s="16" t="str">
        <f>IF(N1622="","",COUNTIF($N$8:N1622,N1622))</f>
        <v/>
      </c>
      <c r="P1622" s="34" t="str">
        <f t="shared" si="922"/>
        <v/>
      </c>
      <c r="Q1622" s="34" t="str">
        <f t="shared" si="923"/>
        <v/>
      </c>
      <c r="R1622" s="34" t="str">
        <f t="shared" si="924"/>
        <v/>
      </c>
      <c r="S1622" s="34" t="str">
        <f t="shared" si="925"/>
        <v/>
      </c>
      <c r="T1622" s="34" t="str">
        <f t="shared" si="926"/>
        <v/>
      </c>
      <c r="U1622" s="34" t="str">
        <f>IF(AND(L1622=1,bp_kode=T1622,T1622&lt;&gt;""),COUNTIF($T$8:T1622,T1622),"")</f>
        <v/>
      </c>
      <c r="V1622" s="34" t="str">
        <f t="shared" si="927"/>
        <v/>
      </c>
      <c r="W1622" s="34" t="str">
        <f t="shared" si="928"/>
        <v/>
      </c>
      <c r="X1622" s="34" t="str">
        <f>IF(B1622="","",COUNTIF($C$8:C1622,C1622)&amp;C1622)</f>
        <v/>
      </c>
    </row>
    <row r="1623" spans="2:24" ht="23.1" customHeight="1">
      <c r="B1623" s="31"/>
      <c r="C1623" s="9"/>
      <c r="D1623" s="9"/>
      <c r="E1623" s="7"/>
      <c r="F1623" s="7"/>
      <c r="G1623" s="7"/>
      <c r="H1623" s="7"/>
      <c r="I1623" s="7"/>
      <c r="J1623" s="39"/>
      <c r="L1623" s="16" t="str">
        <f t="shared" si="919"/>
        <v/>
      </c>
      <c r="M1623" s="16" t="str">
        <f t="shared" si="920"/>
        <v/>
      </c>
      <c r="N1623" s="16" t="str">
        <f t="shared" si="921"/>
        <v/>
      </c>
      <c r="O1623" s="16" t="str">
        <f>IF(N1623="","",COUNTIF($N$8:N1623,N1623))</f>
        <v/>
      </c>
      <c r="P1623" s="34" t="str">
        <f t="shared" si="922"/>
        <v/>
      </c>
      <c r="Q1623" s="34" t="str">
        <f t="shared" si="923"/>
        <v/>
      </c>
      <c r="R1623" s="34" t="str">
        <f t="shared" si="924"/>
        <v/>
      </c>
      <c r="S1623" s="34" t="str">
        <f t="shared" si="925"/>
        <v/>
      </c>
      <c r="T1623" s="34" t="str">
        <f t="shared" si="926"/>
        <v/>
      </c>
      <c r="U1623" s="34" t="str">
        <f>IF(AND(L1623=1,bp_kode=T1623,T1623&lt;&gt;""),COUNTIF($T$8:T1623,T1623),"")</f>
        <v/>
      </c>
      <c r="V1623" s="34" t="str">
        <f t="shared" si="927"/>
        <v/>
      </c>
      <c r="W1623" s="34" t="str">
        <f t="shared" si="928"/>
        <v/>
      </c>
      <c r="X1623" s="34" t="str">
        <f>IF(B1623="","",COUNTIF($C$8:C1623,C1623)&amp;C1623)</f>
        <v/>
      </c>
    </row>
    <row r="1624" spans="2:24" ht="23.1" customHeight="1">
      <c r="B1624" s="31"/>
      <c r="C1624" s="9"/>
      <c r="D1624" s="9"/>
      <c r="E1624" s="7"/>
      <c r="F1624" s="7"/>
      <c r="G1624" s="7"/>
      <c r="H1624" s="7"/>
      <c r="I1624" s="7"/>
      <c r="J1624" s="39"/>
      <c r="L1624" s="16" t="str">
        <f t="shared" si="919"/>
        <v/>
      </c>
      <c r="M1624" s="16" t="str">
        <f t="shared" si="920"/>
        <v/>
      </c>
      <c r="N1624" s="16" t="str">
        <f t="shared" si="921"/>
        <v/>
      </c>
      <c r="O1624" s="16" t="str">
        <f>IF(N1624="","",COUNTIF($N$8:N1624,N1624))</f>
        <v/>
      </c>
      <c r="P1624" s="34" t="str">
        <f t="shared" si="922"/>
        <v/>
      </c>
      <c r="Q1624" s="34" t="str">
        <f t="shared" si="923"/>
        <v/>
      </c>
      <c r="R1624" s="34" t="str">
        <f t="shared" si="924"/>
        <v/>
      </c>
      <c r="S1624" s="34" t="str">
        <f t="shared" si="925"/>
        <v/>
      </c>
      <c r="T1624" s="34" t="str">
        <f t="shared" si="926"/>
        <v/>
      </c>
      <c r="U1624" s="34" t="str">
        <f>IF(AND(L1624=1,bp_kode=T1624,T1624&lt;&gt;""),COUNTIF($T$8:T1624,T1624),"")</f>
        <v/>
      </c>
      <c r="V1624" s="34" t="str">
        <f t="shared" si="927"/>
        <v/>
      </c>
      <c r="W1624" s="34" t="str">
        <f t="shared" si="928"/>
        <v/>
      </c>
      <c r="X1624" s="34" t="str">
        <f>IF(B1624="","",COUNTIF($C$8:C1624,C1624)&amp;C1624)</f>
        <v/>
      </c>
    </row>
    <row r="1625" spans="2:24" ht="23.1" customHeight="1">
      <c r="B1625" s="31"/>
      <c r="C1625" s="9"/>
      <c r="D1625" s="9"/>
      <c r="E1625" s="7"/>
      <c r="F1625" s="7"/>
      <c r="G1625" s="7"/>
      <c r="H1625" s="7"/>
      <c r="I1625" s="7"/>
      <c r="J1625" s="39"/>
      <c r="L1625" s="16" t="str">
        <f t="shared" si="919"/>
        <v/>
      </c>
      <c r="M1625" s="16" t="str">
        <f t="shared" si="920"/>
        <v/>
      </c>
      <c r="N1625" s="16" t="str">
        <f t="shared" si="921"/>
        <v/>
      </c>
      <c r="O1625" s="16" t="str">
        <f>IF(N1625="","",COUNTIF($N$8:N1625,N1625))</f>
        <v/>
      </c>
      <c r="P1625" s="34" t="str">
        <f t="shared" si="922"/>
        <v/>
      </c>
      <c r="Q1625" s="34" t="str">
        <f t="shared" si="923"/>
        <v/>
      </c>
      <c r="R1625" s="34" t="str">
        <f t="shared" si="924"/>
        <v/>
      </c>
      <c r="S1625" s="34" t="str">
        <f t="shared" si="925"/>
        <v/>
      </c>
      <c r="T1625" s="34" t="str">
        <f t="shared" si="926"/>
        <v/>
      </c>
      <c r="U1625" s="34" t="str">
        <f>IF(AND(L1625=1,bp_kode=T1625,T1625&lt;&gt;""),COUNTIF($T$8:T1625,T1625),"")</f>
        <v/>
      </c>
      <c r="V1625" s="34" t="str">
        <f t="shared" si="927"/>
        <v/>
      </c>
      <c r="W1625" s="34" t="str">
        <f t="shared" si="928"/>
        <v/>
      </c>
      <c r="X1625" s="34" t="str">
        <f>IF(B1625="","",COUNTIF($C$8:C1625,C1625)&amp;C1625)</f>
        <v/>
      </c>
    </row>
    <row r="1626" spans="2:24" ht="23.1" customHeight="1">
      <c r="B1626" s="31"/>
      <c r="C1626" s="9"/>
      <c r="D1626" s="9"/>
      <c r="E1626" s="7"/>
      <c r="F1626" s="7"/>
      <c r="G1626" s="7"/>
      <c r="H1626" s="7"/>
      <c r="I1626" s="7"/>
      <c r="J1626" s="39"/>
      <c r="L1626" s="16" t="str">
        <f t="shared" si="919"/>
        <v/>
      </c>
      <c r="M1626" s="16" t="str">
        <f t="shared" si="920"/>
        <v/>
      </c>
      <c r="N1626" s="16" t="str">
        <f t="shared" si="921"/>
        <v/>
      </c>
      <c r="O1626" s="16" t="str">
        <f>IF(N1626="","",COUNTIF($N$8:N1626,N1626))</f>
        <v/>
      </c>
      <c r="P1626" s="34" t="str">
        <f t="shared" si="922"/>
        <v/>
      </c>
      <c r="Q1626" s="34" t="str">
        <f t="shared" si="923"/>
        <v/>
      </c>
      <c r="R1626" s="34" t="str">
        <f t="shared" si="924"/>
        <v/>
      </c>
      <c r="S1626" s="34" t="str">
        <f t="shared" si="925"/>
        <v/>
      </c>
      <c r="T1626" s="34" t="str">
        <f t="shared" si="926"/>
        <v/>
      </c>
      <c r="U1626" s="34" t="str">
        <f>IF(AND(L1626=1,bp_kode=T1626,T1626&lt;&gt;""),COUNTIF($T$8:T1626,T1626),"")</f>
        <v/>
      </c>
      <c r="V1626" s="34" t="str">
        <f t="shared" si="927"/>
        <v/>
      </c>
      <c r="W1626" s="34" t="str">
        <f t="shared" si="928"/>
        <v/>
      </c>
      <c r="X1626" s="34" t="str">
        <f>IF(B1626="","",COUNTIF($C$8:C1626,C1626)&amp;C1626)</f>
        <v/>
      </c>
    </row>
    <row r="1627" spans="2:24" ht="23.1" customHeight="1">
      <c r="B1627" s="31"/>
      <c r="C1627" s="9"/>
      <c r="D1627" s="9"/>
      <c r="E1627" s="7"/>
      <c r="F1627" s="7"/>
      <c r="G1627" s="7"/>
      <c r="H1627" s="7"/>
      <c r="I1627" s="7"/>
      <c r="J1627" s="39"/>
      <c r="L1627" s="16" t="str">
        <f t="shared" si="919"/>
        <v/>
      </c>
      <c r="M1627" s="16" t="str">
        <f t="shared" si="920"/>
        <v/>
      </c>
      <c r="N1627" s="16" t="str">
        <f t="shared" si="921"/>
        <v/>
      </c>
      <c r="O1627" s="16" t="str">
        <f>IF(N1627="","",COUNTIF($N$8:N1627,N1627))</f>
        <v/>
      </c>
      <c r="P1627" s="34" t="str">
        <f t="shared" si="922"/>
        <v/>
      </c>
      <c r="Q1627" s="34" t="str">
        <f t="shared" si="923"/>
        <v/>
      </c>
      <c r="R1627" s="34" t="str">
        <f t="shared" si="924"/>
        <v/>
      </c>
      <c r="S1627" s="34" t="str">
        <f t="shared" si="925"/>
        <v/>
      </c>
      <c r="T1627" s="34" t="str">
        <f t="shared" si="926"/>
        <v/>
      </c>
      <c r="U1627" s="34" t="str">
        <f>IF(AND(L1627=1,bp_kode=T1627,T1627&lt;&gt;""),COUNTIF($T$8:T1627,T1627),"")</f>
        <v/>
      </c>
      <c r="V1627" s="34" t="str">
        <f t="shared" si="927"/>
        <v/>
      </c>
      <c r="W1627" s="34" t="str">
        <f t="shared" si="928"/>
        <v/>
      </c>
      <c r="X1627" s="34" t="str">
        <f>IF(B1627="","",COUNTIF($C$8:C1627,C1627)&amp;C1627)</f>
        <v/>
      </c>
    </row>
    <row r="1628" spans="2:24" ht="23.1" customHeight="1">
      <c r="B1628" s="31"/>
      <c r="C1628" s="9"/>
      <c r="D1628" s="9"/>
      <c r="E1628" s="7"/>
      <c r="F1628" s="7"/>
      <c r="G1628" s="7"/>
      <c r="H1628" s="7"/>
      <c r="I1628" s="7"/>
      <c r="J1628" s="39"/>
      <c r="L1628" s="16" t="str">
        <f t="shared" si="919"/>
        <v/>
      </c>
      <c r="M1628" s="16" t="str">
        <f t="shared" si="920"/>
        <v/>
      </c>
      <c r="N1628" s="16" t="str">
        <f t="shared" si="921"/>
        <v/>
      </c>
      <c r="O1628" s="16" t="str">
        <f>IF(N1628="","",COUNTIF($N$8:N1628,N1628))</f>
        <v/>
      </c>
      <c r="P1628" s="34" t="str">
        <f t="shared" si="922"/>
        <v/>
      </c>
      <c r="Q1628" s="34" t="str">
        <f t="shared" si="923"/>
        <v/>
      </c>
      <c r="R1628" s="34" t="str">
        <f t="shared" si="924"/>
        <v/>
      </c>
      <c r="S1628" s="34" t="str">
        <f t="shared" si="925"/>
        <v/>
      </c>
      <c r="T1628" s="34" t="str">
        <f t="shared" si="926"/>
        <v/>
      </c>
      <c r="U1628" s="34" t="str">
        <f>IF(AND(L1628=1,bp_kode=T1628,T1628&lt;&gt;""),COUNTIF($T$8:T1628,T1628),"")</f>
        <v/>
      </c>
      <c r="V1628" s="34" t="str">
        <f t="shared" si="927"/>
        <v/>
      </c>
      <c r="W1628" s="34" t="str">
        <f t="shared" si="928"/>
        <v/>
      </c>
      <c r="X1628" s="34" t="str">
        <f>IF(B1628="","",COUNTIF($C$8:C1628,C1628)&amp;C1628)</f>
        <v/>
      </c>
    </row>
    <row r="1629" spans="2:24" ht="23.1" customHeight="1">
      <c r="B1629" s="31"/>
      <c r="C1629" s="9"/>
      <c r="D1629" s="9"/>
      <c r="E1629" s="7"/>
      <c r="F1629" s="7"/>
      <c r="G1629" s="7"/>
      <c r="H1629" s="7"/>
      <c r="I1629" s="7"/>
      <c r="J1629" s="39"/>
      <c r="L1629" s="16" t="str">
        <f t="shared" si="919"/>
        <v/>
      </c>
      <c r="M1629" s="16" t="str">
        <f t="shared" si="920"/>
        <v/>
      </c>
      <c r="N1629" s="16" t="str">
        <f t="shared" si="921"/>
        <v/>
      </c>
      <c r="O1629" s="16" t="str">
        <f>IF(N1629="","",COUNTIF($N$8:N1629,N1629))</f>
        <v/>
      </c>
      <c r="P1629" s="34" t="str">
        <f t="shared" si="922"/>
        <v/>
      </c>
      <c r="Q1629" s="34" t="str">
        <f t="shared" si="923"/>
        <v/>
      </c>
      <c r="R1629" s="34" t="str">
        <f t="shared" si="924"/>
        <v/>
      </c>
      <c r="S1629" s="34" t="str">
        <f t="shared" si="925"/>
        <v/>
      </c>
      <c r="T1629" s="34" t="str">
        <f t="shared" si="926"/>
        <v/>
      </c>
      <c r="U1629" s="34" t="str">
        <f>IF(AND(L1629=1,bp_kode=T1629,T1629&lt;&gt;""),COUNTIF($T$8:T1629,T1629),"")</f>
        <v/>
      </c>
      <c r="V1629" s="34" t="str">
        <f t="shared" si="927"/>
        <v/>
      </c>
      <c r="W1629" s="34" t="str">
        <f t="shared" si="928"/>
        <v/>
      </c>
      <c r="X1629" s="34" t="str">
        <f>IF(B1629="","",COUNTIF($C$8:C1629,C1629)&amp;C1629)</f>
        <v/>
      </c>
    </row>
    <row r="1630" spans="2:24" ht="23.1" customHeight="1">
      <c r="B1630" s="31"/>
      <c r="C1630" s="9"/>
      <c r="D1630" s="9"/>
      <c r="E1630" s="7"/>
      <c r="F1630" s="7"/>
      <c r="G1630" s="7"/>
      <c r="H1630" s="7"/>
      <c r="I1630" s="7"/>
      <c r="J1630" s="39"/>
      <c r="L1630" s="16" t="str">
        <f t="shared" si="919"/>
        <v/>
      </c>
      <c r="M1630" s="16" t="str">
        <f t="shared" si="920"/>
        <v/>
      </c>
      <c r="N1630" s="16" t="str">
        <f t="shared" si="921"/>
        <v/>
      </c>
      <c r="O1630" s="16" t="str">
        <f>IF(N1630="","",COUNTIF($N$8:N1630,N1630))</f>
        <v/>
      </c>
      <c r="P1630" s="34" t="str">
        <f t="shared" si="922"/>
        <v/>
      </c>
      <c r="Q1630" s="34" t="str">
        <f t="shared" si="923"/>
        <v/>
      </c>
      <c r="R1630" s="34" t="str">
        <f t="shared" si="924"/>
        <v/>
      </c>
      <c r="S1630" s="34" t="str">
        <f t="shared" si="925"/>
        <v/>
      </c>
      <c r="T1630" s="34" t="str">
        <f t="shared" si="926"/>
        <v/>
      </c>
      <c r="U1630" s="34" t="str">
        <f>IF(AND(L1630=1,bp_kode=T1630,T1630&lt;&gt;""),COUNTIF($T$8:T1630,T1630),"")</f>
        <v/>
      </c>
      <c r="V1630" s="34" t="str">
        <f t="shared" si="927"/>
        <v/>
      </c>
      <c r="W1630" s="34" t="str">
        <f t="shared" si="928"/>
        <v/>
      </c>
      <c r="X1630" s="34" t="str">
        <f>IF(B1630="","",COUNTIF($C$8:C1630,C1630)&amp;C1630)</f>
        <v/>
      </c>
    </row>
    <row r="1631" spans="2:24" ht="23.1" customHeight="1">
      <c r="B1631" s="31"/>
      <c r="C1631" s="9"/>
      <c r="D1631" s="9"/>
      <c r="E1631" s="7"/>
      <c r="F1631" s="7"/>
      <c r="G1631" s="7"/>
      <c r="H1631" s="7"/>
      <c r="I1631" s="7"/>
      <c r="J1631" s="39"/>
      <c r="L1631" s="16" t="str">
        <f t="shared" si="919"/>
        <v/>
      </c>
      <c r="M1631" s="16" t="str">
        <f t="shared" si="920"/>
        <v/>
      </c>
      <c r="N1631" s="16" t="str">
        <f t="shared" si="921"/>
        <v/>
      </c>
      <c r="O1631" s="16" t="str">
        <f>IF(N1631="","",COUNTIF($N$8:N1631,N1631))</f>
        <v/>
      </c>
      <c r="P1631" s="34" t="str">
        <f t="shared" si="922"/>
        <v/>
      </c>
      <c r="Q1631" s="34" t="str">
        <f t="shared" si="923"/>
        <v/>
      </c>
      <c r="R1631" s="34" t="str">
        <f t="shared" si="924"/>
        <v/>
      </c>
      <c r="S1631" s="34" t="str">
        <f t="shared" si="925"/>
        <v/>
      </c>
      <c r="T1631" s="34" t="str">
        <f t="shared" si="926"/>
        <v/>
      </c>
      <c r="U1631" s="34" t="str">
        <f>IF(AND(L1631=1,bp_kode=T1631,T1631&lt;&gt;""),COUNTIF($T$8:T1631,T1631),"")</f>
        <v/>
      </c>
      <c r="V1631" s="34" t="str">
        <f t="shared" si="927"/>
        <v/>
      </c>
      <c r="W1631" s="34" t="str">
        <f t="shared" si="928"/>
        <v/>
      </c>
      <c r="X1631" s="34" t="str">
        <f>IF(B1631="","",COUNTIF($C$8:C1631,C1631)&amp;C1631)</f>
        <v/>
      </c>
    </row>
    <row r="1632" spans="2:24" ht="23.1" customHeight="1">
      <c r="B1632" s="31"/>
      <c r="C1632" s="9"/>
      <c r="D1632" s="9"/>
      <c r="E1632" s="7"/>
      <c r="F1632" s="7"/>
      <c r="G1632" s="7"/>
      <c r="H1632" s="7"/>
      <c r="I1632" s="7"/>
      <c r="J1632" s="39"/>
      <c r="L1632" s="16" t="str">
        <f t="shared" si="919"/>
        <v/>
      </c>
      <c r="M1632" s="16" t="str">
        <f t="shared" si="920"/>
        <v/>
      </c>
      <c r="N1632" s="16" t="str">
        <f t="shared" si="921"/>
        <v/>
      </c>
      <c r="O1632" s="16" t="str">
        <f>IF(N1632="","",COUNTIF($N$8:N1632,N1632))</f>
        <v/>
      </c>
      <c r="P1632" s="34" t="str">
        <f t="shared" si="922"/>
        <v/>
      </c>
      <c r="Q1632" s="34" t="str">
        <f t="shared" si="923"/>
        <v/>
      </c>
      <c r="R1632" s="34" t="str">
        <f t="shared" si="924"/>
        <v/>
      </c>
      <c r="S1632" s="34" t="str">
        <f t="shared" si="925"/>
        <v/>
      </c>
      <c r="T1632" s="34" t="str">
        <f t="shared" si="926"/>
        <v/>
      </c>
      <c r="U1632" s="34" t="str">
        <f>IF(AND(L1632=1,bp_kode=T1632,T1632&lt;&gt;""),COUNTIF($T$8:T1632,T1632),"")</f>
        <v/>
      </c>
      <c r="V1632" s="34" t="str">
        <f t="shared" si="927"/>
        <v/>
      </c>
      <c r="W1632" s="34" t="str">
        <f t="shared" si="928"/>
        <v/>
      </c>
      <c r="X1632" s="34" t="str">
        <f>IF(B1632="","",COUNTIF($C$8:C1632,C1632)&amp;C1632)</f>
        <v/>
      </c>
    </row>
    <row r="1633" spans="2:24" ht="23.1" customHeight="1">
      <c r="B1633" s="31"/>
      <c r="C1633" s="9"/>
      <c r="D1633" s="9"/>
      <c r="E1633" s="7"/>
      <c r="F1633" s="7"/>
      <c r="G1633" s="7"/>
      <c r="H1633" s="7"/>
      <c r="I1633" s="7"/>
      <c r="J1633" s="39"/>
      <c r="L1633" s="16" t="str">
        <f t="shared" si="919"/>
        <v/>
      </c>
      <c r="M1633" s="16" t="str">
        <f t="shared" si="920"/>
        <v/>
      </c>
      <c r="N1633" s="16" t="str">
        <f t="shared" si="921"/>
        <v/>
      </c>
      <c r="O1633" s="16" t="str">
        <f>IF(N1633="","",COUNTIF($N$8:N1633,N1633))</f>
        <v/>
      </c>
      <c r="P1633" s="34" t="str">
        <f t="shared" si="922"/>
        <v/>
      </c>
      <c r="Q1633" s="34" t="str">
        <f t="shared" si="923"/>
        <v/>
      </c>
      <c r="R1633" s="34" t="str">
        <f t="shared" si="924"/>
        <v/>
      </c>
      <c r="S1633" s="34" t="str">
        <f t="shared" si="925"/>
        <v/>
      </c>
      <c r="T1633" s="34" t="str">
        <f t="shared" si="926"/>
        <v/>
      </c>
      <c r="U1633" s="34" t="str">
        <f>IF(AND(L1633=1,bp_kode=T1633,T1633&lt;&gt;""),COUNTIF($T$8:T1633,T1633),"")</f>
        <v/>
      </c>
      <c r="V1633" s="34" t="str">
        <f t="shared" si="927"/>
        <v/>
      </c>
      <c r="W1633" s="34" t="str">
        <f t="shared" si="928"/>
        <v/>
      </c>
      <c r="X1633" s="34" t="str">
        <f>IF(B1633="","",COUNTIF($C$8:C1633,C1633)&amp;C1633)</f>
        <v/>
      </c>
    </row>
    <row r="1634" spans="2:24" ht="23.1" customHeight="1">
      <c r="B1634" s="31"/>
      <c r="C1634" s="9"/>
      <c r="D1634" s="9"/>
      <c r="E1634" s="7"/>
      <c r="F1634" s="7"/>
      <c r="G1634" s="7"/>
      <c r="H1634" s="7"/>
      <c r="I1634" s="7"/>
      <c r="J1634" s="39"/>
      <c r="L1634" s="16" t="str">
        <f t="shared" si="919"/>
        <v/>
      </c>
      <c r="M1634" s="16" t="str">
        <f t="shared" si="920"/>
        <v/>
      </c>
      <c r="N1634" s="16" t="str">
        <f t="shared" si="921"/>
        <v/>
      </c>
      <c r="O1634" s="16" t="str">
        <f>IF(N1634="","",COUNTIF($N$8:N1634,N1634))</f>
        <v/>
      </c>
      <c r="P1634" s="34" t="str">
        <f t="shared" si="922"/>
        <v/>
      </c>
      <c r="Q1634" s="34" t="str">
        <f t="shared" si="923"/>
        <v/>
      </c>
      <c r="R1634" s="34" t="str">
        <f t="shared" si="924"/>
        <v/>
      </c>
      <c r="S1634" s="34" t="str">
        <f t="shared" si="925"/>
        <v/>
      </c>
      <c r="T1634" s="34" t="str">
        <f t="shared" si="926"/>
        <v/>
      </c>
      <c r="U1634" s="34" t="str">
        <f>IF(AND(L1634=1,bp_kode=T1634,T1634&lt;&gt;""),COUNTIF($T$8:T1634,T1634),"")</f>
        <v/>
      </c>
      <c r="V1634" s="34" t="str">
        <f t="shared" si="927"/>
        <v/>
      </c>
      <c r="W1634" s="34" t="str">
        <f t="shared" si="928"/>
        <v/>
      </c>
      <c r="X1634" s="34" t="str">
        <f>IF(B1634="","",COUNTIF($C$8:C1634,C1634)&amp;C1634)</f>
        <v/>
      </c>
    </row>
    <row r="1635" spans="2:24" ht="23.1" customHeight="1">
      <c r="B1635" s="31"/>
      <c r="C1635" s="9"/>
      <c r="D1635" s="9"/>
      <c r="E1635" s="7"/>
      <c r="F1635" s="7"/>
      <c r="G1635" s="7"/>
      <c r="H1635" s="7"/>
      <c r="I1635" s="7"/>
      <c r="J1635" s="39"/>
      <c r="L1635" s="16" t="str">
        <f t="shared" si="919"/>
        <v/>
      </c>
      <c r="M1635" s="16" t="str">
        <f t="shared" si="920"/>
        <v/>
      </c>
      <c r="N1635" s="16" t="str">
        <f t="shared" si="921"/>
        <v/>
      </c>
      <c r="O1635" s="16" t="str">
        <f>IF(N1635="","",COUNTIF($N$8:N1635,N1635))</f>
        <v/>
      </c>
      <c r="P1635" s="34" t="str">
        <f t="shared" si="922"/>
        <v/>
      </c>
      <c r="Q1635" s="34" t="str">
        <f t="shared" si="923"/>
        <v/>
      </c>
      <c r="R1635" s="34" t="str">
        <f t="shared" si="924"/>
        <v/>
      </c>
      <c r="S1635" s="34" t="str">
        <f t="shared" si="925"/>
        <v/>
      </c>
      <c r="T1635" s="34" t="str">
        <f t="shared" si="926"/>
        <v/>
      </c>
      <c r="U1635" s="34" t="str">
        <f>IF(AND(L1635=1,bp_kode=T1635,T1635&lt;&gt;""),COUNTIF($T$8:T1635,T1635),"")</f>
        <v/>
      </c>
      <c r="V1635" s="34" t="str">
        <f t="shared" si="927"/>
        <v/>
      </c>
      <c r="W1635" s="34" t="str">
        <f t="shared" si="928"/>
        <v/>
      </c>
      <c r="X1635" s="34" t="str">
        <f>IF(B1635="","",COUNTIF($C$8:C1635,C1635)&amp;C1635)</f>
        <v/>
      </c>
    </row>
    <row r="1636" spans="2:24" ht="23.1" customHeight="1">
      <c r="B1636" s="31"/>
      <c r="C1636" s="9"/>
      <c r="D1636" s="9"/>
      <c r="E1636" s="7"/>
      <c r="F1636" s="7"/>
      <c r="G1636" s="7"/>
      <c r="H1636" s="7"/>
      <c r="I1636" s="7"/>
      <c r="J1636" s="39"/>
      <c r="L1636" s="16" t="str">
        <f t="shared" si="919"/>
        <v/>
      </c>
      <c r="M1636" s="16" t="str">
        <f t="shared" si="920"/>
        <v/>
      </c>
      <c r="N1636" s="16" t="str">
        <f t="shared" si="921"/>
        <v/>
      </c>
      <c r="O1636" s="16" t="str">
        <f>IF(N1636="","",COUNTIF($N$8:N1636,N1636))</f>
        <v/>
      </c>
      <c r="P1636" s="34" t="str">
        <f t="shared" si="922"/>
        <v/>
      </c>
      <c r="Q1636" s="34" t="str">
        <f t="shared" si="923"/>
        <v/>
      </c>
      <c r="R1636" s="34" t="str">
        <f t="shared" si="924"/>
        <v/>
      </c>
      <c r="S1636" s="34" t="str">
        <f t="shared" si="925"/>
        <v/>
      </c>
      <c r="T1636" s="34" t="str">
        <f t="shared" si="926"/>
        <v/>
      </c>
      <c r="U1636" s="34" t="str">
        <f>IF(AND(L1636=1,bp_kode=T1636,T1636&lt;&gt;""),COUNTIF($T$8:T1636,T1636),"")</f>
        <v/>
      </c>
      <c r="V1636" s="34" t="str">
        <f t="shared" si="927"/>
        <v/>
      </c>
      <c r="W1636" s="34" t="str">
        <f t="shared" si="928"/>
        <v/>
      </c>
      <c r="X1636" s="34" t="str">
        <f>IF(B1636="","",COUNTIF($C$8:C1636,C1636)&amp;C1636)</f>
        <v/>
      </c>
    </row>
    <row r="1637" spans="2:24" ht="23.1" customHeight="1">
      <c r="B1637" s="31"/>
      <c r="C1637" s="9"/>
      <c r="D1637" s="9"/>
      <c r="E1637" s="7"/>
      <c r="F1637" s="7"/>
      <c r="G1637" s="7"/>
      <c r="H1637" s="7"/>
      <c r="I1637" s="7"/>
      <c r="J1637" s="39"/>
      <c r="L1637" s="16" t="str">
        <f t="shared" si="919"/>
        <v/>
      </c>
      <c r="M1637" s="16" t="str">
        <f t="shared" si="920"/>
        <v/>
      </c>
      <c r="N1637" s="16" t="str">
        <f t="shared" si="921"/>
        <v/>
      </c>
      <c r="O1637" s="16" t="str">
        <f>IF(N1637="","",COUNTIF($N$8:N1637,N1637))</f>
        <v/>
      </c>
      <c r="P1637" s="34" t="str">
        <f t="shared" si="922"/>
        <v/>
      </c>
      <c r="Q1637" s="34" t="str">
        <f t="shared" si="923"/>
        <v/>
      </c>
      <c r="R1637" s="34" t="str">
        <f t="shared" si="924"/>
        <v/>
      </c>
      <c r="S1637" s="34" t="str">
        <f t="shared" si="925"/>
        <v/>
      </c>
      <c r="T1637" s="34" t="str">
        <f t="shared" si="926"/>
        <v/>
      </c>
      <c r="U1637" s="34" t="str">
        <f>IF(AND(L1637=1,bp_kode=T1637,T1637&lt;&gt;""),COUNTIF($T$8:T1637,T1637),"")</f>
        <v/>
      </c>
      <c r="V1637" s="34" t="str">
        <f t="shared" si="927"/>
        <v/>
      </c>
      <c r="W1637" s="34" t="str">
        <f t="shared" si="928"/>
        <v/>
      </c>
      <c r="X1637" s="34" t="str">
        <f>IF(B1637="","",COUNTIF($C$8:C1637,C1637)&amp;C1637)</f>
        <v/>
      </c>
    </row>
    <row r="1638" spans="2:24" ht="23.1" customHeight="1">
      <c r="B1638" s="31"/>
      <c r="C1638" s="9"/>
      <c r="D1638" s="9"/>
      <c r="E1638" s="7"/>
      <c r="F1638" s="7"/>
      <c r="G1638" s="7"/>
      <c r="H1638" s="7"/>
      <c r="I1638" s="7"/>
      <c r="J1638" s="39"/>
      <c r="L1638" s="16" t="str">
        <f t="shared" si="919"/>
        <v/>
      </c>
      <c r="M1638" s="16" t="str">
        <f t="shared" si="920"/>
        <v/>
      </c>
      <c r="N1638" s="16" t="str">
        <f t="shared" si="921"/>
        <v/>
      </c>
      <c r="O1638" s="16" t="str">
        <f>IF(N1638="","",COUNTIF($N$8:N1638,N1638))</f>
        <v/>
      </c>
      <c r="P1638" s="34" t="str">
        <f t="shared" si="922"/>
        <v/>
      </c>
      <c r="Q1638" s="34" t="str">
        <f t="shared" si="923"/>
        <v/>
      </c>
      <c r="R1638" s="34" t="str">
        <f t="shared" si="924"/>
        <v/>
      </c>
      <c r="S1638" s="34" t="str">
        <f t="shared" si="925"/>
        <v/>
      </c>
      <c r="T1638" s="34" t="str">
        <f t="shared" si="926"/>
        <v/>
      </c>
      <c r="U1638" s="34" t="str">
        <f>IF(AND(L1638=1,bp_kode=T1638,T1638&lt;&gt;""),COUNTIF($T$8:T1638,T1638),"")</f>
        <v/>
      </c>
      <c r="V1638" s="34" t="str">
        <f t="shared" si="927"/>
        <v/>
      </c>
      <c r="W1638" s="34" t="str">
        <f t="shared" si="928"/>
        <v/>
      </c>
      <c r="X1638" s="34" t="str">
        <f>IF(B1638="","",COUNTIF($C$8:C1638,C1638)&amp;C1638)</f>
        <v/>
      </c>
    </row>
    <row r="1639" spans="2:24" ht="23.1" customHeight="1">
      <c r="B1639" s="31"/>
      <c r="C1639" s="9"/>
      <c r="D1639" s="9"/>
      <c r="E1639" s="7"/>
      <c r="F1639" s="7"/>
      <c r="G1639" s="7"/>
      <c r="H1639" s="7"/>
      <c r="I1639" s="7"/>
      <c r="J1639" s="39"/>
      <c r="L1639" s="16" t="str">
        <f t="shared" si="919"/>
        <v/>
      </c>
      <c r="M1639" s="16" t="str">
        <f t="shared" si="920"/>
        <v/>
      </c>
      <c r="N1639" s="16" t="str">
        <f t="shared" si="921"/>
        <v/>
      </c>
      <c r="O1639" s="16" t="str">
        <f>IF(N1639="","",COUNTIF($N$8:N1639,N1639))</f>
        <v/>
      </c>
      <c r="P1639" s="34" t="str">
        <f t="shared" si="922"/>
        <v/>
      </c>
      <c r="Q1639" s="34" t="str">
        <f t="shared" si="923"/>
        <v/>
      </c>
      <c r="R1639" s="34" t="str">
        <f t="shared" si="924"/>
        <v/>
      </c>
      <c r="S1639" s="34" t="str">
        <f t="shared" si="925"/>
        <v/>
      </c>
      <c r="T1639" s="34" t="str">
        <f t="shared" si="926"/>
        <v/>
      </c>
      <c r="U1639" s="34" t="str">
        <f>IF(AND(L1639=1,bp_kode=T1639,T1639&lt;&gt;""),COUNTIF($T$8:T1639,T1639),"")</f>
        <v/>
      </c>
      <c r="V1639" s="34" t="str">
        <f t="shared" si="927"/>
        <v/>
      </c>
      <c r="W1639" s="34" t="str">
        <f t="shared" si="928"/>
        <v/>
      </c>
      <c r="X1639" s="34" t="str">
        <f>IF(B1639="","",COUNTIF($C$8:C1639,C1639)&amp;C1639)</f>
        <v/>
      </c>
    </row>
    <row r="1640" spans="2:24" ht="23.1" customHeight="1">
      <c r="B1640" s="31"/>
      <c r="C1640" s="9"/>
      <c r="D1640" s="9"/>
      <c r="E1640" s="7"/>
      <c r="F1640" s="7"/>
      <c r="G1640" s="7"/>
      <c r="H1640" s="7"/>
      <c r="I1640" s="7"/>
      <c r="J1640" s="39"/>
      <c r="L1640" s="16" t="str">
        <f t="shared" si="919"/>
        <v/>
      </c>
      <c r="M1640" s="16" t="str">
        <f t="shared" si="920"/>
        <v/>
      </c>
      <c r="N1640" s="16" t="str">
        <f t="shared" si="921"/>
        <v/>
      </c>
      <c r="O1640" s="16" t="str">
        <f>IF(N1640="","",COUNTIF($N$8:N1640,N1640))</f>
        <v/>
      </c>
      <c r="P1640" s="34" t="str">
        <f t="shared" si="922"/>
        <v/>
      </c>
      <c r="Q1640" s="34" t="str">
        <f t="shared" si="923"/>
        <v/>
      </c>
      <c r="R1640" s="34" t="str">
        <f t="shared" si="924"/>
        <v/>
      </c>
      <c r="S1640" s="34" t="str">
        <f t="shared" si="925"/>
        <v/>
      </c>
      <c r="T1640" s="34" t="str">
        <f t="shared" si="926"/>
        <v/>
      </c>
      <c r="U1640" s="34" t="str">
        <f>IF(AND(L1640=1,bp_kode=T1640,T1640&lt;&gt;""),COUNTIF($T$8:T1640,T1640),"")</f>
        <v/>
      </c>
      <c r="V1640" s="34" t="str">
        <f t="shared" si="927"/>
        <v/>
      </c>
      <c r="W1640" s="34" t="str">
        <f t="shared" si="928"/>
        <v/>
      </c>
      <c r="X1640" s="34" t="str">
        <f>IF(B1640="","",COUNTIF($C$8:C1640,C1640)&amp;C1640)</f>
        <v/>
      </c>
    </row>
    <row r="1641" spans="2:24" ht="23.1" customHeight="1">
      <c r="B1641" s="31"/>
      <c r="C1641" s="9"/>
      <c r="D1641" s="9"/>
      <c r="E1641" s="7"/>
      <c r="F1641" s="7"/>
      <c r="G1641" s="7"/>
      <c r="H1641" s="7"/>
      <c r="I1641" s="7"/>
      <c r="J1641" s="39"/>
      <c r="L1641" s="16" t="str">
        <f t="shared" si="919"/>
        <v/>
      </c>
      <c r="M1641" s="16" t="str">
        <f t="shared" si="920"/>
        <v/>
      </c>
      <c r="N1641" s="16" t="str">
        <f t="shared" si="921"/>
        <v/>
      </c>
      <c r="O1641" s="16" t="str">
        <f>IF(N1641="","",COUNTIF($N$8:N1641,N1641))</f>
        <v/>
      </c>
      <c r="P1641" s="34" t="str">
        <f t="shared" si="922"/>
        <v/>
      </c>
      <c r="Q1641" s="34" t="str">
        <f t="shared" si="923"/>
        <v/>
      </c>
      <c r="R1641" s="34" t="str">
        <f t="shared" si="924"/>
        <v/>
      </c>
      <c r="S1641" s="34" t="str">
        <f t="shared" si="925"/>
        <v/>
      </c>
      <c r="T1641" s="34" t="str">
        <f t="shared" si="926"/>
        <v/>
      </c>
      <c r="U1641" s="34" t="str">
        <f>IF(AND(L1641=1,bp_kode=T1641,T1641&lt;&gt;""),COUNTIF($T$8:T1641,T1641),"")</f>
        <v/>
      </c>
      <c r="V1641" s="34" t="str">
        <f t="shared" si="927"/>
        <v/>
      </c>
      <c r="W1641" s="34" t="str">
        <f t="shared" si="928"/>
        <v/>
      </c>
      <c r="X1641" s="34" t="str">
        <f>IF(B1641="","",COUNTIF($C$8:C1641,C1641)&amp;C1641)</f>
        <v/>
      </c>
    </row>
    <row r="1642" spans="2:24" ht="23.1" customHeight="1">
      <c r="B1642" s="31"/>
      <c r="C1642" s="9"/>
      <c r="D1642" s="9"/>
      <c r="E1642" s="7"/>
      <c r="F1642" s="7"/>
      <c r="G1642" s="7"/>
      <c r="H1642" s="7"/>
      <c r="I1642" s="7"/>
      <c r="J1642" s="39"/>
      <c r="L1642" s="16" t="str">
        <f t="shared" si="919"/>
        <v/>
      </c>
      <c r="M1642" s="16" t="str">
        <f t="shared" si="920"/>
        <v/>
      </c>
      <c r="N1642" s="16" t="str">
        <f t="shared" si="921"/>
        <v/>
      </c>
      <c r="O1642" s="16" t="str">
        <f>IF(N1642="","",COUNTIF($N$8:N1642,N1642))</f>
        <v/>
      </c>
      <c r="P1642" s="34" t="str">
        <f t="shared" si="922"/>
        <v/>
      </c>
      <c r="Q1642" s="34" t="str">
        <f t="shared" si="923"/>
        <v/>
      </c>
      <c r="R1642" s="34" t="str">
        <f t="shared" si="924"/>
        <v/>
      </c>
      <c r="S1642" s="34" t="str">
        <f t="shared" si="925"/>
        <v/>
      </c>
      <c r="T1642" s="34" t="str">
        <f t="shared" si="926"/>
        <v/>
      </c>
      <c r="U1642" s="34" t="str">
        <f>IF(AND(L1642=1,bp_kode=T1642,T1642&lt;&gt;""),COUNTIF($T$8:T1642,T1642),"")</f>
        <v/>
      </c>
      <c r="V1642" s="34" t="str">
        <f t="shared" si="927"/>
        <v/>
      </c>
      <c r="W1642" s="34" t="str">
        <f t="shared" si="928"/>
        <v/>
      </c>
      <c r="X1642" s="34" t="str">
        <f>IF(B1642="","",COUNTIF($C$8:C1642,C1642)&amp;C1642)</f>
        <v/>
      </c>
    </row>
    <row r="1643" spans="2:24" ht="23.1" customHeight="1">
      <c r="B1643" s="31"/>
      <c r="C1643" s="9"/>
      <c r="D1643" s="9"/>
      <c r="E1643" s="7"/>
      <c r="F1643" s="7"/>
      <c r="G1643" s="7"/>
      <c r="H1643" s="7"/>
      <c r="I1643" s="7"/>
      <c r="J1643" s="39"/>
      <c r="L1643" s="16" t="str">
        <f t="shared" si="919"/>
        <v/>
      </c>
      <c r="M1643" s="16" t="str">
        <f t="shared" si="920"/>
        <v/>
      </c>
      <c r="N1643" s="16" t="str">
        <f t="shared" si="921"/>
        <v/>
      </c>
      <c r="O1643" s="16" t="str">
        <f>IF(N1643="","",COUNTIF($N$8:N1643,N1643))</f>
        <v/>
      </c>
      <c r="P1643" s="34" t="str">
        <f t="shared" si="922"/>
        <v/>
      </c>
      <c r="Q1643" s="34" t="str">
        <f t="shared" si="923"/>
        <v/>
      </c>
      <c r="R1643" s="34" t="str">
        <f t="shared" si="924"/>
        <v/>
      </c>
      <c r="S1643" s="34" t="str">
        <f t="shared" si="925"/>
        <v/>
      </c>
      <c r="T1643" s="34" t="str">
        <f t="shared" si="926"/>
        <v/>
      </c>
      <c r="U1643" s="34" t="str">
        <f>IF(AND(L1643=1,bp_kode=T1643,T1643&lt;&gt;""),COUNTIF($T$8:T1643,T1643),"")</f>
        <v/>
      </c>
      <c r="V1643" s="34" t="str">
        <f t="shared" si="927"/>
        <v/>
      </c>
      <c r="W1643" s="34" t="str">
        <f t="shared" si="928"/>
        <v/>
      </c>
      <c r="X1643" s="34" t="str">
        <f>IF(B1643="","",COUNTIF($C$8:C1643,C1643)&amp;C1643)</f>
        <v/>
      </c>
    </row>
    <row r="1644" spans="2:24" ht="23.1" customHeight="1">
      <c r="B1644" s="31"/>
      <c r="C1644" s="9"/>
      <c r="D1644" s="9"/>
      <c r="E1644" s="7"/>
      <c r="F1644" s="7"/>
      <c r="G1644" s="7"/>
      <c r="H1644" s="7"/>
      <c r="I1644" s="7"/>
      <c r="J1644" s="39"/>
      <c r="L1644" s="16" t="str">
        <f t="shared" si="919"/>
        <v/>
      </c>
      <c r="M1644" s="16" t="str">
        <f t="shared" si="920"/>
        <v/>
      </c>
      <c r="N1644" s="16" t="str">
        <f t="shared" si="921"/>
        <v/>
      </c>
      <c r="O1644" s="16" t="str">
        <f>IF(N1644="","",COUNTIF($N$8:N1644,N1644))</f>
        <v/>
      </c>
      <c r="P1644" s="34" t="str">
        <f t="shared" si="922"/>
        <v/>
      </c>
      <c r="Q1644" s="34" t="str">
        <f t="shared" si="923"/>
        <v/>
      </c>
      <c r="R1644" s="34" t="str">
        <f t="shared" si="924"/>
        <v/>
      </c>
      <c r="S1644" s="34" t="str">
        <f t="shared" si="925"/>
        <v/>
      </c>
      <c r="T1644" s="34" t="str">
        <f t="shared" si="926"/>
        <v/>
      </c>
      <c r="U1644" s="34" t="str">
        <f>IF(AND(L1644=1,bp_kode=T1644,T1644&lt;&gt;""),COUNTIF($T$8:T1644,T1644),"")</f>
        <v/>
      </c>
      <c r="V1644" s="34" t="str">
        <f t="shared" si="927"/>
        <v/>
      </c>
      <c r="W1644" s="34" t="str">
        <f t="shared" si="928"/>
        <v/>
      </c>
      <c r="X1644" s="34" t="str">
        <f>IF(B1644="","",COUNTIF($C$8:C1644,C1644)&amp;C1644)</f>
        <v/>
      </c>
    </row>
    <row r="1645" spans="2:24" ht="23.1" customHeight="1">
      <c r="B1645" s="31"/>
      <c r="C1645" s="9"/>
      <c r="D1645" s="9"/>
      <c r="E1645" s="7"/>
      <c r="F1645" s="7"/>
      <c r="G1645" s="7"/>
      <c r="H1645" s="7"/>
      <c r="I1645" s="7"/>
      <c r="J1645" s="39"/>
      <c r="L1645" s="16" t="str">
        <f t="shared" si="919"/>
        <v/>
      </c>
      <c r="M1645" s="16" t="str">
        <f t="shared" si="920"/>
        <v/>
      </c>
      <c r="N1645" s="16" t="str">
        <f t="shared" si="921"/>
        <v/>
      </c>
      <c r="O1645" s="16" t="str">
        <f>IF(N1645="","",COUNTIF($N$8:N1645,N1645))</f>
        <v/>
      </c>
      <c r="P1645" s="34" t="str">
        <f t="shared" si="922"/>
        <v/>
      </c>
      <c r="Q1645" s="34" t="str">
        <f t="shared" si="923"/>
        <v/>
      </c>
      <c r="R1645" s="34" t="str">
        <f t="shared" si="924"/>
        <v/>
      </c>
      <c r="S1645" s="34" t="str">
        <f t="shared" si="925"/>
        <v/>
      </c>
      <c r="T1645" s="34" t="str">
        <f t="shared" si="926"/>
        <v/>
      </c>
      <c r="U1645" s="34" t="str">
        <f>IF(AND(L1645=1,bp_kode=T1645,T1645&lt;&gt;""),COUNTIF($T$8:T1645,T1645),"")</f>
        <v/>
      </c>
      <c r="V1645" s="34" t="str">
        <f t="shared" si="927"/>
        <v/>
      </c>
      <c r="W1645" s="34" t="str">
        <f t="shared" si="928"/>
        <v/>
      </c>
      <c r="X1645" s="34" t="str">
        <f>IF(B1645="","",COUNTIF($C$8:C1645,C1645)&amp;C1645)</f>
        <v/>
      </c>
    </row>
    <row r="1646" spans="2:24" ht="23.1" customHeight="1">
      <c r="B1646" s="31"/>
      <c r="C1646" s="9"/>
      <c r="D1646" s="9"/>
      <c r="E1646" s="7"/>
      <c r="F1646" s="7"/>
      <c r="G1646" s="7"/>
      <c r="H1646" s="7"/>
      <c r="I1646" s="7"/>
      <c r="J1646" s="39"/>
      <c r="L1646" s="16" t="str">
        <f t="shared" si="919"/>
        <v/>
      </c>
      <c r="M1646" s="16" t="str">
        <f t="shared" si="920"/>
        <v/>
      </c>
      <c r="N1646" s="16" t="str">
        <f t="shared" si="921"/>
        <v/>
      </c>
      <c r="O1646" s="16" t="str">
        <f>IF(N1646="","",COUNTIF($N$8:N1646,N1646))</f>
        <v/>
      </c>
      <c r="P1646" s="34" t="str">
        <f t="shared" si="922"/>
        <v/>
      </c>
      <c r="Q1646" s="34" t="str">
        <f t="shared" si="923"/>
        <v/>
      </c>
      <c r="R1646" s="34" t="str">
        <f t="shared" si="924"/>
        <v/>
      </c>
      <c r="S1646" s="34" t="str">
        <f t="shared" si="925"/>
        <v/>
      </c>
      <c r="T1646" s="34" t="str">
        <f t="shared" si="926"/>
        <v/>
      </c>
      <c r="U1646" s="34" t="str">
        <f>IF(AND(L1646=1,bp_kode=T1646,T1646&lt;&gt;""),COUNTIF($T$8:T1646,T1646),"")</f>
        <v/>
      </c>
      <c r="V1646" s="34" t="str">
        <f t="shared" si="927"/>
        <v/>
      </c>
      <c r="W1646" s="34" t="str">
        <f t="shared" si="928"/>
        <v/>
      </c>
      <c r="X1646" s="34" t="str">
        <f>IF(B1646="","",COUNTIF($C$8:C1646,C1646)&amp;C1646)</f>
        <v/>
      </c>
    </row>
    <row r="1647" spans="2:24" ht="23.1" customHeight="1">
      <c r="B1647" s="31"/>
      <c r="C1647" s="9"/>
      <c r="D1647" s="9"/>
      <c r="E1647" s="7"/>
      <c r="F1647" s="7"/>
      <c r="G1647" s="7"/>
      <c r="H1647" s="7"/>
      <c r="I1647" s="7"/>
      <c r="J1647" s="39"/>
      <c r="L1647" s="16" t="str">
        <f t="shared" si="919"/>
        <v/>
      </c>
      <c r="M1647" s="16" t="str">
        <f t="shared" si="920"/>
        <v/>
      </c>
      <c r="N1647" s="16" t="str">
        <f t="shared" si="921"/>
        <v/>
      </c>
      <c r="O1647" s="16" t="str">
        <f>IF(N1647="","",COUNTIF($N$8:N1647,N1647))</f>
        <v/>
      </c>
      <c r="P1647" s="34" t="str">
        <f t="shared" si="922"/>
        <v/>
      </c>
      <c r="Q1647" s="34" t="str">
        <f t="shared" si="923"/>
        <v/>
      </c>
      <c r="R1647" s="34" t="str">
        <f t="shared" si="924"/>
        <v/>
      </c>
      <c r="S1647" s="34" t="str">
        <f t="shared" si="925"/>
        <v/>
      </c>
      <c r="T1647" s="34" t="str">
        <f t="shared" si="926"/>
        <v/>
      </c>
      <c r="U1647" s="34" t="str">
        <f>IF(AND(L1647=1,bp_kode=T1647,T1647&lt;&gt;""),COUNTIF($T$8:T1647,T1647),"")</f>
        <v/>
      </c>
      <c r="V1647" s="34" t="str">
        <f t="shared" si="927"/>
        <v/>
      </c>
      <c r="W1647" s="34" t="str">
        <f t="shared" si="928"/>
        <v/>
      </c>
      <c r="X1647" s="34" t="str">
        <f>IF(B1647="","",COUNTIF($C$8:C1647,C1647)&amp;C1647)</f>
        <v/>
      </c>
    </row>
    <row r="1648" spans="2:24" ht="23.1" customHeight="1">
      <c r="B1648" s="31"/>
      <c r="C1648" s="9"/>
      <c r="D1648" s="9"/>
      <c r="E1648" s="7"/>
      <c r="F1648" s="7"/>
      <c r="G1648" s="7"/>
      <c r="H1648" s="7"/>
      <c r="I1648" s="7"/>
      <c r="J1648" s="39"/>
      <c r="L1648" s="16" t="str">
        <f t="shared" si="919"/>
        <v/>
      </c>
      <c r="M1648" s="16" t="str">
        <f t="shared" si="920"/>
        <v/>
      </c>
      <c r="N1648" s="16" t="str">
        <f t="shared" si="921"/>
        <v/>
      </c>
      <c r="O1648" s="16" t="str">
        <f>IF(N1648="","",COUNTIF($N$8:N1648,N1648))</f>
        <v/>
      </c>
      <c r="P1648" s="34" t="str">
        <f t="shared" si="922"/>
        <v/>
      </c>
      <c r="Q1648" s="34" t="str">
        <f t="shared" si="923"/>
        <v/>
      </c>
      <c r="R1648" s="34" t="str">
        <f t="shared" si="924"/>
        <v/>
      </c>
      <c r="S1648" s="34" t="str">
        <f t="shared" si="925"/>
        <v/>
      </c>
      <c r="T1648" s="34" t="str">
        <f t="shared" si="926"/>
        <v/>
      </c>
      <c r="U1648" s="34" t="str">
        <f>IF(AND(L1648=1,bp_kode=T1648,T1648&lt;&gt;""),COUNTIF($T$8:T1648,T1648),"")</f>
        <v/>
      </c>
      <c r="V1648" s="34" t="str">
        <f t="shared" si="927"/>
        <v/>
      </c>
      <c r="W1648" s="34" t="str">
        <f t="shared" si="928"/>
        <v/>
      </c>
      <c r="X1648" s="34" t="str">
        <f>IF(B1648="","",COUNTIF($C$8:C1648,C1648)&amp;C1648)</f>
        <v/>
      </c>
    </row>
    <row r="1649" spans="2:24" ht="23.1" customHeight="1">
      <c r="B1649" s="31"/>
      <c r="C1649" s="9"/>
      <c r="D1649" s="9"/>
      <c r="E1649" s="7"/>
      <c r="F1649" s="7"/>
      <c r="G1649" s="7"/>
      <c r="H1649" s="7"/>
      <c r="I1649" s="7"/>
      <c r="J1649" s="39"/>
      <c r="L1649" s="16" t="str">
        <f t="shared" si="919"/>
        <v/>
      </c>
      <c r="M1649" s="16" t="str">
        <f t="shared" si="920"/>
        <v/>
      </c>
      <c r="N1649" s="16" t="str">
        <f t="shared" si="921"/>
        <v/>
      </c>
      <c r="O1649" s="16" t="str">
        <f>IF(N1649="","",COUNTIF($N$8:N1649,N1649))</f>
        <v/>
      </c>
      <c r="P1649" s="34" t="str">
        <f t="shared" si="922"/>
        <v/>
      </c>
      <c r="Q1649" s="34" t="str">
        <f t="shared" si="923"/>
        <v/>
      </c>
      <c r="R1649" s="34" t="str">
        <f t="shared" si="924"/>
        <v/>
      </c>
      <c r="S1649" s="34" t="str">
        <f t="shared" si="925"/>
        <v/>
      </c>
      <c r="T1649" s="34" t="str">
        <f t="shared" si="926"/>
        <v/>
      </c>
      <c r="U1649" s="34" t="str">
        <f>IF(AND(L1649=1,bp_kode=T1649,T1649&lt;&gt;""),COUNTIF($T$8:T1649,T1649),"")</f>
        <v/>
      </c>
      <c r="V1649" s="34" t="str">
        <f t="shared" si="927"/>
        <v/>
      </c>
      <c r="W1649" s="34" t="str">
        <f t="shared" si="928"/>
        <v/>
      </c>
      <c r="X1649" s="34" t="str">
        <f>IF(B1649="","",COUNTIF($C$8:C1649,C1649)&amp;C1649)</f>
        <v/>
      </c>
    </row>
    <row r="1650" spans="2:24" ht="23.1" customHeight="1">
      <c r="B1650" s="31"/>
      <c r="C1650" s="9"/>
      <c r="D1650" s="9"/>
      <c r="E1650" s="7"/>
      <c r="F1650" s="7"/>
      <c r="G1650" s="7"/>
      <c r="H1650" s="7"/>
      <c r="I1650" s="7"/>
      <c r="J1650" s="39"/>
      <c r="L1650" s="16" t="str">
        <f t="shared" si="919"/>
        <v/>
      </c>
      <c r="M1650" s="16" t="str">
        <f t="shared" si="920"/>
        <v/>
      </c>
      <c r="N1650" s="16" t="str">
        <f t="shared" si="921"/>
        <v/>
      </c>
      <c r="O1650" s="16" t="str">
        <f>IF(N1650="","",COUNTIF($N$8:N1650,N1650))</f>
        <v/>
      </c>
      <c r="P1650" s="34" t="str">
        <f t="shared" si="922"/>
        <v/>
      </c>
      <c r="Q1650" s="34" t="str">
        <f t="shared" si="923"/>
        <v/>
      </c>
      <c r="R1650" s="34" t="str">
        <f t="shared" si="924"/>
        <v/>
      </c>
      <c r="S1650" s="34" t="str">
        <f t="shared" si="925"/>
        <v/>
      </c>
      <c r="T1650" s="34" t="str">
        <f t="shared" si="926"/>
        <v/>
      </c>
      <c r="U1650" s="34" t="str">
        <f>IF(AND(L1650=1,bp_kode=T1650,T1650&lt;&gt;""),COUNTIF($T$8:T1650,T1650),"")</f>
        <v/>
      </c>
      <c r="V1650" s="34" t="str">
        <f t="shared" si="927"/>
        <v/>
      </c>
      <c r="W1650" s="34" t="str">
        <f t="shared" si="928"/>
        <v/>
      </c>
      <c r="X1650" s="34" t="str">
        <f>IF(B1650="","",COUNTIF($C$8:C1650,C1650)&amp;C1650)</f>
        <v/>
      </c>
    </row>
    <row r="1651" spans="2:24" ht="23.1" customHeight="1">
      <c r="B1651" s="31"/>
      <c r="C1651" s="9"/>
      <c r="D1651" s="9"/>
      <c r="E1651" s="7"/>
      <c r="F1651" s="7"/>
      <c r="G1651" s="7"/>
      <c r="H1651" s="7"/>
      <c r="I1651" s="7"/>
      <c r="J1651" s="39"/>
      <c r="L1651" s="16" t="str">
        <f t="shared" si="919"/>
        <v/>
      </c>
      <c r="M1651" s="16" t="str">
        <f t="shared" si="920"/>
        <v/>
      </c>
      <c r="N1651" s="16" t="str">
        <f t="shared" si="921"/>
        <v/>
      </c>
      <c r="O1651" s="16" t="str">
        <f>IF(N1651="","",COUNTIF($N$8:N1651,N1651))</f>
        <v/>
      </c>
      <c r="P1651" s="34" t="str">
        <f t="shared" si="922"/>
        <v/>
      </c>
      <c r="Q1651" s="34" t="str">
        <f t="shared" si="923"/>
        <v/>
      </c>
      <c r="R1651" s="34" t="str">
        <f t="shared" si="924"/>
        <v/>
      </c>
      <c r="S1651" s="34" t="str">
        <f t="shared" si="925"/>
        <v/>
      </c>
      <c r="T1651" s="34" t="str">
        <f t="shared" si="926"/>
        <v/>
      </c>
      <c r="U1651" s="34" t="str">
        <f>IF(AND(L1651=1,bp_kode=T1651,T1651&lt;&gt;""),COUNTIF($T$8:T1651,T1651),"")</f>
        <v/>
      </c>
      <c r="V1651" s="34" t="str">
        <f t="shared" si="927"/>
        <v/>
      </c>
      <c r="W1651" s="34" t="str">
        <f t="shared" si="928"/>
        <v/>
      </c>
      <c r="X1651" s="34" t="str">
        <f>IF(B1651="","",COUNTIF($C$8:C1651,C1651)&amp;C1651)</f>
        <v/>
      </c>
    </row>
    <row r="1652" spans="2:24" ht="23.1" customHeight="1">
      <c r="B1652" s="31"/>
      <c r="C1652" s="9"/>
      <c r="D1652" s="9"/>
      <c r="E1652" s="7"/>
      <c r="F1652" s="7"/>
      <c r="G1652" s="7"/>
      <c r="H1652" s="7"/>
      <c r="I1652" s="7"/>
      <c r="J1652" s="39"/>
      <c r="L1652" s="16" t="str">
        <f t="shared" si="919"/>
        <v/>
      </c>
      <c r="M1652" s="16" t="str">
        <f t="shared" si="920"/>
        <v/>
      </c>
      <c r="N1652" s="16" t="str">
        <f t="shared" si="921"/>
        <v/>
      </c>
      <c r="O1652" s="16" t="str">
        <f>IF(N1652="","",COUNTIF($N$8:N1652,N1652))</f>
        <v/>
      </c>
      <c r="P1652" s="34" t="str">
        <f t="shared" si="922"/>
        <v/>
      </c>
      <c r="Q1652" s="34" t="str">
        <f t="shared" si="923"/>
        <v/>
      </c>
      <c r="R1652" s="34" t="str">
        <f t="shared" si="924"/>
        <v/>
      </c>
      <c r="S1652" s="34" t="str">
        <f t="shared" si="925"/>
        <v/>
      </c>
      <c r="T1652" s="34" t="str">
        <f t="shared" si="926"/>
        <v/>
      </c>
      <c r="U1652" s="34" t="str">
        <f>IF(AND(L1652=1,bp_kode=T1652,T1652&lt;&gt;""),COUNTIF($T$8:T1652,T1652),"")</f>
        <v/>
      </c>
      <c r="V1652" s="34" t="str">
        <f t="shared" si="927"/>
        <v/>
      </c>
      <c r="W1652" s="34" t="str">
        <f t="shared" si="928"/>
        <v/>
      </c>
      <c r="X1652" s="34" t="str">
        <f>IF(B1652="","",COUNTIF($C$8:C1652,C1652)&amp;C1652)</f>
        <v/>
      </c>
    </row>
    <row r="1653" spans="2:24" ht="23.1" customHeight="1">
      <c r="B1653" s="31"/>
      <c r="C1653" s="9"/>
      <c r="D1653" s="9"/>
      <c r="E1653" s="7"/>
      <c r="F1653" s="7"/>
      <c r="G1653" s="7"/>
      <c r="H1653" s="7"/>
      <c r="I1653" s="7"/>
      <c r="J1653" s="39"/>
      <c r="L1653" s="16" t="str">
        <f t="shared" si="919"/>
        <v/>
      </c>
      <c r="M1653" s="16" t="str">
        <f t="shared" si="920"/>
        <v/>
      </c>
      <c r="N1653" s="16" t="str">
        <f t="shared" si="921"/>
        <v/>
      </c>
      <c r="O1653" s="16" t="str">
        <f>IF(N1653="","",COUNTIF($N$8:N1653,N1653))</f>
        <v/>
      </c>
      <c r="P1653" s="34" t="str">
        <f t="shared" si="922"/>
        <v/>
      </c>
      <c r="Q1653" s="34" t="str">
        <f t="shared" si="923"/>
        <v/>
      </c>
      <c r="R1653" s="34" t="str">
        <f t="shared" si="924"/>
        <v/>
      </c>
      <c r="S1653" s="34" t="str">
        <f t="shared" si="925"/>
        <v/>
      </c>
      <c r="T1653" s="34" t="str">
        <f t="shared" si="926"/>
        <v/>
      </c>
      <c r="U1653" s="34" t="str">
        <f>IF(AND(L1653=1,bp_kode=T1653,T1653&lt;&gt;""),COUNTIF($T$8:T1653,T1653),"")</f>
        <v/>
      </c>
      <c r="V1653" s="34" t="str">
        <f t="shared" si="927"/>
        <v/>
      </c>
      <c r="W1653" s="34" t="str">
        <f t="shared" si="928"/>
        <v/>
      </c>
      <c r="X1653" s="34" t="str">
        <f>IF(B1653="","",COUNTIF($C$8:C1653,C1653)&amp;C1653)</f>
        <v/>
      </c>
    </row>
    <row r="1654" spans="2:24" ht="23.1" customHeight="1">
      <c r="B1654" s="31"/>
      <c r="C1654" s="9"/>
      <c r="D1654" s="9"/>
      <c r="E1654" s="7"/>
      <c r="F1654" s="7"/>
      <c r="G1654" s="7"/>
      <c r="H1654" s="7"/>
      <c r="I1654" s="7"/>
      <c r="J1654" s="39"/>
      <c r="L1654" s="16" t="str">
        <f t="shared" si="919"/>
        <v/>
      </c>
      <c r="M1654" s="16" t="str">
        <f t="shared" si="920"/>
        <v/>
      </c>
      <c r="N1654" s="16" t="str">
        <f t="shared" si="921"/>
        <v/>
      </c>
      <c r="O1654" s="16" t="str">
        <f>IF(N1654="","",COUNTIF($N$8:N1654,N1654))</f>
        <v/>
      </c>
      <c r="P1654" s="34" t="str">
        <f t="shared" si="922"/>
        <v/>
      </c>
      <c r="Q1654" s="34" t="str">
        <f t="shared" si="923"/>
        <v/>
      </c>
      <c r="R1654" s="34" t="str">
        <f t="shared" si="924"/>
        <v/>
      </c>
      <c r="S1654" s="34" t="str">
        <f t="shared" si="925"/>
        <v/>
      </c>
      <c r="T1654" s="34" t="str">
        <f t="shared" si="926"/>
        <v/>
      </c>
      <c r="U1654" s="34" t="str">
        <f>IF(AND(L1654=1,bp_kode=T1654,T1654&lt;&gt;""),COUNTIF($T$8:T1654,T1654),"")</f>
        <v/>
      </c>
      <c r="V1654" s="34" t="str">
        <f t="shared" si="927"/>
        <v/>
      </c>
      <c r="W1654" s="34" t="str">
        <f t="shared" si="928"/>
        <v/>
      </c>
      <c r="X1654" s="34" t="str">
        <f>IF(B1654="","",COUNTIF($C$8:C1654,C1654)&amp;C1654)</f>
        <v/>
      </c>
    </row>
    <row r="1655" spans="2:24" ht="23.1" customHeight="1">
      <c r="B1655" s="31"/>
      <c r="C1655" s="9"/>
      <c r="D1655" s="9"/>
      <c r="E1655" s="7"/>
      <c r="F1655" s="7"/>
      <c r="G1655" s="7"/>
      <c r="H1655" s="7"/>
      <c r="I1655" s="7"/>
      <c r="J1655" s="39"/>
      <c r="L1655" s="16" t="str">
        <f t="shared" si="919"/>
        <v/>
      </c>
      <c r="M1655" s="16" t="str">
        <f t="shared" si="920"/>
        <v/>
      </c>
      <c r="N1655" s="16" t="str">
        <f t="shared" si="921"/>
        <v/>
      </c>
      <c r="O1655" s="16" t="str">
        <f>IF(N1655="","",COUNTIF($N$8:N1655,N1655))</f>
        <v/>
      </c>
      <c r="P1655" s="34" t="str">
        <f t="shared" si="922"/>
        <v/>
      </c>
      <c r="Q1655" s="34" t="str">
        <f t="shared" si="923"/>
        <v/>
      </c>
      <c r="R1655" s="34" t="str">
        <f t="shared" si="924"/>
        <v/>
      </c>
      <c r="S1655" s="34" t="str">
        <f t="shared" si="925"/>
        <v/>
      </c>
      <c r="T1655" s="34" t="str">
        <f t="shared" si="926"/>
        <v/>
      </c>
      <c r="U1655" s="34" t="str">
        <f>IF(AND(L1655=1,bp_kode=T1655,T1655&lt;&gt;""),COUNTIF($T$8:T1655,T1655),"")</f>
        <v/>
      </c>
      <c r="V1655" s="34" t="str">
        <f t="shared" si="927"/>
        <v/>
      </c>
      <c r="W1655" s="34" t="str">
        <f t="shared" si="928"/>
        <v/>
      </c>
      <c r="X1655" s="34" t="str">
        <f>IF(B1655="","",COUNTIF($C$8:C1655,C1655)&amp;C1655)</f>
        <v/>
      </c>
    </row>
    <row r="1656" spans="2:24" ht="23.1" customHeight="1">
      <c r="B1656" s="31"/>
      <c r="C1656" s="9"/>
      <c r="D1656" s="9"/>
      <c r="E1656" s="7"/>
      <c r="F1656" s="7"/>
      <c r="G1656" s="7"/>
      <c r="H1656" s="7"/>
      <c r="I1656" s="7"/>
      <c r="J1656" s="39"/>
      <c r="L1656" s="16" t="str">
        <f t="shared" si="919"/>
        <v/>
      </c>
      <c r="M1656" s="16" t="str">
        <f t="shared" si="920"/>
        <v/>
      </c>
      <c r="N1656" s="16" t="str">
        <f t="shared" si="921"/>
        <v/>
      </c>
      <c r="O1656" s="16" t="str">
        <f>IF(N1656="","",COUNTIF($N$8:N1656,N1656))</f>
        <v/>
      </c>
      <c r="P1656" s="34" t="str">
        <f t="shared" si="922"/>
        <v/>
      </c>
      <c r="Q1656" s="34" t="str">
        <f t="shared" si="923"/>
        <v/>
      </c>
      <c r="R1656" s="34" t="str">
        <f t="shared" si="924"/>
        <v/>
      </c>
      <c r="S1656" s="34" t="str">
        <f t="shared" si="925"/>
        <v/>
      </c>
      <c r="T1656" s="34" t="str">
        <f t="shared" si="926"/>
        <v/>
      </c>
      <c r="U1656" s="34" t="str">
        <f>IF(AND(L1656=1,bp_kode=T1656,T1656&lt;&gt;""),COUNTIF($T$8:T1656,T1656),"")</f>
        <v/>
      </c>
      <c r="V1656" s="34" t="str">
        <f t="shared" si="927"/>
        <v/>
      </c>
      <c r="W1656" s="34" t="str">
        <f t="shared" si="928"/>
        <v/>
      </c>
      <c r="X1656" s="34" t="str">
        <f>IF(B1656="","",COUNTIF($C$8:C1656,C1656)&amp;C1656)</f>
        <v/>
      </c>
    </row>
    <row r="1657" spans="2:24" ht="23.1" customHeight="1">
      <c r="B1657" s="31"/>
      <c r="C1657" s="9"/>
      <c r="D1657" s="9"/>
      <c r="E1657" s="7"/>
      <c r="F1657" s="7"/>
      <c r="G1657" s="7"/>
      <c r="H1657" s="7"/>
      <c r="I1657" s="7"/>
      <c r="J1657" s="39"/>
      <c r="L1657" s="16" t="str">
        <f t="shared" si="919"/>
        <v/>
      </c>
      <c r="M1657" s="16" t="str">
        <f t="shared" si="920"/>
        <v/>
      </c>
      <c r="N1657" s="16" t="str">
        <f t="shared" si="921"/>
        <v/>
      </c>
      <c r="O1657" s="16" t="str">
        <f>IF(N1657="","",COUNTIF($N$8:N1657,N1657))</f>
        <v/>
      </c>
      <c r="P1657" s="34" t="str">
        <f t="shared" si="922"/>
        <v/>
      </c>
      <c r="Q1657" s="34" t="str">
        <f t="shared" si="923"/>
        <v/>
      </c>
      <c r="R1657" s="34" t="str">
        <f t="shared" si="924"/>
        <v/>
      </c>
      <c r="S1657" s="34" t="str">
        <f t="shared" si="925"/>
        <v/>
      </c>
      <c r="T1657" s="34" t="str">
        <f t="shared" si="926"/>
        <v/>
      </c>
      <c r="U1657" s="34" t="str">
        <f>IF(AND(L1657=1,bp_kode=T1657,T1657&lt;&gt;""),COUNTIF($T$8:T1657,T1657),"")</f>
        <v/>
      </c>
      <c r="V1657" s="34" t="str">
        <f t="shared" si="927"/>
        <v/>
      </c>
      <c r="W1657" s="34" t="str">
        <f t="shared" si="928"/>
        <v/>
      </c>
      <c r="X1657" s="34" t="str">
        <f>IF(B1657="","",COUNTIF($C$8:C1657,C1657)&amp;C1657)</f>
        <v/>
      </c>
    </row>
    <row r="1658" spans="2:24" ht="23.1" customHeight="1">
      <c r="B1658" s="31"/>
      <c r="C1658" s="9"/>
      <c r="D1658" s="9"/>
      <c r="E1658" s="7"/>
      <c r="F1658" s="7"/>
      <c r="G1658" s="7"/>
      <c r="H1658" s="7"/>
      <c r="I1658" s="7"/>
      <c r="J1658" s="39"/>
      <c r="L1658" s="16" t="str">
        <f t="shared" si="919"/>
        <v/>
      </c>
      <c r="M1658" s="16" t="str">
        <f t="shared" si="920"/>
        <v/>
      </c>
      <c r="N1658" s="16" t="str">
        <f t="shared" si="921"/>
        <v/>
      </c>
      <c r="O1658" s="16" t="str">
        <f>IF(N1658="","",COUNTIF($N$8:N1658,N1658))</f>
        <v/>
      </c>
      <c r="P1658" s="34" t="str">
        <f t="shared" si="922"/>
        <v/>
      </c>
      <c r="Q1658" s="34" t="str">
        <f t="shared" si="923"/>
        <v/>
      </c>
      <c r="R1658" s="34" t="str">
        <f t="shared" si="924"/>
        <v/>
      </c>
      <c r="S1658" s="34" t="str">
        <f t="shared" si="925"/>
        <v/>
      </c>
      <c r="T1658" s="34" t="str">
        <f t="shared" si="926"/>
        <v/>
      </c>
      <c r="U1658" s="34" t="str">
        <f>IF(AND(L1658=1,bp_kode=T1658,T1658&lt;&gt;""),COUNTIF($T$8:T1658,T1658),"")</f>
        <v/>
      </c>
      <c r="V1658" s="34" t="str">
        <f t="shared" si="927"/>
        <v/>
      </c>
      <c r="W1658" s="34" t="str">
        <f t="shared" si="928"/>
        <v/>
      </c>
      <c r="X1658" s="34" t="str">
        <f>IF(B1658="","",COUNTIF($C$8:C1658,C1658)&amp;C1658)</f>
        <v/>
      </c>
    </row>
    <row r="1659" spans="2:24" ht="23.1" customHeight="1">
      <c r="B1659" s="31"/>
      <c r="C1659" s="9"/>
      <c r="D1659" s="9"/>
      <c r="E1659" s="7"/>
      <c r="F1659" s="7"/>
      <c r="G1659" s="7"/>
      <c r="H1659" s="7"/>
      <c r="I1659" s="7"/>
      <c r="J1659" s="39"/>
      <c r="L1659" s="16" t="str">
        <f t="shared" si="919"/>
        <v/>
      </c>
      <c r="M1659" s="16" t="str">
        <f t="shared" si="920"/>
        <v/>
      </c>
      <c r="N1659" s="16" t="str">
        <f t="shared" si="921"/>
        <v/>
      </c>
      <c r="O1659" s="16" t="str">
        <f>IF(N1659="","",COUNTIF($N$8:N1659,N1659))</f>
        <v/>
      </c>
      <c r="P1659" s="34" t="str">
        <f t="shared" si="922"/>
        <v/>
      </c>
      <c r="Q1659" s="34" t="str">
        <f t="shared" si="923"/>
        <v/>
      </c>
      <c r="R1659" s="34" t="str">
        <f t="shared" si="924"/>
        <v/>
      </c>
      <c r="S1659" s="34" t="str">
        <f t="shared" si="925"/>
        <v/>
      </c>
      <c r="T1659" s="34" t="str">
        <f t="shared" si="926"/>
        <v/>
      </c>
      <c r="U1659" s="34" t="str">
        <f>IF(AND(L1659=1,bp_kode=T1659,T1659&lt;&gt;""),COUNTIF($T$8:T1659,T1659),"")</f>
        <v/>
      </c>
      <c r="V1659" s="34" t="str">
        <f t="shared" si="927"/>
        <v/>
      </c>
      <c r="W1659" s="34" t="str">
        <f t="shared" si="928"/>
        <v/>
      </c>
      <c r="X1659" s="34" t="str">
        <f>IF(B1659="","",COUNTIF($C$8:C1659,C1659)&amp;C1659)</f>
        <v/>
      </c>
    </row>
    <row r="1660" spans="2:24" ht="23.1" customHeight="1">
      <c r="B1660" s="31"/>
      <c r="C1660" s="9"/>
      <c r="D1660" s="9"/>
      <c r="E1660" s="7"/>
      <c r="F1660" s="7"/>
      <c r="G1660" s="7"/>
      <c r="H1660" s="7"/>
      <c r="I1660" s="7"/>
      <c r="J1660" s="39"/>
      <c r="L1660" s="16" t="str">
        <f t="shared" si="919"/>
        <v/>
      </c>
      <c r="M1660" s="16" t="str">
        <f t="shared" si="920"/>
        <v/>
      </c>
      <c r="N1660" s="16" t="str">
        <f t="shared" si="921"/>
        <v/>
      </c>
      <c r="O1660" s="16" t="str">
        <f>IF(N1660="","",COUNTIF($N$8:N1660,N1660))</f>
        <v/>
      </c>
      <c r="P1660" s="34" t="str">
        <f t="shared" si="922"/>
        <v/>
      </c>
      <c r="Q1660" s="34" t="str">
        <f t="shared" si="923"/>
        <v/>
      </c>
      <c r="R1660" s="34" t="str">
        <f t="shared" si="924"/>
        <v/>
      </c>
      <c r="S1660" s="34" t="str">
        <f t="shared" si="925"/>
        <v/>
      </c>
      <c r="T1660" s="34" t="str">
        <f t="shared" si="926"/>
        <v/>
      </c>
      <c r="U1660" s="34" t="str">
        <f>IF(AND(L1660=1,bp_kode=T1660,T1660&lt;&gt;""),COUNTIF($T$8:T1660,T1660),"")</f>
        <v/>
      </c>
      <c r="V1660" s="34" t="str">
        <f t="shared" si="927"/>
        <v/>
      </c>
      <c r="W1660" s="34" t="str">
        <f t="shared" si="928"/>
        <v/>
      </c>
      <c r="X1660" s="34" t="str">
        <f>IF(B1660="","",COUNTIF($C$8:C1660,C1660)&amp;C1660)</f>
        <v/>
      </c>
    </row>
    <row r="1661" spans="2:24" ht="23.1" customHeight="1">
      <c r="B1661" s="31"/>
      <c r="C1661" s="9"/>
      <c r="D1661" s="9"/>
      <c r="E1661" s="7"/>
      <c r="F1661" s="7"/>
      <c r="G1661" s="7"/>
      <c r="H1661" s="7"/>
      <c r="I1661" s="7"/>
      <c r="J1661" s="39"/>
      <c r="L1661" s="16" t="str">
        <f t="shared" si="919"/>
        <v/>
      </c>
      <c r="M1661" s="16" t="str">
        <f t="shared" si="920"/>
        <v/>
      </c>
      <c r="N1661" s="16" t="str">
        <f t="shared" si="921"/>
        <v/>
      </c>
      <c r="O1661" s="16" t="str">
        <f>IF(N1661="","",COUNTIF($N$8:N1661,N1661))</f>
        <v/>
      </c>
      <c r="P1661" s="34" t="str">
        <f t="shared" si="922"/>
        <v/>
      </c>
      <c r="Q1661" s="34" t="str">
        <f t="shared" si="923"/>
        <v/>
      </c>
      <c r="R1661" s="34" t="str">
        <f t="shared" si="924"/>
        <v/>
      </c>
      <c r="S1661" s="34" t="str">
        <f t="shared" si="925"/>
        <v/>
      </c>
      <c r="T1661" s="34" t="str">
        <f t="shared" si="926"/>
        <v/>
      </c>
      <c r="U1661" s="34" t="str">
        <f>IF(AND(L1661=1,bp_kode=T1661,T1661&lt;&gt;""),COUNTIF($T$8:T1661,T1661),"")</f>
        <v/>
      </c>
      <c r="V1661" s="34" t="str">
        <f t="shared" si="927"/>
        <v/>
      </c>
      <c r="W1661" s="34" t="str">
        <f t="shared" si="928"/>
        <v/>
      </c>
      <c r="X1661" s="34" t="str">
        <f>IF(B1661="","",COUNTIF($C$8:C1661,C1661)&amp;C1661)</f>
        <v/>
      </c>
    </row>
    <row r="1662" spans="2:24" ht="23.1" customHeight="1">
      <c r="B1662" s="31"/>
      <c r="C1662" s="9"/>
      <c r="D1662" s="9"/>
      <c r="E1662" s="7"/>
      <c r="F1662" s="7"/>
      <c r="G1662" s="7"/>
      <c r="H1662" s="7"/>
      <c r="I1662" s="7"/>
      <c r="J1662" s="39"/>
      <c r="L1662" s="16" t="str">
        <f t="shared" si="919"/>
        <v/>
      </c>
      <c r="M1662" s="16" t="str">
        <f t="shared" si="920"/>
        <v/>
      </c>
      <c r="N1662" s="16" t="str">
        <f t="shared" si="921"/>
        <v/>
      </c>
      <c r="O1662" s="16" t="str">
        <f>IF(N1662="","",COUNTIF($N$8:N1662,N1662))</f>
        <v/>
      </c>
      <c r="P1662" s="34" t="str">
        <f t="shared" si="922"/>
        <v/>
      </c>
      <c r="Q1662" s="34" t="str">
        <f t="shared" si="923"/>
        <v/>
      </c>
      <c r="R1662" s="34" t="str">
        <f t="shared" si="924"/>
        <v/>
      </c>
      <c r="S1662" s="34" t="str">
        <f t="shared" si="925"/>
        <v/>
      </c>
      <c r="T1662" s="34" t="str">
        <f t="shared" si="926"/>
        <v/>
      </c>
      <c r="U1662" s="34" t="str">
        <f>IF(AND(L1662=1,bp_kode=T1662,T1662&lt;&gt;""),COUNTIF($T$8:T1662,T1662),"")</f>
        <v/>
      </c>
      <c r="V1662" s="34" t="str">
        <f t="shared" si="927"/>
        <v/>
      </c>
      <c r="W1662" s="34" t="str">
        <f t="shared" si="928"/>
        <v/>
      </c>
      <c r="X1662" s="34" t="str">
        <f>IF(B1662="","",COUNTIF($C$8:C1662,C1662)&amp;C1662)</f>
        <v/>
      </c>
    </row>
    <row r="1663" spans="2:24" ht="23.1" customHeight="1">
      <c r="B1663" s="31"/>
      <c r="C1663" s="9"/>
      <c r="D1663" s="9"/>
      <c r="E1663" s="7"/>
      <c r="F1663" s="7"/>
      <c r="G1663" s="7"/>
      <c r="H1663" s="7"/>
      <c r="I1663" s="7"/>
      <c r="J1663" s="39"/>
      <c r="L1663" s="16" t="str">
        <f t="shared" si="919"/>
        <v/>
      </c>
      <c r="M1663" s="16" t="str">
        <f t="shared" si="920"/>
        <v/>
      </c>
      <c r="N1663" s="16" t="str">
        <f t="shared" si="921"/>
        <v/>
      </c>
      <c r="O1663" s="16" t="str">
        <f>IF(N1663="","",COUNTIF($N$8:N1663,N1663))</f>
        <v/>
      </c>
      <c r="P1663" s="34" t="str">
        <f t="shared" si="922"/>
        <v/>
      </c>
      <c r="Q1663" s="34" t="str">
        <f t="shared" si="923"/>
        <v/>
      </c>
      <c r="R1663" s="34" t="str">
        <f t="shared" si="924"/>
        <v/>
      </c>
      <c r="S1663" s="34" t="str">
        <f t="shared" si="925"/>
        <v/>
      </c>
      <c r="T1663" s="34" t="str">
        <f t="shared" si="926"/>
        <v/>
      </c>
      <c r="U1663" s="34" t="str">
        <f>IF(AND(L1663=1,bp_kode=T1663,T1663&lt;&gt;""),COUNTIF($T$8:T1663,T1663),"")</f>
        <v/>
      </c>
      <c r="V1663" s="34" t="str">
        <f t="shared" si="927"/>
        <v/>
      </c>
      <c r="W1663" s="34" t="str">
        <f t="shared" si="928"/>
        <v/>
      </c>
      <c r="X1663" s="34" t="str">
        <f>IF(B1663="","",COUNTIF($C$8:C1663,C1663)&amp;C1663)</f>
        <v/>
      </c>
    </row>
    <row r="1664" spans="2:24" ht="23.1" customHeight="1">
      <c r="B1664" s="31"/>
      <c r="C1664" s="9"/>
      <c r="D1664" s="9"/>
      <c r="E1664" s="7"/>
      <c r="F1664" s="7"/>
      <c r="G1664" s="7"/>
      <c r="H1664" s="7"/>
      <c r="I1664" s="7"/>
      <c r="J1664" s="39"/>
      <c r="L1664" s="16" t="str">
        <f t="shared" si="919"/>
        <v/>
      </c>
      <c r="M1664" s="16" t="str">
        <f t="shared" si="920"/>
        <v/>
      </c>
      <c r="N1664" s="16" t="str">
        <f t="shared" si="921"/>
        <v/>
      </c>
      <c r="O1664" s="16" t="str">
        <f>IF(N1664="","",COUNTIF($N$8:N1664,N1664))</f>
        <v/>
      </c>
      <c r="P1664" s="34" t="str">
        <f t="shared" si="922"/>
        <v/>
      </c>
      <c r="Q1664" s="34" t="str">
        <f t="shared" si="923"/>
        <v/>
      </c>
      <c r="R1664" s="34" t="str">
        <f t="shared" si="924"/>
        <v/>
      </c>
      <c r="S1664" s="34" t="str">
        <f t="shared" si="925"/>
        <v/>
      </c>
      <c r="T1664" s="34" t="str">
        <f t="shared" si="926"/>
        <v/>
      </c>
      <c r="U1664" s="34" t="str">
        <f>IF(AND(L1664=1,bp_kode=T1664,T1664&lt;&gt;""),COUNTIF($T$8:T1664,T1664),"")</f>
        <v/>
      </c>
      <c r="V1664" s="34" t="str">
        <f t="shared" si="927"/>
        <v/>
      </c>
      <c r="W1664" s="34" t="str">
        <f t="shared" si="928"/>
        <v/>
      </c>
      <c r="X1664" s="34" t="str">
        <f>IF(B1664="","",COUNTIF($C$8:C1664,C1664)&amp;C1664)</f>
        <v/>
      </c>
    </row>
    <row r="1665" spans="2:24" ht="23.1" customHeight="1">
      <c r="B1665" s="31"/>
      <c r="C1665" s="9"/>
      <c r="D1665" s="9"/>
      <c r="E1665" s="7"/>
      <c r="F1665" s="7"/>
      <c r="G1665" s="7"/>
      <c r="H1665" s="7"/>
      <c r="I1665" s="7"/>
      <c r="J1665" s="39"/>
      <c r="L1665" s="16" t="str">
        <f t="shared" si="919"/>
        <v/>
      </c>
      <c r="M1665" s="16" t="str">
        <f t="shared" si="920"/>
        <v/>
      </c>
      <c r="N1665" s="16" t="str">
        <f t="shared" si="921"/>
        <v/>
      </c>
      <c r="O1665" s="16" t="str">
        <f>IF(N1665="","",COUNTIF($N$8:N1665,N1665))</f>
        <v/>
      </c>
      <c r="P1665" s="34" t="str">
        <f t="shared" si="922"/>
        <v/>
      </c>
      <c r="Q1665" s="34" t="str">
        <f t="shared" si="923"/>
        <v/>
      </c>
      <c r="R1665" s="34" t="str">
        <f t="shared" si="924"/>
        <v/>
      </c>
      <c r="S1665" s="34" t="str">
        <f t="shared" si="925"/>
        <v/>
      </c>
      <c r="T1665" s="34" t="str">
        <f t="shared" si="926"/>
        <v/>
      </c>
      <c r="U1665" s="34" t="str">
        <f>IF(AND(L1665=1,bp_kode=T1665,T1665&lt;&gt;""),COUNTIF($T$8:T1665,T1665),"")</f>
        <v/>
      </c>
      <c r="V1665" s="34" t="str">
        <f t="shared" si="927"/>
        <v/>
      </c>
      <c r="W1665" s="34" t="str">
        <f t="shared" si="928"/>
        <v/>
      </c>
      <c r="X1665" s="34" t="str">
        <f>IF(B1665="","",COUNTIF($C$8:C1665,C1665)&amp;C1665)</f>
        <v/>
      </c>
    </row>
    <row r="1666" spans="2:24" ht="23.1" customHeight="1">
      <c r="B1666" s="31"/>
      <c r="C1666" s="9"/>
      <c r="D1666" s="9"/>
      <c r="E1666" s="7"/>
      <c r="F1666" s="7"/>
      <c r="G1666" s="7"/>
      <c r="H1666" s="7"/>
      <c r="I1666" s="7"/>
      <c r="J1666" s="39"/>
      <c r="L1666" s="16" t="str">
        <f t="shared" si="919"/>
        <v/>
      </c>
      <c r="M1666" s="16" t="str">
        <f t="shared" si="920"/>
        <v/>
      </c>
      <c r="N1666" s="16" t="str">
        <f t="shared" si="921"/>
        <v/>
      </c>
      <c r="O1666" s="16" t="str">
        <f>IF(N1666="","",COUNTIF($N$8:N1666,N1666))</f>
        <v/>
      </c>
      <c r="P1666" s="34" t="str">
        <f t="shared" si="922"/>
        <v/>
      </c>
      <c r="Q1666" s="34" t="str">
        <f t="shared" si="923"/>
        <v/>
      </c>
      <c r="R1666" s="34" t="str">
        <f t="shared" si="924"/>
        <v/>
      </c>
      <c r="S1666" s="34" t="str">
        <f t="shared" si="925"/>
        <v/>
      </c>
      <c r="T1666" s="34" t="str">
        <f t="shared" si="926"/>
        <v/>
      </c>
      <c r="U1666" s="34" t="str">
        <f>IF(AND(L1666=1,bp_kode=T1666,T1666&lt;&gt;""),COUNTIF($T$8:T1666,T1666),"")</f>
        <v/>
      </c>
      <c r="V1666" s="34" t="str">
        <f t="shared" si="927"/>
        <v/>
      </c>
      <c r="W1666" s="34" t="str">
        <f t="shared" si="928"/>
        <v/>
      </c>
      <c r="X1666" s="34" t="str">
        <f>IF(B1666="","",COUNTIF($C$8:C1666,C1666)&amp;C1666)</f>
        <v/>
      </c>
    </row>
    <row r="1667" spans="2:24" ht="23.1" customHeight="1">
      <c r="B1667" s="31"/>
      <c r="C1667" s="9"/>
      <c r="D1667" s="9"/>
      <c r="E1667" s="7"/>
      <c r="F1667" s="7"/>
      <c r="G1667" s="7"/>
      <c r="H1667" s="7"/>
      <c r="I1667" s="7"/>
      <c r="J1667" s="39"/>
      <c r="L1667" s="16" t="str">
        <f t="shared" si="919"/>
        <v/>
      </c>
      <c r="M1667" s="16" t="str">
        <f t="shared" si="920"/>
        <v/>
      </c>
      <c r="N1667" s="16" t="str">
        <f t="shared" si="921"/>
        <v/>
      </c>
      <c r="O1667" s="16" t="str">
        <f>IF(N1667="","",COUNTIF($N$8:N1667,N1667))</f>
        <v/>
      </c>
      <c r="P1667" s="34" t="str">
        <f t="shared" si="922"/>
        <v/>
      </c>
      <c r="Q1667" s="34" t="str">
        <f t="shared" si="923"/>
        <v/>
      </c>
      <c r="R1667" s="34" t="str">
        <f t="shared" si="924"/>
        <v/>
      </c>
      <c r="S1667" s="34" t="str">
        <f t="shared" si="925"/>
        <v/>
      </c>
      <c r="T1667" s="34" t="str">
        <f t="shared" si="926"/>
        <v/>
      </c>
      <c r="U1667" s="34" t="str">
        <f>IF(AND(L1667=1,bp_kode=T1667,T1667&lt;&gt;""),COUNTIF($T$8:T1667,T1667),"")</f>
        <v/>
      </c>
      <c r="V1667" s="34" t="str">
        <f t="shared" si="927"/>
        <v/>
      </c>
      <c r="W1667" s="34" t="str">
        <f t="shared" si="928"/>
        <v/>
      </c>
      <c r="X1667" s="34" t="str">
        <f>IF(B1667="","",COUNTIF($C$8:C1667,C1667)&amp;C1667)</f>
        <v/>
      </c>
    </row>
    <row r="1668" spans="2:24" ht="23.1" customHeight="1">
      <c r="B1668" s="31"/>
      <c r="C1668" s="9"/>
      <c r="D1668" s="9"/>
      <c r="E1668" s="7"/>
      <c r="F1668" s="7"/>
      <c r="G1668" s="7"/>
      <c r="H1668" s="7"/>
      <c r="I1668" s="7"/>
      <c r="J1668" s="39"/>
      <c r="L1668" s="16" t="str">
        <f t="shared" si="919"/>
        <v/>
      </c>
      <c r="M1668" s="16" t="str">
        <f t="shared" si="920"/>
        <v/>
      </c>
      <c r="N1668" s="16" t="str">
        <f t="shared" si="921"/>
        <v/>
      </c>
      <c r="O1668" s="16" t="str">
        <f>IF(N1668="","",COUNTIF($N$8:N1668,N1668))</f>
        <v/>
      </c>
      <c r="P1668" s="34" t="str">
        <f t="shared" si="922"/>
        <v/>
      </c>
      <c r="Q1668" s="34" t="str">
        <f t="shared" si="923"/>
        <v/>
      </c>
      <c r="R1668" s="34" t="str">
        <f t="shared" si="924"/>
        <v/>
      </c>
      <c r="S1668" s="34" t="str">
        <f t="shared" si="925"/>
        <v/>
      </c>
      <c r="T1668" s="34" t="str">
        <f t="shared" si="926"/>
        <v/>
      </c>
      <c r="U1668" s="34" t="str">
        <f>IF(AND(L1668=1,bp_kode=T1668,T1668&lt;&gt;""),COUNTIF($T$8:T1668,T1668),"")</f>
        <v/>
      </c>
      <c r="V1668" s="34" t="str">
        <f t="shared" si="927"/>
        <v/>
      </c>
      <c r="W1668" s="34" t="str">
        <f t="shared" si="928"/>
        <v/>
      </c>
      <c r="X1668" s="34" t="str">
        <f>IF(B1668="","",COUNTIF($C$8:C1668,C1668)&amp;C1668)</f>
        <v/>
      </c>
    </row>
    <row r="1669" spans="2:24" ht="23.1" customHeight="1">
      <c r="B1669" s="31"/>
      <c r="C1669" s="9"/>
      <c r="D1669" s="9"/>
      <c r="E1669" s="7"/>
      <c r="F1669" s="7"/>
      <c r="G1669" s="7"/>
      <c r="H1669" s="7"/>
      <c r="I1669" s="7"/>
      <c r="J1669" s="39"/>
      <c r="L1669" s="16" t="str">
        <f t="shared" si="919"/>
        <v/>
      </c>
      <c r="M1669" s="16" t="str">
        <f t="shared" si="920"/>
        <v/>
      </c>
      <c r="N1669" s="16" t="str">
        <f t="shared" si="921"/>
        <v/>
      </c>
      <c r="O1669" s="16" t="str">
        <f>IF(N1669="","",COUNTIF($N$8:N1669,N1669))</f>
        <v/>
      </c>
      <c r="P1669" s="34" t="str">
        <f t="shared" si="922"/>
        <v/>
      </c>
      <c r="Q1669" s="34" t="str">
        <f t="shared" si="923"/>
        <v/>
      </c>
      <c r="R1669" s="34" t="str">
        <f t="shared" si="924"/>
        <v/>
      </c>
      <c r="S1669" s="34" t="str">
        <f t="shared" si="925"/>
        <v/>
      </c>
      <c r="T1669" s="34" t="str">
        <f t="shared" si="926"/>
        <v/>
      </c>
      <c r="U1669" s="34" t="str">
        <f>IF(AND(L1669=1,bp_kode=T1669,T1669&lt;&gt;""),COUNTIF($T$8:T1669,T1669),"")</f>
        <v/>
      </c>
      <c r="V1669" s="34" t="str">
        <f t="shared" si="927"/>
        <v/>
      </c>
      <c r="W1669" s="34" t="str">
        <f t="shared" si="928"/>
        <v/>
      </c>
      <c r="X1669" s="34" t="str">
        <f>IF(B1669="","",COUNTIF($C$8:C1669,C1669)&amp;C1669)</f>
        <v/>
      </c>
    </row>
    <row r="1670" spans="2:24" ht="23.1" customHeight="1">
      <c r="B1670" s="31"/>
      <c r="C1670" s="9"/>
      <c r="D1670" s="9"/>
      <c r="E1670" s="7"/>
      <c r="F1670" s="7"/>
      <c r="G1670" s="7"/>
      <c r="H1670" s="7"/>
      <c r="I1670" s="7"/>
      <c r="J1670" s="39"/>
      <c r="L1670" s="16" t="str">
        <f t="shared" si="919"/>
        <v/>
      </c>
      <c r="M1670" s="16" t="str">
        <f t="shared" si="920"/>
        <v/>
      </c>
      <c r="N1670" s="16" t="str">
        <f t="shared" si="921"/>
        <v/>
      </c>
      <c r="O1670" s="16" t="str">
        <f>IF(N1670="","",COUNTIF($N$8:N1670,N1670))</f>
        <v/>
      </c>
      <c r="P1670" s="34" t="str">
        <f t="shared" si="922"/>
        <v/>
      </c>
      <c r="Q1670" s="34" t="str">
        <f t="shared" si="923"/>
        <v/>
      </c>
      <c r="R1670" s="34" t="str">
        <f t="shared" si="924"/>
        <v/>
      </c>
      <c r="S1670" s="34" t="str">
        <f t="shared" si="925"/>
        <v/>
      </c>
      <c r="T1670" s="34" t="str">
        <f t="shared" si="926"/>
        <v/>
      </c>
      <c r="U1670" s="34" t="str">
        <f>IF(AND(L1670=1,bp_kode=T1670,T1670&lt;&gt;""),COUNTIF($T$8:T1670,T1670),"")</f>
        <v/>
      </c>
      <c r="V1670" s="34" t="str">
        <f t="shared" si="927"/>
        <v/>
      </c>
      <c r="W1670" s="34" t="str">
        <f t="shared" si="928"/>
        <v/>
      </c>
      <c r="X1670" s="34" t="str">
        <f>IF(B1670="","",COUNTIF($C$8:C1670,C1670)&amp;C1670)</f>
        <v/>
      </c>
    </row>
    <row r="1671" spans="2:24" ht="23.1" customHeight="1">
      <c r="B1671" s="31"/>
      <c r="C1671" s="9"/>
      <c r="D1671" s="9"/>
      <c r="E1671" s="7"/>
      <c r="F1671" s="7"/>
      <c r="G1671" s="7"/>
      <c r="H1671" s="7"/>
      <c r="I1671" s="7"/>
      <c r="J1671" s="39"/>
      <c r="L1671" s="16" t="str">
        <f t="shared" si="919"/>
        <v/>
      </c>
      <c r="M1671" s="16" t="str">
        <f t="shared" si="920"/>
        <v/>
      </c>
      <c r="N1671" s="16" t="str">
        <f t="shared" si="921"/>
        <v/>
      </c>
      <c r="O1671" s="16" t="str">
        <f>IF(N1671="","",COUNTIF($N$8:N1671,N1671))</f>
        <v/>
      </c>
      <c r="P1671" s="34" t="str">
        <f t="shared" si="922"/>
        <v/>
      </c>
      <c r="Q1671" s="34" t="str">
        <f t="shared" si="923"/>
        <v/>
      </c>
      <c r="R1671" s="34" t="str">
        <f t="shared" si="924"/>
        <v/>
      </c>
      <c r="S1671" s="34" t="str">
        <f t="shared" si="925"/>
        <v/>
      </c>
      <c r="T1671" s="34" t="str">
        <f t="shared" si="926"/>
        <v/>
      </c>
      <c r="U1671" s="34" t="str">
        <f>IF(AND(L1671=1,bp_kode=T1671,T1671&lt;&gt;""),COUNTIF($T$8:T1671,T1671),"")</f>
        <v/>
      </c>
      <c r="V1671" s="34" t="str">
        <f t="shared" si="927"/>
        <v/>
      </c>
      <c r="W1671" s="34" t="str">
        <f t="shared" si="928"/>
        <v/>
      </c>
      <c r="X1671" s="34" t="str">
        <f>IF(B1671="","",COUNTIF($C$8:C1671,C1671)&amp;C1671)</f>
        <v/>
      </c>
    </row>
    <row r="1672" spans="2:24" ht="23.1" customHeight="1">
      <c r="B1672" s="31"/>
      <c r="C1672" s="9"/>
      <c r="D1672" s="9"/>
      <c r="E1672" s="7"/>
      <c r="F1672" s="7"/>
      <c r="G1672" s="7"/>
      <c r="H1672" s="7"/>
      <c r="I1672" s="7"/>
      <c r="J1672" s="39"/>
      <c r="L1672" s="16" t="str">
        <f t="shared" si="919"/>
        <v/>
      </c>
      <c r="M1672" s="16" t="str">
        <f t="shared" si="920"/>
        <v/>
      </c>
      <c r="N1672" s="16" t="str">
        <f t="shared" si="921"/>
        <v/>
      </c>
      <c r="O1672" s="16" t="str">
        <f>IF(N1672="","",COUNTIF($N$8:N1672,N1672))</f>
        <v/>
      </c>
      <c r="P1672" s="34" t="str">
        <f t="shared" si="922"/>
        <v/>
      </c>
      <c r="Q1672" s="34" t="str">
        <f t="shared" si="923"/>
        <v/>
      </c>
      <c r="R1672" s="34" t="str">
        <f t="shared" si="924"/>
        <v/>
      </c>
      <c r="S1672" s="34" t="str">
        <f t="shared" si="925"/>
        <v/>
      </c>
      <c r="T1672" s="34" t="str">
        <f t="shared" si="926"/>
        <v/>
      </c>
      <c r="U1672" s="34" t="str">
        <f>IF(AND(L1672=1,bp_kode=T1672,T1672&lt;&gt;""),COUNTIF($T$8:T1672,T1672),"")</f>
        <v/>
      </c>
      <c r="V1672" s="34" t="str">
        <f t="shared" si="927"/>
        <v/>
      </c>
      <c r="W1672" s="34" t="str">
        <f t="shared" si="928"/>
        <v/>
      </c>
      <c r="X1672" s="34" t="str">
        <f>IF(B1672="","",COUNTIF($C$8:C1672,C1672)&amp;C1672)</f>
        <v/>
      </c>
    </row>
    <row r="1673" spans="2:24" ht="23.1" customHeight="1">
      <c r="B1673" s="31"/>
      <c r="C1673" s="9"/>
      <c r="D1673" s="9"/>
      <c r="E1673" s="7"/>
      <c r="F1673" s="7"/>
      <c r="G1673" s="7"/>
      <c r="H1673" s="7"/>
      <c r="I1673" s="7"/>
      <c r="J1673" s="39"/>
      <c r="L1673" s="16" t="str">
        <f t="shared" si="919"/>
        <v/>
      </c>
      <c r="M1673" s="16" t="str">
        <f t="shared" si="920"/>
        <v/>
      </c>
      <c r="N1673" s="16" t="str">
        <f t="shared" si="921"/>
        <v/>
      </c>
      <c r="O1673" s="16" t="str">
        <f>IF(N1673="","",COUNTIF($N$8:N1673,N1673))</f>
        <v/>
      </c>
      <c r="P1673" s="34" t="str">
        <f t="shared" si="922"/>
        <v/>
      </c>
      <c r="Q1673" s="34" t="str">
        <f t="shared" si="923"/>
        <v/>
      </c>
      <c r="R1673" s="34" t="str">
        <f t="shared" si="924"/>
        <v/>
      </c>
      <c r="S1673" s="34" t="str">
        <f t="shared" si="925"/>
        <v/>
      </c>
      <c r="T1673" s="34" t="str">
        <f t="shared" si="926"/>
        <v/>
      </c>
      <c r="U1673" s="34" t="str">
        <f>IF(AND(L1673=1,bp_kode=T1673,T1673&lt;&gt;""),COUNTIF($T$8:T1673,T1673),"")</f>
        <v/>
      </c>
      <c r="V1673" s="34" t="str">
        <f t="shared" si="927"/>
        <v/>
      </c>
      <c r="W1673" s="34" t="str">
        <f t="shared" si="928"/>
        <v/>
      </c>
      <c r="X1673" s="34" t="str">
        <f>IF(B1673="","",COUNTIF($C$8:C1673,C1673)&amp;C1673)</f>
        <v/>
      </c>
    </row>
    <row r="1674" spans="2:24" ht="23.1" customHeight="1">
      <c r="B1674" s="31"/>
      <c r="C1674" s="9"/>
      <c r="D1674" s="9"/>
      <c r="E1674" s="7"/>
      <c r="F1674" s="7"/>
      <c r="G1674" s="7"/>
      <c r="H1674" s="7"/>
      <c r="I1674" s="7"/>
      <c r="J1674" s="39"/>
      <c r="L1674" s="16" t="str">
        <f t="shared" si="919"/>
        <v/>
      </c>
      <c r="M1674" s="16" t="str">
        <f t="shared" si="920"/>
        <v/>
      </c>
      <c r="N1674" s="16" t="str">
        <f t="shared" si="921"/>
        <v/>
      </c>
      <c r="O1674" s="16" t="str">
        <f>IF(N1674="","",COUNTIF($N$8:N1674,N1674))</f>
        <v/>
      </c>
      <c r="P1674" s="34" t="str">
        <f t="shared" si="922"/>
        <v/>
      </c>
      <c r="Q1674" s="34" t="str">
        <f t="shared" si="923"/>
        <v/>
      </c>
      <c r="R1674" s="34" t="str">
        <f t="shared" si="924"/>
        <v/>
      </c>
      <c r="S1674" s="34" t="str">
        <f t="shared" si="925"/>
        <v/>
      </c>
      <c r="T1674" s="34" t="str">
        <f t="shared" si="926"/>
        <v/>
      </c>
      <c r="U1674" s="34" t="str">
        <f>IF(AND(L1674=1,bp_kode=T1674,T1674&lt;&gt;""),COUNTIF($T$8:T1674,T1674),"")</f>
        <v/>
      </c>
      <c r="V1674" s="34" t="str">
        <f t="shared" si="927"/>
        <v/>
      </c>
      <c r="W1674" s="34" t="str">
        <f t="shared" si="928"/>
        <v/>
      </c>
      <c r="X1674" s="34" t="str">
        <f>IF(B1674="","",COUNTIF($C$8:C1674,C1674)&amp;C1674)</f>
        <v/>
      </c>
    </row>
    <row r="1675" spans="2:24" ht="23.1" customHeight="1">
      <c r="B1675" s="31"/>
      <c r="C1675" s="9"/>
      <c r="D1675" s="9"/>
      <c r="E1675" s="7"/>
      <c r="F1675" s="7"/>
      <c r="G1675" s="7"/>
      <c r="H1675" s="7"/>
      <c r="I1675" s="7"/>
      <c r="J1675" s="39"/>
      <c r="L1675" s="16" t="str">
        <f t="shared" si="919"/>
        <v/>
      </c>
      <c r="M1675" s="16" t="str">
        <f t="shared" si="920"/>
        <v/>
      </c>
      <c r="N1675" s="16" t="str">
        <f t="shared" si="921"/>
        <v/>
      </c>
      <c r="O1675" s="16" t="str">
        <f>IF(N1675="","",COUNTIF($N$8:N1675,N1675))</f>
        <v/>
      </c>
      <c r="P1675" s="34" t="str">
        <f t="shared" si="922"/>
        <v/>
      </c>
      <c r="Q1675" s="34" t="str">
        <f t="shared" si="923"/>
        <v/>
      </c>
      <c r="R1675" s="34" t="str">
        <f t="shared" si="924"/>
        <v/>
      </c>
      <c r="S1675" s="34" t="str">
        <f t="shared" si="925"/>
        <v/>
      </c>
      <c r="T1675" s="34" t="str">
        <f t="shared" si="926"/>
        <v/>
      </c>
      <c r="U1675" s="34" t="str">
        <f>IF(AND(L1675=1,bp_kode=T1675,T1675&lt;&gt;""),COUNTIF($T$8:T1675,T1675),"")</f>
        <v/>
      </c>
      <c r="V1675" s="34" t="str">
        <f t="shared" si="927"/>
        <v/>
      </c>
      <c r="W1675" s="34" t="str">
        <f t="shared" si="928"/>
        <v/>
      </c>
      <c r="X1675" s="34" t="str">
        <f>IF(B1675="","",COUNTIF($C$8:C1675,C1675)&amp;C1675)</f>
        <v/>
      </c>
    </row>
    <row r="1676" spans="2:24" ht="23.1" customHeight="1">
      <c r="B1676" s="31"/>
      <c r="C1676" s="9"/>
      <c r="D1676" s="9"/>
      <c r="E1676" s="7"/>
      <c r="F1676" s="7"/>
      <c r="G1676" s="7"/>
      <c r="H1676" s="7"/>
      <c r="I1676" s="7"/>
      <c r="J1676" s="39"/>
      <c r="L1676" s="16" t="str">
        <f t="shared" si="919"/>
        <v/>
      </c>
      <c r="M1676" s="16" t="str">
        <f t="shared" si="920"/>
        <v/>
      </c>
      <c r="N1676" s="16" t="str">
        <f t="shared" si="921"/>
        <v/>
      </c>
      <c r="O1676" s="16" t="str">
        <f>IF(N1676="","",COUNTIF($N$8:N1676,N1676))</f>
        <v/>
      </c>
      <c r="P1676" s="34" t="str">
        <f t="shared" si="922"/>
        <v/>
      </c>
      <c r="Q1676" s="34" t="str">
        <f t="shared" si="923"/>
        <v/>
      </c>
      <c r="R1676" s="34" t="str">
        <f t="shared" si="924"/>
        <v/>
      </c>
      <c r="S1676" s="34" t="str">
        <f t="shared" si="925"/>
        <v/>
      </c>
      <c r="T1676" s="34" t="str">
        <f t="shared" si="926"/>
        <v/>
      </c>
      <c r="U1676" s="34" t="str">
        <f>IF(AND(L1676=1,bp_kode=T1676,T1676&lt;&gt;""),COUNTIF($T$8:T1676,T1676),"")</f>
        <v/>
      </c>
      <c r="V1676" s="34" t="str">
        <f t="shared" si="927"/>
        <v/>
      </c>
      <c r="W1676" s="34" t="str">
        <f t="shared" si="928"/>
        <v/>
      </c>
      <c r="X1676" s="34" t="str">
        <f>IF(B1676="","",COUNTIF($C$8:C1676,C1676)&amp;C1676)</f>
        <v/>
      </c>
    </row>
    <row r="1677" spans="2:24" ht="23.1" customHeight="1">
      <c r="B1677" s="31"/>
      <c r="C1677" s="9"/>
      <c r="D1677" s="9"/>
      <c r="E1677" s="7"/>
      <c r="F1677" s="7"/>
      <c r="G1677" s="7"/>
      <c r="H1677" s="7"/>
      <c r="I1677" s="7"/>
      <c r="J1677" s="39"/>
      <c r="L1677" s="16" t="str">
        <f t="shared" si="919"/>
        <v/>
      </c>
      <c r="M1677" s="16" t="str">
        <f t="shared" si="920"/>
        <v/>
      </c>
      <c r="N1677" s="16" t="str">
        <f t="shared" si="921"/>
        <v/>
      </c>
      <c r="O1677" s="16" t="str">
        <f>IF(N1677="","",COUNTIF($N$8:N1677,N1677))</f>
        <v/>
      </c>
      <c r="P1677" s="34" t="str">
        <f t="shared" si="922"/>
        <v/>
      </c>
      <c r="Q1677" s="34" t="str">
        <f t="shared" si="923"/>
        <v/>
      </c>
      <c r="R1677" s="34" t="str">
        <f t="shared" si="924"/>
        <v/>
      </c>
      <c r="S1677" s="34" t="str">
        <f t="shared" si="925"/>
        <v/>
      </c>
      <c r="T1677" s="34" t="str">
        <f t="shared" si="926"/>
        <v/>
      </c>
      <c r="U1677" s="34" t="str">
        <f>IF(AND(L1677=1,bp_kode=T1677,T1677&lt;&gt;""),COUNTIF($T$8:T1677,T1677),"")</f>
        <v/>
      </c>
      <c r="V1677" s="34" t="str">
        <f t="shared" si="927"/>
        <v/>
      </c>
      <c r="W1677" s="34" t="str">
        <f t="shared" si="928"/>
        <v/>
      </c>
      <c r="X1677" s="34" t="str">
        <f>IF(B1677="","",COUNTIF($C$8:C1677,C1677)&amp;C1677)</f>
        <v/>
      </c>
    </row>
    <row r="1678" spans="2:24" ht="23.1" customHeight="1">
      <c r="B1678" s="31"/>
      <c r="C1678" s="9"/>
      <c r="D1678" s="9"/>
      <c r="E1678" s="7"/>
      <c r="F1678" s="7"/>
      <c r="G1678" s="7"/>
      <c r="H1678" s="7"/>
      <c r="I1678" s="7"/>
      <c r="J1678" s="39"/>
      <c r="L1678" s="16" t="str">
        <f t="shared" si="919"/>
        <v/>
      </c>
      <c r="M1678" s="16" t="str">
        <f t="shared" si="920"/>
        <v/>
      </c>
      <c r="N1678" s="16" t="str">
        <f t="shared" si="921"/>
        <v/>
      </c>
      <c r="O1678" s="16" t="str">
        <f>IF(N1678="","",COUNTIF($N$8:N1678,N1678))</f>
        <v/>
      </c>
      <c r="P1678" s="34" t="str">
        <f t="shared" si="922"/>
        <v/>
      </c>
      <c r="Q1678" s="34" t="str">
        <f t="shared" si="923"/>
        <v/>
      </c>
      <c r="R1678" s="34" t="str">
        <f t="shared" si="924"/>
        <v/>
      </c>
      <c r="S1678" s="34" t="str">
        <f t="shared" si="925"/>
        <v/>
      </c>
      <c r="T1678" s="34" t="str">
        <f t="shared" si="926"/>
        <v/>
      </c>
      <c r="U1678" s="34" t="str">
        <f>IF(AND(L1678=1,bp_kode=T1678,T1678&lt;&gt;""),COUNTIF($T$8:T1678,T1678),"")</f>
        <v/>
      </c>
      <c r="V1678" s="34" t="str">
        <f t="shared" si="927"/>
        <v/>
      </c>
      <c r="W1678" s="34" t="str">
        <f t="shared" si="928"/>
        <v/>
      </c>
      <c r="X1678" s="34" t="str">
        <f>IF(B1678="","",COUNTIF($C$8:C1678,C1678)&amp;C1678)</f>
        <v/>
      </c>
    </row>
    <row r="1679" spans="2:24" ht="23.1" customHeight="1">
      <c r="B1679" s="31"/>
      <c r="C1679" s="9"/>
      <c r="D1679" s="9"/>
      <c r="E1679" s="7"/>
      <c r="F1679" s="7"/>
      <c r="G1679" s="7"/>
      <c r="H1679" s="7"/>
      <c r="I1679" s="7"/>
      <c r="J1679" s="39"/>
      <c r="L1679" s="16" t="str">
        <f t="shared" si="919"/>
        <v/>
      </c>
      <c r="M1679" s="16" t="str">
        <f t="shared" si="920"/>
        <v/>
      </c>
      <c r="N1679" s="16" t="str">
        <f t="shared" si="921"/>
        <v/>
      </c>
      <c r="O1679" s="16" t="str">
        <f>IF(N1679="","",COUNTIF($N$8:N1679,N1679))</f>
        <v/>
      </c>
      <c r="P1679" s="34" t="str">
        <f t="shared" si="922"/>
        <v/>
      </c>
      <c r="Q1679" s="34" t="str">
        <f t="shared" si="923"/>
        <v/>
      </c>
      <c r="R1679" s="34" t="str">
        <f t="shared" si="924"/>
        <v/>
      </c>
      <c r="S1679" s="34" t="str">
        <f t="shared" si="925"/>
        <v/>
      </c>
      <c r="T1679" s="34" t="str">
        <f t="shared" si="926"/>
        <v/>
      </c>
      <c r="U1679" s="34" t="str">
        <f>IF(AND(L1679=1,bp_kode=T1679,T1679&lt;&gt;""),COUNTIF($T$8:T1679,T1679),"")</f>
        <v/>
      </c>
      <c r="V1679" s="34" t="str">
        <f t="shared" si="927"/>
        <v/>
      </c>
      <c r="W1679" s="34" t="str">
        <f t="shared" si="928"/>
        <v/>
      </c>
      <c r="X1679" s="34" t="str">
        <f>IF(B1679="","",COUNTIF($C$8:C1679,C1679)&amp;C1679)</f>
        <v/>
      </c>
    </row>
    <row r="1680" spans="2:24" ht="23.1" customHeight="1">
      <c r="B1680" s="31"/>
      <c r="C1680" s="9"/>
      <c r="D1680" s="9"/>
      <c r="E1680" s="7"/>
      <c r="F1680" s="7"/>
      <c r="G1680" s="7"/>
      <c r="H1680" s="7"/>
      <c r="I1680" s="7"/>
      <c r="J1680" s="39"/>
      <c r="L1680" s="16" t="str">
        <f t="shared" si="919"/>
        <v/>
      </c>
      <c r="M1680" s="16" t="str">
        <f t="shared" si="920"/>
        <v/>
      </c>
      <c r="N1680" s="16" t="str">
        <f t="shared" si="921"/>
        <v/>
      </c>
      <c r="O1680" s="16" t="str">
        <f>IF(N1680="","",COUNTIF($N$8:N1680,N1680))</f>
        <v/>
      </c>
      <c r="P1680" s="34" t="str">
        <f t="shared" si="922"/>
        <v/>
      </c>
      <c r="Q1680" s="34" t="str">
        <f t="shared" si="923"/>
        <v/>
      </c>
      <c r="R1680" s="34" t="str">
        <f t="shared" si="924"/>
        <v/>
      </c>
      <c r="S1680" s="34" t="str">
        <f t="shared" si="925"/>
        <v/>
      </c>
      <c r="T1680" s="34" t="str">
        <f t="shared" si="926"/>
        <v/>
      </c>
      <c r="U1680" s="34" t="str">
        <f>IF(AND(L1680=1,bp_kode=T1680,T1680&lt;&gt;""),COUNTIF($T$8:T1680,T1680),"")</f>
        <v/>
      </c>
      <c r="V1680" s="34" t="str">
        <f t="shared" si="927"/>
        <v/>
      </c>
      <c r="W1680" s="34" t="str">
        <f t="shared" si="928"/>
        <v/>
      </c>
      <c r="X1680" s="34" t="str">
        <f>IF(B1680="","",COUNTIF($C$8:C1680,C1680)&amp;C1680)</f>
        <v/>
      </c>
    </row>
    <row r="1681" spans="2:24" ht="23.1" customHeight="1">
      <c r="B1681" s="31"/>
      <c r="C1681" s="9"/>
      <c r="D1681" s="9"/>
      <c r="E1681" s="7"/>
      <c r="F1681" s="7"/>
      <c r="G1681" s="7"/>
      <c r="H1681" s="7"/>
      <c r="I1681" s="7"/>
      <c r="J1681" s="39"/>
      <c r="L1681" s="16" t="str">
        <f t="shared" ref="L1681:L1683" si="929">IF(AND(B1681&gt;=awal,B1681&lt;=akhir,B1681&lt;&gt;""),1,IF(AND(B1681&lt;&gt;"",B1681&lt;awal),2,""))</f>
        <v/>
      </c>
      <c r="M1681" s="16" t="str">
        <f t="shared" ref="M1681:M1683" si="930">IF(B1681="","",TEXT(B1681,"mmmm"))</f>
        <v/>
      </c>
      <c r="N1681" s="16" t="str">
        <f t="shared" ref="N1681:N1683" si="931">IF(AND(L1681=1,H1681=bb_akun),"Awe",IF(AND(L1681=1,I1681=bb_akun),"Awe",""))</f>
        <v/>
      </c>
      <c r="O1681" s="16" t="str">
        <f>IF(N1681="","",COUNTIF($N$8:N1681,N1681))</f>
        <v/>
      </c>
      <c r="P1681" s="34" t="str">
        <f t="shared" ref="P1681:P1683" si="932">IFERROR(IF(OR(INDEX(akun_type,MATCH(H1681,akun_kb,0))="Kas",INDEX(akun_type,MATCH(H1681,akun_kb,0))="Bank"),"In"&amp;INDEX(akun_type,MATCH(I1681,akun_kb,0)),IF(OR(INDEX(akun_type,MATCH(I1681,akun_kb,0))="Kas",INDEX(akun_type,MATCH(I1681,akun_kb,0))="Bank"),"out"&amp;INDEX(akun_type,MATCH(H1681,akun_kb,0)),"")),"")</f>
        <v/>
      </c>
      <c r="Q1681" s="34" t="str">
        <f t="shared" ref="Q1681:Q1683" si="933">IFERROR(IF(OR(INDEX(akun_type,MATCH(H1681,akun_kb,0))="Kas",INDEX(akun_type,MATCH(H1681,akun_kb,0))="Bank"),"in"&amp;TEXT(B1681,"mmmm")&amp;INDEX(akun_type,MATCH(I1681,akun_kb,0)),IF(OR(INDEX(akun_type,MATCH(I1681,akun_kb,0))="Kas",INDEX(akun_type,MATCH(I1681,akun_kb,0))="Bank"),"out"&amp;TEXT(B1681,"mmmm")&amp;INDEX(akun_type,MATCH(H1681,akun_kb,0)),"")),"")</f>
        <v/>
      </c>
      <c r="R1681" s="34" t="str">
        <f t="shared" ref="R1681:R1683" si="934">IFERROR(INDEX(akun_type,MATCH(H1681,akun_kb,0)),"")</f>
        <v/>
      </c>
      <c r="S1681" s="34" t="str">
        <f t="shared" ref="S1681:S1683" si="935">IFERROR(INDEX(akun_type,MATCH(I1681,akun_kb,0)),"")</f>
        <v/>
      </c>
      <c r="T1681" s="34" t="str">
        <f t="shared" ref="T1681:T1683" si="936">IF(AND(L1681=1,OR(R1681="Akun Piutang",R1681="akun hutang",S1681="akun piutang",S1681="akun hutang")),E1681,"")</f>
        <v/>
      </c>
      <c r="U1681" s="34" t="str">
        <f>IF(AND(L1681=1,bp_kode=T1681,T1681&lt;&gt;""),COUNTIF($T$8:T1681,T1681),"")</f>
        <v/>
      </c>
      <c r="V1681" s="34" t="str">
        <f t="shared" ref="V1681:V1683" si="937">IF(OR(R1681="Pendapatan",R1681="Pendapatan Lainnya",R1681="Beban",R1681="Harga Pokok Penjualan",R1681="Beban Lainnya"),"db"&amp;F1681,IF(OR(S1681="Pendapatan",S1681="Pendapatan Lainnya",S1681="Beban",S1681="Harga Pokok Penjualan",S1681="Beban Lainnya"),"kr"&amp;F1681,""))</f>
        <v/>
      </c>
      <c r="W1681" s="34" t="str">
        <f t="shared" ref="W1681:W1683" si="938">IF(OR(R1681="Pendapatan",R1681="Pendapatan Lainnya",R1681="Beban",R1681="Harga Pokok Penjualan",R1681="Beban Lainnya"),"db"&amp;G1681,IF(OR(S1681="Pendapatan",S1681="Pendapatan Lainnya",S1681="Beban",S1681="Harga Pokok Penjualan",S1681="Beban Lainnya"),"kr"&amp;G1681,""))</f>
        <v/>
      </c>
      <c r="X1681" s="34" t="str">
        <f>IF(B1681="","",COUNTIF($C$8:C1681,C1681)&amp;C1681)</f>
        <v/>
      </c>
    </row>
    <row r="1682" spans="2:24" ht="23.1" customHeight="1">
      <c r="B1682" s="31"/>
      <c r="C1682" s="9"/>
      <c r="D1682" s="9"/>
      <c r="E1682" s="7"/>
      <c r="F1682" s="7"/>
      <c r="G1682" s="7"/>
      <c r="H1682" s="7"/>
      <c r="I1682" s="7"/>
      <c r="J1682" s="39"/>
      <c r="L1682" s="16" t="str">
        <f t="shared" si="929"/>
        <v/>
      </c>
      <c r="M1682" s="16" t="str">
        <f t="shared" si="930"/>
        <v/>
      </c>
      <c r="N1682" s="16" t="str">
        <f t="shared" si="931"/>
        <v/>
      </c>
      <c r="O1682" s="16" t="str">
        <f>IF(N1682="","",COUNTIF($N$8:N1682,N1682))</f>
        <v/>
      </c>
      <c r="P1682" s="34" t="str">
        <f t="shared" si="932"/>
        <v/>
      </c>
      <c r="Q1682" s="34" t="str">
        <f t="shared" si="933"/>
        <v/>
      </c>
      <c r="R1682" s="34" t="str">
        <f t="shared" si="934"/>
        <v/>
      </c>
      <c r="S1682" s="34" t="str">
        <f t="shared" si="935"/>
        <v/>
      </c>
      <c r="T1682" s="34" t="str">
        <f t="shared" si="936"/>
        <v/>
      </c>
      <c r="U1682" s="34" t="str">
        <f>IF(AND(L1682=1,bp_kode=T1682,T1682&lt;&gt;""),COUNTIF($T$8:T1682,T1682),"")</f>
        <v/>
      </c>
      <c r="V1682" s="34" t="str">
        <f t="shared" si="937"/>
        <v/>
      </c>
      <c r="W1682" s="34" t="str">
        <f t="shared" si="938"/>
        <v/>
      </c>
      <c r="X1682" s="34" t="str">
        <f>IF(B1682="","",COUNTIF($C$8:C1682,C1682)&amp;C1682)</f>
        <v/>
      </c>
    </row>
    <row r="1683" spans="2:24" ht="23.1" customHeight="1">
      <c r="B1683" s="31"/>
      <c r="C1683" s="9"/>
      <c r="D1683" s="9"/>
      <c r="E1683" s="7"/>
      <c r="F1683" s="7"/>
      <c r="G1683" s="7"/>
      <c r="H1683" s="7"/>
      <c r="I1683" s="7"/>
      <c r="J1683" s="39"/>
      <c r="L1683" s="16" t="str">
        <f t="shared" si="929"/>
        <v/>
      </c>
      <c r="M1683" s="16" t="str">
        <f t="shared" si="930"/>
        <v/>
      </c>
      <c r="N1683" s="16" t="str">
        <f t="shared" si="931"/>
        <v/>
      </c>
      <c r="O1683" s="16" t="str">
        <f>IF(N1683="","",COUNTIF($N$8:N1683,N1683))</f>
        <v/>
      </c>
      <c r="P1683" s="34" t="str">
        <f t="shared" si="932"/>
        <v/>
      </c>
      <c r="Q1683" s="34" t="str">
        <f t="shared" si="933"/>
        <v/>
      </c>
      <c r="R1683" s="34" t="str">
        <f t="shared" si="934"/>
        <v/>
      </c>
      <c r="S1683" s="34" t="str">
        <f t="shared" si="935"/>
        <v/>
      </c>
      <c r="T1683" s="34" t="str">
        <f t="shared" si="936"/>
        <v/>
      </c>
      <c r="U1683" s="34" t="str">
        <f>IF(AND(L1683=1,bp_kode=T1683,T1683&lt;&gt;""),COUNTIF($T$8:T1683,T1683),"")</f>
        <v/>
      </c>
      <c r="V1683" s="34" t="str">
        <f t="shared" si="937"/>
        <v/>
      </c>
      <c r="W1683" s="34" t="str">
        <f t="shared" si="938"/>
        <v/>
      </c>
      <c r="X1683" s="34" t="str">
        <f>IF(B1683="","",COUNTIF($C$8:C1683,C1683)&amp;C1683)</f>
        <v/>
      </c>
    </row>
    <row r="1684" spans="2:24" ht="23.1" customHeight="1">
      <c r="B1684" s="31"/>
      <c r="C1684" s="9"/>
      <c r="D1684" s="9"/>
      <c r="E1684" s="7"/>
      <c r="F1684" s="7"/>
      <c r="G1684" s="7"/>
      <c r="H1684" s="7"/>
      <c r="I1684" s="7"/>
      <c r="J1684" s="39"/>
      <c r="L1684" s="16" t="str">
        <f t="shared" ref="L1684:L1705" si="939">IF(AND(B1684&gt;=awal,B1684&lt;=akhir,B1684&lt;&gt;""),1,IF(AND(B1684&lt;&gt;"",B1684&lt;awal),2,""))</f>
        <v/>
      </c>
      <c r="M1684" s="16" t="str">
        <f t="shared" ref="M1684:M1705" si="940">IF(B1684="","",TEXT(B1684,"mmmm"))</f>
        <v/>
      </c>
      <c r="N1684" s="16" t="str">
        <f t="shared" ref="N1684:N1705" si="941">IF(AND(L1684=1,H1684=bb_akun),"Awe",IF(AND(L1684=1,I1684=bb_akun),"Awe",""))</f>
        <v/>
      </c>
      <c r="O1684" s="16" t="str">
        <f>IF(N1684="","",COUNTIF($N$8:N1684,N1684))</f>
        <v/>
      </c>
      <c r="P1684" s="34" t="str">
        <f t="shared" ref="P1684:P1705" si="942">IFERROR(IF(OR(INDEX(akun_type,MATCH(H1684,akun_kb,0))="Kas",INDEX(akun_type,MATCH(H1684,akun_kb,0))="Bank"),"In"&amp;INDEX(akun_type,MATCH(I1684,akun_kb,0)),IF(OR(INDEX(akun_type,MATCH(I1684,akun_kb,0))="Kas",INDEX(akun_type,MATCH(I1684,akun_kb,0))="Bank"),"out"&amp;INDEX(akun_type,MATCH(H1684,akun_kb,0)),"")),"")</f>
        <v/>
      </c>
      <c r="Q1684" s="34" t="str">
        <f t="shared" ref="Q1684:Q1705" si="943">IFERROR(IF(OR(INDEX(akun_type,MATCH(H1684,akun_kb,0))="Kas",INDEX(akun_type,MATCH(H1684,akun_kb,0))="Bank"),"in"&amp;TEXT(B1684,"mmmm")&amp;INDEX(akun_type,MATCH(I1684,akun_kb,0)),IF(OR(INDEX(akun_type,MATCH(I1684,akun_kb,0))="Kas",INDEX(akun_type,MATCH(I1684,akun_kb,0))="Bank"),"out"&amp;TEXT(B1684,"mmmm")&amp;INDEX(akun_type,MATCH(H1684,akun_kb,0)),"")),"")</f>
        <v/>
      </c>
      <c r="R1684" s="34" t="str">
        <f t="shared" ref="R1684:R1705" si="944">IFERROR(INDEX(akun_type,MATCH(H1684,akun_kb,0)),"")</f>
        <v/>
      </c>
      <c r="S1684" s="34" t="str">
        <f t="shared" ref="S1684:S1705" si="945">IFERROR(INDEX(akun_type,MATCH(I1684,akun_kb,0)),"")</f>
        <v/>
      </c>
      <c r="T1684" s="34" t="str">
        <f t="shared" ref="T1684:T1705" si="946">IF(AND(L1684=1,OR(R1684="Akun Piutang",R1684="akun hutang",S1684="akun piutang",S1684="akun hutang")),E1684,"")</f>
        <v/>
      </c>
      <c r="U1684" s="34" t="str">
        <f>IF(AND(L1684=1,bp_kode=T1684,T1684&lt;&gt;""),COUNTIF($T$8:T1684,T1684),"")</f>
        <v/>
      </c>
      <c r="V1684" s="34" t="str">
        <f t="shared" ref="V1684:V1705" si="947">IF(OR(R1684="Pendapatan",R1684="Pendapatan Lainnya",R1684="Beban",R1684="Harga Pokok Penjualan",R1684="Beban Lainnya"),"db"&amp;F1684,IF(OR(S1684="Pendapatan",S1684="Pendapatan Lainnya",S1684="Beban",S1684="Harga Pokok Penjualan",S1684="Beban Lainnya"),"kr"&amp;F1684,""))</f>
        <v/>
      </c>
      <c r="W1684" s="34" t="str">
        <f t="shared" ref="W1684:W1705" si="948">IF(OR(R1684="Pendapatan",R1684="Pendapatan Lainnya",R1684="Beban",R1684="Harga Pokok Penjualan",R1684="Beban Lainnya"),"db"&amp;G1684,IF(OR(S1684="Pendapatan",S1684="Pendapatan Lainnya",S1684="Beban",S1684="Harga Pokok Penjualan",S1684="Beban Lainnya"),"kr"&amp;G1684,""))</f>
        <v/>
      </c>
      <c r="X1684" s="34" t="str">
        <f>IF(B1684="","",COUNTIF($C$8:C1684,C1684)&amp;C1684)</f>
        <v/>
      </c>
    </row>
    <row r="1685" spans="2:24" ht="23.1" customHeight="1">
      <c r="B1685" s="31"/>
      <c r="C1685" s="9"/>
      <c r="D1685" s="9"/>
      <c r="E1685" s="7"/>
      <c r="F1685" s="7"/>
      <c r="G1685" s="7"/>
      <c r="H1685" s="7"/>
      <c r="I1685" s="7"/>
      <c r="J1685" s="39"/>
      <c r="L1685" s="16" t="str">
        <f t="shared" si="939"/>
        <v/>
      </c>
      <c r="M1685" s="16" t="str">
        <f t="shared" si="940"/>
        <v/>
      </c>
      <c r="N1685" s="16" t="str">
        <f t="shared" si="941"/>
        <v/>
      </c>
      <c r="O1685" s="16" t="str">
        <f>IF(N1685="","",COUNTIF($N$8:N1685,N1685))</f>
        <v/>
      </c>
      <c r="P1685" s="34" t="str">
        <f t="shared" si="942"/>
        <v/>
      </c>
      <c r="Q1685" s="34" t="str">
        <f t="shared" si="943"/>
        <v/>
      </c>
      <c r="R1685" s="34" t="str">
        <f t="shared" si="944"/>
        <v/>
      </c>
      <c r="S1685" s="34" t="str">
        <f t="shared" si="945"/>
        <v/>
      </c>
      <c r="T1685" s="34" t="str">
        <f t="shared" si="946"/>
        <v/>
      </c>
      <c r="U1685" s="34" t="str">
        <f>IF(AND(L1685=1,bp_kode=T1685,T1685&lt;&gt;""),COUNTIF($T$8:T1685,T1685),"")</f>
        <v/>
      </c>
      <c r="V1685" s="34" t="str">
        <f t="shared" si="947"/>
        <v/>
      </c>
      <c r="W1685" s="34" t="str">
        <f t="shared" si="948"/>
        <v/>
      </c>
      <c r="X1685" s="34" t="str">
        <f>IF(B1685="","",COUNTIF($C$8:C1685,C1685)&amp;C1685)</f>
        <v/>
      </c>
    </row>
    <row r="1686" spans="2:24" ht="23.1" customHeight="1">
      <c r="B1686" s="31"/>
      <c r="C1686" s="9"/>
      <c r="D1686" s="9"/>
      <c r="E1686" s="7"/>
      <c r="F1686" s="7"/>
      <c r="G1686" s="7"/>
      <c r="H1686" s="7"/>
      <c r="I1686" s="7"/>
      <c r="J1686" s="39"/>
      <c r="L1686" s="16" t="str">
        <f t="shared" si="939"/>
        <v/>
      </c>
      <c r="M1686" s="16" t="str">
        <f t="shared" si="940"/>
        <v/>
      </c>
      <c r="N1686" s="16" t="str">
        <f t="shared" si="941"/>
        <v/>
      </c>
      <c r="O1686" s="16" t="str">
        <f>IF(N1686="","",COUNTIF($N$8:N1686,N1686))</f>
        <v/>
      </c>
      <c r="P1686" s="34" t="str">
        <f t="shared" si="942"/>
        <v/>
      </c>
      <c r="Q1686" s="34" t="str">
        <f t="shared" si="943"/>
        <v/>
      </c>
      <c r="R1686" s="34" t="str">
        <f t="shared" si="944"/>
        <v/>
      </c>
      <c r="S1686" s="34" t="str">
        <f t="shared" si="945"/>
        <v/>
      </c>
      <c r="T1686" s="34" t="str">
        <f t="shared" si="946"/>
        <v/>
      </c>
      <c r="U1686" s="34" t="str">
        <f>IF(AND(L1686=1,bp_kode=T1686,T1686&lt;&gt;""),COUNTIF($T$8:T1686,T1686),"")</f>
        <v/>
      </c>
      <c r="V1686" s="34" t="str">
        <f t="shared" si="947"/>
        <v/>
      </c>
      <c r="W1686" s="34" t="str">
        <f t="shared" si="948"/>
        <v/>
      </c>
      <c r="X1686" s="34" t="str">
        <f>IF(B1686="","",COUNTIF($C$8:C1686,C1686)&amp;C1686)</f>
        <v/>
      </c>
    </row>
    <row r="1687" spans="2:24" ht="23.1" customHeight="1">
      <c r="B1687" s="31"/>
      <c r="C1687" s="9"/>
      <c r="D1687" s="9"/>
      <c r="E1687" s="7"/>
      <c r="F1687" s="7"/>
      <c r="G1687" s="7"/>
      <c r="H1687" s="7"/>
      <c r="I1687" s="7"/>
      <c r="J1687" s="39"/>
      <c r="L1687" s="16" t="str">
        <f t="shared" si="939"/>
        <v/>
      </c>
      <c r="M1687" s="16" t="str">
        <f t="shared" si="940"/>
        <v/>
      </c>
      <c r="N1687" s="16" t="str">
        <f t="shared" si="941"/>
        <v/>
      </c>
      <c r="O1687" s="16" t="str">
        <f>IF(N1687="","",COUNTIF($N$8:N1687,N1687))</f>
        <v/>
      </c>
      <c r="P1687" s="34" t="str">
        <f t="shared" si="942"/>
        <v/>
      </c>
      <c r="Q1687" s="34" t="str">
        <f t="shared" si="943"/>
        <v/>
      </c>
      <c r="R1687" s="34" t="str">
        <f t="shared" si="944"/>
        <v/>
      </c>
      <c r="S1687" s="34" t="str">
        <f t="shared" si="945"/>
        <v/>
      </c>
      <c r="T1687" s="34" t="str">
        <f t="shared" si="946"/>
        <v/>
      </c>
      <c r="U1687" s="34" t="str">
        <f>IF(AND(L1687=1,bp_kode=T1687,T1687&lt;&gt;""),COUNTIF($T$8:T1687,T1687),"")</f>
        <v/>
      </c>
      <c r="V1687" s="34" t="str">
        <f t="shared" si="947"/>
        <v/>
      </c>
      <c r="W1687" s="34" t="str">
        <f t="shared" si="948"/>
        <v/>
      </c>
      <c r="X1687" s="34" t="str">
        <f>IF(B1687="","",COUNTIF($C$8:C1687,C1687)&amp;C1687)</f>
        <v/>
      </c>
    </row>
    <row r="1688" spans="2:24" ht="23.1" customHeight="1">
      <c r="B1688" s="31"/>
      <c r="C1688" s="9"/>
      <c r="D1688" s="9"/>
      <c r="E1688" s="7"/>
      <c r="F1688" s="7"/>
      <c r="G1688" s="7"/>
      <c r="H1688" s="7"/>
      <c r="I1688" s="7"/>
      <c r="J1688" s="39"/>
      <c r="L1688" s="16" t="str">
        <f t="shared" si="939"/>
        <v/>
      </c>
      <c r="M1688" s="16" t="str">
        <f t="shared" si="940"/>
        <v/>
      </c>
      <c r="N1688" s="16" t="str">
        <f t="shared" si="941"/>
        <v/>
      </c>
      <c r="O1688" s="16" t="str">
        <f>IF(N1688="","",COUNTIF($N$8:N1688,N1688))</f>
        <v/>
      </c>
      <c r="P1688" s="34" t="str">
        <f t="shared" si="942"/>
        <v/>
      </c>
      <c r="Q1688" s="34" t="str">
        <f t="shared" si="943"/>
        <v/>
      </c>
      <c r="R1688" s="34" t="str">
        <f t="shared" si="944"/>
        <v/>
      </c>
      <c r="S1688" s="34" t="str">
        <f t="shared" si="945"/>
        <v/>
      </c>
      <c r="T1688" s="34" t="str">
        <f t="shared" si="946"/>
        <v/>
      </c>
      <c r="U1688" s="34" t="str">
        <f>IF(AND(L1688=1,bp_kode=T1688,T1688&lt;&gt;""),COUNTIF($T$8:T1688,T1688),"")</f>
        <v/>
      </c>
      <c r="V1688" s="34" t="str">
        <f t="shared" si="947"/>
        <v/>
      </c>
      <c r="W1688" s="34" t="str">
        <f t="shared" si="948"/>
        <v/>
      </c>
      <c r="X1688" s="34" t="str">
        <f>IF(B1688="","",COUNTIF($C$8:C1688,C1688)&amp;C1688)</f>
        <v/>
      </c>
    </row>
    <row r="1689" spans="2:24" ht="23.1" customHeight="1">
      <c r="B1689" s="31"/>
      <c r="C1689" s="9"/>
      <c r="D1689" s="9"/>
      <c r="E1689" s="7"/>
      <c r="F1689" s="7"/>
      <c r="G1689" s="7"/>
      <c r="H1689" s="7"/>
      <c r="I1689" s="7"/>
      <c r="J1689" s="39"/>
      <c r="L1689" s="16" t="str">
        <f t="shared" si="939"/>
        <v/>
      </c>
      <c r="M1689" s="16" t="str">
        <f t="shared" si="940"/>
        <v/>
      </c>
      <c r="N1689" s="16" t="str">
        <f t="shared" si="941"/>
        <v/>
      </c>
      <c r="O1689" s="16" t="str">
        <f>IF(N1689="","",COUNTIF($N$8:N1689,N1689))</f>
        <v/>
      </c>
      <c r="P1689" s="34" t="str">
        <f t="shared" si="942"/>
        <v/>
      </c>
      <c r="Q1689" s="34" t="str">
        <f t="shared" si="943"/>
        <v/>
      </c>
      <c r="R1689" s="34" t="str">
        <f t="shared" si="944"/>
        <v/>
      </c>
      <c r="S1689" s="34" t="str">
        <f t="shared" si="945"/>
        <v/>
      </c>
      <c r="T1689" s="34" t="str">
        <f t="shared" si="946"/>
        <v/>
      </c>
      <c r="U1689" s="34" t="str">
        <f>IF(AND(L1689=1,bp_kode=T1689,T1689&lt;&gt;""),COUNTIF($T$8:T1689,T1689),"")</f>
        <v/>
      </c>
      <c r="V1689" s="34" t="str">
        <f t="shared" si="947"/>
        <v/>
      </c>
      <c r="W1689" s="34" t="str">
        <f t="shared" si="948"/>
        <v/>
      </c>
      <c r="X1689" s="34" t="str">
        <f>IF(B1689="","",COUNTIF($C$8:C1689,C1689)&amp;C1689)</f>
        <v/>
      </c>
    </row>
    <row r="1690" spans="2:24" ht="23.1" customHeight="1">
      <c r="B1690" s="31"/>
      <c r="C1690" s="9"/>
      <c r="D1690" s="9"/>
      <c r="E1690" s="7"/>
      <c r="F1690" s="7"/>
      <c r="G1690" s="7"/>
      <c r="H1690" s="7"/>
      <c r="I1690" s="7"/>
      <c r="J1690" s="39"/>
      <c r="L1690" s="16" t="str">
        <f t="shared" si="939"/>
        <v/>
      </c>
      <c r="M1690" s="16" t="str">
        <f t="shared" si="940"/>
        <v/>
      </c>
      <c r="N1690" s="16" t="str">
        <f t="shared" si="941"/>
        <v/>
      </c>
      <c r="O1690" s="16" t="str">
        <f>IF(N1690="","",COUNTIF($N$8:N1690,N1690))</f>
        <v/>
      </c>
      <c r="P1690" s="34" t="str">
        <f t="shared" si="942"/>
        <v/>
      </c>
      <c r="Q1690" s="34" t="str">
        <f t="shared" si="943"/>
        <v/>
      </c>
      <c r="R1690" s="34" t="str">
        <f t="shared" si="944"/>
        <v/>
      </c>
      <c r="S1690" s="34" t="str">
        <f t="shared" si="945"/>
        <v/>
      </c>
      <c r="T1690" s="34" t="str">
        <f t="shared" si="946"/>
        <v/>
      </c>
      <c r="U1690" s="34" t="str">
        <f>IF(AND(L1690=1,bp_kode=T1690,T1690&lt;&gt;""),COUNTIF($T$8:T1690,T1690),"")</f>
        <v/>
      </c>
      <c r="V1690" s="34" t="str">
        <f t="shared" si="947"/>
        <v/>
      </c>
      <c r="W1690" s="34" t="str">
        <f t="shared" si="948"/>
        <v/>
      </c>
      <c r="X1690" s="34" t="str">
        <f>IF(B1690="","",COUNTIF($C$8:C1690,C1690)&amp;C1690)</f>
        <v/>
      </c>
    </row>
    <row r="1691" spans="2:24" ht="23.1" customHeight="1">
      <c r="B1691" s="31"/>
      <c r="C1691" s="9"/>
      <c r="D1691" s="9"/>
      <c r="E1691" s="7"/>
      <c r="F1691" s="7"/>
      <c r="G1691" s="7"/>
      <c r="H1691" s="7"/>
      <c r="I1691" s="7"/>
      <c r="J1691" s="39"/>
      <c r="L1691" s="16" t="str">
        <f t="shared" si="939"/>
        <v/>
      </c>
      <c r="M1691" s="16" t="str">
        <f t="shared" si="940"/>
        <v/>
      </c>
      <c r="N1691" s="16" t="str">
        <f t="shared" si="941"/>
        <v/>
      </c>
      <c r="O1691" s="16" t="str">
        <f>IF(N1691="","",COUNTIF($N$8:N1691,N1691))</f>
        <v/>
      </c>
      <c r="P1691" s="34" t="str">
        <f t="shared" si="942"/>
        <v/>
      </c>
      <c r="Q1691" s="34" t="str">
        <f t="shared" si="943"/>
        <v/>
      </c>
      <c r="R1691" s="34" t="str">
        <f t="shared" si="944"/>
        <v/>
      </c>
      <c r="S1691" s="34" t="str">
        <f t="shared" si="945"/>
        <v/>
      </c>
      <c r="T1691" s="34" t="str">
        <f t="shared" si="946"/>
        <v/>
      </c>
      <c r="U1691" s="34" t="str">
        <f>IF(AND(L1691=1,bp_kode=T1691,T1691&lt;&gt;""),COUNTIF($T$8:T1691,T1691),"")</f>
        <v/>
      </c>
      <c r="V1691" s="34" t="str">
        <f t="shared" si="947"/>
        <v/>
      </c>
      <c r="W1691" s="34" t="str">
        <f t="shared" si="948"/>
        <v/>
      </c>
      <c r="X1691" s="34" t="str">
        <f>IF(B1691="","",COUNTIF($C$8:C1691,C1691)&amp;C1691)</f>
        <v/>
      </c>
    </row>
    <row r="1692" spans="2:24" ht="23.1" customHeight="1">
      <c r="B1692" s="31"/>
      <c r="C1692" s="9"/>
      <c r="D1692" s="9"/>
      <c r="E1692" s="7"/>
      <c r="F1692" s="7"/>
      <c r="G1692" s="7"/>
      <c r="H1692" s="7"/>
      <c r="I1692" s="7"/>
      <c r="J1692" s="39"/>
      <c r="L1692" s="16" t="str">
        <f t="shared" si="939"/>
        <v/>
      </c>
      <c r="M1692" s="16" t="str">
        <f t="shared" si="940"/>
        <v/>
      </c>
      <c r="N1692" s="16" t="str">
        <f t="shared" si="941"/>
        <v/>
      </c>
      <c r="O1692" s="16" t="str">
        <f>IF(N1692="","",COUNTIF($N$8:N1692,N1692))</f>
        <v/>
      </c>
      <c r="P1692" s="34" t="str">
        <f t="shared" si="942"/>
        <v/>
      </c>
      <c r="Q1692" s="34" t="str">
        <f t="shared" si="943"/>
        <v/>
      </c>
      <c r="R1692" s="34" t="str">
        <f t="shared" si="944"/>
        <v/>
      </c>
      <c r="S1692" s="34" t="str">
        <f t="shared" si="945"/>
        <v/>
      </c>
      <c r="T1692" s="34" t="str">
        <f t="shared" si="946"/>
        <v/>
      </c>
      <c r="U1692" s="34" t="str">
        <f>IF(AND(L1692=1,bp_kode=T1692,T1692&lt;&gt;""),COUNTIF($T$8:T1692,T1692),"")</f>
        <v/>
      </c>
      <c r="V1692" s="34" t="str">
        <f t="shared" si="947"/>
        <v/>
      </c>
      <c r="W1692" s="34" t="str">
        <f t="shared" si="948"/>
        <v/>
      </c>
      <c r="X1692" s="34" t="str">
        <f>IF(B1692="","",COUNTIF($C$8:C1692,C1692)&amp;C1692)</f>
        <v/>
      </c>
    </row>
    <row r="1693" spans="2:24" ht="23.1" customHeight="1">
      <c r="B1693" s="31"/>
      <c r="C1693" s="9"/>
      <c r="D1693" s="9"/>
      <c r="E1693" s="7"/>
      <c r="F1693" s="7"/>
      <c r="G1693" s="7"/>
      <c r="H1693" s="7"/>
      <c r="I1693" s="7"/>
      <c r="J1693" s="39"/>
      <c r="L1693" s="16" t="str">
        <f t="shared" si="939"/>
        <v/>
      </c>
      <c r="M1693" s="16" t="str">
        <f t="shared" si="940"/>
        <v/>
      </c>
      <c r="N1693" s="16" t="str">
        <f t="shared" si="941"/>
        <v/>
      </c>
      <c r="O1693" s="16" t="str">
        <f>IF(N1693="","",COUNTIF($N$8:N1693,N1693))</f>
        <v/>
      </c>
      <c r="P1693" s="34" t="str">
        <f t="shared" si="942"/>
        <v/>
      </c>
      <c r="Q1693" s="34" t="str">
        <f t="shared" si="943"/>
        <v/>
      </c>
      <c r="R1693" s="34" t="str">
        <f t="shared" si="944"/>
        <v/>
      </c>
      <c r="S1693" s="34" t="str">
        <f t="shared" si="945"/>
        <v/>
      </c>
      <c r="T1693" s="34" t="str">
        <f t="shared" si="946"/>
        <v/>
      </c>
      <c r="U1693" s="34" t="str">
        <f>IF(AND(L1693=1,bp_kode=T1693,T1693&lt;&gt;""),COUNTIF($T$8:T1693,T1693),"")</f>
        <v/>
      </c>
      <c r="V1693" s="34" t="str">
        <f t="shared" si="947"/>
        <v/>
      </c>
      <c r="W1693" s="34" t="str">
        <f t="shared" si="948"/>
        <v/>
      </c>
      <c r="X1693" s="34" t="str">
        <f>IF(B1693="","",COUNTIF($C$8:C1693,C1693)&amp;C1693)</f>
        <v/>
      </c>
    </row>
    <row r="1694" spans="2:24" ht="23.1" customHeight="1">
      <c r="B1694" s="31"/>
      <c r="C1694" s="9"/>
      <c r="D1694" s="9"/>
      <c r="E1694" s="7"/>
      <c r="F1694" s="7"/>
      <c r="G1694" s="7"/>
      <c r="H1694" s="7"/>
      <c r="I1694" s="7"/>
      <c r="J1694" s="39"/>
      <c r="L1694" s="16" t="str">
        <f t="shared" si="939"/>
        <v/>
      </c>
      <c r="M1694" s="16" t="str">
        <f t="shared" si="940"/>
        <v/>
      </c>
      <c r="N1694" s="16" t="str">
        <f t="shared" si="941"/>
        <v/>
      </c>
      <c r="O1694" s="16" t="str">
        <f>IF(N1694="","",COUNTIF($N$8:N1694,N1694))</f>
        <v/>
      </c>
      <c r="P1694" s="34" t="str">
        <f t="shared" si="942"/>
        <v/>
      </c>
      <c r="Q1694" s="34" t="str">
        <f t="shared" si="943"/>
        <v/>
      </c>
      <c r="R1694" s="34" t="str">
        <f t="shared" si="944"/>
        <v/>
      </c>
      <c r="S1694" s="34" t="str">
        <f t="shared" si="945"/>
        <v/>
      </c>
      <c r="T1694" s="34" t="str">
        <f t="shared" si="946"/>
        <v/>
      </c>
      <c r="U1694" s="34" t="str">
        <f>IF(AND(L1694=1,bp_kode=T1694,T1694&lt;&gt;""),COUNTIF($T$8:T1694,T1694),"")</f>
        <v/>
      </c>
      <c r="V1694" s="34" t="str">
        <f t="shared" si="947"/>
        <v/>
      </c>
      <c r="W1694" s="34" t="str">
        <f t="shared" si="948"/>
        <v/>
      </c>
      <c r="X1694" s="34" t="str">
        <f>IF(B1694="","",COUNTIF($C$8:C1694,C1694)&amp;C1694)</f>
        <v/>
      </c>
    </row>
    <row r="1695" spans="2:24" ht="23.1" customHeight="1">
      <c r="B1695" s="31"/>
      <c r="C1695" s="9"/>
      <c r="D1695" s="9"/>
      <c r="E1695" s="7"/>
      <c r="F1695" s="7"/>
      <c r="G1695" s="7"/>
      <c r="H1695" s="7"/>
      <c r="I1695" s="7"/>
      <c r="J1695" s="39"/>
      <c r="L1695" s="16" t="str">
        <f t="shared" si="939"/>
        <v/>
      </c>
      <c r="M1695" s="16" t="str">
        <f t="shared" si="940"/>
        <v/>
      </c>
      <c r="N1695" s="16" t="str">
        <f t="shared" si="941"/>
        <v/>
      </c>
      <c r="O1695" s="16" t="str">
        <f>IF(N1695="","",COUNTIF($N$8:N1695,N1695))</f>
        <v/>
      </c>
      <c r="P1695" s="34" t="str">
        <f t="shared" si="942"/>
        <v/>
      </c>
      <c r="Q1695" s="34" t="str">
        <f t="shared" si="943"/>
        <v/>
      </c>
      <c r="R1695" s="34" t="str">
        <f t="shared" si="944"/>
        <v/>
      </c>
      <c r="S1695" s="34" t="str">
        <f t="shared" si="945"/>
        <v/>
      </c>
      <c r="T1695" s="34" t="str">
        <f t="shared" si="946"/>
        <v/>
      </c>
      <c r="U1695" s="34" t="str">
        <f>IF(AND(L1695=1,bp_kode=T1695,T1695&lt;&gt;""),COUNTIF($T$8:T1695,T1695),"")</f>
        <v/>
      </c>
      <c r="V1695" s="34" t="str">
        <f t="shared" si="947"/>
        <v/>
      </c>
      <c r="W1695" s="34" t="str">
        <f t="shared" si="948"/>
        <v/>
      </c>
      <c r="X1695" s="34" t="str">
        <f>IF(B1695="","",COUNTIF($C$8:C1695,C1695)&amp;C1695)</f>
        <v/>
      </c>
    </row>
    <row r="1696" spans="2:24" ht="23.1" customHeight="1">
      <c r="B1696" s="31"/>
      <c r="C1696" s="9"/>
      <c r="D1696" s="9"/>
      <c r="E1696" s="7"/>
      <c r="F1696" s="7"/>
      <c r="G1696" s="7"/>
      <c r="H1696" s="7"/>
      <c r="I1696" s="7"/>
      <c r="J1696" s="39"/>
      <c r="L1696" s="16" t="str">
        <f t="shared" si="939"/>
        <v/>
      </c>
      <c r="M1696" s="16" t="str">
        <f t="shared" si="940"/>
        <v/>
      </c>
      <c r="N1696" s="16" t="str">
        <f t="shared" si="941"/>
        <v/>
      </c>
      <c r="O1696" s="16" t="str">
        <f>IF(N1696="","",COUNTIF($N$8:N1696,N1696))</f>
        <v/>
      </c>
      <c r="P1696" s="34" t="str">
        <f t="shared" si="942"/>
        <v/>
      </c>
      <c r="Q1696" s="34" t="str">
        <f t="shared" si="943"/>
        <v/>
      </c>
      <c r="R1696" s="34" t="str">
        <f t="shared" si="944"/>
        <v/>
      </c>
      <c r="S1696" s="34" t="str">
        <f t="shared" si="945"/>
        <v/>
      </c>
      <c r="T1696" s="34" t="str">
        <f t="shared" si="946"/>
        <v/>
      </c>
      <c r="U1696" s="34" t="str">
        <f>IF(AND(L1696=1,bp_kode=T1696,T1696&lt;&gt;""),COUNTIF($T$8:T1696,T1696),"")</f>
        <v/>
      </c>
      <c r="V1696" s="34" t="str">
        <f t="shared" si="947"/>
        <v/>
      </c>
      <c r="W1696" s="34" t="str">
        <f t="shared" si="948"/>
        <v/>
      </c>
      <c r="X1696" s="34" t="str">
        <f>IF(B1696="","",COUNTIF($C$8:C1696,C1696)&amp;C1696)</f>
        <v/>
      </c>
    </row>
    <row r="1697" spans="2:24" ht="23.1" customHeight="1">
      <c r="B1697" s="31"/>
      <c r="C1697" s="9"/>
      <c r="D1697" s="9"/>
      <c r="E1697" s="7"/>
      <c r="F1697" s="7"/>
      <c r="G1697" s="7"/>
      <c r="H1697" s="7"/>
      <c r="I1697" s="7"/>
      <c r="J1697" s="39"/>
      <c r="L1697" s="16" t="str">
        <f t="shared" si="939"/>
        <v/>
      </c>
      <c r="M1697" s="16" t="str">
        <f t="shared" si="940"/>
        <v/>
      </c>
      <c r="N1697" s="16" t="str">
        <f t="shared" si="941"/>
        <v/>
      </c>
      <c r="O1697" s="16" t="str">
        <f>IF(N1697="","",COUNTIF($N$8:N1697,N1697))</f>
        <v/>
      </c>
      <c r="P1697" s="34" t="str">
        <f t="shared" si="942"/>
        <v/>
      </c>
      <c r="Q1697" s="34" t="str">
        <f t="shared" si="943"/>
        <v/>
      </c>
      <c r="R1697" s="34" t="str">
        <f t="shared" si="944"/>
        <v/>
      </c>
      <c r="S1697" s="34" t="str">
        <f t="shared" si="945"/>
        <v/>
      </c>
      <c r="T1697" s="34" t="str">
        <f t="shared" si="946"/>
        <v/>
      </c>
      <c r="U1697" s="34" t="str">
        <f>IF(AND(L1697=1,bp_kode=T1697,T1697&lt;&gt;""),COUNTIF($T$8:T1697,T1697),"")</f>
        <v/>
      </c>
      <c r="V1697" s="34" t="str">
        <f t="shared" si="947"/>
        <v/>
      </c>
      <c r="W1697" s="34" t="str">
        <f t="shared" si="948"/>
        <v/>
      </c>
      <c r="X1697" s="34" t="str">
        <f>IF(B1697="","",COUNTIF($C$8:C1697,C1697)&amp;C1697)</f>
        <v/>
      </c>
    </row>
    <row r="1698" spans="2:24" ht="23.1" customHeight="1">
      <c r="B1698" s="31"/>
      <c r="C1698" s="9"/>
      <c r="D1698" s="9"/>
      <c r="E1698" s="7"/>
      <c r="F1698" s="7"/>
      <c r="G1698" s="7"/>
      <c r="H1698" s="7"/>
      <c r="I1698" s="7"/>
      <c r="J1698" s="39"/>
      <c r="L1698" s="16" t="str">
        <f t="shared" si="939"/>
        <v/>
      </c>
      <c r="M1698" s="16" t="str">
        <f t="shared" si="940"/>
        <v/>
      </c>
      <c r="N1698" s="16" t="str">
        <f t="shared" si="941"/>
        <v/>
      </c>
      <c r="O1698" s="16" t="str">
        <f>IF(N1698="","",COUNTIF($N$8:N1698,N1698))</f>
        <v/>
      </c>
      <c r="P1698" s="34" t="str">
        <f t="shared" si="942"/>
        <v/>
      </c>
      <c r="Q1698" s="34" t="str">
        <f t="shared" si="943"/>
        <v/>
      </c>
      <c r="R1698" s="34" t="str">
        <f t="shared" si="944"/>
        <v/>
      </c>
      <c r="S1698" s="34" t="str">
        <f t="shared" si="945"/>
        <v/>
      </c>
      <c r="T1698" s="34" t="str">
        <f t="shared" si="946"/>
        <v/>
      </c>
      <c r="U1698" s="34" t="str">
        <f>IF(AND(L1698=1,bp_kode=T1698,T1698&lt;&gt;""),COUNTIF($T$8:T1698,T1698),"")</f>
        <v/>
      </c>
      <c r="V1698" s="34" t="str">
        <f t="shared" si="947"/>
        <v/>
      </c>
      <c r="W1698" s="34" t="str">
        <f t="shared" si="948"/>
        <v/>
      </c>
      <c r="X1698" s="34" t="str">
        <f>IF(B1698="","",COUNTIF($C$8:C1698,C1698)&amp;C1698)</f>
        <v/>
      </c>
    </row>
    <row r="1699" spans="2:24" ht="23.1" customHeight="1">
      <c r="B1699" s="31"/>
      <c r="C1699" s="9"/>
      <c r="D1699" s="9"/>
      <c r="E1699" s="7"/>
      <c r="F1699" s="7"/>
      <c r="G1699" s="7"/>
      <c r="H1699" s="7"/>
      <c r="I1699" s="7"/>
      <c r="J1699" s="39"/>
      <c r="L1699" s="16" t="str">
        <f t="shared" si="939"/>
        <v/>
      </c>
      <c r="M1699" s="16" t="str">
        <f t="shared" si="940"/>
        <v/>
      </c>
      <c r="N1699" s="16" t="str">
        <f t="shared" si="941"/>
        <v/>
      </c>
      <c r="O1699" s="16" t="str">
        <f>IF(N1699="","",COUNTIF($N$8:N1699,N1699))</f>
        <v/>
      </c>
      <c r="P1699" s="34" t="str">
        <f t="shared" si="942"/>
        <v/>
      </c>
      <c r="Q1699" s="34" t="str">
        <f t="shared" si="943"/>
        <v/>
      </c>
      <c r="R1699" s="34" t="str">
        <f t="shared" si="944"/>
        <v/>
      </c>
      <c r="S1699" s="34" t="str">
        <f t="shared" si="945"/>
        <v/>
      </c>
      <c r="T1699" s="34" t="str">
        <f t="shared" si="946"/>
        <v/>
      </c>
      <c r="U1699" s="34" t="str">
        <f>IF(AND(L1699=1,bp_kode=T1699,T1699&lt;&gt;""),COUNTIF($T$8:T1699,T1699),"")</f>
        <v/>
      </c>
      <c r="V1699" s="34" t="str">
        <f t="shared" si="947"/>
        <v/>
      </c>
      <c r="W1699" s="34" t="str">
        <f t="shared" si="948"/>
        <v/>
      </c>
      <c r="X1699" s="34" t="str">
        <f>IF(B1699="","",COUNTIF($C$8:C1699,C1699)&amp;C1699)</f>
        <v/>
      </c>
    </row>
    <row r="1700" spans="2:24" ht="23.1" customHeight="1">
      <c r="B1700" s="31"/>
      <c r="C1700" s="9"/>
      <c r="D1700" s="9"/>
      <c r="E1700" s="7"/>
      <c r="F1700" s="7"/>
      <c r="G1700" s="7"/>
      <c r="H1700" s="7"/>
      <c r="I1700" s="7"/>
      <c r="J1700" s="39"/>
      <c r="L1700" s="16" t="str">
        <f t="shared" si="939"/>
        <v/>
      </c>
      <c r="M1700" s="16" t="str">
        <f t="shared" si="940"/>
        <v/>
      </c>
      <c r="N1700" s="16" t="str">
        <f t="shared" si="941"/>
        <v/>
      </c>
      <c r="O1700" s="16" t="str">
        <f>IF(N1700="","",COUNTIF($N$8:N1700,N1700))</f>
        <v/>
      </c>
      <c r="P1700" s="34" t="str">
        <f t="shared" si="942"/>
        <v/>
      </c>
      <c r="Q1700" s="34" t="str">
        <f t="shared" si="943"/>
        <v/>
      </c>
      <c r="R1700" s="34" t="str">
        <f t="shared" si="944"/>
        <v/>
      </c>
      <c r="S1700" s="34" t="str">
        <f t="shared" si="945"/>
        <v/>
      </c>
      <c r="T1700" s="34" t="str">
        <f t="shared" si="946"/>
        <v/>
      </c>
      <c r="U1700" s="34" t="str">
        <f>IF(AND(L1700=1,bp_kode=T1700,T1700&lt;&gt;""),COUNTIF($T$8:T1700,T1700),"")</f>
        <v/>
      </c>
      <c r="V1700" s="34" t="str">
        <f t="shared" si="947"/>
        <v/>
      </c>
      <c r="W1700" s="34" t="str">
        <f t="shared" si="948"/>
        <v/>
      </c>
      <c r="X1700" s="34" t="str">
        <f>IF(B1700="","",COUNTIF($C$8:C1700,C1700)&amp;C1700)</f>
        <v/>
      </c>
    </row>
    <row r="1701" spans="2:24" ht="23.1" customHeight="1">
      <c r="B1701" s="31"/>
      <c r="C1701" s="9"/>
      <c r="D1701" s="9"/>
      <c r="E1701" s="7"/>
      <c r="F1701" s="7"/>
      <c r="G1701" s="7"/>
      <c r="H1701" s="7"/>
      <c r="I1701" s="7"/>
      <c r="J1701" s="39"/>
      <c r="L1701" s="16" t="str">
        <f t="shared" si="939"/>
        <v/>
      </c>
      <c r="M1701" s="16" t="str">
        <f t="shared" si="940"/>
        <v/>
      </c>
      <c r="N1701" s="16" t="str">
        <f t="shared" si="941"/>
        <v/>
      </c>
      <c r="O1701" s="16" t="str">
        <f>IF(N1701="","",COUNTIF($N$8:N1701,N1701))</f>
        <v/>
      </c>
      <c r="P1701" s="34" t="str">
        <f t="shared" si="942"/>
        <v/>
      </c>
      <c r="Q1701" s="34" t="str">
        <f t="shared" si="943"/>
        <v/>
      </c>
      <c r="R1701" s="34" t="str">
        <f t="shared" si="944"/>
        <v/>
      </c>
      <c r="S1701" s="34" t="str">
        <f t="shared" si="945"/>
        <v/>
      </c>
      <c r="T1701" s="34" t="str">
        <f t="shared" si="946"/>
        <v/>
      </c>
      <c r="U1701" s="34" t="str">
        <f>IF(AND(L1701=1,bp_kode=T1701,T1701&lt;&gt;""),COUNTIF($T$8:T1701,T1701),"")</f>
        <v/>
      </c>
      <c r="V1701" s="34" t="str">
        <f t="shared" si="947"/>
        <v/>
      </c>
      <c r="W1701" s="34" t="str">
        <f t="shared" si="948"/>
        <v/>
      </c>
      <c r="X1701" s="34" t="str">
        <f>IF(B1701="","",COUNTIF($C$8:C1701,C1701)&amp;C1701)</f>
        <v/>
      </c>
    </row>
    <row r="1702" spans="2:24" ht="23.1" customHeight="1">
      <c r="B1702" s="31"/>
      <c r="C1702" s="9"/>
      <c r="D1702" s="9"/>
      <c r="E1702" s="7"/>
      <c r="F1702" s="7"/>
      <c r="G1702" s="7"/>
      <c r="H1702" s="7"/>
      <c r="I1702" s="7"/>
      <c r="J1702" s="39"/>
      <c r="L1702" s="16" t="str">
        <f t="shared" si="939"/>
        <v/>
      </c>
      <c r="M1702" s="16" t="str">
        <f t="shared" si="940"/>
        <v/>
      </c>
      <c r="N1702" s="16" t="str">
        <f t="shared" si="941"/>
        <v/>
      </c>
      <c r="O1702" s="16" t="str">
        <f>IF(N1702="","",COUNTIF($N$8:N1702,N1702))</f>
        <v/>
      </c>
      <c r="P1702" s="34" t="str">
        <f t="shared" si="942"/>
        <v/>
      </c>
      <c r="Q1702" s="34" t="str">
        <f t="shared" si="943"/>
        <v/>
      </c>
      <c r="R1702" s="34" t="str">
        <f t="shared" si="944"/>
        <v/>
      </c>
      <c r="S1702" s="34" t="str">
        <f t="shared" si="945"/>
        <v/>
      </c>
      <c r="T1702" s="34" t="str">
        <f t="shared" si="946"/>
        <v/>
      </c>
      <c r="U1702" s="34" t="str">
        <f>IF(AND(L1702=1,bp_kode=T1702,T1702&lt;&gt;""),COUNTIF($T$8:T1702,T1702),"")</f>
        <v/>
      </c>
      <c r="V1702" s="34" t="str">
        <f t="shared" si="947"/>
        <v/>
      </c>
      <c r="W1702" s="34" t="str">
        <f t="shared" si="948"/>
        <v/>
      </c>
      <c r="X1702" s="34" t="str">
        <f>IF(B1702="","",COUNTIF($C$8:C1702,C1702)&amp;C1702)</f>
        <v/>
      </c>
    </row>
    <row r="1703" spans="2:24" ht="23.1" customHeight="1">
      <c r="B1703" s="31"/>
      <c r="C1703" s="9"/>
      <c r="D1703" s="9"/>
      <c r="E1703" s="7"/>
      <c r="F1703" s="7"/>
      <c r="G1703" s="7"/>
      <c r="H1703" s="7"/>
      <c r="I1703" s="7"/>
      <c r="J1703" s="39"/>
      <c r="L1703" s="16" t="str">
        <f t="shared" si="939"/>
        <v/>
      </c>
      <c r="M1703" s="16" t="str">
        <f t="shared" si="940"/>
        <v/>
      </c>
      <c r="N1703" s="16" t="str">
        <f t="shared" si="941"/>
        <v/>
      </c>
      <c r="O1703" s="16" t="str">
        <f>IF(N1703="","",COUNTIF($N$8:N1703,N1703))</f>
        <v/>
      </c>
      <c r="P1703" s="34" t="str">
        <f t="shared" si="942"/>
        <v/>
      </c>
      <c r="Q1703" s="34" t="str">
        <f t="shared" si="943"/>
        <v/>
      </c>
      <c r="R1703" s="34" t="str">
        <f t="shared" si="944"/>
        <v/>
      </c>
      <c r="S1703" s="34" t="str">
        <f t="shared" si="945"/>
        <v/>
      </c>
      <c r="T1703" s="34" t="str">
        <f t="shared" si="946"/>
        <v/>
      </c>
      <c r="U1703" s="34" t="str">
        <f>IF(AND(L1703=1,bp_kode=T1703,T1703&lt;&gt;""),COUNTIF($T$8:T1703,T1703),"")</f>
        <v/>
      </c>
      <c r="V1703" s="34" t="str">
        <f t="shared" si="947"/>
        <v/>
      </c>
      <c r="W1703" s="34" t="str">
        <f t="shared" si="948"/>
        <v/>
      </c>
      <c r="X1703" s="34" t="str">
        <f>IF(B1703="","",COUNTIF($C$8:C1703,C1703)&amp;C1703)</f>
        <v/>
      </c>
    </row>
    <row r="1704" spans="2:24" ht="23.1" customHeight="1">
      <c r="B1704" s="31"/>
      <c r="C1704" s="9"/>
      <c r="D1704" s="9"/>
      <c r="E1704" s="7"/>
      <c r="F1704" s="7"/>
      <c r="G1704" s="7"/>
      <c r="H1704" s="7"/>
      <c r="I1704" s="7"/>
      <c r="J1704" s="39"/>
      <c r="L1704" s="16" t="str">
        <f t="shared" si="939"/>
        <v/>
      </c>
      <c r="M1704" s="16" t="str">
        <f t="shared" si="940"/>
        <v/>
      </c>
      <c r="N1704" s="16" t="str">
        <f t="shared" si="941"/>
        <v/>
      </c>
      <c r="O1704" s="16" t="str">
        <f>IF(N1704="","",COUNTIF($N$8:N1704,N1704))</f>
        <v/>
      </c>
      <c r="P1704" s="34" t="str">
        <f t="shared" si="942"/>
        <v/>
      </c>
      <c r="Q1704" s="34" t="str">
        <f t="shared" si="943"/>
        <v/>
      </c>
      <c r="R1704" s="34" t="str">
        <f t="shared" si="944"/>
        <v/>
      </c>
      <c r="S1704" s="34" t="str">
        <f t="shared" si="945"/>
        <v/>
      </c>
      <c r="T1704" s="34" t="str">
        <f t="shared" si="946"/>
        <v/>
      </c>
      <c r="U1704" s="34" t="str">
        <f>IF(AND(L1704=1,bp_kode=T1704,T1704&lt;&gt;""),COUNTIF($T$8:T1704,T1704),"")</f>
        <v/>
      </c>
      <c r="V1704" s="34" t="str">
        <f t="shared" si="947"/>
        <v/>
      </c>
      <c r="W1704" s="34" t="str">
        <f t="shared" si="948"/>
        <v/>
      </c>
      <c r="X1704" s="34" t="str">
        <f>IF(B1704="","",COUNTIF($C$8:C1704,C1704)&amp;C1704)</f>
        <v/>
      </c>
    </row>
    <row r="1705" spans="2:24" ht="23.1" customHeight="1">
      <c r="B1705" s="31"/>
      <c r="C1705" s="9"/>
      <c r="D1705" s="9"/>
      <c r="E1705" s="7"/>
      <c r="F1705" s="7"/>
      <c r="G1705" s="7"/>
      <c r="H1705" s="7"/>
      <c r="I1705" s="7"/>
      <c r="J1705" s="39"/>
      <c r="L1705" s="16" t="str">
        <f t="shared" si="939"/>
        <v/>
      </c>
      <c r="M1705" s="16" t="str">
        <f t="shared" si="940"/>
        <v/>
      </c>
      <c r="N1705" s="16" t="str">
        <f t="shared" si="941"/>
        <v/>
      </c>
      <c r="O1705" s="16" t="str">
        <f>IF(N1705="","",COUNTIF($N$8:N1705,N1705))</f>
        <v/>
      </c>
      <c r="P1705" s="34" t="str">
        <f t="shared" si="942"/>
        <v/>
      </c>
      <c r="Q1705" s="34" t="str">
        <f t="shared" si="943"/>
        <v/>
      </c>
      <c r="R1705" s="34" t="str">
        <f t="shared" si="944"/>
        <v/>
      </c>
      <c r="S1705" s="34" t="str">
        <f t="shared" si="945"/>
        <v/>
      </c>
      <c r="T1705" s="34" t="str">
        <f t="shared" si="946"/>
        <v/>
      </c>
      <c r="U1705" s="34" t="str">
        <f>IF(AND(L1705=1,bp_kode=T1705,T1705&lt;&gt;""),COUNTIF($T$8:T1705,T1705),"")</f>
        <v/>
      </c>
      <c r="V1705" s="34" t="str">
        <f t="shared" si="947"/>
        <v/>
      </c>
      <c r="W1705" s="34" t="str">
        <f t="shared" si="948"/>
        <v/>
      </c>
      <c r="X1705" s="34" t="str">
        <f>IF(B1705="","",COUNTIF($C$8:C1705,C1705)&amp;C1705)</f>
        <v/>
      </c>
    </row>
    <row r="1706" spans="2:24" ht="23.1" customHeight="1">
      <c r="B1706" s="31"/>
      <c r="C1706" s="9"/>
      <c r="D1706" s="9"/>
      <c r="E1706" s="7"/>
      <c r="F1706" s="7"/>
      <c r="G1706" s="7"/>
      <c r="H1706" s="7"/>
      <c r="I1706" s="7"/>
      <c r="J1706" s="39"/>
      <c r="L1706" s="16" t="str">
        <f t="shared" ref="L1706:L1724" si="949">IF(AND(B1706&gt;=awal,B1706&lt;=akhir,B1706&lt;&gt;""),1,IF(AND(B1706&lt;&gt;"",B1706&lt;awal),2,""))</f>
        <v/>
      </c>
      <c r="M1706" s="16" t="str">
        <f t="shared" ref="M1706:M1724" si="950">IF(B1706="","",TEXT(B1706,"mmmm"))</f>
        <v/>
      </c>
      <c r="N1706" s="16" t="str">
        <f t="shared" ref="N1706:N1724" si="951">IF(AND(L1706=1,H1706=bb_akun),"Awe",IF(AND(L1706=1,I1706=bb_akun),"Awe",""))</f>
        <v/>
      </c>
      <c r="O1706" s="16" t="str">
        <f>IF(N1706="","",COUNTIF($N$8:N1706,N1706))</f>
        <v/>
      </c>
      <c r="P1706" s="34" t="str">
        <f t="shared" ref="P1706:P1724" si="952">IFERROR(IF(OR(INDEX(akun_type,MATCH(H1706,akun_kb,0))="Kas",INDEX(akun_type,MATCH(H1706,akun_kb,0))="Bank"),"In"&amp;INDEX(akun_type,MATCH(I1706,akun_kb,0)),IF(OR(INDEX(akun_type,MATCH(I1706,akun_kb,0))="Kas",INDEX(akun_type,MATCH(I1706,akun_kb,0))="Bank"),"out"&amp;INDEX(akun_type,MATCH(H1706,akun_kb,0)),"")),"")</f>
        <v/>
      </c>
      <c r="Q1706" s="34" t="str">
        <f t="shared" ref="Q1706:Q1724" si="953">IFERROR(IF(OR(INDEX(akun_type,MATCH(H1706,akun_kb,0))="Kas",INDEX(akun_type,MATCH(H1706,akun_kb,0))="Bank"),"in"&amp;TEXT(B1706,"mmmm")&amp;INDEX(akun_type,MATCH(I1706,akun_kb,0)),IF(OR(INDEX(akun_type,MATCH(I1706,akun_kb,0))="Kas",INDEX(akun_type,MATCH(I1706,akun_kb,0))="Bank"),"out"&amp;TEXT(B1706,"mmmm")&amp;INDEX(akun_type,MATCH(H1706,akun_kb,0)),"")),"")</f>
        <v/>
      </c>
      <c r="R1706" s="34" t="str">
        <f t="shared" ref="R1706:R1724" si="954">IFERROR(INDEX(akun_type,MATCH(H1706,akun_kb,0)),"")</f>
        <v/>
      </c>
      <c r="S1706" s="34" t="str">
        <f t="shared" ref="S1706:S1724" si="955">IFERROR(INDEX(akun_type,MATCH(I1706,akun_kb,0)),"")</f>
        <v/>
      </c>
      <c r="T1706" s="34" t="str">
        <f t="shared" ref="T1706:T1724" si="956">IF(AND(L1706=1,OR(R1706="Akun Piutang",R1706="akun hutang",S1706="akun piutang",S1706="akun hutang")),E1706,"")</f>
        <v/>
      </c>
      <c r="U1706" s="34" t="str">
        <f>IF(AND(L1706=1,bp_kode=T1706,T1706&lt;&gt;""),COUNTIF($T$8:T1706,T1706),"")</f>
        <v/>
      </c>
      <c r="V1706" s="34" t="str">
        <f t="shared" ref="V1706:V1724" si="957">IF(OR(R1706="Pendapatan",R1706="Pendapatan Lainnya",R1706="Beban",R1706="Harga Pokok Penjualan",R1706="Beban Lainnya"),"db"&amp;F1706,IF(OR(S1706="Pendapatan",S1706="Pendapatan Lainnya",S1706="Beban",S1706="Harga Pokok Penjualan",S1706="Beban Lainnya"),"kr"&amp;F1706,""))</f>
        <v/>
      </c>
      <c r="W1706" s="34" t="str">
        <f t="shared" ref="W1706:W1724" si="958">IF(OR(R1706="Pendapatan",R1706="Pendapatan Lainnya",R1706="Beban",R1706="Harga Pokok Penjualan",R1706="Beban Lainnya"),"db"&amp;G1706,IF(OR(S1706="Pendapatan",S1706="Pendapatan Lainnya",S1706="Beban",S1706="Harga Pokok Penjualan",S1706="Beban Lainnya"),"kr"&amp;G1706,""))</f>
        <v/>
      </c>
      <c r="X1706" s="34" t="str">
        <f>IF(B1706="","",COUNTIF($C$8:C1706,C1706)&amp;C1706)</f>
        <v/>
      </c>
    </row>
    <row r="1707" spans="2:24" ht="23.1" customHeight="1">
      <c r="B1707" s="31"/>
      <c r="C1707" s="9"/>
      <c r="D1707" s="9"/>
      <c r="E1707" s="7"/>
      <c r="F1707" s="7"/>
      <c r="G1707" s="7"/>
      <c r="H1707" s="7"/>
      <c r="I1707" s="7"/>
      <c r="J1707" s="39"/>
      <c r="L1707" s="16" t="str">
        <f t="shared" si="949"/>
        <v/>
      </c>
      <c r="M1707" s="16" t="str">
        <f t="shared" si="950"/>
        <v/>
      </c>
      <c r="N1707" s="16" t="str">
        <f t="shared" si="951"/>
        <v/>
      </c>
      <c r="O1707" s="16" t="str">
        <f>IF(N1707="","",COUNTIF($N$8:N1707,N1707))</f>
        <v/>
      </c>
      <c r="P1707" s="34" t="str">
        <f t="shared" si="952"/>
        <v/>
      </c>
      <c r="Q1707" s="34" t="str">
        <f t="shared" si="953"/>
        <v/>
      </c>
      <c r="R1707" s="34" t="str">
        <f t="shared" si="954"/>
        <v/>
      </c>
      <c r="S1707" s="34" t="str">
        <f t="shared" si="955"/>
        <v/>
      </c>
      <c r="T1707" s="34" t="str">
        <f t="shared" si="956"/>
        <v/>
      </c>
      <c r="U1707" s="34" t="str">
        <f>IF(AND(L1707=1,bp_kode=T1707,T1707&lt;&gt;""),COUNTIF($T$8:T1707,T1707),"")</f>
        <v/>
      </c>
      <c r="V1707" s="34" t="str">
        <f t="shared" si="957"/>
        <v/>
      </c>
      <c r="W1707" s="34" t="str">
        <f t="shared" si="958"/>
        <v/>
      </c>
      <c r="X1707" s="34" t="str">
        <f>IF(B1707="","",COUNTIF($C$8:C1707,C1707)&amp;C1707)</f>
        <v/>
      </c>
    </row>
    <row r="1708" spans="2:24" ht="23.1" customHeight="1">
      <c r="B1708" s="31"/>
      <c r="C1708" s="9"/>
      <c r="D1708" s="9"/>
      <c r="E1708" s="7"/>
      <c r="F1708" s="7"/>
      <c r="G1708" s="7"/>
      <c r="H1708" s="7"/>
      <c r="I1708" s="7"/>
      <c r="J1708" s="39"/>
      <c r="L1708" s="16" t="str">
        <f t="shared" si="949"/>
        <v/>
      </c>
      <c r="M1708" s="16" t="str">
        <f t="shared" si="950"/>
        <v/>
      </c>
      <c r="N1708" s="16" t="str">
        <f t="shared" si="951"/>
        <v/>
      </c>
      <c r="O1708" s="16" t="str">
        <f>IF(N1708="","",COUNTIF($N$8:N1708,N1708))</f>
        <v/>
      </c>
      <c r="P1708" s="34" t="str">
        <f t="shared" si="952"/>
        <v/>
      </c>
      <c r="Q1708" s="34" t="str">
        <f t="shared" si="953"/>
        <v/>
      </c>
      <c r="R1708" s="34" t="str">
        <f t="shared" si="954"/>
        <v/>
      </c>
      <c r="S1708" s="34" t="str">
        <f t="shared" si="955"/>
        <v/>
      </c>
      <c r="T1708" s="34" t="str">
        <f t="shared" si="956"/>
        <v/>
      </c>
      <c r="U1708" s="34" t="str">
        <f>IF(AND(L1708=1,bp_kode=T1708,T1708&lt;&gt;""),COUNTIF($T$8:T1708,T1708),"")</f>
        <v/>
      </c>
      <c r="V1708" s="34" t="str">
        <f t="shared" si="957"/>
        <v/>
      </c>
      <c r="W1708" s="34" t="str">
        <f t="shared" si="958"/>
        <v/>
      </c>
      <c r="X1708" s="34" t="str">
        <f>IF(B1708="","",COUNTIF($C$8:C1708,C1708)&amp;C1708)</f>
        <v/>
      </c>
    </row>
    <row r="1709" spans="2:24" ht="23.1" customHeight="1">
      <c r="B1709" s="31"/>
      <c r="C1709" s="9"/>
      <c r="D1709" s="9"/>
      <c r="E1709" s="7"/>
      <c r="F1709" s="7"/>
      <c r="G1709" s="7"/>
      <c r="H1709" s="7"/>
      <c r="I1709" s="7"/>
      <c r="J1709" s="39"/>
      <c r="L1709" s="16" t="str">
        <f t="shared" si="949"/>
        <v/>
      </c>
      <c r="M1709" s="16" t="str">
        <f t="shared" si="950"/>
        <v/>
      </c>
      <c r="N1709" s="16" t="str">
        <f t="shared" si="951"/>
        <v/>
      </c>
      <c r="O1709" s="16" t="str">
        <f>IF(N1709="","",COUNTIF($N$8:N1709,N1709))</f>
        <v/>
      </c>
      <c r="P1709" s="34" t="str">
        <f t="shared" si="952"/>
        <v/>
      </c>
      <c r="Q1709" s="34" t="str">
        <f t="shared" si="953"/>
        <v/>
      </c>
      <c r="R1709" s="34" t="str">
        <f t="shared" si="954"/>
        <v/>
      </c>
      <c r="S1709" s="34" t="str">
        <f t="shared" si="955"/>
        <v/>
      </c>
      <c r="T1709" s="34" t="str">
        <f t="shared" si="956"/>
        <v/>
      </c>
      <c r="U1709" s="34" t="str">
        <f>IF(AND(L1709=1,bp_kode=T1709,T1709&lt;&gt;""),COUNTIF($T$8:T1709,T1709),"")</f>
        <v/>
      </c>
      <c r="V1709" s="34" t="str">
        <f t="shared" si="957"/>
        <v/>
      </c>
      <c r="W1709" s="34" t="str">
        <f t="shared" si="958"/>
        <v/>
      </c>
      <c r="X1709" s="34" t="str">
        <f>IF(B1709="","",COUNTIF($C$8:C1709,C1709)&amp;C1709)</f>
        <v/>
      </c>
    </row>
    <row r="1710" spans="2:24" ht="23.1" customHeight="1">
      <c r="B1710" s="31"/>
      <c r="C1710" s="9"/>
      <c r="D1710" s="9"/>
      <c r="E1710" s="7"/>
      <c r="F1710" s="7"/>
      <c r="G1710" s="7"/>
      <c r="H1710" s="7"/>
      <c r="I1710" s="7"/>
      <c r="J1710" s="39"/>
      <c r="L1710" s="16" t="str">
        <f t="shared" si="949"/>
        <v/>
      </c>
      <c r="M1710" s="16" t="str">
        <f t="shared" si="950"/>
        <v/>
      </c>
      <c r="N1710" s="16" t="str">
        <f t="shared" si="951"/>
        <v/>
      </c>
      <c r="O1710" s="16" t="str">
        <f>IF(N1710="","",COUNTIF($N$8:N1710,N1710))</f>
        <v/>
      </c>
      <c r="P1710" s="34" t="str">
        <f t="shared" si="952"/>
        <v/>
      </c>
      <c r="Q1710" s="34" t="str">
        <f t="shared" si="953"/>
        <v/>
      </c>
      <c r="R1710" s="34" t="str">
        <f t="shared" si="954"/>
        <v/>
      </c>
      <c r="S1710" s="34" t="str">
        <f t="shared" si="955"/>
        <v/>
      </c>
      <c r="T1710" s="34" t="str">
        <f t="shared" si="956"/>
        <v/>
      </c>
      <c r="U1710" s="34" t="str">
        <f>IF(AND(L1710=1,bp_kode=T1710,T1710&lt;&gt;""),COUNTIF($T$8:T1710,T1710),"")</f>
        <v/>
      </c>
      <c r="V1710" s="34" t="str">
        <f t="shared" si="957"/>
        <v/>
      </c>
      <c r="W1710" s="34" t="str">
        <f t="shared" si="958"/>
        <v/>
      </c>
      <c r="X1710" s="34" t="str">
        <f>IF(B1710="","",COUNTIF($C$8:C1710,C1710)&amp;C1710)</f>
        <v/>
      </c>
    </row>
    <row r="1711" spans="2:24" ht="23.1" customHeight="1">
      <c r="B1711" s="31"/>
      <c r="C1711" s="9"/>
      <c r="D1711" s="9"/>
      <c r="E1711" s="7"/>
      <c r="F1711" s="7"/>
      <c r="G1711" s="7"/>
      <c r="H1711" s="7"/>
      <c r="I1711" s="7"/>
      <c r="J1711" s="39"/>
      <c r="L1711" s="16" t="str">
        <f t="shared" si="949"/>
        <v/>
      </c>
      <c r="M1711" s="16" t="str">
        <f t="shared" si="950"/>
        <v/>
      </c>
      <c r="N1711" s="16" t="str">
        <f t="shared" si="951"/>
        <v/>
      </c>
      <c r="O1711" s="16" t="str">
        <f>IF(N1711="","",COUNTIF($N$8:N1711,N1711))</f>
        <v/>
      </c>
      <c r="P1711" s="34" t="str">
        <f t="shared" si="952"/>
        <v/>
      </c>
      <c r="Q1711" s="34" t="str">
        <f t="shared" si="953"/>
        <v/>
      </c>
      <c r="R1711" s="34" t="str">
        <f t="shared" si="954"/>
        <v/>
      </c>
      <c r="S1711" s="34" t="str">
        <f t="shared" si="955"/>
        <v/>
      </c>
      <c r="T1711" s="34" t="str">
        <f t="shared" si="956"/>
        <v/>
      </c>
      <c r="U1711" s="34" t="str">
        <f>IF(AND(L1711=1,bp_kode=T1711,T1711&lt;&gt;""),COUNTIF($T$8:T1711,T1711),"")</f>
        <v/>
      </c>
      <c r="V1711" s="34" t="str">
        <f t="shared" si="957"/>
        <v/>
      </c>
      <c r="W1711" s="34" t="str">
        <f t="shared" si="958"/>
        <v/>
      </c>
      <c r="X1711" s="34" t="str">
        <f>IF(B1711="","",COUNTIF($C$8:C1711,C1711)&amp;C1711)</f>
        <v/>
      </c>
    </row>
    <row r="1712" spans="2:24" ht="23.1" customHeight="1">
      <c r="B1712" s="31"/>
      <c r="C1712" s="9"/>
      <c r="D1712" s="9"/>
      <c r="E1712" s="7"/>
      <c r="F1712" s="7"/>
      <c r="G1712" s="7"/>
      <c r="H1712" s="7"/>
      <c r="I1712" s="7"/>
      <c r="J1712" s="39"/>
      <c r="L1712" s="16" t="str">
        <f t="shared" si="949"/>
        <v/>
      </c>
      <c r="M1712" s="16" t="str">
        <f t="shared" si="950"/>
        <v/>
      </c>
      <c r="N1712" s="16" t="str">
        <f t="shared" si="951"/>
        <v/>
      </c>
      <c r="O1712" s="16" t="str">
        <f>IF(N1712="","",COUNTIF($N$8:N1712,N1712))</f>
        <v/>
      </c>
      <c r="P1712" s="34" t="str">
        <f t="shared" si="952"/>
        <v/>
      </c>
      <c r="Q1712" s="34" t="str">
        <f t="shared" si="953"/>
        <v/>
      </c>
      <c r="R1712" s="34" t="str">
        <f t="shared" si="954"/>
        <v/>
      </c>
      <c r="S1712" s="34" t="str">
        <f t="shared" si="955"/>
        <v/>
      </c>
      <c r="T1712" s="34" t="str">
        <f t="shared" si="956"/>
        <v/>
      </c>
      <c r="U1712" s="34" t="str">
        <f>IF(AND(L1712=1,bp_kode=T1712,T1712&lt;&gt;""),COUNTIF($T$8:T1712,T1712),"")</f>
        <v/>
      </c>
      <c r="V1712" s="34" t="str">
        <f t="shared" si="957"/>
        <v/>
      </c>
      <c r="W1712" s="34" t="str">
        <f t="shared" si="958"/>
        <v/>
      </c>
      <c r="X1712" s="34" t="str">
        <f>IF(B1712="","",COUNTIF($C$8:C1712,C1712)&amp;C1712)</f>
        <v/>
      </c>
    </row>
    <row r="1713" spans="2:24" ht="23.1" customHeight="1">
      <c r="B1713" s="31"/>
      <c r="C1713" s="9"/>
      <c r="D1713" s="9"/>
      <c r="E1713" s="7"/>
      <c r="F1713" s="7"/>
      <c r="G1713" s="7"/>
      <c r="H1713" s="7"/>
      <c r="I1713" s="7"/>
      <c r="J1713" s="39"/>
      <c r="L1713" s="16" t="str">
        <f t="shared" si="949"/>
        <v/>
      </c>
      <c r="M1713" s="16" t="str">
        <f t="shared" si="950"/>
        <v/>
      </c>
      <c r="N1713" s="16" t="str">
        <f t="shared" si="951"/>
        <v/>
      </c>
      <c r="O1713" s="16" t="str">
        <f>IF(N1713="","",COUNTIF($N$8:N1713,N1713))</f>
        <v/>
      </c>
      <c r="P1713" s="34" t="str">
        <f t="shared" si="952"/>
        <v/>
      </c>
      <c r="Q1713" s="34" t="str">
        <f t="shared" si="953"/>
        <v/>
      </c>
      <c r="R1713" s="34" t="str">
        <f t="shared" si="954"/>
        <v/>
      </c>
      <c r="S1713" s="34" t="str">
        <f t="shared" si="955"/>
        <v/>
      </c>
      <c r="T1713" s="34" t="str">
        <f t="shared" si="956"/>
        <v/>
      </c>
      <c r="U1713" s="34" t="str">
        <f>IF(AND(L1713=1,bp_kode=T1713,T1713&lt;&gt;""),COUNTIF($T$8:T1713,T1713),"")</f>
        <v/>
      </c>
      <c r="V1713" s="34" t="str">
        <f t="shared" si="957"/>
        <v/>
      </c>
      <c r="W1713" s="34" t="str">
        <f t="shared" si="958"/>
        <v/>
      </c>
      <c r="X1713" s="34" t="str">
        <f>IF(B1713="","",COUNTIF($C$8:C1713,C1713)&amp;C1713)</f>
        <v/>
      </c>
    </row>
    <row r="1714" spans="2:24" ht="23.1" customHeight="1">
      <c r="B1714" s="31"/>
      <c r="C1714" s="9"/>
      <c r="D1714" s="9"/>
      <c r="E1714" s="7"/>
      <c r="F1714" s="7"/>
      <c r="G1714" s="7"/>
      <c r="H1714" s="7"/>
      <c r="I1714" s="7"/>
      <c r="J1714" s="39"/>
      <c r="L1714" s="16" t="str">
        <f t="shared" si="949"/>
        <v/>
      </c>
      <c r="M1714" s="16" t="str">
        <f t="shared" si="950"/>
        <v/>
      </c>
      <c r="N1714" s="16" t="str">
        <f t="shared" si="951"/>
        <v/>
      </c>
      <c r="O1714" s="16" t="str">
        <f>IF(N1714="","",COUNTIF($N$8:N1714,N1714))</f>
        <v/>
      </c>
      <c r="P1714" s="34" t="str">
        <f t="shared" si="952"/>
        <v/>
      </c>
      <c r="Q1714" s="34" t="str">
        <f t="shared" si="953"/>
        <v/>
      </c>
      <c r="R1714" s="34" t="str">
        <f t="shared" si="954"/>
        <v/>
      </c>
      <c r="S1714" s="34" t="str">
        <f t="shared" si="955"/>
        <v/>
      </c>
      <c r="T1714" s="34" t="str">
        <f t="shared" si="956"/>
        <v/>
      </c>
      <c r="U1714" s="34" t="str">
        <f>IF(AND(L1714=1,bp_kode=T1714,T1714&lt;&gt;""),COUNTIF($T$8:T1714,T1714),"")</f>
        <v/>
      </c>
      <c r="V1714" s="34" t="str">
        <f t="shared" si="957"/>
        <v/>
      </c>
      <c r="W1714" s="34" t="str">
        <f t="shared" si="958"/>
        <v/>
      </c>
      <c r="X1714" s="34" t="str">
        <f>IF(B1714="","",COUNTIF($C$8:C1714,C1714)&amp;C1714)</f>
        <v/>
      </c>
    </row>
    <row r="1715" spans="2:24" ht="23.1" customHeight="1">
      <c r="B1715" s="31"/>
      <c r="C1715" s="9"/>
      <c r="D1715" s="9"/>
      <c r="E1715" s="7"/>
      <c r="F1715" s="7"/>
      <c r="G1715" s="7"/>
      <c r="H1715" s="7"/>
      <c r="I1715" s="7"/>
      <c r="J1715" s="39"/>
      <c r="L1715" s="16" t="str">
        <f t="shared" si="949"/>
        <v/>
      </c>
      <c r="M1715" s="16" t="str">
        <f t="shared" si="950"/>
        <v/>
      </c>
      <c r="N1715" s="16" t="str">
        <f t="shared" si="951"/>
        <v/>
      </c>
      <c r="O1715" s="16" t="str">
        <f>IF(N1715="","",COUNTIF($N$8:N1715,N1715))</f>
        <v/>
      </c>
      <c r="P1715" s="34" t="str">
        <f t="shared" si="952"/>
        <v/>
      </c>
      <c r="Q1715" s="34" t="str">
        <f t="shared" si="953"/>
        <v/>
      </c>
      <c r="R1715" s="34" t="str">
        <f t="shared" si="954"/>
        <v/>
      </c>
      <c r="S1715" s="34" t="str">
        <f t="shared" si="955"/>
        <v/>
      </c>
      <c r="T1715" s="34" t="str">
        <f t="shared" si="956"/>
        <v/>
      </c>
      <c r="U1715" s="34" t="str">
        <f>IF(AND(L1715=1,bp_kode=T1715,T1715&lt;&gt;""),COUNTIF($T$8:T1715,T1715),"")</f>
        <v/>
      </c>
      <c r="V1715" s="34" t="str">
        <f t="shared" si="957"/>
        <v/>
      </c>
      <c r="W1715" s="34" t="str">
        <f t="shared" si="958"/>
        <v/>
      </c>
      <c r="X1715" s="34" t="str">
        <f>IF(B1715="","",COUNTIF($C$8:C1715,C1715)&amp;C1715)</f>
        <v/>
      </c>
    </row>
    <row r="1716" spans="2:24" ht="23.1" customHeight="1">
      <c r="B1716" s="31"/>
      <c r="C1716" s="9"/>
      <c r="D1716" s="9"/>
      <c r="E1716" s="7"/>
      <c r="F1716" s="7"/>
      <c r="G1716" s="7"/>
      <c r="H1716" s="7"/>
      <c r="I1716" s="7"/>
      <c r="J1716" s="39"/>
      <c r="L1716" s="16" t="str">
        <f t="shared" si="949"/>
        <v/>
      </c>
      <c r="M1716" s="16" t="str">
        <f t="shared" si="950"/>
        <v/>
      </c>
      <c r="N1716" s="16" t="str">
        <f t="shared" si="951"/>
        <v/>
      </c>
      <c r="O1716" s="16" t="str">
        <f>IF(N1716="","",COUNTIF($N$8:N1716,N1716))</f>
        <v/>
      </c>
      <c r="P1716" s="34" t="str">
        <f t="shared" si="952"/>
        <v/>
      </c>
      <c r="Q1716" s="34" t="str">
        <f t="shared" si="953"/>
        <v/>
      </c>
      <c r="R1716" s="34" t="str">
        <f t="shared" si="954"/>
        <v/>
      </c>
      <c r="S1716" s="34" t="str">
        <f t="shared" si="955"/>
        <v/>
      </c>
      <c r="T1716" s="34" t="str">
        <f t="shared" si="956"/>
        <v/>
      </c>
      <c r="U1716" s="34" t="str">
        <f>IF(AND(L1716=1,bp_kode=T1716,T1716&lt;&gt;""),COUNTIF($T$8:T1716,T1716),"")</f>
        <v/>
      </c>
      <c r="V1716" s="34" t="str">
        <f t="shared" si="957"/>
        <v/>
      </c>
      <c r="W1716" s="34" t="str">
        <f t="shared" si="958"/>
        <v/>
      </c>
      <c r="X1716" s="34" t="str">
        <f>IF(B1716="","",COUNTIF($C$8:C1716,C1716)&amp;C1716)</f>
        <v/>
      </c>
    </row>
    <row r="1717" spans="2:24" ht="23.1" customHeight="1">
      <c r="B1717" s="31"/>
      <c r="C1717" s="9"/>
      <c r="D1717" s="9"/>
      <c r="E1717" s="7"/>
      <c r="F1717" s="7"/>
      <c r="G1717" s="7"/>
      <c r="H1717" s="7"/>
      <c r="I1717" s="7"/>
      <c r="J1717" s="39"/>
      <c r="L1717" s="16" t="str">
        <f t="shared" si="949"/>
        <v/>
      </c>
      <c r="M1717" s="16" t="str">
        <f t="shared" si="950"/>
        <v/>
      </c>
      <c r="N1717" s="16" t="str">
        <f t="shared" si="951"/>
        <v/>
      </c>
      <c r="O1717" s="16" t="str">
        <f>IF(N1717="","",COUNTIF($N$8:N1717,N1717))</f>
        <v/>
      </c>
      <c r="P1717" s="34" t="str">
        <f t="shared" si="952"/>
        <v/>
      </c>
      <c r="Q1717" s="34" t="str">
        <f t="shared" si="953"/>
        <v/>
      </c>
      <c r="R1717" s="34" t="str">
        <f t="shared" si="954"/>
        <v/>
      </c>
      <c r="S1717" s="34" t="str">
        <f t="shared" si="955"/>
        <v/>
      </c>
      <c r="T1717" s="34" t="str">
        <f t="shared" si="956"/>
        <v/>
      </c>
      <c r="U1717" s="34" t="str">
        <f>IF(AND(L1717=1,bp_kode=T1717,T1717&lt;&gt;""),COUNTIF($T$8:T1717,T1717),"")</f>
        <v/>
      </c>
      <c r="V1717" s="34" t="str">
        <f t="shared" si="957"/>
        <v/>
      </c>
      <c r="W1717" s="34" t="str">
        <f t="shared" si="958"/>
        <v/>
      </c>
      <c r="X1717" s="34" t="str">
        <f>IF(B1717="","",COUNTIF($C$8:C1717,C1717)&amp;C1717)</f>
        <v/>
      </c>
    </row>
    <row r="1718" spans="2:24" ht="23.1" customHeight="1">
      <c r="B1718" s="31"/>
      <c r="C1718" s="9"/>
      <c r="D1718" s="9"/>
      <c r="E1718" s="7"/>
      <c r="F1718" s="7"/>
      <c r="G1718" s="7"/>
      <c r="H1718" s="7"/>
      <c r="I1718" s="7"/>
      <c r="J1718" s="39"/>
      <c r="L1718" s="16" t="str">
        <f t="shared" si="949"/>
        <v/>
      </c>
      <c r="M1718" s="16" t="str">
        <f t="shared" si="950"/>
        <v/>
      </c>
      <c r="N1718" s="16" t="str">
        <f t="shared" si="951"/>
        <v/>
      </c>
      <c r="O1718" s="16" t="str">
        <f>IF(N1718="","",COUNTIF($N$8:N1718,N1718))</f>
        <v/>
      </c>
      <c r="P1718" s="34" t="str">
        <f t="shared" si="952"/>
        <v/>
      </c>
      <c r="Q1718" s="34" t="str">
        <f t="shared" si="953"/>
        <v/>
      </c>
      <c r="R1718" s="34" t="str">
        <f t="shared" si="954"/>
        <v/>
      </c>
      <c r="S1718" s="34" t="str">
        <f t="shared" si="955"/>
        <v/>
      </c>
      <c r="T1718" s="34" t="str">
        <f t="shared" si="956"/>
        <v/>
      </c>
      <c r="U1718" s="34" t="str">
        <f>IF(AND(L1718=1,bp_kode=T1718,T1718&lt;&gt;""),COUNTIF($T$8:T1718,T1718),"")</f>
        <v/>
      </c>
      <c r="V1718" s="34" t="str">
        <f t="shared" si="957"/>
        <v/>
      </c>
      <c r="W1718" s="34" t="str">
        <f t="shared" si="958"/>
        <v/>
      </c>
      <c r="X1718" s="34" t="str">
        <f>IF(B1718="","",COUNTIF($C$8:C1718,C1718)&amp;C1718)</f>
        <v/>
      </c>
    </row>
    <row r="1719" spans="2:24" ht="23.1" customHeight="1">
      <c r="B1719" s="31"/>
      <c r="C1719" s="9"/>
      <c r="D1719" s="9"/>
      <c r="E1719" s="7"/>
      <c r="F1719" s="7"/>
      <c r="G1719" s="7"/>
      <c r="H1719" s="7"/>
      <c r="I1719" s="7"/>
      <c r="J1719" s="39"/>
      <c r="L1719" s="16" t="str">
        <f t="shared" si="949"/>
        <v/>
      </c>
      <c r="M1719" s="16" t="str">
        <f t="shared" si="950"/>
        <v/>
      </c>
      <c r="N1719" s="16" t="str">
        <f t="shared" si="951"/>
        <v/>
      </c>
      <c r="O1719" s="16" t="str">
        <f>IF(N1719="","",COUNTIF($N$8:N1719,N1719))</f>
        <v/>
      </c>
      <c r="P1719" s="34" t="str">
        <f t="shared" si="952"/>
        <v/>
      </c>
      <c r="Q1719" s="34" t="str">
        <f t="shared" si="953"/>
        <v/>
      </c>
      <c r="R1719" s="34" t="str">
        <f t="shared" si="954"/>
        <v/>
      </c>
      <c r="S1719" s="34" t="str">
        <f t="shared" si="955"/>
        <v/>
      </c>
      <c r="T1719" s="34" t="str">
        <f t="shared" si="956"/>
        <v/>
      </c>
      <c r="U1719" s="34" t="str">
        <f>IF(AND(L1719=1,bp_kode=T1719,T1719&lt;&gt;""),COUNTIF($T$8:T1719,T1719),"")</f>
        <v/>
      </c>
      <c r="V1719" s="34" t="str">
        <f t="shared" si="957"/>
        <v/>
      </c>
      <c r="W1719" s="34" t="str">
        <f t="shared" si="958"/>
        <v/>
      </c>
      <c r="X1719" s="34" t="str">
        <f>IF(B1719="","",COUNTIF($C$8:C1719,C1719)&amp;C1719)</f>
        <v/>
      </c>
    </row>
    <row r="1720" spans="2:24" ht="23.1" customHeight="1">
      <c r="B1720" s="31"/>
      <c r="C1720" s="9"/>
      <c r="D1720" s="9"/>
      <c r="E1720" s="7"/>
      <c r="F1720" s="7"/>
      <c r="G1720" s="7"/>
      <c r="H1720" s="7"/>
      <c r="I1720" s="7"/>
      <c r="J1720" s="39"/>
      <c r="L1720" s="16" t="str">
        <f t="shared" si="949"/>
        <v/>
      </c>
      <c r="M1720" s="16" t="str">
        <f t="shared" si="950"/>
        <v/>
      </c>
      <c r="N1720" s="16" t="str">
        <f t="shared" si="951"/>
        <v/>
      </c>
      <c r="O1720" s="16" t="str">
        <f>IF(N1720="","",COUNTIF($N$8:N1720,N1720))</f>
        <v/>
      </c>
      <c r="P1720" s="34" t="str">
        <f t="shared" si="952"/>
        <v/>
      </c>
      <c r="Q1720" s="34" t="str">
        <f t="shared" si="953"/>
        <v/>
      </c>
      <c r="R1720" s="34" t="str">
        <f t="shared" si="954"/>
        <v/>
      </c>
      <c r="S1720" s="34" t="str">
        <f t="shared" si="955"/>
        <v/>
      </c>
      <c r="T1720" s="34" t="str">
        <f t="shared" si="956"/>
        <v/>
      </c>
      <c r="U1720" s="34" t="str">
        <f>IF(AND(L1720=1,bp_kode=T1720,T1720&lt;&gt;""),COUNTIF($T$8:T1720,T1720),"")</f>
        <v/>
      </c>
      <c r="V1720" s="34" t="str">
        <f t="shared" si="957"/>
        <v/>
      </c>
      <c r="W1720" s="34" t="str">
        <f t="shared" si="958"/>
        <v/>
      </c>
      <c r="X1720" s="34" t="str">
        <f>IF(B1720="","",COUNTIF($C$8:C1720,C1720)&amp;C1720)</f>
        <v/>
      </c>
    </row>
    <row r="1721" spans="2:24" ht="23.1" customHeight="1">
      <c r="B1721" s="31"/>
      <c r="C1721" s="9"/>
      <c r="D1721" s="9"/>
      <c r="E1721" s="7"/>
      <c r="F1721" s="7"/>
      <c r="G1721" s="7"/>
      <c r="H1721" s="7"/>
      <c r="I1721" s="7"/>
      <c r="J1721" s="39"/>
      <c r="L1721" s="16" t="str">
        <f t="shared" si="949"/>
        <v/>
      </c>
      <c r="M1721" s="16" t="str">
        <f t="shared" si="950"/>
        <v/>
      </c>
      <c r="N1721" s="16" t="str">
        <f t="shared" si="951"/>
        <v/>
      </c>
      <c r="O1721" s="16" t="str">
        <f>IF(N1721="","",COUNTIF($N$8:N1721,N1721))</f>
        <v/>
      </c>
      <c r="P1721" s="34" t="str">
        <f t="shared" si="952"/>
        <v/>
      </c>
      <c r="Q1721" s="34" t="str">
        <f t="shared" si="953"/>
        <v/>
      </c>
      <c r="R1721" s="34" t="str">
        <f t="shared" si="954"/>
        <v/>
      </c>
      <c r="S1721" s="34" t="str">
        <f t="shared" si="955"/>
        <v/>
      </c>
      <c r="T1721" s="34" t="str">
        <f t="shared" si="956"/>
        <v/>
      </c>
      <c r="U1721" s="34" t="str">
        <f>IF(AND(L1721=1,bp_kode=T1721,T1721&lt;&gt;""),COUNTIF($T$8:T1721,T1721),"")</f>
        <v/>
      </c>
      <c r="V1721" s="34" t="str">
        <f t="shared" si="957"/>
        <v/>
      </c>
      <c r="W1721" s="34" t="str">
        <f t="shared" si="958"/>
        <v/>
      </c>
      <c r="X1721" s="34" t="str">
        <f>IF(B1721="","",COUNTIF($C$8:C1721,C1721)&amp;C1721)</f>
        <v/>
      </c>
    </row>
    <row r="1722" spans="2:24" ht="23.1" customHeight="1">
      <c r="B1722" s="31"/>
      <c r="C1722" s="9"/>
      <c r="D1722" s="9"/>
      <c r="E1722" s="7"/>
      <c r="F1722" s="7"/>
      <c r="G1722" s="7"/>
      <c r="H1722" s="7"/>
      <c r="I1722" s="7"/>
      <c r="J1722" s="39"/>
      <c r="L1722" s="16" t="str">
        <f t="shared" si="949"/>
        <v/>
      </c>
      <c r="M1722" s="16" t="str">
        <f t="shared" si="950"/>
        <v/>
      </c>
      <c r="N1722" s="16" t="str">
        <f t="shared" si="951"/>
        <v/>
      </c>
      <c r="O1722" s="16" t="str">
        <f>IF(N1722="","",COUNTIF($N$8:N1722,N1722))</f>
        <v/>
      </c>
      <c r="P1722" s="34" t="str">
        <f t="shared" si="952"/>
        <v/>
      </c>
      <c r="Q1722" s="34" t="str">
        <f t="shared" si="953"/>
        <v/>
      </c>
      <c r="R1722" s="34" t="str">
        <f t="shared" si="954"/>
        <v/>
      </c>
      <c r="S1722" s="34" t="str">
        <f t="shared" si="955"/>
        <v/>
      </c>
      <c r="T1722" s="34" t="str">
        <f t="shared" si="956"/>
        <v/>
      </c>
      <c r="U1722" s="34" t="str">
        <f>IF(AND(L1722=1,bp_kode=T1722,T1722&lt;&gt;""),COUNTIF($T$8:T1722,T1722),"")</f>
        <v/>
      </c>
      <c r="V1722" s="34" t="str">
        <f t="shared" si="957"/>
        <v/>
      </c>
      <c r="W1722" s="34" t="str">
        <f t="shared" si="958"/>
        <v/>
      </c>
      <c r="X1722" s="34" t="str">
        <f>IF(B1722="","",COUNTIF($C$8:C1722,C1722)&amp;C1722)</f>
        <v/>
      </c>
    </row>
    <row r="1723" spans="2:24" ht="23.1" customHeight="1">
      <c r="B1723" s="31"/>
      <c r="C1723" s="9"/>
      <c r="D1723" s="9"/>
      <c r="E1723" s="7"/>
      <c r="F1723" s="7"/>
      <c r="G1723" s="7"/>
      <c r="H1723" s="7"/>
      <c r="I1723" s="7"/>
      <c r="J1723" s="39"/>
      <c r="L1723" s="16" t="str">
        <f t="shared" si="949"/>
        <v/>
      </c>
      <c r="M1723" s="16" t="str">
        <f t="shared" si="950"/>
        <v/>
      </c>
      <c r="N1723" s="16" t="str">
        <f t="shared" si="951"/>
        <v/>
      </c>
      <c r="O1723" s="16" t="str">
        <f>IF(N1723="","",COUNTIF($N$8:N1723,N1723))</f>
        <v/>
      </c>
      <c r="P1723" s="34" t="str">
        <f t="shared" si="952"/>
        <v/>
      </c>
      <c r="Q1723" s="34" t="str">
        <f t="shared" si="953"/>
        <v/>
      </c>
      <c r="R1723" s="34" t="str">
        <f t="shared" si="954"/>
        <v/>
      </c>
      <c r="S1723" s="34" t="str">
        <f t="shared" si="955"/>
        <v/>
      </c>
      <c r="T1723" s="34" t="str">
        <f t="shared" si="956"/>
        <v/>
      </c>
      <c r="U1723" s="34" t="str">
        <f>IF(AND(L1723=1,bp_kode=T1723,T1723&lt;&gt;""),COUNTIF($T$8:T1723,T1723),"")</f>
        <v/>
      </c>
      <c r="V1723" s="34" t="str">
        <f t="shared" si="957"/>
        <v/>
      </c>
      <c r="W1723" s="34" t="str">
        <f t="shared" si="958"/>
        <v/>
      </c>
      <c r="X1723" s="34" t="str">
        <f>IF(B1723="","",COUNTIF($C$8:C1723,C1723)&amp;C1723)</f>
        <v/>
      </c>
    </row>
    <row r="1724" spans="2:24" ht="23.1" customHeight="1">
      <c r="B1724" s="31"/>
      <c r="C1724" s="9"/>
      <c r="D1724" s="9"/>
      <c r="E1724" s="7"/>
      <c r="F1724" s="7"/>
      <c r="G1724" s="7"/>
      <c r="H1724" s="7"/>
      <c r="I1724" s="7"/>
      <c r="J1724" s="39"/>
      <c r="L1724" s="16" t="str">
        <f t="shared" si="949"/>
        <v/>
      </c>
      <c r="M1724" s="16" t="str">
        <f t="shared" si="950"/>
        <v/>
      </c>
      <c r="N1724" s="16" t="str">
        <f t="shared" si="951"/>
        <v/>
      </c>
      <c r="O1724" s="16" t="str">
        <f>IF(N1724="","",COUNTIF($N$8:N1724,N1724))</f>
        <v/>
      </c>
      <c r="P1724" s="34" t="str">
        <f t="shared" si="952"/>
        <v/>
      </c>
      <c r="Q1724" s="34" t="str">
        <f t="shared" si="953"/>
        <v/>
      </c>
      <c r="R1724" s="34" t="str">
        <f t="shared" si="954"/>
        <v/>
      </c>
      <c r="S1724" s="34" t="str">
        <f t="shared" si="955"/>
        <v/>
      </c>
      <c r="T1724" s="34" t="str">
        <f t="shared" si="956"/>
        <v/>
      </c>
      <c r="U1724" s="34" t="str">
        <f>IF(AND(L1724=1,bp_kode=T1724,T1724&lt;&gt;""),COUNTIF($T$8:T1724,T1724),"")</f>
        <v/>
      </c>
      <c r="V1724" s="34" t="str">
        <f t="shared" si="957"/>
        <v/>
      </c>
      <c r="W1724" s="34" t="str">
        <f t="shared" si="958"/>
        <v/>
      </c>
      <c r="X1724" s="34" t="str">
        <f>IF(B1724="","",COUNTIF($C$8:C1724,C1724)&amp;C1724)</f>
        <v/>
      </c>
    </row>
    <row r="1725" spans="2:24" ht="23.1" customHeight="1">
      <c r="B1725" s="31"/>
      <c r="C1725" s="9"/>
      <c r="D1725" s="9"/>
      <c r="E1725" s="7"/>
      <c r="F1725" s="7"/>
      <c r="G1725" s="7"/>
      <c r="H1725" s="7"/>
      <c r="I1725" s="7"/>
      <c r="J1725" s="39"/>
      <c r="L1725" s="16" t="str">
        <f t="shared" ref="L1725:L1760" si="959">IF(AND(B1725&gt;=awal,B1725&lt;=akhir,B1725&lt;&gt;""),1,IF(AND(B1725&lt;&gt;"",B1725&lt;awal),2,""))</f>
        <v/>
      </c>
      <c r="M1725" s="16" t="str">
        <f t="shared" ref="M1725:M1760" si="960">IF(B1725="","",TEXT(B1725,"mmmm"))</f>
        <v/>
      </c>
      <c r="N1725" s="16" t="str">
        <f t="shared" ref="N1725:N1760" si="961">IF(AND(L1725=1,H1725=bb_akun),"Awe",IF(AND(L1725=1,I1725=bb_akun),"Awe",""))</f>
        <v/>
      </c>
      <c r="O1725" s="16" t="str">
        <f>IF(N1725="","",COUNTIF($N$8:N1725,N1725))</f>
        <v/>
      </c>
      <c r="P1725" s="34" t="str">
        <f t="shared" ref="P1725:P1760" si="962">IFERROR(IF(OR(INDEX(akun_type,MATCH(H1725,akun_kb,0))="Kas",INDEX(akun_type,MATCH(H1725,akun_kb,0))="Bank"),"In"&amp;INDEX(akun_type,MATCH(I1725,akun_kb,0)),IF(OR(INDEX(akun_type,MATCH(I1725,akun_kb,0))="Kas",INDEX(akun_type,MATCH(I1725,akun_kb,0))="Bank"),"out"&amp;INDEX(akun_type,MATCH(H1725,akun_kb,0)),"")),"")</f>
        <v/>
      </c>
      <c r="Q1725" s="34" t="str">
        <f t="shared" ref="Q1725:Q1760" si="963">IFERROR(IF(OR(INDEX(akun_type,MATCH(H1725,akun_kb,0))="Kas",INDEX(akun_type,MATCH(H1725,akun_kb,0))="Bank"),"in"&amp;TEXT(B1725,"mmmm")&amp;INDEX(akun_type,MATCH(I1725,akun_kb,0)),IF(OR(INDEX(akun_type,MATCH(I1725,akun_kb,0))="Kas",INDEX(akun_type,MATCH(I1725,akun_kb,0))="Bank"),"out"&amp;TEXT(B1725,"mmmm")&amp;INDEX(akun_type,MATCH(H1725,akun_kb,0)),"")),"")</f>
        <v/>
      </c>
      <c r="R1725" s="34" t="str">
        <f t="shared" ref="R1725:R1760" si="964">IFERROR(INDEX(akun_type,MATCH(H1725,akun_kb,0)),"")</f>
        <v/>
      </c>
      <c r="S1725" s="34" t="str">
        <f t="shared" ref="S1725:S1760" si="965">IFERROR(INDEX(akun_type,MATCH(I1725,akun_kb,0)),"")</f>
        <v/>
      </c>
      <c r="T1725" s="34" t="str">
        <f t="shared" ref="T1725:T1760" si="966">IF(AND(L1725=1,OR(R1725="Akun Piutang",R1725="akun hutang",S1725="akun piutang",S1725="akun hutang")),E1725,"")</f>
        <v/>
      </c>
      <c r="U1725" s="34" t="str">
        <f>IF(AND(L1725=1,bp_kode=T1725,T1725&lt;&gt;""),COUNTIF($T$8:T1725,T1725),"")</f>
        <v/>
      </c>
      <c r="V1725" s="34" t="str">
        <f t="shared" ref="V1725:V1760" si="967">IF(OR(R1725="Pendapatan",R1725="Pendapatan Lainnya",R1725="Beban",R1725="Harga Pokok Penjualan",R1725="Beban Lainnya"),"db"&amp;F1725,IF(OR(S1725="Pendapatan",S1725="Pendapatan Lainnya",S1725="Beban",S1725="Harga Pokok Penjualan",S1725="Beban Lainnya"),"kr"&amp;F1725,""))</f>
        <v/>
      </c>
      <c r="W1725" s="34" t="str">
        <f t="shared" ref="W1725:W1760" si="968">IF(OR(R1725="Pendapatan",R1725="Pendapatan Lainnya",R1725="Beban",R1725="Harga Pokok Penjualan",R1725="Beban Lainnya"),"db"&amp;G1725,IF(OR(S1725="Pendapatan",S1725="Pendapatan Lainnya",S1725="Beban",S1725="Harga Pokok Penjualan",S1725="Beban Lainnya"),"kr"&amp;G1725,""))</f>
        <v/>
      </c>
      <c r="X1725" s="34" t="str">
        <f>IF(B1725="","",COUNTIF($C$8:C1725,C1725)&amp;C1725)</f>
        <v/>
      </c>
    </row>
    <row r="1726" spans="2:24" ht="23.1" customHeight="1">
      <c r="B1726" s="31"/>
      <c r="C1726" s="9"/>
      <c r="D1726" s="9"/>
      <c r="E1726" s="7"/>
      <c r="F1726" s="7"/>
      <c r="G1726" s="7"/>
      <c r="H1726" s="7"/>
      <c r="I1726" s="7"/>
      <c r="J1726" s="39"/>
      <c r="L1726" s="16" t="str">
        <f t="shared" si="959"/>
        <v/>
      </c>
      <c r="M1726" s="16" t="str">
        <f t="shared" si="960"/>
        <v/>
      </c>
      <c r="N1726" s="16" t="str">
        <f t="shared" si="961"/>
        <v/>
      </c>
      <c r="O1726" s="16" t="str">
        <f>IF(N1726="","",COUNTIF($N$8:N1726,N1726))</f>
        <v/>
      </c>
      <c r="P1726" s="34" t="str">
        <f t="shared" si="962"/>
        <v/>
      </c>
      <c r="Q1726" s="34" t="str">
        <f t="shared" si="963"/>
        <v/>
      </c>
      <c r="R1726" s="34" t="str">
        <f t="shared" si="964"/>
        <v/>
      </c>
      <c r="S1726" s="34" t="str">
        <f t="shared" si="965"/>
        <v/>
      </c>
      <c r="T1726" s="34" t="str">
        <f t="shared" si="966"/>
        <v/>
      </c>
      <c r="U1726" s="34" t="str">
        <f>IF(AND(L1726=1,bp_kode=T1726,T1726&lt;&gt;""),COUNTIF($T$8:T1726,T1726),"")</f>
        <v/>
      </c>
      <c r="V1726" s="34" t="str">
        <f t="shared" si="967"/>
        <v/>
      </c>
      <c r="W1726" s="34" t="str">
        <f t="shared" si="968"/>
        <v/>
      </c>
      <c r="X1726" s="34" t="str">
        <f>IF(B1726="","",COUNTIF($C$8:C1726,C1726)&amp;C1726)</f>
        <v/>
      </c>
    </row>
    <row r="1727" spans="2:24" ht="23.1" customHeight="1">
      <c r="B1727" s="31"/>
      <c r="C1727" s="9"/>
      <c r="D1727" s="9"/>
      <c r="E1727" s="7"/>
      <c r="F1727" s="7"/>
      <c r="G1727" s="7"/>
      <c r="H1727" s="7"/>
      <c r="I1727" s="7"/>
      <c r="J1727" s="39"/>
      <c r="L1727" s="16" t="str">
        <f t="shared" si="959"/>
        <v/>
      </c>
      <c r="M1727" s="16" t="str">
        <f t="shared" si="960"/>
        <v/>
      </c>
      <c r="N1727" s="16" t="str">
        <f t="shared" si="961"/>
        <v/>
      </c>
      <c r="O1727" s="16" t="str">
        <f>IF(N1727="","",COUNTIF($N$8:N1727,N1727))</f>
        <v/>
      </c>
      <c r="P1727" s="34" t="str">
        <f t="shared" si="962"/>
        <v/>
      </c>
      <c r="Q1727" s="34" t="str">
        <f t="shared" si="963"/>
        <v/>
      </c>
      <c r="R1727" s="34" t="str">
        <f t="shared" si="964"/>
        <v/>
      </c>
      <c r="S1727" s="34" t="str">
        <f t="shared" si="965"/>
        <v/>
      </c>
      <c r="T1727" s="34" t="str">
        <f t="shared" si="966"/>
        <v/>
      </c>
      <c r="U1727" s="34" t="str">
        <f>IF(AND(L1727=1,bp_kode=T1727,T1727&lt;&gt;""),COUNTIF($T$8:T1727,T1727),"")</f>
        <v/>
      </c>
      <c r="V1727" s="34" t="str">
        <f t="shared" si="967"/>
        <v/>
      </c>
      <c r="W1727" s="34" t="str">
        <f t="shared" si="968"/>
        <v/>
      </c>
      <c r="X1727" s="34" t="str">
        <f>IF(B1727="","",COUNTIF($C$8:C1727,C1727)&amp;C1727)</f>
        <v/>
      </c>
    </row>
    <row r="1728" spans="2:24" ht="23.1" customHeight="1">
      <c r="B1728" s="31"/>
      <c r="C1728" s="9"/>
      <c r="D1728" s="9"/>
      <c r="E1728" s="7"/>
      <c r="F1728" s="7"/>
      <c r="G1728" s="7"/>
      <c r="H1728" s="7"/>
      <c r="I1728" s="7"/>
      <c r="J1728" s="39"/>
      <c r="L1728" s="16" t="str">
        <f t="shared" si="959"/>
        <v/>
      </c>
      <c r="M1728" s="16" t="str">
        <f t="shared" si="960"/>
        <v/>
      </c>
      <c r="N1728" s="16" t="str">
        <f t="shared" si="961"/>
        <v/>
      </c>
      <c r="O1728" s="16" t="str">
        <f>IF(N1728="","",COUNTIF($N$8:N1728,N1728))</f>
        <v/>
      </c>
      <c r="P1728" s="34" t="str">
        <f t="shared" si="962"/>
        <v/>
      </c>
      <c r="Q1728" s="34" t="str">
        <f t="shared" si="963"/>
        <v/>
      </c>
      <c r="R1728" s="34" t="str">
        <f t="shared" si="964"/>
        <v/>
      </c>
      <c r="S1728" s="34" t="str">
        <f t="shared" si="965"/>
        <v/>
      </c>
      <c r="T1728" s="34" t="str">
        <f t="shared" si="966"/>
        <v/>
      </c>
      <c r="U1728" s="34" t="str">
        <f>IF(AND(L1728=1,bp_kode=T1728,T1728&lt;&gt;""),COUNTIF($T$8:T1728,T1728),"")</f>
        <v/>
      </c>
      <c r="V1728" s="34" t="str">
        <f t="shared" si="967"/>
        <v/>
      </c>
      <c r="W1728" s="34" t="str">
        <f t="shared" si="968"/>
        <v/>
      </c>
      <c r="X1728" s="34" t="str">
        <f>IF(B1728="","",COUNTIF($C$8:C1728,C1728)&amp;C1728)</f>
        <v/>
      </c>
    </row>
    <row r="1729" spans="2:24" ht="23.1" customHeight="1">
      <c r="B1729" s="31"/>
      <c r="C1729" s="9"/>
      <c r="D1729" s="9"/>
      <c r="E1729" s="7"/>
      <c r="F1729" s="7"/>
      <c r="G1729" s="7"/>
      <c r="H1729" s="7"/>
      <c r="I1729" s="7"/>
      <c r="J1729" s="39"/>
      <c r="L1729" s="16" t="str">
        <f t="shared" si="959"/>
        <v/>
      </c>
      <c r="M1729" s="16" t="str">
        <f t="shared" si="960"/>
        <v/>
      </c>
      <c r="N1729" s="16" t="str">
        <f t="shared" si="961"/>
        <v/>
      </c>
      <c r="O1729" s="16" t="str">
        <f>IF(N1729="","",COUNTIF($N$8:N1729,N1729))</f>
        <v/>
      </c>
      <c r="P1729" s="34" t="str">
        <f t="shared" si="962"/>
        <v/>
      </c>
      <c r="Q1729" s="34" t="str">
        <f t="shared" si="963"/>
        <v/>
      </c>
      <c r="R1729" s="34" t="str">
        <f t="shared" si="964"/>
        <v/>
      </c>
      <c r="S1729" s="34" t="str">
        <f t="shared" si="965"/>
        <v/>
      </c>
      <c r="T1729" s="34" t="str">
        <f t="shared" si="966"/>
        <v/>
      </c>
      <c r="U1729" s="34" t="str">
        <f>IF(AND(L1729=1,bp_kode=T1729,T1729&lt;&gt;""),COUNTIF($T$8:T1729,T1729),"")</f>
        <v/>
      </c>
      <c r="V1729" s="34" t="str">
        <f t="shared" si="967"/>
        <v/>
      </c>
      <c r="W1729" s="34" t="str">
        <f t="shared" si="968"/>
        <v/>
      </c>
      <c r="X1729" s="34" t="str">
        <f>IF(B1729="","",COUNTIF($C$8:C1729,C1729)&amp;C1729)</f>
        <v/>
      </c>
    </row>
    <row r="1730" spans="2:24" ht="23.1" customHeight="1">
      <c r="B1730" s="31"/>
      <c r="C1730" s="9"/>
      <c r="D1730" s="9"/>
      <c r="E1730" s="7"/>
      <c r="F1730" s="7"/>
      <c r="G1730" s="7"/>
      <c r="H1730" s="7"/>
      <c r="I1730" s="7"/>
      <c r="J1730" s="39"/>
      <c r="L1730" s="16" t="str">
        <f t="shared" si="959"/>
        <v/>
      </c>
      <c r="M1730" s="16" t="str">
        <f t="shared" si="960"/>
        <v/>
      </c>
      <c r="N1730" s="16" t="str">
        <f t="shared" si="961"/>
        <v/>
      </c>
      <c r="O1730" s="16" t="str">
        <f>IF(N1730="","",COUNTIF($N$8:N1730,N1730))</f>
        <v/>
      </c>
      <c r="P1730" s="34" t="str">
        <f t="shared" si="962"/>
        <v/>
      </c>
      <c r="Q1730" s="34" t="str">
        <f t="shared" si="963"/>
        <v/>
      </c>
      <c r="R1730" s="34" t="str">
        <f t="shared" si="964"/>
        <v/>
      </c>
      <c r="S1730" s="34" t="str">
        <f t="shared" si="965"/>
        <v/>
      </c>
      <c r="T1730" s="34" t="str">
        <f t="shared" si="966"/>
        <v/>
      </c>
      <c r="U1730" s="34" t="str">
        <f>IF(AND(L1730=1,bp_kode=T1730,T1730&lt;&gt;""),COUNTIF($T$8:T1730,T1730),"")</f>
        <v/>
      </c>
      <c r="V1730" s="34" t="str">
        <f t="shared" si="967"/>
        <v/>
      </c>
      <c r="W1730" s="34" t="str">
        <f t="shared" si="968"/>
        <v/>
      </c>
      <c r="X1730" s="34" t="str">
        <f>IF(B1730="","",COUNTIF($C$8:C1730,C1730)&amp;C1730)</f>
        <v/>
      </c>
    </row>
    <row r="1731" spans="2:24" ht="23.1" customHeight="1">
      <c r="B1731" s="31"/>
      <c r="C1731" s="9"/>
      <c r="D1731" s="9"/>
      <c r="E1731" s="7"/>
      <c r="F1731" s="7"/>
      <c r="G1731" s="7"/>
      <c r="H1731" s="7"/>
      <c r="I1731" s="7"/>
      <c r="J1731" s="39"/>
      <c r="L1731" s="16" t="str">
        <f t="shared" si="959"/>
        <v/>
      </c>
      <c r="M1731" s="16" t="str">
        <f t="shared" si="960"/>
        <v/>
      </c>
      <c r="N1731" s="16" t="str">
        <f t="shared" si="961"/>
        <v/>
      </c>
      <c r="O1731" s="16" t="str">
        <f>IF(N1731="","",COUNTIF($N$8:N1731,N1731))</f>
        <v/>
      </c>
      <c r="P1731" s="34" t="str">
        <f t="shared" si="962"/>
        <v/>
      </c>
      <c r="Q1731" s="34" t="str">
        <f t="shared" si="963"/>
        <v/>
      </c>
      <c r="R1731" s="34" t="str">
        <f t="shared" si="964"/>
        <v/>
      </c>
      <c r="S1731" s="34" t="str">
        <f t="shared" si="965"/>
        <v/>
      </c>
      <c r="T1731" s="34" t="str">
        <f t="shared" si="966"/>
        <v/>
      </c>
      <c r="U1731" s="34" t="str">
        <f>IF(AND(L1731=1,bp_kode=T1731,T1731&lt;&gt;""),COUNTIF($T$8:T1731,T1731),"")</f>
        <v/>
      </c>
      <c r="V1731" s="34" t="str">
        <f t="shared" si="967"/>
        <v/>
      </c>
      <c r="W1731" s="34" t="str">
        <f t="shared" si="968"/>
        <v/>
      </c>
      <c r="X1731" s="34" t="str">
        <f>IF(B1731="","",COUNTIF($C$8:C1731,C1731)&amp;C1731)</f>
        <v/>
      </c>
    </row>
    <row r="1732" spans="2:24" ht="23.1" customHeight="1">
      <c r="B1732" s="31"/>
      <c r="C1732" s="9"/>
      <c r="D1732" s="9"/>
      <c r="E1732" s="7"/>
      <c r="F1732" s="7"/>
      <c r="G1732" s="7"/>
      <c r="H1732" s="7"/>
      <c r="I1732" s="7"/>
      <c r="J1732" s="39"/>
      <c r="L1732" s="16" t="str">
        <f t="shared" si="959"/>
        <v/>
      </c>
      <c r="M1732" s="16" t="str">
        <f t="shared" si="960"/>
        <v/>
      </c>
      <c r="N1732" s="16" t="str">
        <f t="shared" si="961"/>
        <v/>
      </c>
      <c r="O1732" s="16" t="str">
        <f>IF(N1732="","",COUNTIF($N$8:N1732,N1732))</f>
        <v/>
      </c>
      <c r="P1732" s="34" t="str">
        <f t="shared" si="962"/>
        <v/>
      </c>
      <c r="Q1732" s="34" t="str">
        <f t="shared" si="963"/>
        <v/>
      </c>
      <c r="R1732" s="34" t="str">
        <f t="shared" si="964"/>
        <v/>
      </c>
      <c r="S1732" s="34" t="str">
        <f t="shared" si="965"/>
        <v/>
      </c>
      <c r="T1732" s="34" t="str">
        <f t="shared" si="966"/>
        <v/>
      </c>
      <c r="U1732" s="34" t="str">
        <f>IF(AND(L1732=1,bp_kode=T1732,T1732&lt;&gt;""),COUNTIF($T$8:T1732,T1732),"")</f>
        <v/>
      </c>
      <c r="V1732" s="34" t="str">
        <f t="shared" si="967"/>
        <v/>
      </c>
      <c r="W1732" s="34" t="str">
        <f t="shared" si="968"/>
        <v/>
      </c>
      <c r="X1732" s="34" t="str">
        <f>IF(B1732="","",COUNTIF($C$8:C1732,C1732)&amp;C1732)</f>
        <v/>
      </c>
    </row>
    <row r="1733" spans="2:24" ht="23.1" customHeight="1">
      <c r="B1733" s="31"/>
      <c r="C1733" s="9"/>
      <c r="D1733" s="9"/>
      <c r="E1733" s="7"/>
      <c r="F1733" s="7"/>
      <c r="G1733" s="7"/>
      <c r="H1733" s="7"/>
      <c r="I1733" s="7"/>
      <c r="J1733" s="39"/>
      <c r="L1733" s="16" t="str">
        <f t="shared" si="959"/>
        <v/>
      </c>
      <c r="M1733" s="16" t="str">
        <f t="shared" si="960"/>
        <v/>
      </c>
      <c r="N1733" s="16" t="str">
        <f t="shared" si="961"/>
        <v/>
      </c>
      <c r="O1733" s="16" t="str">
        <f>IF(N1733="","",COUNTIF($N$8:N1733,N1733))</f>
        <v/>
      </c>
      <c r="P1733" s="34" t="str">
        <f t="shared" si="962"/>
        <v/>
      </c>
      <c r="Q1733" s="34" t="str">
        <f t="shared" si="963"/>
        <v/>
      </c>
      <c r="R1733" s="34" t="str">
        <f t="shared" si="964"/>
        <v/>
      </c>
      <c r="S1733" s="34" t="str">
        <f t="shared" si="965"/>
        <v/>
      </c>
      <c r="T1733" s="34" t="str">
        <f t="shared" si="966"/>
        <v/>
      </c>
      <c r="U1733" s="34" t="str">
        <f>IF(AND(L1733=1,bp_kode=T1733,T1733&lt;&gt;""),COUNTIF($T$8:T1733,T1733),"")</f>
        <v/>
      </c>
      <c r="V1733" s="34" t="str">
        <f t="shared" si="967"/>
        <v/>
      </c>
      <c r="W1733" s="34" t="str">
        <f t="shared" si="968"/>
        <v/>
      </c>
      <c r="X1733" s="34" t="str">
        <f>IF(B1733="","",COUNTIF($C$8:C1733,C1733)&amp;C1733)</f>
        <v/>
      </c>
    </row>
    <row r="1734" spans="2:24" ht="23.1" customHeight="1">
      <c r="B1734" s="31"/>
      <c r="C1734" s="9"/>
      <c r="D1734" s="9"/>
      <c r="E1734" s="7"/>
      <c r="F1734" s="7"/>
      <c r="G1734" s="7"/>
      <c r="H1734" s="7"/>
      <c r="I1734" s="7"/>
      <c r="J1734" s="39"/>
      <c r="L1734" s="16" t="str">
        <f t="shared" si="959"/>
        <v/>
      </c>
      <c r="M1734" s="16" t="str">
        <f t="shared" si="960"/>
        <v/>
      </c>
      <c r="N1734" s="16" t="str">
        <f t="shared" si="961"/>
        <v/>
      </c>
      <c r="O1734" s="16" t="str">
        <f>IF(N1734="","",COUNTIF($N$8:N1734,N1734))</f>
        <v/>
      </c>
      <c r="P1734" s="34" t="str">
        <f t="shared" si="962"/>
        <v/>
      </c>
      <c r="Q1734" s="34" t="str">
        <f t="shared" si="963"/>
        <v/>
      </c>
      <c r="R1734" s="34" t="str">
        <f t="shared" si="964"/>
        <v/>
      </c>
      <c r="S1734" s="34" t="str">
        <f t="shared" si="965"/>
        <v/>
      </c>
      <c r="T1734" s="34" t="str">
        <f t="shared" si="966"/>
        <v/>
      </c>
      <c r="U1734" s="34" t="str">
        <f>IF(AND(L1734=1,bp_kode=T1734,T1734&lt;&gt;""),COUNTIF($T$8:T1734,T1734),"")</f>
        <v/>
      </c>
      <c r="V1734" s="34" t="str">
        <f t="shared" si="967"/>
        <v/>
      </c>
      <c r="W1734" s="34" t="str">
        <f t="shared" si="968"/>
        <v/>
      </c>
      <c r="X1734" s="34" t="str">
        <f>IF(B1734="","",COUNTIF($C$8:C1734,C1734)&amp;C1734)</f>
        <v/>
      </c>
    </row>
    <row r="1735" spans="2:24" ht="23.1" customHeight="1">
      <c r="B1735" s="31"/>
      <c r="C1735" s="9"/>
      <c r="D1735" s="9"/>
      <c r="E1735" s="7"/>
      <c r="F1735" s="7"/>
      <c r="G1735" s="7"/>
      <c r="H1735" s="7"/>
      <c r="I1735" s="7"/>
      <c r="J1735" s="39"/>
      <c r="L1735" s="16" t="str">
        <f t="shared" si="959"/>
        <v/>
      </c>
      <c r="M1735" s="16" t="str">
        <f t="shared" si="960"/>
        <v/>
      </c>
      <c r="N1735" s="16" t="str">
        <f t="shared" si="961"/>
        <v/>
      </c>
      <c r="O1735" s="16" t="str">
        <f>IF(N1735="","",COUNTIF($N$8:N1735,N1735))</f>
        <v/>
      </c>
      <c r="P1735" s="34" t="str">
        <f t="shared" si="962"/>
        <v/>
      </c>
      <c r="Q1735" s="34" t="str">
        <f t="shared" si="963"/>
        <v/>
      </c>
      <c r="R1735" s="34" t="str">
        <f t="shared" si="964"/>
        <v/>
      </c>
      <c r="S1735" s="34" t="str">
        <f t="shared" si="965"/>
        <v/>
      </c>
      <c r="T1735" s="34" t="str">
        <f t="shared" si="966"/>
        <v/>
      </c>
      <c r="U1735" s="34" t="str">
        <f>IF(AND(L1735=1,bp_kode=T1735,T1735&lt;&gt;""),COUNTIF($T$8:T1735,T1735),"")</f>
        <v/>
      </c>
      <c r="V1735" s="34" t="str">
        <f t="shared" si="967"/>
        <v/>
      </c>
      <c r="W1735" s="34" t="str">
        <f t="shared" si="968"/>
        <v/>
      </c>
      <c r="X1735" s="34" t="str">
        <f>IF(B1735="","",COUNTIF($C$8:C1735,C1735)&amp;C1735)</f>
        <v/>
      </c>
    </row>
    <row r="1736" spans="2:24" ht="23.1" customHeight="1">
      <c r="B1736" s="31"/>
      <c r="C1736" s="9"/>
      <c r="D1736" s="9"/>
      <c r="E1736" s="7"/>
      <c r="F1736" s="7"/>
      <c r="G1736" s="7"/>
      <c r="H1736" s="7"/>
      <c r="I1736" s="7"/>
      <c r="J1736" s="39"/>
      <c r="L1736" s="16" t="str">
        <f t="shared" si="959"/>
        <v/>
      </c>
      <c r="M1736" s="16" t="str">
        <f t="shared" si="960"/>
        <v/>
      </c>
      <c r="N1736" s="16" t="str">
        <f t="shared" si="961"/>
        <v/>
      </c>
      <c r="O1736" s="16" t="str">
        <f>IF(N1736="","",COUNTIF($N$8:N1736,N1736))</f>
        <v/>
      </c>
      <c r="P1736" s="34" t="str">
        <f t="shared" si="962"/>
        <v/>
      </c>
      <c r="Q1736" s="34" t="str">
        <f t="shared" si="963"/>
        <v/>
      </c>
      <c r="R1736" s="34" t="str">
        <f t="shared" si="964"/>
        <v/>
      </c>
      <c r="S1736" s="34" t="str">
        <f t="shared" si="965"/>
        <v/>
      </c>
      <c r="T1736" s="34" t="str">
        <f t="shared" si="966"/>
        <v/>
      </c>
      <c r="U1736" s="34" t="str">
        <f>IF(AND(L1736=1,bp_kode=T1736,T1736&lt;&gt;""),COUNTIF($T$8:T1736,T1736),"")</f>
        <v/>
      </c>
      <c r="V1736" s="34" t="str">
        <f t="shared" si="967"/>
        <v/>
      </c>
      <c r="W1736" s="34" t="str">
        <f t="shared" si="968"/>
        <v/>
      </c>
      <c r="X1736" s="34" t="str">
        <f>IF(B1736="","",COUNTIF($C$8:C1736,C1736)&amp;C1736)</f>
        <v/>
      </c>
    </row>
    <row r="1737" spans="2:24" ht="23.1" customHeight="1">
      <c r="B1737" s="31"/>
      <c r="C1737" s="9"/>
      <c r="D1737" s="9"/>
      <c r="E1737" s="7"/>
      <c r="F1737" s="7"/>
      <c r="G1737" s="7"/>
      <c r="H1737" s="7"/>
      <c r="I1737" s="7"/>
      <c r="J1737" s="39"/>
      <c r="L1737" s="16" t="str">
        <f t="shared" si="959"/>
        <v/>
      </c>
      <c r="M1737" s="16" t="str">
        <f t="shared" si="960"/>
        <v/>
      </c>
      <c r="N1737" s="16" t="str">
        <f t="shared" si="961"/>
        <v/>
      </c>
      <c r="O1737" s="16" t="str">
        <f>IF(N1737="","",COUNTIF($N$8:N1737,N1737))</f>
        <v/>
      </c>
      <c r="P1737" s="34" t="str">
        <f t="shared" si="962"/>
        <v/>
      </c>
      <c r="Q1737" s="34" t="str">
        <f t="shared" si="963"/>
        <v/>
      </c>
      <c r="R1737" s="34" t="str">
        <f t="shared" si="964"/>
        <v/>
      </c>
      <c r="S1737" s="34" t="str">
        <f t="shared" si="965"/>
        <v/>
      </c>
      <c r="T1737" s="34" t="str">
        <f t="shared" si="966"/>
        <v/>
      </c>
      <c r="U1737" s="34" t="str">
        <f>IF(AND(L1737=1,bp_kode=T1737,T1737&lt;&gt;""),COUNTIF($T$8:T1737,T1737),"")</f>
        <v/>
      </c>
      <c r="V1737" s="34" t="str">
        <f t="shared" si="967"/>
        <v/>
      </c>
      <c r="W1737" s="34" t="str">
        <f t="shared" si="968"/>
        <v/>
      </c>
      <c r="X1737" s="34" t="str">
        <f>IF(B1737="","",COUNTIF($C$8:C1737,C1737)&amp;C1737)</f>
        <v/>
      </c>
    </row>
    <row r="1738" spans="2:24" ht="23.1" customHeight="1">
      <c r="B1738" s="31"/>
      <c r="C1738" s="9"/>
      <c r="D1738" s="9"/>
      <c r="E1738" s="7"/>
      <c r="F1738" s="7"/>
      <c r="G1738" s="7"/>
      <c r="H1738" s="7"/>
      <c r="I1738" s="7"/>
      <c r="J1738" s="39"/>
      <c r="L1738" s="16" t="str">
        <f t="shared" si="959"/>
        <v/>
      </c>
      <c r="M1738" s="16" t="str">
        <f t="shared" si="960"/>
        <v/>
      </c>
      <c r="N1738" s="16" t="str">
        <f t="shared" si="961"/>
        <v/>
      </c>
      <c r="O1738" s="16" t="str">
        <f>IF(N1738="","",COUNTIF($N$8:N1738,N1738))</f>
        <v/>
      </c>
      <c r="P1738" s="34" t="str">
        <f t="shared" si="962"/>
        <v/>
      </c>
      <c r="Q1738" s="34" t="str">
        <f t="shared" si="963"/>
        <v/>
      </c>
      <c r="R1738" s="34" t="str">
        <f t="shared" si="964"/>
        <v/>
      </c>
      <c r="S1738" s="34" t="str">
        <f t="shared" si="965"/>
        <v/>
      </c>
      <c r="T1738" s="34" t="str">
        <f t="shared" si="966"/>
        <v/>
      </c>
      <c r="U1738" s="34" t="str">
        <f>IF(AND(L1738=1,bp_kode=T1738,T1738&lt;&gt;""),COUNTIF($T$8:T1738,T1738),"")</f>
        <v/>
      </c>
      <c r="V1738" s="34" t="str">
        <f t="shared" si="967"/>
        <v/>
      </c>
      <c r="W1738" s="34" t="str">
        <f t="shared" si="968"/>
        <v/>
      </c>
      <c r="X1738" s="34" t="str">
        <f>IF(B1738="","",COUNTIF($C$8:C1738,C1738)&amp;C1738)</f>
        <v/>
      </c>
    </row>
    <row r="1739" spans="2:24" ht="23.1" customHeight="1">
      <c r="B1739" s="31"/>
      <c r="C1739" s="9"/>
      <c r="D1739" s="9"/>
      <c r="E1739" s="7"/>
      <c r="F1739" s="7"/>
      <c r="G1739" s="7"/>
      <c r="H1739" s="7"/>
      <c r="I1739" s="7"/>
      <c r="J1739" s="39"/>
      <c r="L1739" s="16" t="str">
        <f t="shared" si="959"/>
        <v/>
      </c>
      <c r="M1739" s="16" t="str">
        <f t="shared" si="960"/>
        <v/>
      </c>
      <c r="N1739" s="16" t="str">
        <f t="shared" si="961"/>
        <v/>
      </c>
      <c r="O1739" s="16" t="str">
        <f>IF(N1739="","",COUNTIF($N$8:N1739,N1739))</f>
        <v/>
      </c>
      <c r="P1739" s="34" t="str">
        <f t="shared" si="962"/>
        <v/>
      </c>
      <c r="Q1739" s="34" t="str">
        <f t="shared" si="963"/>
        <v/>
      </c>
      <c r="R1739" s="34" t="str">
        <f t="shared" si="964"/>
        <v/>
      </c>
      <c r="S1739" s="34" t="str">
        <f t="shared" si="965"/>
        <v/>
      </c>
      <c r="T1739" s="34" t="str">
        <f t="shared" si="966"/>
        <v/>
      </c>
      <c r="U1739" s="34" t="str">
        <f>IF(AND(L1739=1,bp_kode=T1739,T1739&lt;&gt;""),COUNTIF($T$8:T1739,T1739),"")</f>
        <v/>
      </c>
      <c r="V1739" s="34" t="str">
        <f t="shared" si="967"/>
        <v/>
      </c>
      <c r="W1739" s="34" t="str">
        <f t="shared" si="968"/>
        <v/>
      </c>
      <c r="X1739" s="34" t="str">
        <f>IF(B1739="","",COUNTIF($C$8:C1739,C1739)&amp;C1739)</f>
        <v/>
      </c>
    </row>
    <row r="1740" spans="2:24" ht="23.1" customHeight="1">
      <c r="B1740" s="31"/>
      <c r="C1740" s="9"/>
      <c r="D1740" s="9"/>
      <c r="E1740" s="7"/>
      <c r="F1740" s="7"/>
      <c r="G1740" s="7"/>
      <c r="H1740" s="7"/>
      <c r="I1740" s="7"/>
      <c r="J1740" s="39"/>
      <c r="L1740" s="16" t="str">
        <f t="shared" si="959"/>
        <v/>
      </c>
      <c r="M1740" s="16" t="str">
        <f t="shared" si="960"/>
        <v/>
      </c>
      <c r="N1740" s="16" t="str">
        <f t="shared" si="961"/>
        <v/>
      </c>
      <c r="O1740" s="16" t="str">
        <f>IF(N1740="","",COUNTIF($N$8:N1740,N1740))</f>
        <v/>
      </c>
      <c r="P1740" s="34" t="str">
        <f t="shared" si="962"/>
        <v/>
      </c>
      <c r="Q1740" s="34" t="str">
        <f t="shared" si="963"/>
        <v/>
      </c>
      <c r="R1740" s="34" t="str">
        <f t="shared" si="964"/>
        <v/>
      </c>
      <c r="S1740" s="34" t="str">
        <f t="shared" si="965"/>
        <v/>
      </c>
      <c r="T1740" s="34" t="str">
        <f t="shared" si="966"/>
        <v/>
      </c>
      <c r="U1740" s="34" t="str">
        <f>IF(AND(L1740=1,bp_kode=T1740,T1740&lt;&gt;""),COUNTIF($T$8:T1740,T1740),"")</f>
        <v/>
      </c>
      <c r="V1740" s="34" t="str">
        <f t="shared" si="967"/>
        <v/>
      </c>
      <c r="W1740" s="34" t="str">
        <f t="shared" si="968"/>
        <v/>
      </c>
      <c r="X1740" s="34" t="str">
        <f>IF(B1740="","",COUNTIF($C$8:C1740,C1740)&amp;C1740)</f>
        <v/>
      </c>
    </row>
    <row r="1741" spans="2:24" ht="23.1" customHeight="1">
      <c r="B1741" s="31"/>
      <c r="C1741" s="9"/>
      <c r="D1741" s="9"/>
      <c r="E1741" s="7"/>
      <c r="F1741" s="7"/>
      <c r="G1741" s="7"/>
      <c r="H1741" s="7"/>
      <c r="I1741" s="7"/>
      <c r="J1741" s="39"/>
      <c r="L1741" s="16" t="str">
        <f t="shared" si="959"/>
        <v/>
      </c>
      <c r="M1741" s="16" t="str">
        <f t="shared" si="960"/>
        <v/>
      </c>
      <c r="N1741" s="16" t="str">
        <f t="shared" si="961"/>
        <v/>
      </c>
      <c r="O1741" s="16" t="str">
        <f>IF(N1741="","",COUNTIF($N$8:N1741,N1741))</f>
        <v/>
      </c>
      <c r="P1741" s="34" t="str">
        <f t="shared" si="962"/>
        <v/>
      </c>
      <c r="Q1741" s="34" t="str">
        <f t="shared" si="963"/>
        <v/>
      </c>
      <c r="R1741" s="34" t="str">
        <f t="shared" si="964"/>
        <v/>
      </c>
      <c r="S1741" s="34" t="str">
        <f t="shared" si="965"/>
        <v/>
      </c>
      <c r="T1741" s="34" t="str">
        <f t="shared" si="966"/>
        <v/>
      </c>
      <c r="U1741" s="34" t="str">
        <f>IF(AND(L1741=1,bp_kode=T1741,T1741&lt;&gt;""),COUNTIF($T$8:T1741,T1741),"")</f>
        <v/>
      </c>
      <c r="V1741" s="34" t="str">
        <f t="shared" si="967"/>
        <v/>
      </c>
      <c r="W1741" s="34" t="str">
        <f t="shared" si="968"/>
        <v/>
      </c>
      <c r="X1741" s="34" t="str">
        <f>IF(B1741="","",COUNTIF($C$8:C1741,C1741)&amp;C1741)</f>
        <v/>
      </c>
    </row>
    <row r="1742" spans="2:24" ht="23.1" customHeight="1">
      <c r="B1742" s="31"/>
      <c r="C1742" s="9"/>
      <c r="D1742" s="9"/>
      <c r="E1742" s="7"/>
      <c r="F1742" s="7"/>
      <c r="G1742" s="7"/>
      <c r="H1742" s="7"/>
      <c r="I1742" s="7"/>
      <c r="J1742" s="39"/>
      <c r="L1742" s="16" t="str">
        <f t="shared" si="959"/>
        <v/>
      </c>
      <c r="M1742" s="16" t="str">
        <f t="shared" si="960"/>
        <v/>
      </c>
      <c r="N1742" s="16" t="str">
        <f t="shared" si="961"/>
        <v/>
      </c>
      <c r="O1742" s="16" t="str">
        <f>IF(N1742="","",COUNTIF($N$8:N1742,N1742))</f>
        <v/>
      </c>
      <c r="P1742" s="34" t="str">
        <f t="shared" si="962"/>
        <v/>
      </c>
      <c r="Q1742" s="34" t="str">
        <f t="shared" si="963"/>
        <v/>
      </c>
      <c r="R1742" s="34" t="str">
        <f t="shared" si="964"/>
        <v/>
      </c>
      <c r="S1742" s="34" t="str">
        <f t="shared" si="965"/>
        <v/>
      </c>
      <c r="T1742" s="34" t="str">
        <f t="shared" si="966"/>
        <v/>
      </c>
      <c r="U1742" s="34" t="str">
        <f>IF(AND(L1742=1,bp_kode=T1742,T1742&lt;&gt;""),COUNTIF($T$8:T1742,T1742),"")</f>
        <v/>
      </c>
      <c r="V1742" s="34" t="str">
        <f t="shared" si="967"/>
        <v/>
      </c>
      <c r="W1742" s="34" t="str">
        <f t="shared" si="968"/>
        <v/>
      </c>
      <c r="X1742" s="34" t="str">
        <f>IF(B1742="","",COUNTIF($C$8:C1742,C1742)&amp;C1742)</f>
        <v/>
      </c>
    </row>
    <row r="1743" spans="2:24" ht="23.1" customHeight="1">
      <c r="B1743" s="31"/>
      <c r="C1743" s="9"/>
      <c r="D1743" s="9"/>
      <c r="E1743" s="7"/>
      <c r="F1743" s="7"/>
      <c r="G1743" s="7"/>
      <c r="H1743" s="7"/>
      <c r="I1743" s="7"/>
      <c r="J1743" s="39"/>
      <c r="L1743" s="16" t="str">
        <f t="shared" si="959"/>
        <v/>
      </c>
      <c r="M1743" s="16" t="str">
        <f t="shared" si="960"/>
        <v/>
      </c>
      <c r="N1743" s="16" t="str">
        <f t="shared" si="961"/>
        <v/>
      </c>
      <c r="O1743" s="16" t="str">
        <f>IF(N1743="","",COUNTIF($N$8:N1743,N1743))</f>
        <v/>
      </c>
      <c r="P1743" s="34" t="str">
        <f t="shared" si="962"/>
        <v/>
      </c>
      <c r="Q1743" s="34" t="str">
        <f t="shared" si="963"/>
        <v/>
      </c>
      <c r="R1743" s="34" t="str">
        <f t="shared" si="964"/>
        <v/>
      </c>
      <c r="S1743" s="34" t="str">
        <f t="shared" si="965"/>
        <v/>
      </c>
      <c r="T1743" s="34" t="str">
        <f t="shared" si="966"/>
        <v/>
      </c>
      <c r="U1743" s="34" t="str">
        <f>IF(AND(L1743=1,bp_kode=T1743,T1743&lt;&gt;""),COUNTIF($T$8:T1743,T1743),"")</f>
        <v/>
      </c>
      <c r="V1743" s="34" t="str">
        <f t="shared" si="967"/>
        <v/>
      </c>
      <c r="W1743" s="34" t="str">
        <f t="shared" si="968"/>
        <v/>
      </c>
      <c r="X1743" s="34" t="str">
        <f>IF(B1743="","",COUNTIF($C$8:C1743,C1743)&amp;C1743)</f>
        <v/>
      </c>
    </row>
    <row r="1744" spans="2:24" ht="23.1" customHeight="1">
      <c r="B1744" s="31"/>
      <c r="C1744" s="9"/>
      <c r="D1744" s="9"/>
      <c r="E1744" s="7"/>
      <c r="F1744" s="7"/>
      <c r="G1744" s="7"/>
      <c r="H1744" s="7"/>
      <c r="I1744" s="7"/>
      <c r="J1744" s="39"/>
      <c r="L1744" s="16" t="str">
        <f t="shared" si="959"/>
        <v/>
      </c>
      <c r="M1744" s="16" t="str">
        <f t="shared" si="960"/>
        <v/>
      </c>
      <c r="N1744" s="16" t="str">
        <f t="shared" si="961"/>
        <v/>
      </c>
      <c r="O1744" s="16" t="str">
        <f>IF(N1744="","",COUNTIF($N$8:N1744,N1744))</f>
        <v/>
      </c>
      <c r="P1744" s="34" t="str">
        <f t="shared" si="962"/>
        <v/>
      </c>
      <c r="Q1744" s="34" t="str">
        <f t="shared" si="963"/>
        <v/>
      </c>
      <c r="R1744" s="34" t="str">
        <f t="shared" si="964"/>
        <v/>
      </c>
      <c r="S1744" s="34" t="str">
        <f t="shared" si="965"/>
        <v/>
      </c>
      <c r="T1744" s="34" t="str">
        <f t="shared" si="966"/>
        <v/>
      </c>
      <c r="U1744" s="34" t="str">
        <f>IF(AND(L1744=1,bp_kode=T1744,T1744&lt;&gt;""),COUNTIF($T$8:T1744,T1744),"")</f>
        <v/>
      </c>
      <c r="V1744" s="34" t="str">
        <f t="shared" si="967"/>
        <v/>
      </c>
      <c r="W1744" s="34" t="str">
        <f t="shared" si="968"/>
        <v/>
      </c>
      <c r="X1744" s="34" t="str">
        <f>IF(B1744="","",COUNTIF($C$8:C1744,C1744)&amp;C1744)</f>
        <v/>
      </c>
    </row>
    <row r="1745" spans="2:24" ht="23.1" customHeight="1">
      <c r="B1745" s="31"/>
      <c r="C1745" s="9"/>
      <c r="D1745" s="9"/>
      <c r="E1745" s="7"/>
      <c r="F1745" s="7"/>
      <c r="G1745" s="7"/>
      <c r="H1745" s="7"/>
      <c r="I1745" s="7"/>
      <c r="J1745" s="39"/>
      <c r="L1745" s="16" t="str">
        <f t="shared" si="959"/>
        <v/>
      </c>
      <c r="M1745" s="16" t="str">
        <f t="shared" si="960"/>
        <v/>
      </c>
      <c r="N1745" s="16" t="str">
        <f t="shared" si="961"/>
        <v/>
      </c>
      <c r="O1745" s="16" t="str">
        <f>IF(N1745="","",COUNTIF($N$8:N1745,N1745))</f>
        <v/>
      </c>
      <c r="P1745" s="34" t="str">
        <f t="shared" si="962"/>
        <v/>
      </c>
      <c r="Q1745" s="34" t="str">
        <f t="shared" si="963"/>
        <v/>
      </c>
      <c r="R1745" s="34" t="str">
        <f t="shared" si="964"/>
        <v/>
      </c>
      <c r="S1745" s="34" t="str">
        <f t="shared" si="965"/>
        <v/>
      </c>
      <c r="T1745" s="34" t="str">
        <f t="shared" si="966"/>
        <v/>
      </c>
      <c r="U1745" s="34" t="str">
        <f>IF(AND(L1745=1,bp_kode=T1745,T1745&lt;&gt;""),COUNTIF($T$8:T1745,T1745),"")</f>
        <v/>
      </c>
      <c r="V1745" s="34" t="str">
        <f t="shared" si="967"/>
        <v/>
      </c>
      <c r="W1745" s="34" t="str">
        <f t="shared" si="968"/>
        <v/>
      </c>
      <c r="X1745" s="34" t="str">
        <f>IF(B1745="","",COUNTIF($C$8:C1745,C1745)&amp;C1745)</f>
        <v/>
      </c>
    </row>
    <row r="1746" spans="2:24" ht="23.1" customHeight="1">
      <c r="B1746" s="31"/>
      <c r="C1746" s="9"/>
      <c r="D1746" s="9"/>
      <c r="E1746" s="7"/>
      <c r="F1746" s="7"/>
      <c r="G1746" s="7"/>
      <c r="H1746" s="7"/>
      <c r="I1746" s="7"/>
      <c r="J1746" s="39"/>
      <c r="L1746" s="16" t="str">
        <f t="shared" si="959"/>
        <v/>
      </c>
      <c r="M1746" s="16" t="str">
        <f t="shared" si="960"/>
        <v/>
      </c>
      <c r="N1746" s="16" t="str">
        <f t="shared" si="961"/>
        <v/>
      </c>
      <c r="O1746" s="16" t="str">
        <f>IF(N1746="","",COUNTIF($N$8:N1746,N1746))</f>
        <v/>
      </c>
      <c r="P1746" s="34" t="str">
        <f t="shared" si="962"/>
        <v/>
      </c>
      <c r="Q1746" s="34" t="str">
        <f t="shared" si="963"/>
        <v/>
      </c>
      <c r="R1746" s="34" t="str">
        <f t="shared" si="964"/>
        <v/>
      </c>
      <c r="S1746" s="34" t="str">
        <f t="shared" si="965"/>
        <v/>
      </c>
      <c r="T1746" s="34" t="str">
        <f t="shared" si="966"/>
        <v/>
      </c>
      <c r="U1746" s="34" t="str">
        <f>IF(AND(L1746=1,bp_kode=T1746,T1746&lt;&gt;""),COUNTIF($T$8:T1746,T1746),"")</f>
        <v/>
      </c>
      <c r="V1746" s="34" t="str">
        <f t="shared" si="967"/>
        <v/>
      </c>
      <c r="W1746" s="34" t="str">
        <f t="shared" si="968"/>
        <v/>
      </c>
      <c r="X1746" s="34" t="str">
        <f>IF(B1746="","",COUNTIF($C$8:C1746,C1746)&amp;C1746)</f>
        <v/>
      </c>
    </row>
    <row r="1747" spans="2:24" ht="23.1" customHeight="1">
      <c r="B1747" s="31"/>
      <c r="C1747" s="9"/>
      <c r="D1747" s="9"/>
      <c r="E1747" s="7"/>
      <c r="F1747" s="7"/>
      <c r="G1747" s="7"/>
      <c r="H1747" s="7"/>
      <c r="I1747" s="7"/>
      <c r="J1747" s="39"/>
      <c r="L1747" s="16" t="str">
        <f t="shared" si="959"/>
        <v/>
      </c>
      <c r="M1747" s="16" t="str">
        <f t="shared" si="960"/>
        <v/>
      </c>
      <c r="N1747" s="16" t="str">
        <f t="shared" si="961"/>
        <v/>
      </c>
      <c r="O1747" s="16" t="str">
        <f>IF(N1747="","",COUNTIF($N$8:N1747,N1747))</f>
        <v/>
      </c>
      <c r="P1747" s="34" t="str">
        <f t="shared" si="962"/>
        <v/>
      </c>
      <c r="Q1747" s="34" t="str">
        <f t="shared" si="963"/>
        <v/>
      </c>
      <c r="R1747" s="34" t="str">
        <f t="shared" si="964"/>
        <v/>
      </c>
      <c r="S1747" s="34" t="str">
        <f t="shared" si="965"/>
        <v/>
      </c>
      <c r="T1747" s="34" t="str">
        <f t="shared" si="966"/>
        <v/>
      </c>
      <c r="U1747" s="34" t="str">
        <f>IF(AND(L1747=1,bp_kode=T1747,T1747&lt;&gt;""),COUNTIF($T$8:T1747,T1747),"")</f>
        <v/>
      </c>
      <c r="V1747" s="34" t="str">
        <f t="shared" si="967"/>
        <v/>
      </c>
      <c r="W1747" s="34" t="str">
        <f t="shared" si="968"/>
        <v/>
      </c>
      <c r="X1747" s="34" t="str">
        <f>IF(B1747="","",COUNTIF($C$8:C1747,C1747)&amp;C1747)</f>
        <v/>
      </c>
    </row>
    <row r="1748" spans="2:24" ht="23.1" customHeight="1">
      <c r="B1748" s="31"/>
      <c r="C1748" s="9"/>
      <c r="D1748" s="9"/>
      <c r="E1748" s="7"/>
      <c r="F1748" s="7"/>
      <c r="G1748" s="7"/>
      <c r="H1748" s="7"/>
      <c r="I1748" s="7"/>
      <c r="J1748" s="39"/>
      <c r="L1748" s="16" t="str">
        <f t="shared" si="959"/>
        <v/>
      </c>
      <c r="M1748" s="16" t="str">
        <f t="shared" si="960"/>
        <v/>
      </c>
      <c r="N1748" s="16" t="str">
        <f t="shared" si="961"/>
        <v/>
      </c>
      <c r="O1748" s="16" t="str">
        <f>IF(N1748="","",COUNTIF($N$8:N1748,N1748))</f>
        <v/>
      </c>
      <c r="P1748" s="34" t="str">
        <f t="shared" si="962"/>
        <v/>
      </c>
      <c r="Q1748" s="34" t="str">
        <f t="shared" si="963"/>
        <v/>
      </c>
      <c r="R1748" s="34" t="str">
        <f t="shared" si="964"/>
        <v/>
      </c>
      <c r="S1748" s="34" t="str">
        <f t="shared" si="965"/>
        <v/>
      </c>
      <c r="T1748" s="34" t="str">
        <f t="shared" si="966"/>
        <v/>
      </c>
      <c r="U1748" s="34" t="str">
        <f>IF(AND(L1748=1,bp_kode=T1748,T1748&lt;&gt;""),COUNTIF($T$8:T1748,T1748),"")</f>
        <v/>
      </c>
      <c r="V1748" s="34" t="str">
        <f t="shared" si="967"/>
        <v/>
      </c>
      <c r="W1748" s="34" t="str">
        <f t="shared" si="968"/>
        <v/>
      </c>
      <c r="X1748" s="34" t="str">
        <f>IF(B1748="","",COUNTIF($C$8:C1748,C1748)&amp;C1748)</f>
        <v/>
      </c>
    </row>
    <row r="1749" spans="2:24" ht="23.1" customHeight="1">
      <c r="B1749" s="31"/>
      <c r="C1749" s="9"/>
      <c r="D1749" s="9"/>
      <c r="E1749" s="7"/>
      <c r="F1749" s="7"/>
      <c r="G1749" s="7"/>
      <c r="H1749" s="7"/>
      <c r="I1749" s="7"/>
      <c r="J1749" s="39"/>
      <c r="L1749" s="16" t="str">
        <f t="shared" si="959"/>
        <v/>
      </c>
      <c r="M1749" s="16" t="str">
        <f t="shared" si="960"/>
        <v/>
      </c>
      <c r="N1749" s="16" t="str">
        <f t="shared" si="961"/>
        <v/>
      </c>
      <c r="O1749" s="16" t="str">
        <f>IF(N1749="","",COUNTIF($N$8:N1749,N1749))</f>
        <v/>
      </c>
      <c r="P1749" s="34" t="str">
        <f t="shared" si="962"/>
        <v/>
      </c>
      <c r="Q1749" s="34" t="str">
        <f t="shared" si="963"/>
        <v/>
      </c>
      <c r="R1749" s="34" t="str">
        <f t="shared" si="964"/>
        <v/>
      </c>
      <c r="S1749" s="34" t="str">
        <f t="shared" si="965"/>
        <v/>
      </c>
      <c r="T1749" s="34" t="str">
        <f t="shared" si="966"/>
        <v/>
      </c>
      <c r="U1749" s="34" t="str">
        <f>IF(AND(L1749=1,bp_kode=T1749,T1749&lt;&gt;""),COUNTIF($T$8:T1749,T1749),"")</f>
        <v/>
      </c>
      <c r="V1749" s="34" t="str">
        <f t="shared" si="967"/>
        <v/>
      </c>
      <c r="W1749" s="34" t="str">
        <f t="shared" si="968"/>
        <v/>
      </c>
      <c r="X1749" s="34" t="str">
        <f>IF(B1749="","",COUNTIF($C$8:C1749,C1749)&amp;C1749)</f>
        <v/>
      </c>
    </row>
    <row r="1750" spans="2:24" ht="23.1" customHeight="1">
      <c r="B1750" s="31"/>
      <c r="C1750" s="9"/>
      <c r="D1750" s="9"/>
      <c r="E1750" s="7"/>
      <c r="F1750" s="7"/>
      <c r="G1750" s="7"/>
      <c r="H1750" s="7"/>
      <c r="I1750" s="7"/>
      <c r="J1750" s="39"/>
      <c r="L1750" s="16" t="str">
        <f t="shared" si="959"/>
        <v/>
      </c>
      <c r="M1750" s="16" t="str">
        <f t="shared" si="960"/>
        <v/>
      </c>
      <c r="N1750" s="16" t="str">
        <f t="shared" si="961"/>
        <v/>
      </c>
      <c r="O1750" s="16" t="str">
        <f>IF(N1750="","",COUNTIF($N$8:N1750,N1750))</f>
        <v/>
      </c>
      <c r="P1750" s="34" t="str">
        <f t="shared" si="962"/>
        <v/>
      </c>
      <c r="Q1750" s="34" t="str">
        <f t="shared" si="963"/>
        <v/>
      </c>
      <c r="R1750" s="34" t="str">
        <f t="shared" si="964"/>
        <v/>
      </c>
      <c r="S1750" s="34" t="str">
        <f t="shared" si="965"/>
        <v/>
      </c>
      <c r="T1750" s="34" t="str">
        <f t="shared" si="966"/>
        <v/>
      </c>
      <c r="U1750" s="34" t="str">
        <f>IF(AND(L1750=1,bp_kode=T1750,T1750&lt;&gt;""),COUNTIF($T$8:T1750,T1750),"")</f>
        <v/>
      </c>
      <c r="V1750" s="34" t="str">
        <f t="shared" si="967"/>
        <v/>
      </c>
      <c r="W1750" s="34" t="str">
        <f t="shared" si="968"/>
        <v/>
      </c>
      <c r="X1750" s="34" t="str">
        <f>IF(B1750="","",COUNTIF($C$8:C1750,C1750)&amp;C1750)</f>
        <v/>
      </c>
    </row>
    <row r="1751" spans="2:24" ht="23.1" customHeight="1">
      <c r="B1751" s="31"/>
      <c r="C1751" s="9"/>
      <c r="D1751" s="9"/>
      <c r="E1751" s="7"/>
      <c r="F1751" s="7"/>
      <c r="G1751" s="7"/>
      <c r="H1751" s="7"/>
      <c r="I1751" s="7"/>
      <c r="J1751" s="39"/>
      <c r="L1751" s="16" t="str">
        <f t="shared" si="959"/>
        <v/>
      </c>
      <c r="M1751" s="16" t="str">
        <f t="shared" si="960"/>
        <v/>
      </c>
      <c r="N1751" s="16" t="str">
        <f t="shared" si="961"/>
        <v/>
      </c>
      <c r="O1751" s="16" t="str">
        <f>IF(N1751="","",COUNTIF($N$8:N1751,N1751))</f>
        <v/>
      </c>
      <c r="P1751" s="34" t="str">
        <f t="shared" si="962"/>
        <v/>
      </c>
      <c r="Q1751" s="34" t="str">
        <f t="shared" si="963"/>
        <v/>
      </c>
      <c r="R1751" s="34" t="str">
        <f t="shared" si="964"/>
        <v/>
      </c>
      <c r="S1751" s="34" t="str">
        <f t="shared" si="965"/>
        <v/>
      </c>
      <c r="T1751" s="34" t="str">
        <f t="shared" si="966"/>
        <v/>
      </c>
      <c r="U1751" s="34" t="str">
        <f>IF(AND(L1751=1,bp_kode=T1751,T1751&lt;&gt;""),COUNTIF($T$8:T1751,T1751),"")</f>
        <v/>
      </c>
      <c r="V1751" s="34" t="str">
        <f t="shared" si="967"/>
        <v/>
      </c>
      <c r="W1751" s="34" t="str">
        <f t="shared" si="968"/>
        <v/>
      </c>
      <c r="X1751" s="34" t="str">
        <f>IF(B1751="","",COUNTIF($C$8:C1751,C1751)&amp;C1751)</f>
        <v/>
      </c>
    </row>
    <row r="1752" spans="2:24" ht="23.1" customHeight="1">
      <c r="B1752" s="31"/>
      <c r="C1752" s="9"/>
      <c r="D1752" s="9"/>
      <c r="E1752" s="7"/>
      <c r="F1752" s="7"/>
      <c r="G1752" s="7"/>
      <c r="H1752" s="7"/>
      <c r="I1752" s="7"/>
      <c r="J1752" s="39"/>
      <c r="L1752" s="16" t="str">
        <f t="shared" si="959"/>
        <v/>
      </c>
      <c r="M1752" s="16" t="str">
        <f t="shared" si="960"/>
        <v/>
      </c>
      <c r="N1752" s="16" t="str">
        <f t="shared" si="961"/>
        <v/>
      </c>
      <c r="O1752" s="16" t="str">
        <f>IF(N1752="","",COUNTIF($N$8:N1752,N1752))</f>
        <v/>
      </c>
      <c r="P1752" s="34" t="str">
        <f t="shared" si="962"/>
        <v/>
      </c>
      <c r="Q1752" s="34" t="str">
        <f t="shared" si="963"/>
        <v/>
      </c>
      <c r="R1752" s="34" t="str">
        <f t="shared" si="964"/>
        <v/>
      </c>
      <c r="S1752" s="34" t="str">
        <f t="shared" si="965"/>
        <v/>
      </c>
      <c r="T1752" s="34" t="str">
        <f t="shared" si="966"/>
        <v/>
      </c>
      <c r="U1752" s="34" t="str">
        <f>IF(AND(L1752=1,bp_kode=T1752,T1752&lt;&gt;""),COUNTIF($T$8:T1752,T1752),"")</f>
        <v/>
      </c>
      <c r="V1752" s="34" t="str">
        <f t="shared" si="967"/>
        <v/>
      </c>
      <c r="W1752" s="34" t="str">
        <f t="shared" si="968"/>
        <v/>
      </c>
      <c r="X1752" s="34" t="str">
        <f>IF(B1752="","",COUNTIF($C$8:C1752,C1752)&amp;C1752)</f>
        <v/>
      </c>
    </row>
    <row r="1753" spans="2:24" ht="23.1" customHeight="1">
      <c r="B1753" s="31"/>
      <c r="C1753" s="9"/>
      <c r="D1753" s="9"/>
      <c r="E1753" s="7"/>
      <c r="F1753" s="7"/>
      <c r="G1753" s="7"/>
      <c r="H1753" s="7"/>
      <c r="I1753" s="7"/>
      <c r="J1753" s="39"/>
      <c r="L1753" s="16" t="str">
        <f t="shared" si="959"/>
        <v/>
      </c>
      <c r="M1753" s="16" t="str">
        <f t="shared" si="960"/>
        <v/>
      </c>
      <c r="N1753" s="16" t="str">
        <f t="shared" si="961"/>
        <v/>
      </c>
      <c r="O1753" s="16" t="str">
        <f>IF(N1753="","",COUNTIF($N$8:N1753,N1753))</f>
        <v/>
      </c>
      <c r="P1753" s="34" t="str">
        <f t="shared" si="962"/>
        <v/>
      </c>
      <c r="Q1753" s="34" t="str">
        <f t="shared" si="963"/>
        <v/>
      </c>
      <c r="R1753" s="34" t="str">
        <f t="shared" si="964"/>
        <v/>
      </c>
      <c r="S1753" s="34" t="str">
        <f t="shared" si="965"/>
        <v/>
      </c>
      <c r="T1753" s="34" t="str">
        <f t="shared" si="966"/>
        <v/>
      </c>
      <c r="U1753" s="34" t="str">
        <f>IF(AND(L1753=1,bp_kode=T1753,T1753&lt;&gt;""),COUNTIF($T$8:T1753,T1753),"")</f>
        <v/>
      </c>
      <c r="V1753" s="34" t="str">
        <f t="shared" si="967"/>
        <v/>
      </c>
      <c r="W1753" s="34" t="str">
        <f t="shared" si="968"/>
        <v/>
      </c>
      <c r="X1753" s="34" t="str">
        <f>IF(B1753="","",COUNTIF($C$8:C1753,C1753)&amp;C1753)</f>
        <v/>
      </c>
    </row>
    <row r="1754" spans="2:24" ht="23.1" customHeight="1">
      <c r="B1754" s="31"/>
      <c r="C1754" s="9"/>
      <c r="D1754" s="9"/>
      <c r="E1754" s="7"/>
      <c r="F1754" s="7"/>
      <c r="G1754" s="7"/>
      <c r="H1754" s="7"/>
      <c r="I1754" s="7"/>
      <c r="J1754" s="39"/>
      <c r="L1754" s="16" t="str">
        <f t="shared" si="959"/>
        <v/>
      </c>
      <c r="M1754" s="16" t="str">
        <f t="shared" si="960"/>
        <v/>
      </c>
      <c r="N1754" s="16" t="str">
        <f t="shared" si="961"/>
        <v/>
      </c>
      <c r="O1754" s="16" t="str">
        <f>IF(N1754="","",COUNTIF($N$8:N1754,N1754))</f>
        <v/>
      </c>
      <c r="P1754" s="34" t="str">
        <f t="shared" si="962"/>
        <v/>
      </c>
      <c r="Q1754" s="34" t="str">
        <f t="shared" si="963"/>
        <v/>
      </c>
      <c r="R1754" s="34" t="str">
        <f t="shared" si="964"/>
        <v/>
      </c>
      <c r="S1754" s="34" t="str">
        <f t="shared" si="965"/>
        <v/>
      </c>
      <c r="T1754" s="34" t="str">
        <f t="shared" si="966"/>
        <v/>
      </c>
      <c r="U1754" s="34" t="str">
        <f>IF(AND(L1754=1,bp_kode=T1754,T1754&lt;&gt;""),COUNTIF($T$8:T1754,T1754),"")</f>
        <v/>
      </c>
      <c r="V1754" s="34" t="str">
        <f t="shared" si="967"/>
        <v/>
      </c>
      <c r="W1754" s="34" t="str">
        <f t="shared" si="968"/>
        <v/>
      </c>
      <c r="X1754" s="34" t="str">
        <f>IF(B1754="","",COUNTIF($C$8:C1754,C1754)&amp;C1754)</f>
        <v/>
      </c>
    </row>
    <row r="1755" spans="2:24" ht="23.1" customHeight="1">
      <c r="B1755" s="31"/>
      <c r="C1755" s="9"/>
      <c r="D1755" s="9"/>
      <c r="E1755" s="7"/>
      <c r="F1755" s="7"/>
      <c r="G1755" s="7"/>
      <c r="H1755" s="7"/>
      <c r="I1755" s="7"/>
      <c r="J1755" s="39"/>
      <c r="L1755" s="16" t="str">
        <f t="shared" si="959"/>
        <v/>
      </c>
      <c r="M1755" s="16" t="str">
        <f t="shared" si="960"/>
        <v/>
      </c>
      <c r="N1755" s="16" t="str">
        <f t="shared" si="961"/>
        <v/>
      </c>
      <c r="O1755" s="16" t="str">
        <f>IF(N1755="","",COUNTIF($N$8:N1755,N1755))</f>
        <v/>
      </c>
      <c r="P1755" s="34" t="str">
        <f t="shared" si="962"/>
        <v/>
      </c>
      <c r="Q1755" s="34" t="str">
        <f t="shared" si="963"/>
        <v/>
      </c>
      <c r="R1755" s="34" t="str">
        <f t="shared" si="964"/>
        <v/>
      </c>
      <c r="S1755" s="34" t="str">
        <f t="shared" si="965"/>
        <v/>
      </c>
      <c r="T1755" s="34" t="str">
        <f t="shared" si="966"/>
        <v/>
      </c>
      <c r="U1755" s="34" t="str">
        <f>IF(AND(L1755=1,bp_kode=T1755,T1755&lt;&gt;""),COUNTIF($T$8:T1755,T1755),"")</f>
        <v/>
      </c>
      <c r="V1755" s="34" t="str">
        <f t="shared" si="967"/>
        <v/>
      </c>
      <c r="W1755" s="34" t="str">
        <f t="shared" si="968"/>
        <v/>
      </c>
      <c r="X1755" s="34" t="str">
        <f>IF(B1755="","",COUNTIF($C$8:C1755,C1755)&amp;C1755)</f>
        <v/>
      </c>
    </row>
    <row r="1756" spans="2:24" ht="23.1" customHeight="1">
      <c r="B1756" s="31"/>
      <c r="C1756" s="9"/>
      <c r="D1756" s="9"/>
      <c r="E1756" s="7"/>
      <c r="F1756" s="7"/>
      <c r="G1756" s="7"/>
      <c r="H1756" s="7"/>
      <c r="I1756" s="7"/>
      <c r="J1756" s="39"/>
      <c r="L1756" s="16" t="str">
        <f t="shared" si="959"/>
        <v/>
      </c>
      <c r="M1756" s="16" t="str">
        <f t="shared" si="960"/>
        <v/>
      </c>
      <c r="N1756" s="16" t="str">
        <f t="shared" si="961"/>
        <v/>
      </c>
      <c r="O1756" s="16" t="str">
        <f>IF(N1756="","",COUNTIF($N$8:N1756,N1756))</f>
        <v/>
      </c>
      <c r="P1756" s="34" t="str">
        <f t="shared" si="962"/>
        <v/>
      </c>
      <c r="Q1756" s="34" t="str">
        <f t="shared" si="963"/>
        <v/>
      </c>
      <c r="R1756" s="34" t="str">
        <f t="shared" si="964"/>
        <v/>
      </c>
      <c r="S1756" s="34" t="str">
        <f t="shared" si="965"/>
        <v/>
      </c>
      <c r="T1756" s="34" t="str">
        <f t="shared" si="966"/>
        <v/>
      </c>
      <c r="U1756" s="34" t="str">
        <f>IF(AND(L1756=1,bp_kode=T1756,T1756&lt;&gt;""),COUNTIF($T$8:T1756,T1756),"")</f>
        <v/>
      </c>
      <c r="V1756" s="34" t="str">
        <f t="shared" si="967"/>
        <v/>
      </c>
      <c r="W1756" s="34" t="str">
        <f t="shared" si="968"/>
        <v/>
      </c>
      <c r="X1756" s="34" t="str">
        <f>IF(B1756="","",COUNTIF($C$8:C1756,C1756)&amp;C1756)</f>
        <v/>
      </c>
    </row>
    <row r="1757" spans="2:24" ht="23.1" customHeight="1">
      <c r="B1757" s="31"/>
      <c r="C1757" s="9"/>
      <c r="D1757" s="9"/>
      <c r="E1757" s="7"/>
      <c r="F1757" s="7"/>
      <c r="G1757" s="7"/>
      <c r="H1757" s="7"/>
      <c r="I1757" s="7"/>
      <c r="J1757" s="39"/>
      <c r="L1757" s="16" t="str">
        <f t="shared" si="959"/>
        <v/>
      </c>
      <c r="M1757" s="16" t="str">
        <f t="shared" si="960"/>
        <v/>
      </c>
      <c r="N1757" s="16" t="str">
        <f t="shared" si="961"/>
        <v/>
      </c>
      <c r="O1757" s="16" t="str">
        <f>IF(N1757="","",COUNTIF($N$8:N1757,N1757))</f>
        <v/>
      </c>
      <c r="P1757" s="34" t="str">
        <f t="shared" si="962"/>
        <v/>
      </c>
      <c r="Q1757" s="34" t="str">
        <f t="shared" si="963"/>
        <v/>
      </c>
      <c r="R1757" s="34" t="str">
        <f t="shared" si="964"/>
        <v/>
      </c>
      <c r="S1757" s="34" t="str">
        <f t="shared" si="965"/>
        <v/>
      </c>
      <c r="T1757" s="34" t="str">
        <f t="shared" si="966"/>
        <v/>
      </c>
      <c r="U1757" s="34" t="str">
        <f>IF(AND(L1757=1,bp_kode=T1757,T1757&lt;&gt;""),COUNTIF($T$8:T1757,T1757),"")</f>
        <v/>
      </c>
      <c r="V1757" s="34" t="str">
        <f t="shared" si="967"/>
        <v/>
      </c>
      <c r="W1757" s="34" t="str">
        <f t="shared" si="968"/>
        <v/>
      </c>
      <c r="X1757" s="34" t="str">
        <f>IF(B1757="","",COUNTIF($C$8:C1757,C1757)&amp;C1757)</f>
        <v/>
      </c>
    </row>
    <row r="1758" spans="2:24" ht="23.1" customHeight="1">
      <c r="B1758" s="31"/>
      <c r="C1758" s="9"/>
      <c r="D1758" s="9"/>
      <c r="E1758" s="7"/>
      <c r="F1758" s="7"/>
      <c r="G1758" s="7"/>
      <c r="H1758" s="7"/>
      <c r="I1758" s="7"/>
      <c r="J1758" s="39"/>
      <c r="L1758" s="16" t="str">
        <f t="shared" si="959"/>
        <v/>
      </c>
      <c r="M1758" s="16" t="str">
        <f t="shared" si="960"/>
        <v/>
      </c>
      <c r="N1758" s="16" t="str">
        <f t="shared" si="961"/>
        <v/>
      </c>
      <c r="O1758" s="16" t="str">
        <f>IF(N1758="","",COUNTIF($N$8:N1758,N1758))</f>
        <v/>
      </c>
      <c r="P1758" s="34" t="str">
        <f t="shared" si="962"/>
        <v/>
      </c>
      <c r="Q1758" s="34" t="str">
        <f t="shared" si="963"/>
        <v/>
      </c>
      <c r="R1758" s="34" t="str">
        <f t="shared" si="964"/>
        <v/>
      </c>
      <c r="S1758" s="34" t="str">
        <f t="shared" si="965"/>
        <v/>
      </c>
      <c r="T1758" s="34" t="str">
        <f t="shared" si="966"/>
        <v/>
      </c>
      <c r="U1758" s="34" t="str">
        <f>IF(AND(L1758=1,bp_kode=T1758,T1758&lt;&gt;""),COUNTIF($T$8:T1758,T1758),"")</f>
        <v/>
      </c>
      <c r="V1758" s="34" t="str">
        <f t="shared" si="967"/>
        <v/>
      </c>
      <c r="W1758" s="34" t="str">
        <f t="shared" si="968"/>
        <v/>
      </c>
      <c r="X1758" s="34" t="str">
        <f>IF(B1758="","",COUNTIF($C$8:C1758,C1758)&amp;C1758)</f>
        <v/>
      </c>
    </row>
    <row r="1759" spans="2:24" ht="23.1" customHeight="1">
      <c r="B1759" s="31"/>
      <c r="C1759" s="9"/>
      <c r="D1759" s="9"/>
      <c r="E1759" s="7"/>
      <c r="F1759" s="7"/>
      <c r="G1759" s="7"/>
      <c r="H1759" s="7"/>
      <c r="I1759" s="7"/>
      <c r="J1759" s="39"/>
      <c r="L1759" s="16" t="str">
        <f t="shared" si="959"/>
        <v/>
      </c>
      <c r="M1759" s="16" t="str">
        <f t="shared" si="960"/>
        <v/>
      </c>
      <c r="N1759" s="16" t="str">
        <f t="shared" si="961"/>
        <v/>
      </c>
      <c r="O1759" s="16" t="str">
        <f>IF(N1759="","",COUNTIF($N$8:N1759,N1759))</f>
        <v/>
      </c>
      <c r="P1759" s="34" t="str">
        <f t="shared" si="962"/>
        <v/>
      </c>
      <c r="Q1759" s="34" t="str">
        <f t="shared" si="963"/>
        <v/>
      </c>
      <c r="R1759" s="34" t="str">
        <f t="shared" si="964"/>
        <v/>
      </c>
      <c r="S1759" s="34" t="str">
        <f t="shared" si="965"/>
        <v/>
      </c>
      <c r="T1759" s="34" t="str">
        <f t="shared" si="966"/>
        <v/>
      </c>
      <c r="U1759" s="34" t="str">
        <f>IF(AND(L1759=1,bp_kode=T1759,T1759&lt;&gt;""),COUNTIF($T$8:T1759,T1759),"")</f>
        <v/>
      </c>
      <c r="V1759" s="34" t="str">
        <f t="shared" si="967"/>
        <v/>
      </c>
      <c r="W1759" s="34" t="str">
        <f t="shared" si="968"/>
        <v/>
      </c>
      <c r="X1759" s="34" t="str">
        <f>IF(B1759="","",COUNTIF($C$8:C1759,C1759)&amp;C1759)</f>
        <v/>
      </c>
    </row>
    <row r="1760" spans="2:24" ht="23.1" customHeight="1">
      <c r="B1760" s="31"/>
      <c r="C1760" s="9"/>
      <c r="D1760" s="9"/>
      <c r="E1760" s="7"/>
      <c r="F1760" s="7"/>
      <c r="G1760" s="7"/>
      <c r="H1760" s="7"/>
      <c r="I1760" s="7"/>
      <c r="J1760" s="39"/>
      <c r="L1760" s="16" t="str">
        <f t="shared" si="959"/>
        <v/>
      </c>
      <c r="M1760" s="16" t="str">
        <f t="shared" si="960"/>
        <v/>
      </c>
      <c r="N1760" s="16" t="str">
        <f t="shared" si="961"/>
        <v/>
      </c>
      <c r="O1760" s="16" t="str">
        <f>IF(N1760="","",COUNTIF($N$8:N1760,N1760))</f>
        <v/>
      </c>
      <c r="P1760" s="34" t="str">
        <f t="shared" si="962"/>
        <v/>
      </c>
      <c r="Q1760" s="34" t="str">
        <f t="shared" si="963"/>
        <v/>
      </c>
      <c r="R1760" s="34" t="str">
        <f t="shared" si="964"/>
        <v/>
      </c>
      <c r="S1760" s="34" t="str">
        <f t="shared" si="965"/>
        <v/>
      </c>
      <c r="T1760" s="34" t="str">
        <f t="shared" si="966"/>
        <v/>
      </c>
      <c r="U1760" s="34" t="str">
        <f>IF(AND(L1760=1,bp_kode=T1760,T1760&lt;&gt;""),COUNTIF($T$8:T1760,T1760),"")</f>
        <v/>
      </c>
      <c r="V1760" s="34" t="str">
        <f t="shared" si="967"/>
        <v/>
      </c>
      <c r="W1760" s="34" t="str">
        <f t="shared" si="968"/>
        <v/>
      </c>
      <c r="X1760" s="34" t="str">
        <f>IF(B1760="","",COUNTIF($C$8:C1760,C1760)&amp;C1760)</f>
        <v/>
      </c>
    </row>
    <row r="1761" spans="2:24" ht="23.1" customHeight="1">
      <c r="B1761" s="31"/>
      <c r="C1761" s="9"/>
      <c r="D1761" s="9"/>
      <c r="E1761" s="7"/>
      <c r="F1761" s="7"/>
      <c r="G1761" s="7"/>
      <c r="H1761" s="7"/>
      <c r="I1761" s="7"/>
      <c r="J1761" s="39"/>
      <c r="L1761" s="16" t="str">
        <f t="shared" ref="L1761:L1797" si="969">IF(AND(B1761&gt;=awal,B1761&lt;=akhir,B1761&lt;&gt;""),1,IF(AND(B1761&lt;&gt;"",B1761&lt;awal),2,""))</f>
        <v/>
      </c>
      <c r="M1761" s="16" t="str">
        <f t="shared" ref="M1761:M1797" si="970">IF(B1761="","",TEXT(B1761,"mmmm"))</f>
        <v/>
      </c>
      <c r="N1761" s="16" t="str">
        <f t="shared" ref="N1761:N1797" si="971">IF(AND(L1761=1,H1761=bb_akun),"Awe",IF(AND(L1761=1,I1761=bb_akun),"Awe",""))</f>
        <v/>
      </c>
      <c r="O1761" s="16" t="str">
        <f>IF(N1761="","",COUNTIF($N$8:N1761,N1761))</f>
        <v/>
      </c>
      <c r="P1761" s="34" t="str">
        <f t="shared" ref="P1761:P1797" si="972">IFERROR(IF(OR(INDEX(akun_type,MATCH(H1761,akun_kb,0))="Kas",INDEX(akun_type,MATCH(H1761,akun_kb,0))="Bank"),"In"&amp;INDEX(akun_type,MATCH(I1761,akun_kb,0)),IF(OR(INDEX(akun_type,MATCH(I1761,akun_kb,0))="Kas",INDEX(akun_type,MATCH(I1761,akun_kb,0))="Bank"),"out"&amp;INDEX(akun_type,MATCH(H1761,akun_kb,0)),"")),"")</f>
        <v/>
      </c>
      <c r="Q1761" s="34" t="str">
        <f t="shared" ref="Q1761:Q1797" si="973">IFERROR(IF(OR(INDEX(akun_type,MATCH(H1761,akun_kb,0))="Kas",INDEX(akun_type,MATCH(H1761,akun_kb,0))="Bank"),"in"&amp;TEXT(B1761,"mmmm")&amp;INDEX(akun_type,MATCH(I1761,akun_kb,0)),IF(OR(INDEX(akun_type,MATCH(I1761,akun_kb,0))="Kas",INDEX(akun_type,MATCH(I1761,akun_kb,0))="Bank"),"out"&amp;TEXT(B1761,"mmmm")&amp;INDEX(akun_type,MATCH(H1761,akun_kb,0)),"")),"")</f>
        <v/>
      </c>
      <c r="R1761" s="34" t="str">
        <f t="shared" ref="R1761:R1797" si="974">IFERROR(INDEX(akun_type,MATCH(H1761,akun_kb,0)),"")</f>
        <v/>
      </c>
      <c r="S1761" s="34" t="str">
        <f t="shared" ref="S1761:S1797" si="975">IFERROR(INDEX(akun_type,MATCH(I1761,akun_kb,0)),"")</f>
        <v/>
      </c>
      <c r="T1761" s="34" t="str">
        <f t="shared" ref="T1761:T1797" si="976">IF(AND(L1761=1,OR(R1761="Akun Piutang",R1761="akun hutang",S1761="akun piutang",S1761="akun hutang")),E1761,"")</f>
        <v/>
      </c>
      <c r="U1761" s="34" t="str">
        <f>IF(AND(L1761=1,bp_kode=T1761,T1761&lt;&gt;""),COUNTIF($T$8:T1761,T1761),"")</f>
        <v/>
      </c>
      <c r="V1761" s="34" t="str">
        <f t="shared" ref="V1761:V1797" si="977">IF(OR(R1761="Pendapatan",R1761="Pendapatan Lainnya",R1761="Beban",R1761="Harga Pokok Penjualan",R1761="Beban Lainnya"),"db"&amp;F1761,IF(OR(S1761="Pendapatan",S1761="Pendapatan Lainnya",S1761="Beban",S1761="Harga Pokok Penjualan",S1761="Beban Lainnya"),"kr"&amp;F1761,""))</f>
        <v/>
      </c>
      <c r="W1761" s="34" t="str">
        <f t="shared" ref="W1761:W1797" si="978">IF(OR(R1761="Pendapatan",R1761="Pendapatan Lainnya",R1761="Beban",R1761="Harga Pokok Penjualan",R1761="Beban Lainnya"),"db"&amp;G1761,IF(OR(S1761="Pendapatan",S1761="Pendapatan Lainnya",S1761="Beban",S1761="Harga Pokok Penjualan",S1761="Beban Lainnya"),"kr"&amp;G1761,""))</f>
        <v/>
      </c>
      <c r="X1761" s="34" t="str">
        <f>IF(B1761="","",COUNTIF($C$8:C1761,C1761)&amp;C1761)</f>
        <v/>
      </c>
    </row>
    <row r="1762" spans="2:24" ht="23.1" customHeight="1">
      <c r="B1762" s="31"/>
      <c r="C1762" s="9"/>
      <c r="D1762" s="9"/>
      <c r="E1762" s="7"/>
      <c r="F1762" s="7"/>
      <c r="G1762" s="7"/>
      <c r="H1762" s="7"/>
      <c r="I1762" s="7"/>
      <c r="J1762" s="39"/>
      <c r="L1762" s="16" t="str">
        <f t="shared" si="969"/>
        <v/>
      </c>
      <c r="M1762" s="16" t="str">
        <f t="shared" si="970"/>
        <v/>
      </c>
      <c r="N1762" s="16" t="str">
        <f t="shared" si="971"/>
        <v/>
      </c>
      <c r="O1762" s="16" t="str">
        <f>IF(N1762="","",COUNTIF($N$8:N1762,N1762))</f>
        <v/>
      </c>
      <c r="P1762" s="34" t="str">
        <f t="shared" si="972"/>
        <v/>
      </c>
      <c r="Q1762" s="34" t="str">
        <f t="shared" si="973"/>
        <v/>
      </c>
      <c r="R1762" s="34" t="str">
        <f t="shared" si="974"/>
        <v/>
      </c>
      <c r="S1762" s="34" t="str">
        <f t="shared" si="975"/>
        <v/>
      </c>
      <c r="T1762" s="34" t="str">
        <f t="shared" si="976"/>
        <v/>
      </c>
      <c r="U1762" s="34" t="str">
        <f>IF(AND(L1762=1,bp_kode=T1762,T1762&lt;&gt;""),COUNTIF($T$8:T1762,T1762),"")</f>
        <v/>
      </c>
      <c r="V1762" s="34" t="str">
        <f t="shared" si="977"/>
        <v/>
      </c>
      <c r="W1762" s="34" t="str">
        <f t="shared" si="978"/>
        <v/>
      </c>
      <c r="X1762" s="34" t="str">
        <f>IF(B1762="","",COUNTIF($C$8:C1762,C1762)&amp;C1762)</f>
        <v/>
      </c>
    </row>
    <row r="1763" spans="2:24" ht="23.1" customHeight="1">
      <c r="B1763" s="31"/>
      <c r="C1763" s="9"/>
      <c r="D1763" s="9"/>
      <c r="E1763" s="7"/>
      <c r="F1763" s="7"/>
      <c r="G1763" s="7"/>
      <c r="H1763" s="7"/>
      <c r="I1763" s="7"/>
      <c r="J1763" s="39"/>
      <c r="L1763" s="16" t="str">
        <f t="shared" si="969"/>
        <v/>
      </c>
      <c r="M1763" s="16" t="str">
        <f t="shared" si="970"/>
        <v/>
      </c>
      <c r="N1763" s="16" t="str">
        <f t="shared" si="971"/>
        <v/>
      </c>
      <c r="O1763" s="16" t="str">
        <f>IF(N1763="","",COUNTIF($N$8:N1763,N1763))</f>
        <v/>
      </c>
      <c r="P1763" s="34" t="str">
        <f t="shared" si="972"/>
        <v/>
      </c>
      <c r="Q1763" s="34" t="str">
        <f t="shared" si="973"/>
        <v/>
      </c>
      <c r="R1763" s="34" t="str">
        <f t="shared" si="974"/>
        <v/>
      </c>
      <c r="S1763" s="34" t="str">
        <f t="shared" si="975"/>
        <v/>
      </c>
      <c r="T1763" s="34" t="str">
        <f t="shared" si="976"/>
        <v/>
      </c>
      <c r="U1763" s="34" t="str">
        <f>IF(AND(L1763=1,bp_kode=T1763,T1763&lt;&gt;""),COUNTIF($T$8:T1763,T1763),"")</f>
        <v/>
      </c>
      <c r="V1763" s="34" t="str">
        <f t="shared" si="977"/>
        <v/>
      </c>
      <c r="W1763" s="34" t="str">
        <f t="shared" si="978"/>
        <v/>
      </c>
      <c r="X1763" s="34" t="str">
        <f>IF(B1763="","",COUNTIF($C$8:C1763,C1763)&amp;C1763)</f>
        <v/>
      </c>
    </row>
    <row r="1764" spans="2:24" ht="23.1" customHeight="1">
      <c r="B1764" s="31"/>
      <c r="C1764" s="9"/>
      <c r="D1764" s="9"/>
      <c r="E1764" s="7"/>
      <c r="F1764" s="7"/>
      <c r="G1764" s="7"/>
      <c r="H1764" s="7"/>
      <c r="I1764" s="7"/>
      <c r="J1764" s="39"/>
      <c r="L1764" s="16" t="str">
        <f t="shared" si="969"/>
        <v/>
      </c>
      <c r="M1764" s="16" t="str">
        <f t="shared" si="970"/>
        <v/>
      </c>
      <c r="N1764" s="16" t="str">
        <f t="shared" si="971"/>
        <v/>
      </c>
      <c r="O1764" s="16" t="str">
        <f>IF(N1764="","",COUNTIF($N$8:N1764,N1764))</f>
        <v/>
      </c>
      <c r="P1764" s="34" t="str">
        <f t="shared" si="972"/>
        <v/>
      </c>
      <c r="Q1764" s="34" t="str">
        <f t="shared" si="973"/>
        <v/>
      </c>
      <c r="R1764" s="34" t="str">
        <f t="shared" si="974"/>
        <v/>
      </c>
      <c r="S1764" s="34" t="str">
        <f t="shared" si="975"/>
        <v/>
      </c>
      <c r="T1764" s="34" t="str">
        <f t="shared" si="976"/>
        <v/>
      </c>
      <c r="U1764" s="34" t="str">
        <f>IF(AND(L1764=1,bp_kode=T1764,T1764&lt;&gt;""),COUNTIF($T$8:T1764,T1764),"")</f>
        <v/>
      </c>
      <c r="V1764" s="34" t="str">
        <f t="shared" si="977"/>
        <v/>
      </c>
      <c r="W1764" s="34" t="str">
        <f t="shared" si="978"/>
        <v/>
      </c>
      <c r="X1764" s="34" t="str">
        <f>IF(B1764="","",COUNTIF($C$8:C1764,C1764)&amp;C1764)</f>
        <v/>
      </c>
    </row>
    <row r="1765" spans="2:24" ht="23.1" customHeight="1">
      <c r="B1765" s="31"/>
      <c r="C1765" s="9"/>
      <c r="D1765" s="9"/>
      <c r="E1765" s="7"/>
      <c r="F1765" s="7"/>
      <c r="G1765" s="7"/>
      <c r="H1765" s="7"/>
      <c r="I1765" s="7"/>
      <c r="J1765" s="39"/>
      <c r="L1765" s="16" t="str">
        <f t="shared" si="969"/>
        <v/>
      </c>
      <c r="M1765" s="16" t="str">
        <f t="shared" si="970"/>
        <v/>
      </c>
      <c r="N1765" s="16" t="str">
        <f t="shared" si="971"/>
        <v/>
      </c>
      <c r="O1765" s="16" t="str">
        <f>IF(N1765="","",COUNTIF($N$8:N1765,N1765))</f>
        <v/>
      </c>
      <c r="P1765" s="34" t="str">
        <f t="shared" si="972"/>
        <v/>
      </c>
      <c r="Q1765" s="34" t="str">
        <f t="shared" si="973"/>
        <v/>
      </c>
      <c r="R1765" s="34" t="str">
        <f t="shared" si="974"/>
        <v/>
      </c>
      <c r="S1765" s="34" t="str">
        <f t="shared" si="975"/>
        <v/>
      </c>
      <c r="T1765" s="34" t="str">
        <f t="shared" si="976"/>
        <v/>
      </c>
      <c r="U1765" s="34" t="str">
        <f>IF(AND(L1765=1,bp_kode=T1765,T1765&lt;&gt;""),COUNTIF($T$8:T1765,T1765),"")</f>
        <v/>
      </c>
      <c r="V1765" s="34" t="str">
        <f t="shared" si="977"/>
        <v/>
      </c>
      <c r="W1765" s="34" t="str">
        <f t="shared" si="978"/>
        <v/>
      </c>
      <c r="X1765" s="34" t="str">
        <f>IF(B1765="","",COUNTIF($C$8:C1765,C1765)&amp;C1765)</f>
        <v/>
      </c>
    </row>
    <row r="1766" spans="2:24" ht="23.1" customHeight="1">
      <c r="B1766" s="31"/>
      <c r="C1766" s="9"/>
      <c r="D1766" s="9"/>
      <c r="E1766" s="7"/>
      <c r="F1766" s="7"/>
      <c r="G1766" s="7"/>
      <c r="H1766" s="7"/>
      <c r="I1766" s="7"/>
      <c r="J1766" s="39"/>
      <c r="L1766" s="16" t="str">
        <f t="shared" si="969"/>
        <v/>
      </c>
      <c r="M1766" s="16" t="str">
        <f t="shared" si="970"/>
        <v/>
      </c>
      <c r="N1766" s="16" t="str">
        <f t="shared" si="971"/>
        <v/>
      </c>
      <c r="O1766" s="16" t="str">
        <f>IF(N1766="","",COUNTIF($N$8:N1766,N1766))</f>
        <v/>
      </c>
      <c r="P1766" s="34" t="str">
        <f t="shared" si="972"/>
        <v/>
      </c>
      <c r="Q1766" s="34" t="str">
        <f t="shared" si="973"/>
        <v/>
      </c>
      <c r="R1766" s="34" t="str">
        <f t="shared" si="974"/>
        <v/>
      </c>
      <c r="S1766" s="34" t="str">
        <f t="shared" si="975"/>
        <v/>
      </c>
      <c r="T1766" s="34" t="str">
        <f t="shared" si="976"/>
        <v/>
      </c>
      <c r="U1766" s="34" t="str">
        <f>IF(AND(L1766=1,bp_kode=T1766,T1766&lt;&gt;""),COUNTIF($T$8:T1766,T1766),"")</f>
        <v/>
      </c>
      <c r="V1766" s="34" t="str">
        <f t="shared" si="977"/>
        <v/>
      </c>
      <c r="W1766" s="34" t="str">
        <f t="shared" si="978"/>
        <v/>
      </c>
      <c r="X1766" s="34" t="str">
        <f>IF(B1766="","",COUNTIF($C$8:C1766,C1766)&amp;C1766)</f>
        <v/>
      </c>
    </row>
    <row r="1767" spans="2:24" ht="23.1" customHeight="1">
      <c r="B1767" s="31"/>
      <c r="C1767" s="9"/>
      <c r="D1767" s="9"/>
      <c r="E1767" s="7"/>
      <c r="F1767" s="7"/>
      <c r="G1767" s="7"/>
      <c r="H1767" s="7"/>
      <c r="I1767" s="7"/>
      <c r="J1767" s="39"/>
      <c r="L1767" s="16" t="str">
        <f t="shared" si="969"/>
        <v/>
      </c>
      <c r="M1767" s="16" t="str">
        <f t="shared" si="970"/>
        <v/>
      </c>
      <c r="N1767" s="16" t="str">
        <f t="shared" si="971"/>
        <v/>
      </c>
      <c r="O1767" s="16" t="str">
        <f>IF(N1767="","",COUNTIF($N$8:N1767,N1767))</f>
        <v/>
      </c>
      <c r="P1767" s="34" t="str">
        <f t="shared" si="972"/>
        <v/>
      </c>
      <c r="Q1767" s="34" t="str">
        <f t="shared" si="973"/>
        <v/>
      </c>
      <c r="R1767" s="34" t="str">
        <f t="shared" si="974"/>
        <v/>
      </c>
      <c r="S1767" s="34" t="str">
        <f t="shared" si="975"/>
        <v/>
      </c>
      <c r="T1767" s="34" t="str">
        <f t="shared" si="976"/>
        <v/>
      </c>
      <c r="U1767" s="34" t="str">
        <f>IF(AND(L1767=1,bp_kode=T1767,T1767&lt;&gt;""),COUNTIF($T$8:T1767,T1767),"")</f>
        <v/>
      </c>
      <c r="V1767" s="34" t="str">
        <f t="shared" si="977"/>
        <v/>
      </c>
      <c r="W1767" s="34" t="str">
        <f t="shared" si="978"/>
        <v/>
      </c>
      <c r="X1767" s="34" t="str">
        <f>IF(B1767="","",COUNTIF($C$8:C1767,C1767)&amp;C1767)</f>
        <v/>
      </c>
    </row>
    <row r="1768" spans="2:24" ht="23.1" customHeight="1">
      <c r="B1768" s="31"/>
      <c r="C1768" s="9"/>
      <c r="D1768" s="9"/>
      <c r="E1768" s="7"/>
      <c r="F1768" s="7"/>
      <c r="G1768" s="7"/>
      <c r="H1768" s="7"/>
      <c r="I1768" s="7"/>
      <c r="J1768" s="39"/>
      <c r="L1768" s="16" t="str">
        <f t="shared" si="969"/>
        <v/>
      </c>
      <c r="M1768" s="16" t="str">
        <f t="shared" si="970"/>
        <v/>
      </c>
      <c r="N1768" s="16" t="str">
        <f t="shared" si="971"/>
        <v/>
      </c>
      <c r="O1768" s="16" t="str">
        <f>IF(N1768="","",COUNTIF($N$8:N1768,N1768))</f>
        <v/>
      </c>
      <c r="P1768" s="34" t="str">
        <f t="shared" si="972"/>
        <v/>
      </c>
      <c r="Q1768" s="34" t="str">
        <f t="shared" si="973"/>
        <v/>
      </c>
      <c r="R1768" s="34" t="str">
        <f t="shared" si="974"/>
        <v/>
      </c>
      <c r="S1768" s="34" t="str">
        <f t="shared" si="975"/>
        <v/>
      </c>
      <c r="T1768" s="34" t="str">
        <f t="shared" si="976"/>
        <v/>
      </c>
      <c r="U1768" s="34" t="str">
        <f>IF(AND(L1768=1,bp_kode=T1768,T1768&lt;&gt;""),COUNTIF($T$8:T1768,T1768),"")</f>
        <v/>
      </c>
      <c r="V1768" s="34" t="str">
        <f t="shared" si="977"/>
        <v/>
      </c>
      <c r="W1768" s="34" t="str">
        <f t="shared" si="978"/>
        <v/>
      </c>
      <c r="X1768" s="34" t="str">
        <f>IF(B1768="","",COUNTIF($C$8:C1768,C1768)&amp;C1768)</f>
        <v/>
      </c>
    </row>
    <row r="1769" spans="2:24" ht="23.1" customHeight="1">
      <c r="B1769" s="31"/>
      <c r="C1769" s="9"/>
      <c r="D1769" s="9"/>
      <c r="E1769" s="7"/>
      <c r="F1769" s="7"/>
      <c r="G1769" s="7"/>
      <c r="H1769" s="7"/>
      <c r="I1769" s="7"/>
      <c r="J1769" s="39"/>
      <c r="L1769" s="16" t="str">
        <f t="shared" si="969"/>
        <v/>
      </c>
      <c r="M1769" s="16" t="str">
        <f t="shared" si="970"/>
        <v/>
      </c>
      <c r="N1769" s="16" t="str">
        <f t="shared" si="971"/>
        <v/>
      </c>
      <c r="O1769" s="16" t="str">
        <f>IF(N1769="","",COUNTIF($N$8:N1769,N1769))</f>
        <v/>
      </c>
      <c r="P1769" s="34" t="str">
        <f t="shared" si="972"/>
        <v/>
      </c>
      <c r="Q1769" s="34" t="str">
        <f t="shared" si="973"/>
        <v/>
      </c>
      <c r="R1769" s="34" t="str">
        <f t="shared" si="974"/>
        <v/>
      </c>
      <c r="S1769" s="34" t="str">
        <f t="shared" si="975"/>
        <v/>
      </c>
      <c r="T1769" s="34" t="str">
        <f t="shared" si="976"/>
        <v/>
      </c>
      <c r="U1769" s="34" t="str">
        <f>IF(AND(L1769=1,bp_kode=T1769,T1769&lt;&gt;""),COUNTIF($T$8:T1769,T1769),"")</f>
        <v/>
      </c>
      <c r="V1769" s="34" t="str">
        <f t="shared" si="977"/>
        <v/>
      </c>
      <c r="W1769" s="34" t="str">
        <f t="shared" si="978"/>
        <v/>
      </c>
      <c r="X1769" s="34" t="str">
        <f>IF(B1769="","",COUNTIF($C$8:C1769,C1769)&amp;C1769)</f>
        <v/>
      </c>
    </row>
    <row r="1770" spans="2:24" ht="23.1" customHeight="1">
      <c r="B1770" s="31"/>
      <c r="C1770" s="9"/>
      <c r="D1770" s="9"/>
      <c r="E1770" s="7"/>
      <c r="F1770" s="7"/>
      <c r="G1770" s="7"/>
      <c r="H1770" s="7"/>
      <c r="I1770" s="7"/>
      <c r="J1770" s="39"/>
      <c r="L1770" s="16" t="str">
        <f t="shared" si="969"/>
        <v/>
      </c>
      <c r="M1770" s="16" t="str">
        <f t="shared" si="970"/>
        <v/>
      </c>
      <c r="N1770" s="16" t="str">
        <f t="shared" si="971"/>
        <v/>
      </c>
      <c r="O1770" s="16" t="str">
        <f>IF(N1770="","",COUNTIF($N$8:N1770,N1770))</f>
        <v/>
      </c>
      <c r="P1770" s="34" t="str">
        <f t="shared" si="972"/>
        <v/>
      </c>
      <c r="Q1770" s="34" t="str">
        <f t="shared" si="973"/>
        <v/>
      </c>
      <c r="R1770" s="34" t="str">
        <f t="shared" si="974"/>
        <v/>
      </c>
      <c r="S1770" s="34" t="str">
        <f t="shared" si="975"/>
        <v/>
      </c>
      <c r="T1770" s="34" t="str">
        <f t="shared" si="976"/>
        <v/>
      </c>
      <c r="U1770" s="34" t="str">
        <f>IF(AND(L1770=1,bp_kode=T1770,T1770&lt;&gt;""),COUNTIF($T$8:T1770,T1770),"")</f>
        <v/>
      </c>
      <c r="V1770" s="34" t="str">
        <f t="shared" si="977"/>
        <v/>
      </c>
      <c r="W1770" s="34" t="str">
        <f t="shared" si="978"/>
        <v/>
      </c>
      <c r="X1770" s="34" t="str">
        <f>IF(B1770="","",COUNTIF($C$8:C1770,C1770)&amp;C1770)</f>
        <v/>
      </c>
    </row>
    <row r="1771" spans="2:24" ht="23.1" customHeight="1">
      <c r="B1771" s="31"/>
      <c r="C1771" s="9"/>
      <c r="D1771" s="9"/>
      <c r="E1771" s="7"/>
      <c r="F1771" s="7"/>
      <c r="G1771" s="7"/>
      <c r="H1771" s="7"/>
      <c r="I1771" s="7"/>
      <c r="J1771" s="39"/>
      <c r="L1771" s="16" t="str">
        <f t="shared" si="969"/>
        <v/>
      </c>
      <c r="M1771" s="16" t="str">
        <f t="shared" si="970"/>
        <v/>
      </c>
      <c r="N1771" s="16" t="str">
        <f t="shared" si="971"/>
        <v/>
      </c>
      <c r="O1771" s="16" t="str">
        <f>IF(N1771="","",COUNTIF($N$8:N1771,N1771))</f>
        <v/>
      </c>
      <c r="P1771" s="34" t="str">
        <f t="shared" si="972"/>
        <v/>
      </c>
      <c r="Q1771" s="34" t="str">
        <f t="shared" si="973"/>
        <v/>
      </c>
      <c r="R1771" s="34" t="str">
        <f t="shared" si="974"/>
        <v/>
      </c>
      <c r="S1771" s="34" t="str">
        <f t="shared" si="975"/>
        <v/>
      </c>
      <c r="T1771" s="34" t="str">
        <f t="shared" si="976"/>
        <v/>
      </c>
      <c r="U1771" s="34" t="str">
        <f>IF(AND(L1771=1,bp_kode=T1771,T1771&lt;&gt;""),COUNTIF($T$8:T1771,T1771),"")</f>
        <v/>
      </c>
      <c r="V1771" s="34" t="str">
        <f t="shared" si="977"/>
        <v/>
      </c>
      <c r="W1771" s="34" t="str">
        <f t="shared" si="978"/>
        <v/>
      </c>
      <c r="X1771" s="34" t="str">
        <f>IF(B1771="","",COUNTIF($C$8:C1771,C1771)&amp;C1771)</f>
        <v/>
      </c>
    </row>
    <row r="1772" spans="2:24" ht="23.1" customHeight="1">
      <c r="B1772" s="31"/>
      <c r="C1772" s="9"/>
      <c r="D1772" s="9"/>
      <c r="E1772" s="7"/>
      <c r="F1772" s="7"/>
      <c r="G1772" s="7"/>
      <c r="H1772" s="7"/>
      <c r="I1772" s="7"/>
      <c r="J1772" s="39"/>
      <c r="L1772" s="16" t="str">
        <f t="shared" si="969"/>
        <v/>
      </c>
      <c r="M1772" s="16" t="str">
        <f t="shared" si="970"/>
        <v/>
      </c>
      <c r="N1772" s="16" t="str">
        <f t="shared" si="971"/>
        <v/>
      </c>
      <c r="O1772" s="16" t="str">
        <f>IF(N1772="","",COUNTIF($N$8:N1772,N1772))</f>
        <v/>
      </c>
      <c r="P1772" s="34" t="str">
        <f t="shared" si="972"/>
        <v/>
      </c>
      <c r="Q1772" s="34" t="str">
        <f t="shared" si="973"/>
        <v/>
      </c>
      <c r="R1772" s="34" t="str">
        <f t="shared" si="974"/>
        <v/>
      </c>
      <c r="S1772" s="34" t="str">
        <f t="shared" si="975"/>
        <v/>
      </c>
      <c r="T1772" s="34" t="str">
        <f t="shared" si="976"/>
        <v/>
      </c>
      <c r="U1772" s="34" t="str">
        <f>IF(AND(L1772=1,bp_kode=T1772,T1772&lt;&gt;""),COUNTIF($T$8:T1772,T1772),"")</f>
        <v/>
      </c>
      <c r="V1772" s="34" t="str">
        <f t="shared" si="977"/>
        <v/>
      </c>
      <c r="W1772" s="34" t="str">
        <f t="shared" si="978"/>
        <v/>
      </c>
      <c r="X1772" s="34" t="str">
        <f>IF(B1772="","",COUNTIF($C$8:C1772,C1772)&amp;C1772)</f>
        <v/>
      </c>
    </row>
    <row r="1773" spans="2:24" ht="23.1" customHeight="1">
      <c r="B1773" s="31"/>
      <c r="C1773" s="9"/>
      <c r="D1773" s="9"/>
      <c r="E1773" s="7"/>
      <c r="F1773" s="7"/>
      <c r="G1773" s="7"/>
      <c r="H1773" s="7"/>
      <c r="I1773" s="7"/>
      <c r="J1773" s="39"/>
      <c r="L1773" s="16" t="str">
        <f t="shared" si="969"/>
        <v/>
      </c>
      <c r="M1773" s="16" t="str">
        <f t="shared" si="970"/>
        <v/>
      </c>
      <c r="N1773" s="16" t="str">
        <f t="shared" si="971"/>
        <v/>
      </c>
      <c r="O1773" s="16" t="str">
        <f>IF(N1773="","",COUNTIF($N$8:N1773,N1773))</f>
        <v/>
      </c>
      <c r="P1773" s="34" t="str">
        <f t="shared" si="972"/>
        <v/>
      </c>
      <c r="Q1773" s="34" t="str">
        <f t="shared" si="973"/>
        <v/>
      </c>
      <c r="R1773" s="34" t="str">
        <f t="shared" si="974"/>
        <v/>
      </c>
      <c r="S1773" s="34" t="str">
        <f t="shared" si="975"/>
        <v/>
      </c>
      <c r="T1773" s="34" t="str">
        <f t="shared" si="976"/>
        <v/>
      </c>
      <c r="U1773" s="34" t="str">
        <f>IF(AND(L1773=1,bp_kode=T1773,T1773&lt;&gt;""),COUNTIF($T$8:T1773,T1773),"")</f>
        <v/>
      </c>
      <c r="V1773" s="34" t="str">
        <f t="shared" si="977"/>
        <v/>
      </c>
      <c r="W1773" s="34" t="str">
        <f t="shared" si="978"/>
        <v/>
      </c>
      <c r="X1773" s="34" t="str">
        <f>IF(B1773="","",COUNTIF($C$8:C1773,C1773)&amp;C1773)</f>
        <v/>
      </c>
    </row>
    <row r="1774" spans="2:24" ht="23.1" customHeight="1">
      <c r="B1774" s="31"/>
      <c r="C1774" s="9"/>
      <c r="D1774" s="9"/>
      <c r="E1774" s="7"/>
      <c r="F1774" s="7"/>
      <c r="G1774" s="7"/>
      <c r="H1774" s="7"/>
      <c r="I1774" s="7"/>
      <c r="J1774" s="39"/>
      <c r="L1774" s="16" t="str">
        <f t="shared" si="969"/>
        <v/>
      </c>
      <c r="M1774" s="16" t="str">
        <f t="shared" si="970"/>
        <v/>
      </c>
      <c r="N1774" s="16" t="str">
        <f t="shared" si="971"/>
        <v/>
      </c>
      <c r="O1774" s="16" t="str">
        <f>IF(N1774="","",COUNTIF($N$8:N1774,N1774))</f>
        <v/>
      </c>
      <c r="P1774" s="34" t="str">
        <f t="shared" si="972"/>
        <v/>
      </c>
      <c r="Q1774" s="34" t="str">
        <f t="shared" si="973"/>
        <v/>
      </c>
      <c r="R1774" s="34" t="str">
        <f t="shared" si="974"/>
        <v/>
      </c>
      <c r="S1774" s="34" t="str">
        <f t="shared" si="975"/>
        <v/>
      </c>
      <c r="T1774" s="34" t="str">
        <f t="shared" si="976"/>
        <v/>
      </c>
      <c r="U1774" s="34" t="str">
        <f>IF(AND(L1774=1,bp_kode=T1774,T1774&lt;&gt;""),COUNTIF($T$8:T1774,T1774),"")</f>
        <v/>
      </c>
      <c r="V1774" s="34" t="str">
        <f t="shared" si="977"/>
        <v/>
      </c>
      <c r="W1774" s="34" t="str">
        <f t="shared" si="978"/>
        <v/>
      </c>
      <c r="X1774" s="34" t="str">
        <f>IF(B1774="","",COUNTIF($C$8:C1774,C1774)&amp;C1774)</f>
        <v/>
      </c>
    </row>
    <row r="1775" spans="2:24" ht="23.1" customHeight="1">
      <c r="B1775" s="31"/>
      <c r="C1775" s="9"/>
      <c r="D1775" s="9"/>
      <c r="E1775" s="7"/>
      <c r="F1775" s="7"/>
      <c r="G1775" s="7"/>
      <c r="H1775" s="7"/>
      <c r="I1775" s="7"/>
      <c r="J1775" s="39"/>
      <c r="L1775" s="16" t="str">
        <f t="shared" si="969"/>
        <v/>
      </c>
      <c r="M1775" s="16" t="str">
        <f t="shared" si="970"/>
        <v/>
      </c>
      <c r="N1775" s="16" t="str">
        <f t="shared" si="971"/>
        <v/>
      </c>
      <c r="O1775" s="16" t="str">
        <f>IF(N1775="","",COUNTIF($N$8:N1775,N1775))</f>
        <v/>
      </c>
      <c r="P1775" s="34" t="str">
        <f t="shared" si="972"/>
        <v/>
      </c>
      <c r="Q1775" s="34" t="str">
        <f t="shared" si="973"/>
        <v/>
      </c>
      <c r="R1775" s="34" t="str">
        <f t="shared" si="974"/>
        <v/>
      </c>
      <c r="S1775" s="34" t="str">
        <f t="shared" si="975"/>
        <v/>
      </c>
      <c r="T1775" s="34" t="str">
        <f t="shared" si="976"/>
        <v/>
      </c>
      <c r="U1775" s="34" t="str">
        <f>IF(AND(L1775=1,bp_kode=T1775,T1775&lt;&gt;""),COUNTIF($T$8:T1775,T1775),"")</f>
        <v/>
      </c>
      <c r="V1775" s="34" t="str">
        <f t="shared" si="977"/>
        <v/>
      </c>
      <c r="W1775" s="34" t="str">
        <f t="shared" si="978"/>
        <v/>
      </c>
      <c r="X1775" s="34" t="str">
        <f>IF(B1775="","",COUNTIF($C$8:C1775,C1775)&amp;C1775)</f>
        <v/>
      </c>
    </row>
    <row r="1776" spans="2:24" ht="23.1" customHeight="1">
      <c r="B1776" s="31"/>
      <c r="C1776" s="9"/>
      <c r="D1776" s="9"/>
      <c r="E1776" s="7"/>
      <c r="F1776" s="7"/>
      <c r="G1776" s="7"/>
      <c r="H1776" s="7"/>
      <c r="I1776" s="7"/>
      <c r="J1776" s="39"/>
      <c r="L1776" s="16" t="str">
        <f t="shared" si="969"/>
        <v/>
      </c>
      <c r="M1776" s="16" t="str">
        <f t="shared" si="970"/>
        <v/>
      </c>
      <c r="N1776" s="16" t="str">
        <f t="shared" si="971"/>
        <v/>
      </c>
      <c r="O1776" s="16" t="str">
        <f>IF(N1776="","",COUNTIF($N$8:N1776,N1776))</f>
        <v/>
      </c>
      <c r="P1776" s="34" t="str">
        <f t="shared" si="972"/>
        <v/>
      </c>
      <c r="Q1776" s="34" t="str">
        <f t="shared" si="973"/>
        <v/>
      </c>
      <c r="R1776" s="34" t="str">
        <f t="shared" si="974"/>
        <v/>
      </c>
      <c r="S1776" s="34" t="str">
        <f t="shared" si="975"/>
        <v/>
      </c>
      <c r="T1776" s="34" t="str">
        <f t="shared" si="976"/>
        <v/>
      </c>
      <c r="U1776" s="34" t="str">
        <f>IF(AND(L1776=1,bp_kode=T1776,T1776&lt;&gt;""),COUNTIF($T$8:T1776,T1776),"")</f>
        <v/>
      </c>
      <c r="V1776" s="34" t="str">
        <f t="shared" si="977"/>
        <v/>
      </c>
      <c r="W1776" s="34" t="str">
        <f t="shared" si="978"/>
        <v/>
      </c>
      <c r="X1776" s="34" t="str">
        <f>IF(B1776="","",COUNTIF($C$8:C1776,C1776)&amp;C1776)</f>
        <v/>
      </c>
    </row>
    <row r="1777" spans="2:24" ht="23.1" customHeight="1">
      <c r="B1777" s="31"/>
      <c r="C1777" s="9"/>
      <c r="D1777" s="9"/>
      <c r="E1777" s="7"/>
      <c r="F1777" s="7"/>
      <c r="G1777" s="7"/>
      <c r="H1777" s="7"/>
      <c r="I1777" s="7"/>
      <c r="J1777" s="39"/>
      <c r="L1777" s="16" t="str">
        <f t="shared" si="969"/>
        <v/>
      </c>
      <c r="M1777" s="16" t="str">
        <f t="shared" si="970"/>
        <v/>
      </c>
      <c r="N1777" s="16" t="str">
        <f t="shared" si="971"/>
        <v/>
      </c>
      <c r="O1777" s="16" t="str">
        <f>IF(N1777="","",COUNTIF($N$8:N1777,N1777))</f>
        <v/>
      </c>
      <c r="P1777" s="34" t="str">
        <f t="shared" si="972"/>
        <v/>
      </c>
      <c r="Q1777" s="34" t="str">
        <f t="shared" si="973"/>
        <v/>
      </c>
      <c r="R1777" s="34" t="str">
        <f t="shared" si="974"/>
        <v/>
      </c>
      <c r="S1777" s="34" t="str">
        <f t="shared" si="975"/>
        <v/>
      </c>
      <c r="T1777" s="34" t="str">
        <f t="shared" si="976"/>
        <v/>
      </c>
      <c r="U1777" s="34" t="str">
        <f>IF(AND(L1777=1,bp_kode=T1777,T1777&lt;&gt;""),COUNTIF($T$8:T1777,T1777),"")</f>
        <v/>
      </c>
      <c r="V1777" s="34" t="str">
        <f t="shared" si="977"/>
        <v/>
      </c>
      <c r="W1777" s="34" t="str">
        <f t="shared" si="978"/>
        <v/>
      </c>
      <c r="X1777" s="34" t="str">
        <f>IF(B1777="","",COUNTIF($C$8:C1777,C1777)&amp;C1777)</f>
        <v/>
      </c>
    </row>
    <row r="1778" spans="2:24" ht="23.1" customHeight="1">
      <c r="B1778" s="31"/>
      <c r="C1778" s="9"/>
      <c r="D1778" s="9"/>
      <c r="E1778" s="7"/>
      <c r="F1778" s="7"/>
      <c r="G1778" s="7"/>
      <c r="H1778" s="7"/>
      <c r="I1778" s="7"/>
      <c r="J1778" s="39"/>
      <c r="L1778" s="16" t="str">
        <f t="shared" si="969"/>
        <v/>
      </c>
      <c r="M1778" s="16" t="str">
        <f t="shared" si="970"/>
        <v/>
      </c>
      <c r="N1778" s="16" t="str">
        <f t="shared" si="971"/>
        <v/>
      </c>
      <c r="O1778" s="16" t="str">
        <f>IF(N1778="","",COUNTIF($N$8:N1778,N1778))</f>
        <v/>
      </c>
      <c r="P1778" s="34" t="str">
        <f t="shared" si="972"/>
        <v/>
      </c>
      <c r="Q1778" s="34" t="str">
        <f t="shared" si="973"/>
        <v/>
      </c>
      <c r="R1778" s="34" t="str">
        <f t="shared" si="974"/>
        <v/>
      </c>
      <c r="S1778" s="34" t="str">
        <f t="shared" si="975"/>
        <v/>
      </c>
      <c r="T1778" s="34" t="str">
        <f t="shared" si="976"/>
        <v/>
      </c>
      <c r="U1778" s="34" t="str">
        <f>IF(AND(L1778=1,bp_kode=T1778,T1778&lt;&gt;""),COUNTIF($T$8:T1778,T1778),"")</f>
        <v/>
      </c>
      <c r="V1778" s="34" t="str">
        <f t="shared" si="977"/>
        <v/>
      </c>
      <c r="W1778" s="34" t="str">
        <f t="shared" si="978"/>
        <v/>
      </c>
      <c r="X1778" s="34" t="str">
        <f>IF(B1778="","",COUNTIF($C$8:C1778,C1778)&amp;C1778)</f>
        <v/>
      </c>
    </row>
    <row r="1779" spans="2:24" ht="23.1" customHeight="1">
      <c r="B1779" s="31"/>
      <c r="C1779" s="9"/>
      <c r="D1779" s="9"/>
      <c r="E1779" s="7"/>
      <c r="F1779" s="7"/>
      <c r="G1779" s="7"/>
      <c r="H1779" s="7"/>
      <c r="I1779" s="7"/>
      <c r="J1779" s="39"/>
      <c r="L1779" s="16" t="str">
        <f t="shared" si="969"/>
        <v/>
      </c>
      <c r="M1779" s="16" t="str">
        <f t="shared" si="970"/>
        <v/>
      </c>
      <c r="N1779" s="16" t="str">
        <f t="shared" si="971"/>
        <v/>
      </c>
      <c r="O1779" s="16" t="str">
        <f>IF(N1779="","",COUNTIF($N$8:N1779,N1779))</f>
        <v/>
      </c>
      <c r="P1779" s="34" t="str">
        <f t="shared" si="972"/>
        <v/>
      </c>
      <c r="Q1779" s="34" t="str">
        <f t="shared" si="973"/>
        <v/>
      </c>
      <c r="R1779" s="34" t="str">
        <f t="shared" si="974"/>
        <v/>
      </c>
      <c r="S1779" s="34" t="str">
        <f t="shared" si="975"/>
        <v/>
      </c>
      <c r="T1779" s="34" t="str">
        <f t="shared" si="976"/>
        <v/>
      </c>
      <c r="U1779" s="34" t="str">
        <f>IF(AND(L1779=1,bp_kode=T1779,T1779&lt;&gt;""),COUNTIF($T$8:T1779,T1779),"")</f>
        <v/>
      </c>
      <c r="V1779" s="34" t="str">
        <f t="shared" si="977"/>
        <v/>
      </c>
      <c r="W1779" s="34" t="str">
        <f t="shared" si="978"/>
        <v/>
      </c>
      <c r="X1779" s="34" t="str">
        <f>IF(B1779="","",COUNTIF($C$8:C1779,C1779)&amp;C1779)</f>
        <v/>
      </c>
    </row>
    <row r="1780" spans="2:24" ht="23.1" customHeight="1">
      <c r="B1780" s="31"/>
      <c r="C1780" s="9"/>
      <c r="D1780" s="9"/>
      <c r="E1780" s="7"/>
      <c r="F1780" s="7"/>
      <c r="G1780" s="7"/>
      <c r="H1780" s="7"/>
      <c r="I1780" s="7"/>
      <c r="J1780" s="39"/>
      <c r="L1780" s="16" t="str">
        <f t="shared" si="969"/>
        <v/>
      </c>
      <c r="M1780" s="16" t="str">
        <f t="shared" si="970"/>
        <v/>
      </c>
      <c r="N1780" s="16" t="str">
        <f t="shared" si="971"/>
        <v/>
      </c>
      <c r="O1780" s="16" t="str">
        <f>IF(N1780="","",COUNTIF($N$8:N1780,N1780))</f>
        <v/>
      </c>
      <c r="P1780" s="34" t="str">
        <f t="shared" si="972"/>
        <v/>
      </c>
      <c r="Q1780" s="34" t="str">
        <f t="shared" si="973"/>
        <v/>
      </c>
      <c r="R1780" s="34" t="str">
        <f t="shared" si="974"/>
        <v/>
      </c>
      <c r="S1780" s="34" t="str">
        <f t="shared" si="975"/>
        <v/>
      </c>
      <c r="T1780" s="34" t="str">
        <f t="shared" si="976"/>
        <v/>
      </c>
      <c r="U1780" s="34" t="str">
        <f>IF(AND(L1780=1,bp_kode=T1780,T1780&lt;&gt;""),COUNTIF($T$8:T1780,T1780),"")</f>
        <v/>
      </c>
      <c r="V1780" s="34" t="str">
        <f t="shared" si="977"/>
        <v/>
      </c>
      <c r="W1780" s="34" t="str">
        <f t="shared" si="978"/>
        <v/>
      </c>
      <c r="X1780" s="34" t="str">
        <f>IF(B1780="","",COUNTIF($C$8:C1780,C1780)&amp;C1780)</f>
        <v/>
      </c>
    </row>
    <row r="1781" spans="2:24" ht="23.1" customHeight="1">
      <c r="B1781" s="31"/>
      <c r="C1781" s="9"/>
      <c r="D1781" s="9"/>
      <c r="E1781" s="7"/>
      <c r="F1781" s="7"/>
      <c r="G1781" s="7"/>
      <c r="H1781" s="7"/>
      <c r="I1781" s="7"/>
      <c r="J1781" s="39"/>
      <c r="L1781" s="16" t="str">
        <f t="shared" si="969"/>
        <v/>
      </c>
      <c r="M1781" s="16" t="str">
        <f t="shared" si="970"/>
        <v/>
      </c>
      <c r="N1781" s="16" t="str">
        <f t="shared" si="971"/>
        <v/>
      </c>
      <c r="O1781" s="16" t="str">
        <f>IF(N1781="","",COUNTIF($N$8:N1781,N1781))</f>
        <v/>
      </c>
      <c r="P1781" s="34" t="str">
        <f t="shared" si="972"/>
        <v/>
      </c>
      <c r="Q1781" s="34" t="str">
        <f t="shared" si="973"/>
        <v/>
      </c>
      <c r="R1781" s="34" t="str">
        <f t="shared" si="974"/>
        <v/>
      </c>
      <c r="S1781" s="34" t="str">
        <f t="shared" si="975"/>
        <v/>
      </c>
      <c r="T1781" s="34" t="str">
        <f t="shared" si="976"/>
        <v/>
      </c>
      <c r="U1781" s="34" t="str">
        <f>IF(AND(L1781=1,bp_kode=T1781,T1781&lt;&gt;""),COUNTIF($T$8:T1781,T1781),"")</f>
        <v/>
      </c>
      <c r="V1781" s="34" t="str">
        <f t="shared" si="977"/>
        <v/>
      </c>
      <c r="W1781" s="34" t="str">
        <f t="shared" si="978"/>
        <v/>
      </c>
      <c r="X1781" s="34" t="str">
        <f>IF(B1781="","",COUNTIF($C$8:C1781,C1781)&amp;C1781)</f>
        <v/>
      </c>
    </row>
    <row r="1782" spans="2:24" ht="23.1" customHeight="1">
      <c r="B1782" s="31"/>
      <c r="C1782" s="9"/>
      <c r="D1782" s="9"/>
      <c r="E1782" s="7"/>
      <c r="F1782" s="7"/>
      <c r="G1782" s="7"/>
      <c r="H1782" s="7"/>
      <c r="I1782" s="7"/>
      <c r="J1782" s="39"/>
      <c r="L1782" s="16" t="str">
        <f t="shared" si="969"/>
        <v/>
      </c>
      <c r="M1782" s="16" t="str">
        <f t="shared" si="970"/>
        <v/>
      </c>
      <c r="N1782" s="16" t="str">
        <f t="shared" si="971"/>
        <v/>
      </c>
      <c r="O1782" s="16" t="str">
        <f>IF(N1782="","",COUNTIF($N$8:N1782,N1782))</f>
        <v/>
      </c>
      <c r="P1782" s="34" t="str">
        <f t="shared" si="972"/>
        <v/>
      </c>
      <c r="Q1782" s="34" t="str">
        <f t="shared" si="973"/>
        <v/>
      </c>
      <c r="R1782" s="34" t="str">
        <f t="shared" si="974"/>
        <v/>
      </c>
      <c r="S1782" s="34" t="str">
        <f t="shared" si="975"/>
        <v/>
      </c>
      <c r="T1782" s="34" t="str">
        <f t="shared" si="976"/>
        <v/>
      </c>
      <c r="U1782" s="34" t="str">
        <f>IF(AND(L1782=1,bp_kode=T1782,T1782&lt;&gt;""),COUNTIF($T$8:T1782,T1782),"")</f>
        <v/>
      </c>
      <c r="V1782" s="34" t="str">
        <f t="shared" si="977"/>
        <v/>
      </c>
      <c r="W1782" s="34" t="str">
        <f t="shared" si="978"/>
        <v/>
      </c>
      <c r="X1782" s="34" t="str">
        <f>IF(B1782="","",COUNTIF($C$8:C1782,C1782)&amp;C1782)</f>
        <v/>
      </c>
    </row>
    <row r="1783" spans="2:24" ht="23.1" customHeight="1">
      <c r="B1783" s="31"/>
      <c r="C1783" s="9"/>
      <c r="D1783" s="9"/>
      <c r="E1783" s="7"/>
      <c r="F1783" s="7"/>
      <c r="G1783" s="7"/>
      <c r="H1783" s="7"/>
      <c r="I1783" s="7"/>
      <c r="J1783" s="39"/>
      <c r="L1783" s="16" t="str">
        <f t="shared" si="969"/>
        <v/>
      </c>
      <c r="M1783" s="16" t="str">
        <f t="shared" si="970"/>
        <v/>
      </c>
      <c r="N1783" s="16" t="str">
        <f t="shared" si="971"/>
        <v/>
      </c>
      <c r="O1783" s="16" t="str">
        <f>IF(N1783="","",COUNTIF($N$8:N1783,N1783))</f>
        <v/>
      </c>
      <c r="P1783" s="34" t="str">
        <f t="shared" si="972"/>
        <v/>
      </c>
      <c r="Q1783" s="34" t="str">
        <f t="shared" si="973"/>
        <v/>
      </c>
      <c r="R1783" s="34" t="str">
        <f t="shared" si="974"/>
        <v/>
      </c>
      <c r="S1783" s="34" t="str">
        <f t="shared" si="975"/>
        <v/>
      </c>
      <c r="T1783" s="34" t="str">
        <f t="shared" si="976"/>
        <v/>
      </c>
      <c r="U1783" s="34" t="str">
        <f>IF(AND(L1783=1,bp_kode=T1783,T1783&lt;&gt;""),COUNTIF($T$8:T1783,T1783),"")</f>
        <v/>
      </c>
      <c r="V1783" s="34" t="str">
        <f t="shared" si="977"/>
        <v/>
      </c>
      <c r="W1783" s="34" t="str">
        <f t="shared" si="978"/>
        <v/>
      </c>
      <c r="X1783" s="34" t="str">
        <f>IF(B1783="","",COUNTIF($C$8:C1783,C1783)&amp;C1783)</f>
        <v/>
      </c>
    </row>
    <row r="1784" spans="2:24" ht="23.1" customHeight="1">
      <c r="B1784" s="31"/>
      <c r="C1784" s="9"/>
      <c r="D1784" s="9"/>
      <c r="E1784" s="7"/>
      <c r="F1784" s="7"/>
      <c r="G1784" s="7"/>
      <c r="H1784" s="7"/>
      <c r="I1784" s="7"/>
      <c r="J1784" s="39"/>
      <c r="L1784" s="16" t="str">
        <f t="shared" si="969"/>
        <v/>
      </c>
      <c r="M1784" s="16" t="str">
        <f t="shared" si="970"/>
        <v/>
      </c>
      <c r="N1784" s="16" t="str">
        <f t="shared" si="971"/>
        <v/>
      </c>
      <c r="O1784" s="16" t="str">
        <f>IF(N1784="","",COUNTIF($N$8:N1784,N1784))</f>
        <v/>
      </c>
      <c r="P1784" s="34" t="str">
        <f t="shared" si="972"/>
        <v/>
      </c>
      <c r="Q1784" s="34" t="str">
        <f t="shared" si="973"/>
        <v/>
      </c>
      <c r="R1784" s="34" t="str">
        <f t="shared" si="974"/>
        <v/>
      </c>
      <c r="S1784" s="34" t="str">
        <f t="shared" si="975"/>
        <v/>
      </c>
      <c r="T1784" s="34" t="str">
        <f t="shared" si="976"/>
        <v/>
      </c>
      <c r="U1784" s="34" t="str">
        <f>IF(AND(L1784=1,bp_kode=T1784,T1784&lt;&gt;""),COUNTIF($T$8:T1784,T1784),"")</f>
        <v/>
      </c>
      <c r="V1784" s="34" t="str">
        <f t="shared" si="977"/>
        <v/>
      </c>
      <c r="W1784" s="34" t="str">
        <f t="shared" si="978"/>
        <v/>
      </c>
      <c r="X1784" s="34" t="str">
        <f>IF(B1784="","",COUNTIF($C$8:C1784,C1784)&amp;C1784)</f>
        <v/>
      </c>
    </row>
    <row r="1785" spans="2:24" ht="23.1" customHeight="1">
      <c r="B1785" s="31"/>
      <c r="C1785" s="9"/>
      <c r="D1785" s="9"/>
      <c r="E1785" s="7"/>
      <c r="F1785" s="7"/>
      <c r="G1785" s="7"/>
      <c r="H1785" s="7"/>
      <c r="I1785" s="7"/>
      <c r="J1785" s="39"/>
      <c r="L1785" s="16" t="str">
        <f t="shared" si="969"/>
        <v/>
      </c>
      <c r="M1785" s="16" t="str">
        <f t="shared" si="970"/>
        <v/>
      </c>
      <c r="N1785" s="16" t="str">
        <f t="shared" si="971"/>
        <v/>
      </c>
      <c r="O1785" s="16" t="str">
        <f>IF(N1785="","",COUNTIF($N$8:N1785,N1785))</f>
        <v/>
      </c>
      <c r="P1785" s="34" t="str">
        <f t="shared" si="972"/>
        <v/>
      </c>
      <c r="Q1785" s="34" t="str">
        <f t="shared" si="973"/>
        <v/>
      </c>
      <c r="R1785" s="34" t="str">
        <f t="shared" si="974"/>
        <v/>
      </c>
      <c r="S1785" s="34" t="str">
        <f t="shared" si="975"/>
        <v/>
      </c>
      <c r="T1785" s="34" t="str">
        <f t="shared" si="976"/>
        <v/>
      </c>
      <c r="U1785" s="34" t="str">
        <f>IF(AND(L1785=1,bp_kode=T1785,T1785&lt;&gt;""),COUNTIF($T$8:T1785,T1785),"")</f>
        <v/>
      </c>
      <c r="V1785" s="34" t="str">
        <f t="shared" si="977"/>
        <v/>
      </c>
      <c r="W1785" s="34" t="str">
        <f t="shared" si="978"/>
        <v/>
      </c>
      <c r="X1785" s="34" t="str">
        <f>IF(B1785="","",COUNTIF($C$8:C1785,C1785)&amp;C1785)</f>
        <v/>
      </c>
    </row>
    <row r="1786" spans="2:24" ht="23.1" customHeight="1">
      <c r="B1786" s="31"/>
      <c r="C1786" s="9"/>
      <c r="D1786" s="9"/>
      <c r="E1786" s="7"/>
      <c r="F1786" s="7"/>
      <c r="G1786" s="7"/>
      <c r="H1786" s="7"/>
      <c r="I1786" s="7"/>
      <c r="J1786" s="39"/>
      <c r="L1786" s="16" t="str">
        <f t="shared" si="969"/>
        <v/>
      </c>
      <c r="M1786" s="16" t="str">
        <f t="shared" si="970"/>
        <v/>
      </c>
      <c r="N1786" s="16" t="str">
        <f t="shared" si="971"/>
        <v/>
      </c>
      <c r="O1786" s="16" t="str">
        <f>IF(N1786="","",COUNTIF($N$8:N1786,N1786))</f>
        <v/>
      </c>
      <c r="P1786" s="34" t="str">
        <f t="shared" si="972"/>
        <v/>
      </c>
      <c r="Q1786" s="34" t="str">
        <f t="shared" si="973"/>
        <v/>
      </c>
      <c r="R1786" s="34" t="str">
        <f t="shared" si="974"/>
        <v/>
      </c>
      <c r="S1786" s="34" t="str">
        <f t="shared" si="975"/>
        <v/>
      </c>
      <c r="T1786" s="34" t="str">
        <f t="shared" si="976"/>
        <v/>
      </c>
      <c r="U1786" s="34" t="str">
        <f>IF(AND(L1786=1,bp_kode=T1786,T1786&lt;&gt;""),COUNTIF($T$8:T1786,T1786),"")</f>
        <v/>
      </c>
      <c r="V1786" s="34" t="str">
        <f t="shared" si="977"/>
        <v/>
      </c>
      <c r="W1786" s="34" t="str">
        <f t="shared" si="978"/>
        <v/>
      </c>
      <c r="X1786" s="34" t="str">
        <f>IF(B1786="","",COUNTIF($C$8:C1786,C1786)&amp;C1786)</f>
        <v/>
      </c>
    </row>
    <row r="1787" spans="2:24" ht="23.1" customHeight="1">
      <c r="B1787" s="31"/>
      <c r="C1787" s="9"/>
      <c r="D1787" s="9"/>
      <c r="E1787" s="7"/>
      <c r="F1787" s="7"/>
      <c r="G1787" s="7"/>
      <c r="H1787" s="7"/>
      <c r="I1787" s="7"/>
      <c r="J1787" s="39"/>
      <c r="L1787" s="16" t="str">
        <f t="shared" si="969"/>
        <v/>
      </c>
      <c r="M1787" s="16" t="str">
        <f t="shared" si="970"/>
        <v/>
      </c>
      <c r="N1787" s="16" t="str">
        <f t="shared" si="971"/>
        <v/>
      </c>
      <c r="O1787" s="16" t="str">
        <f>IF(N1787="","",COUNTIF($N$8:N1787,N1787))</f>
        <v/>
      </c>
      <c r="P1787" s="34" t="str">
        <f t="shared" si="972"/>
        <v/>
      </c>
      <c r="Q1787" s="34" t="str">
        <f t="shared" si="973"/>
        <v/>
      </c>
      <c r="R1787" s="34" t="str">
        <f t="shared" si="974"/>
        <v/>
      </c>
      <c r="S1787" s="34" t="str">
        <f t="shared" si="975"/>
        <v/>
      </c>
      <c r="T1787" s="34" t="str">
        <f t="shared" si="976"/>
        <v/>
      </c>
      <c r="U1787" s="34" t="str">
        <f>IF(AND(L1787=1,bp_kode=T1787,T1787&lt;&gt;""),COUNTIF($T$8:T1787,T1787),"")</f>
        <v/>
      </c>
      <c r="V1787" s="34" t="str">
        <f t="shared" si="977"/>
        <v/>
      </c>
      <c r="W1787" s="34" t="str">
        <f t="shared" si="978"/>
        <v/>
      </c>
      <c r="X1787" s="34" t="str">
        <f>IF(B1787="","",COUNTIF($C$8:C1787,C1787)&amp;C1787)</f>
        <v/>
      </c>
    </row>
    <row r="1788" spans="2:24" ht="23.1" customHeight="1">
      <c r="B1788" s="31"/>
      <c r="C1788" s="9"/>
      <c r="D1788" s="9"/>
      <c r="E1788" s="7"/>
      <c r="F1788" s="7"/>
      <c r="G1788" s="7"/>
      <c r="H1788" s="7"/>
      <c r="I1788" s="7"/>
      <c r="J1788" s="39"/>
      <c r="L1788" s="16" t="str">
        <f t="shared" si="969"/>
        <v/>
      </c>
      <c r="M1788" s="16" t="str">
        <f t="shared" si="970"/>
        <v/>
      </c>
      <c r="N1788" s="16" t="str">
        <f t="shared" si="971"/>
        <v/>
      </c>
      <c r="O1788" s="16" t="str">
        <f>IF(N1788="","",COUNTIF($N$8:N1788,N1788))</f>
        <v/>
      </c>
      <c r="P1788" s="34" t="str">
        <f t="shared" si="972"/>
        <v/>
      </c>
      <c r="Q1788" s="34" t="str">
        <f t="shared" si="973"/>
        <v/>
      </c>
      <c r="R1788" s="34" t="str">
        <f t="shared" si="974"/>
        <v/>
      </c>
      <c r="S1788" s="34" t="str">
        <f t="shared" si="975"/>
        <v/>
      </c>
      <c r="T1788" s="34" t="str">
        <f t="shared" si="976"/>
        <v/>
      </c>
      <c r="U1788" s="34" t="str">
        <f>IF(AND(L1788=1,bp_kode=T1788,T1788&lt;&gt;""),COUNTIF($T$8:T1788,T1788),"")</f>
        <v/>
      </c>
      <c r="V1788" s="34" t="str">
        <f t="shared" si="977"/>
        <v/>
      </c>
      <c r="W1788" s="34" t="str">
        <f t="shared" si="978"/>
        <v/>
      </c>
      <c r="X1788" s="34" t="str">
        <f>IF(B1788="","",COUNTIF($C$8:C1788,C1788)&amp;C1788)</f>
        <v/>
      </c>
    </row>
    <row r="1789" spans="2:24" ht="23.1" customHeight="1">
      <c r="B1789" s="31"/>
      <c r="C1789" s="9"/>
      <c r="D1789" s="9"/>
      <c r="E1789" s="7"/>
      <c r="F1789" s="7"/>
      <c r="G1789" s="7"/>
      <c r="H1789" s="7"/>
      <c r="I1789" s="7"/>
      <c r="J1789" s="39"/>
      <c r="L1789" s="16" t="str">
        <f t="shared" si="969"/>
        <v/>
      </c>
      <c r="M1789" s="16" t="str">
        <f t="shared" si="970"/>
        <v/>
      </c>
      <c r="N1789" s="16" t="str">
        <f t="shared" si="971"/>
        <v/>
      </c>
      <c r="O1789" s="16" t="str">
        <f>IF(N1789="","",COUNTIF($N$8:N1789,N1789))</f>
        <v/>
      </c>
      <c r="P1789" s="34" t="str">
        <f t="shared" si="972"/>
        <v/>
      </c>
      <c r="Q1789" s="34" t="str">
        <f t="shared" si="973"/>
        <v/>
      </c>
      <c r="R1789" s="34" t="str">
        <f t="shared" si="974"/>
        <v/>
      </c>
      <c r="S1789" s="34" t="str">
        <f t="shared" si="975"/>
        <v/>
      </c>
      <c r="T1789" s="34" t="str">
        <f t="shared" si="976"/>
        <v/>
      </c>
      <c r="U1789" s="34" t="str">
        <f>IF(AND(L1789=1,bp_kode=T1789,T1789&lt;&gt;""),COUNTIF($T$8:T1789,T1789),"")</f>
        <v/>
      </c>
      <c r="V1789" s="34" t="str">
        <f t="shared" si="977"/>
        <v/>
      </c>
      <c r="W1789" s="34" t="str">
        <f t="shared" si="978"/>
        <v/>
      </c>
      <c r="X1789" s="34" t="str">
        <f>IF(B1789="","",COUNTIF($C$8:C1789,C1789)&amp;C1789)</f>
        <v/>
      </c>
    </row>
    <row r="1790" spans="2:24" ht="23.1" customHeight="1">
      <c r="B1790" s="31"/>
      <c r="C1790" s="9"/>
      <c r="D1790" s="9"/>
      <c r="E1790" s="7"/>
      <c r="F1790" s="7"/>
      <c r="G1790" s="7"/>
      <c r="H1790" s="7"/>
      <c r="I1790" s="7"/>
      <c r="J1790" s="39"/>
      <c r="L1790" s="16" t="str">
        <f t="shared" si="969"/>
        <v/>
      </c>
      <c r="M1790" s="16" t="str">
        <f t="shared" si="970"/>
        <v/>
      </c>
      <c r="N1790" s="16" t="str">
        <f t="shared" si="971"/>
        <v/>
      </c>
      <c r="O1790" s="16" t="str">
        <f>IF(N1790="","",COUNTIF($N$8:N1790,N1790))</f>
        <v/>
      </c>
      <c r="P1790" s="34" t="str">
        <f t="shared" si="972"/>
        <v/>
      </c>
      <c r="Q1790" s="34" t="str">
        <f t="shared" si="973"/>
        <v/>
      </c>
      <c r="R1790" s="34" t="str">
        <f t="shared" si="974"/>
        <v/>
      </c>
      <c r="S1790" s="34" t="str">
        <f t="shared" si="975"/>
        <v/>
      </c>
      <c r="T1790" s="34" t="str">
        <f t="shared" si="976"/>
        <v/>
      </c>
      <c r="U1790" s="34" t="str">
        <f>IF(AND(L1790=1,bp_kode=T1790,T1790&lt;&gt;""),COUNTIF($T$8:T1790,T1790),"")</f>
        <v/>
      </c>
      <c r="V1790" s="34" t="str">
        <f t="shared" si="977"/>
        <v/>
      </c>
      <c r="W1790" s="34" t="str">
        <f t="shared" si="978"/>
        <v/>
      </c>
      <c r="X1790" s="34" t="str">
        <f>IF(B1790="","",COUNTIF($C$8:C1790,C1790)&amp;C1790)</f>
        <v/>
      </c>
    </row>
    <row r="1791" spans="2:24" ht="23.1" customHeight="1">
      <c r="B1791" s="31"/>
      <c r="C1791" s="9"/>
      <c r="D1791" s="9"/>
      <c r="E1791" s="7"/>
      <c r="F1791" s="7"/>
      <c r="G1791" s="7"/>
      <c r="H1791" s="7"/>
      <c r="I1791" s="7"/>
      <c r="J1791" s="39"/>
      <c r="L1791" s="16" t="str">
        <f t="shared" si="969"/>
        <v/>
      </c>
      <c r="M1791" s="16" t="str">
        <f t="shared" si="970"/>
        <v/>
      </c>
      <c r="N1791" s="16" t="str">
        <f t="shared" si="971"/>
        <v/>
      </c>
      <c r="O1791" s="16" t="str">
        <f>IF(N1791="","",COUNTIF($N$8:N1791,N1791))</f>
        <v/>
      </c>
      <c r="P1791" s="34" t="str">
        <f t="shared" si="972"/>
        <v/>
      </c>
      <c r="Q1791" s="34" t="str">
        <f t="shared" si="973"/>
        <v/>
      </c>
      <c r="R1791" s="34" t="str">
        <f t="shared" si="974"/>
        <v/>
      </c>
      <c r="S1791" s="34" t="str">
        <f t="shared" si="975"/>
        <v/>
      </c>
      <c r="T1791" s="34" t="str">
        <f t="shared" si="976"/>
        <v/>
      </c>
      <c r="U1791" s="34" t="str">
        <f>IF(AND(L1791=1,bp_kode=T1791,T1791&lt;&gt;""),COUNTIF($T$8:T1791,T1791),"")</f>
        <v/>
      </c>
      <c r="V1791" s="34" t="str">
        <f t="shared" si="977"/>
        <v/>
      </c>
      <c r="W1791" s="34" t="str">
        <f t="shared" si="978"/>
        <v/>
      </c>
      <c r="X1791" s="34" t="str">
        <f>IF(B1791="","",COUNTIF($C$8:C1791,C1791)&amp;C1791)</f>
        <v/>
      </c>
    </row>
    <row r="1792" spans="2:24" ht="23.1" customHeight="1">
      <c r="B1792" s="31"/>
      <c r="C1792" s="9"/>
      <c r="D1792" s="9"/>
      <c r="E1792" s="7"/>
      <c r="F1792" s="7"/>
      <c r="G1792" s="7"/>
      <c r="H1792" s="7"/>
      <c r="I1792" s="7"/>
      <c r="J1792" s="39"/>
      <c r="L1792" s="16" t="str">
        <f t="shared" si="969"/>
        <v/>
      </c>
      <c r="M1792" s="16" t="str">
        <f t="shared" si="970"/>
        <v/>
      </c>
      <c r="N1792" s="16" t="str">
        <f t="shared" si="971"/>
        <v/>
      </c>
      <c r="O1792" s="16" t="str">
        <f>IF(N1792="","",COUNTIF($N$8:N1792,N1792))</f>
        <v/>
      </c>
      <c r="P1792" s="34" t="str">
        <f t="shared" si="972"/>
        <v/>
      </c>
      <c r="Q1792" s="34" t="str">
        <f t="shared" si="973"/>
        <v/>
      </c>
      <c r="R1792" s="34" t="str">
        <f t="shared" si="974"/>
        <v/>
      </c>
      <c r="S1792" s="34" t="str">
        <f t="shared" si="975"/>
        <v/>
      </c>
      <c r="T1792" s="34" t="str">
        <f t="shared" si="976"/>
        <v/>
      </c>
      <c r="U1792" s="34" t="str">
        <f>IF(AND(L1792=1,bp_kode=T1792,T1792&lt;&gt;""),COUNTIF($T$8:T1792,T1792),"")</f>
        <v/>
      </c>
      <c r="V1792" s="34" t="str">
        <f t="shared" si="977"/>
        <v/>
      </c>
      <c r="W1792" s="34" t="str">
        <f t="shared" si="978"/>
        <v/>
      </c>
      <c r="X1792" s="34" t="str">
        <f>IF(B1792="","",COUNTIF($C$8:C1792,C1792)&amp;C1792)</f>
        <v/>
      </c>
    </row>
    <row r="1793" spans="2:24" ht="23.1" customHeight="1">
      <c r="B1793" s="31"/>
      <c r="C1793" s="9"/>
      <c r="D1793" s="9"/>
      <c r="E1793" s="7"/>
      <c r="F1793" s="7"/>
      <c r="G1793" s="7"/>
      <c r="H1793" s="7"/>
      <c r="I1793" s="7"/>
      <c r="J1793" s="39"/>
      <c r="L1793" s="16" t="str">
        <f t="shared" si="969"/>
        <v/>
      </c>
      <c r="M1793" s="16" t="str">
        <f t="shared" si="970"/>
        <v/>
      </c>
      <c r="N1793" s="16" t="str">
        <f t="shared" si="971"/>
        <v/>
      </c>
      <c r="O1793" s="16" t="str">
        <f>IF(N1793="","",COUNTIF($N$8:N1793,N1793))</f>
        <v/>
      </c>
      <c r="P1793" s="34" t="str">
        <f t="shared" si="972"/>
        <v/>
      </c>
      <c r="Q1793" s="34" t="str">
        <f t="shared" si="973"/>
        <v/>
      </c>
      <c r="R1793" s="34" t="str">
        <f t="shared" si="974"/>
        <v/>
      </c>
      <c r="S1793" s="34" t="str">
        <f t="shared" si="975"/>
        <v/>
      </c>
      <c r="T1793" s="34" t="str">
        <f t="shared" si="976"/>
        <v/>
      </c>
      <c r="U1793" s="34" t="str">
        <f>IF(AND(L1793=1,bp_kode=T1793,T1793&lt;&gt;""),COUNTIF($T$8:T1793,T1793),"")</f>
        <v/>
      </c>
      <c r="V1793" s="34" t="str">
        <f t="shared" si="977"/>
        <v/>
      </c>
      <c r="W1793" s="34" t="str">
        <f t="shared" si="978"/>
        <v/>
      </c>
      <c r="X1793" s="34" t="str">
        <f>IF(B1793="","",COUNTIF($C$8:C1793,C1793)&amp;C1793)</f>
        <v/>
      </c>
    </row>
    <row r="1794" spans="2:24" ht="23.1" customHeight="1">
      <c r="B1794" s="31"/>
      <c r="C1794" s="9"/>
      <c r="D1794" s="9"/>
      <c r="E1794" s="7"/>
      <c r="F1794" s="7"/>
      <c r="G1794" s="7"/>
      <c r="H1794" s="7"/>
      <c r="I1794" s="7"/>
      <c r="J1794" s="39"/>
      <c r="L1794" s="16" t="str">
        <f t="shared" si="969"/>
        <v/>
      </c>
      <c r="M1794" s="16" t="str">
        <f t="shared" si="970"/>
        <v/>
      </c>
      <c r="N1794" s="16" t="str">
        <f t="shared" si="971"/>
        <v/>
      </c>
      <c r="O1794" s="16" t="str">
        <f>IF(N1794="","",COUNTIF($N$8:N1794,N1794))</f>
        <v/>
      </c>
      <c r="P1794" s="34" t="str">
        <f t="shared" si="972"/>
        <v/>
      </c>
      <c r="Q1794" s="34" t="str">
        <f t="shared" si="973"/>
        <v/>
      </c>
      <c r="R1794" s="34" t="str">
        <f t="shared" si="974"/>
        <v/>
      </c>
      <c r="S1794" s="34" t="str">
        <f t="shared" si="975"/>
        <v/>
      </c>
      <c r="T1794" s="34" t="str">
        <f t="shared" si="976"/>
        <v/>
      </c>
      <c r="U1794" s="34" t="str">
        <f>IF(AND(L1794=1,bp_kode=T1794,T1794&lt;&gt;""),COUNTIF($T$8:T1794,T1794),"")</f>
        <v/>
      </c>
      <c r="V1794" s="34" t="str">
        <f t="shared" si="977"/>
        <v/>
      </c>
      <c r="W1794" s="34" t="str">
        <f t="shared" si="978"/>
        <v/>
      </c>
      <c r="X1794" s="34" t="str">
        <f>IF(B1794="","",COUNTIF($C$8:C1794,C1794)&amp;C1794)</f>
        <v/>
      </c>
    </row>
    <row r="1795" spans="2:24" ht="23.1" customHeight="1">
      <c r="B1795" s="31"/>
      <c r="C1795" s="9"/>
      <c r="D1795" s="9"/>
      <c r="E1795" s="7"/>
      <c r="F1795" s="7"/>
      <c r="G1795" s="7"/>
      <c r="H1795" s="7"/>
      <c r="I1795" s="7"/>
      <c r="J1795" s="39"/>
      <c r="L1795" s="16" t="str">
        <f t="shared" si="969"/>
        <v/>
      </c>
      <c r="M1795" s="16" t="str">
        <f t="shared" si="970"/>
        <v/>
      </c>
      <c r="N1795" s="16" t="str">
        <f t="shared" si="971"/>
        <v/>
      </c>
      <c r="O1795" s="16" t="str">
        <f>IF(N1795="","",COUNTIF($N$8:N1795,N1795))</f>
        <v/>
      </c>
      <c r="P1795" s="34" t="str">
        <f t="shared" si="972"/>
        <v/>
      </c>
      <c r="Q1795" s="34" t="str">
        <f t="shared" si="973"/>
        <v/>
      </c>
      <c r="R1795" s="34" t="str">
        <f t="shared" si="974"/>
        <v/>
      </c>
      <c r="S1795" s="34" t="str">
        <f t="shared" si="975"/>
        <v/>
      </c>
      <c r="T1795" s="34" t="str">
        <f t="shared" si="976"/>
        <v/>
      </c>
      <c r="U1795" s="34" t="str">
        <f>IF(AND(L1795=1,bp_kode=T1795,T1795&lt;&gt;""),COUNTIF($T$8:T1795,T1795),"")</f>
        <v/>
      </c>
      <c r="V1795" s="34" t="str">
        <f t="shared" si="977"/>
        <v/>
      </c>
      <c r="W1795" s="34" t="str">
        <f t="shared" si="978"/>
        <v/>
      </c>
      <c r="X1795" s="34" t="str">
        <f>IF(B1795="","",COUNTIF($C$8:C1795,C1795)&amp;C1795)</f>
        <v/>
      </c>
    </row>
    <row r="1796" spans="2:24" ht="23.1" customHeight="1">
      <c r="B1796" s="31"/>
      <c r="C1796" s="9"/>
      <c r="D1796" s="9"/>
      <c r="E1796" s="7"/>
      <c r="F1796" s="7"/>
      <c r="G1796" s="7"/>
      <c r="H1796" s="7"/>
      <c r="I1796" s="7"/>
      <c r="J1796" s="39"/>
      <c r="L1796" s="16" t="str">
        <f t="shared" si="969"/>
        <v/>
      </c>
      <c r="M1796" s="16" t="str">
        <f t="shared" si="970"/>
        <v/>
      </c>
      <c r="N1796" s="16" t="str">
        <f t="shared" si="971"/>
        <v/>
      </c>
      <c r="O1796" s="16" t="str">
        <f>IF(N1796="","",COUNTIF($N$8:N1796,N1796))</f>
        <v/>
      </c>
      <c r="P1796" s="34" t="str">
        <f t="shared" si="972"/>
        <v/>
      </c>
      <c r="Q1796" s="34" t="str">
        <f t="shared" si="973"/>
        <v/>
      </c>
      <c r="R1796" s="34" t="str">
        <f t="shared" si="974"/>
        <v/>
      </c>
      <c r="S1796" s="34" t="str">
        <f t="shared" si="975"/>
        <v/>
      </c>
      <c r="T1796" s="34" t="str">
        <f t="shared" si="976"/>
        <v/>
      </c>
      <c r="U1796" s="34" t="str">
        <f>IF(AND(L1796=1,bp_kode=T1796,T1796&lt;&gt;""),COUNTIF($T$8:T1796,T1796),"")</f>
        <v/>
      </c>
      <c r="V1796" s="34" t="str">
        <f t="shared" si="977"/>
        <v/>
      </c>
      <c r="W1796" s="34" t="str">
        <f t="shared" si="978"/>
        <v/>
      </c>
      <c r="X1796" s="34" t="str">
        <f>IF(B1796="","",COUNTIF($C$8:C1796,C1796)&amp;C1796)</f>
        <v/>
      </c>
    </row>
    <row r="1797" spans="2:24" ht="23.1" customHeight="1">
      <c r="B1797" s="31"/>
      <c r="C1797" s="9"/>
      <c r="D1797" s="9"/>
      <c r="E1797" s="7"/>
      <c r="F1797" s="7"/>
      <c r="G1797" s="7"/>
      <c r="H1797" s="7"/>
      <c r="I1797" s="7"/>
      <c r="J1797" s="39"/>
      <c r="L1797" s="16" t="str">
        <f t="shared" si="969"/>
        <v/>
      </c>
      <c r="M1797" s="16" t="str">
        <f t="shared" si="970"/>
        <v/>
      </c>
      <c r="N1797" s="16" t="str">
        <f t="shared" si="971"/>
        <v/>
      </c>
      <c r="O1797" s="16" t="str">
        <f>IF(N1797="","",COUNTIF($N$8:N1797,N1797))</f>
        <v/>
      </c>
      <c r="P1797" s="34" t="str">
        <f t="shared" si="972"/>
        <v/>
      </c>
      <c r="Q1797" s="34" t="str">
        <f t="shared" si="973"/>
        <v/>
      </c>
      <c r="R1797" s="34" t="str">
        <f t="shared" si="974"/>
        <v/>
      </c>
      <c r="S1797" s="34" t="str">
        <f t="shared" si="975"/>
        <v/>
      </c>
      <c r="T1797" s="34" t="str">
        <f t="shared" si="976"/>
        <v/>
      </c>
      <c r="U1797" s="34" t="str">
        <f>IF(AND(L1797=1,bp_kode=T1797,T1797&lt;&gt;""),COUNTIF($T$8:T1797,T1797),"")</f>
        <v/>
      </c>
      <c r="V1797" s="34" t="str">
        <f t="shared" si="977"/>
        <v/>
      </c>
      <c r="W1797" s="34" t="str">
        <f t="shared" si="978"/>
        <v/>
      </c>
      <c r="X1797" s="34" t="str">
        <f>IF(B1797="","",COUNTIF($C$8:C1797,C1797)&amp;C1797)</f>
        <v/>
      </c>
    </row>
    <row r="1798" spans="2:24" ht="23.1" customHeight="1">
      <c r="B1798" s="31"/>
      <c r="C1798" s="9"/>
      <c r="D1798" s="9"/>
      <c r="E1798" s="7"/>
      <c r="F1798" s="7"/>
      <c r="G1798" s="7"/>
      <c r="H1798" s="7"/>
      <c r="I1798" s="7"/>
      <c r="J1798" s="39"/>
      <c r="L1798" s="16" t="str">
        <f t="shared" ref="L1798:L1810" si="979">IF(AND(B1798&gt;=awal,B1798&lt;=akhir,B1798&lt;&gt;""),1,IF(AND(B1798&lt;&gt;"",B1798&lt;awal),2,""))</f>
        <v/>
      </c>
      <c r="M1798" s="16" t="str">
        <f t="shared" ref="M1798:M1810" si="980">IF(B1798="","",TEXT(B1798,"mmmm"))</f>
        <v/>
      </c>
      <c r="N1798" s="16" t="str">
        <f t="shared" ref="N1798:N1810" si="981">IF(AND(L1798=1,H1798=bb_akun),"Awe",IF(AND(L1798=1,I1798=bb_akun),"Awe",""))</f>
        <v/>
      </c>
      <c r="O1798" s="16" t="str">
        <f>IF(N1798="","",COUNTIF($N$8:N1798,N1798))</f>
        <v/>
      </c>
      <c r="P1798" s="34" t="str">
        <f t="shared" ref="P1798:P1810" si="982">IFERROR(IF(OR(INDEX(akun_type,MATCH(H1798,akun_kb,0))="Kas",INDEX(akun_type,MATCH(H1798,akun_kb,0))="Bank"),"In"&amp;INDEX(akun_type,MATCH(I1798,akun_kb,0)),IF(OR(INDEX(akun_type,MATCH(I1798,akun_kb,0))="Kas",INDEX(akun_type,MATCH(I1798,akun_kb,0))="Bank"),"out"&amp;INDEX(akun_type,MATCH(H1798,akun_kb,0)),"")),"")</f>
        <v/>
      </c>
      <c r="Q1798" s="34" t="str">
        <f t="shared" ref="Q1798:Q1810" si="983">IFERROR(IF(OR(INDEX(akun_type,MATCH(H1798,akun_kb,0))="Kas",INDEX(akun_type,MATCH(H1798,akun_kb,0))="Bank"),"in"&amp;TEXT(B1798,"mmmm")&amp;INDEX(akun_type,MATCH(I1798,akun_kb,0)),IF(OR(INDEX(akun_type,MATCH(I1798,akun_kb,0))="Kas",INDEX(akun_type,MATCH(I1798,akun_kb,0))="Bank"),"out"&amp;TEXT(B1798,"mmmm")&amp;INDEX(akun_type,MATCH(H1798,akun_kb,0)),"")),"")</f>
        <v/>
      </c>
      <c r="R1798" s="34" t="str">
        <f t="shared" ref="R1798:R1810" si="984">IFERROR(INDEX(akun_type,MATCH(H1798,akun_kb,0)),"")</f>
        <v/>
      </c>
      <c r="S1798" s="34" t="str">
        <f t="shared" ref="S1798:S1810" si="985">IFERROR(INDEX(akun_type,MATCH(I1798,akun_kb,0)),"")</f>
        <v/>
      </c>
      <c r="T1798" s="34" t="str">
        <f t="shared" ref="T1798:T1810" si="986">IF(AND(L1798=1,OR(R1798="Akun Piutang",R1798="akun hutang",S1798="akun piutang",S1798="akun hutang")),E1798,"")</f>
        <v/>
      </c>
      <c r="U1798" s="34" t="str">
        <f>IF(AND(L1798=1,bp_kode=T1798,T1798&lt;&gt;""),COUNTIF($T$8:T1798,T1798),"")</f>
        <v/>
      </c>
      <c r="V1798" s="34" t="str">
        <f t="shared" ref="V1798:V1810" si="987">IF(OR(R1798="Pendapatan",R1798="Pendapatan Lainnya",R1798="Beban",R1798="Harga Pokok Penjualan",R1798="Beban Lainnya"),"db"&amp;F1798,IF(OR(S1798="Pendapatan",S1798="Pendapatan Lainnya",S1798="Beban",S1798="Harga Pokok Penjualan",S1798="Beban Lainnya"),"kr"&amp;F1798,""))</f>
        <v/>
      </c>
      <c r="W1798" s="34" t="str">
        <f t="shared" ref="W1798:W1810" si="988">IF(OR(R1798="Pendapatan",R1798="Pendapatan Lainnya",R1798="Beban",R1798="Harga Pokok Penjualan",R1798="Beban Lainnya"),"db"&amp;G1798,IF(OR(S1798="Pendapatan",S1798="Pendapatan Lainnya",S1798="Beban",S1798="Harga Pokok Penjualan",S1798="Beban Lainnya"),"kr"&amp;G1798,""))</f>
        <v/>
      </c>
      <c r="X1798" s="34" t="str">
        <f>IF(B1798="","",COUNTIF($C$8:C1798,C1798)&amp;C1798)</f>
        <v/>
      </c>
    </row>
    <row r="1799" spans="2:24" ht="23.1" customHeight="1">
      <c r="B1799" s="31"/>
      <c r="C1799" s="9"/>
      <c r="D1799" s="9"/>
      <c r="E1799" s="7"/>
      <c r="F1799" s="7"/>
      <c r="G1799" s="7"/>
      <c r="H1799" s="7"/>
      <c r="I1799" s="7"/>
      <c r="J1799" s="39"/>
      <c r="L1799" s="16" t="str">
        <f t="shared" si="979"/>
        <v/>
      </c>
      <c r="M1799" s="16" t="str">
        <f t="shared" si="980"/>
        <v/>
      </c>
      <c r="N1799" s="16" t="str">
        <f t="shared" si="981"/>
        <v/>
      </c>
      <c r="O1799" s="16" t="str">
        <f>IF(N1799="","",COUNTIF($N$8:N1799,N1799))</f>
        <v/>
      </c>
      <c r="P1799" s="34" t="str">
        <f t="shared" si="982"/>
        <v/>
      </c>
      <c r="Q1799" s="34" t="str">
        <f t="shared" si="983"/>
        <v/>
      </c>
      <c r="R1799" s="34" t="str">
        <f t="shared" si="984"/>
        <v/>
      </c>
      <c r="S1799" s="34" t="str">
        <f t="shared" si="985"/>
        <v/>
      </c>
      <c r="T1799" s="34" t="str">
        <f t="shared" si="986"/>
        <v/>
      </c>
      <c r="U1799" s="34" t="str">
        <f>IF(AND(L1799=1,bp_kode=T1799,T1799&lt;&gt;""),COUNTIF($T$8:T1799,T1799),"")</f>
        <v/>
      </c>
      <c r="V1799" s="34" t="str">
        <f t="shared" si="987"/>
        <v/>
      </c>
      <c r="W1799" s="34" t="str">
        <f t="shared" si="988"/>
        <v/>
      </c>
      <c r="X1799" s="34" t="str">
        <f>IF(B1799="","",COUNTIF($C$8:C1799,C1799)&amp;C1799)</f>
        <v/>
      </c>
    </row>
    <row r="1800" spans="2:24" ht="23.1" customHeight="1">
      <c r="B1800" s="31"/>
      <c r="C1800" s="9"/>
      <c r="D1800" s="9"/>
      <c r="E1800" s="7"/>
      <c r="F1800" s="7"/>
      <c r="G1800" s="7"/>
      <c r="H1800" s="7"/>
      <c r="I1800" s="7"/>
      <c r="J1800" s="39"/>
      <c r="L1800" s="16" t="str">
        <f t="shared" si="979"/>
        <v/>
      </c>
      <c r="M1800" s="16" t="str">
        <f t="shared" si="980"/>
        <v/>
      </c>
      <c r="N1800" s="16" t="str">
        <f t="shared" si="981"/>
        <v/>
      </c>
      <c r="O1800" s="16" t="str">
        <f>IF(N1800="","",COUNTIF($N$8:N1800,N1800))</f>
        <v/>
      </c>
      <c r="P1800" s="34" t="str">
        <f t="shared" si="982"/>
        <v/>
      </c>
      <c r="Q1800" s="34" t="str">
        <f t="shared" si="983"/>
        <v/>
      </c>
      <c r="R1800" s="34" t="str">
        <f t="shared" si="984"/>
        <v/>
      </c>
      <c r="S1800" s="34" t="str">
        <f t="shared" si="985"/>
        <v/>
      </c>
      <c r="T1800" s="34" t="str">
        <f t="shared" si="986"/>
        <v/>
      </c>
      <c r="U1800" s="34" t="str">
        <f>IF(AND(L1800=1,bp_kode=T1800,T1800&lt;&gt;""),COUNTIF($T$8:T1800,T1800),"")</f>
        <v/>
      </c>
      <c r="V1800" s="34" t="str">
        <f t="shared" si="987"/>
        <v/>
      </c>
      <c r="W1800" s="34" t="str">
        <f t="shared" si="988"/>
        <v/>
      </c>
      <c r="X1800" s="34" t="str">
        <f>IF(B1800="","",COUNTIF($C$8:C1800,C1800)&amp;C1800)</f>
        <v/>
      </c>
    </row>
    <row r="1801" spans="2:24" ht="23.1" customHeight="1">
      <c r="B1801" s="31"/>
      <c r="C1801" s="9"/>
      <c r="D1801" s="9"/>
      <c r="E1801" s="7"/>
      <c r="F1801" s="7"/>
      <c r="G1801" s="7"/>
      <c r="H1801" s="7"/>
      <c r="I1801" s="7"/>
      <c r="J1801" s="39"/>
      <c r="L1801" s="16" t="str">
        <f t="shared" si="979"/>
        <v/>
      </c>
      <c r="M1801" s="16" t="str">
        <f t="shared" si="980"/>
        <v/>
      </c>
      <c r="N1801" s="16" t="str">
        <f t="shared" si="981"/>
        <v/>
      </c>
      <c r="O1801" s="16" t="str">
        <f>IF(N1801="","",COUNTIF($N$8:N1801,N1801))</f>
        <v/>
      </c>
      <c r="P1801" s="34" t="str">
        <f t="shared" si="982"/>
        <v/>
      </c>
      <c r="Q1801" s="34" t="str">
        <f t="shared" si="983"/>
        <v/>
      </c>
      <c r="R1801" s="34" t="str">
        <f t="shared" si="984"/>
        <v/>
      </c>
      <c r="S1801" s="34" t="str">
        <f t="shared" si="985"/>
        <v/>
      </c>
      <c r="T1801" s="34" t="str">
        <f t="shared" si="986"/>
        <v/>
      </c>
      <c r="U1801" s="34" t="str">
        <f>IF(AND(L1801=1,bp_kode=T1801,T1801&lt;&gt;""),COUNTIF($T$8:T1801,T1801),"")</f>
        <v/>
      </c>
      <c r="V1801" s="34" t="str">
        <f t="shared" si="987"/>
        <v/>
      </c>
      <c r="W1801" s="34" t="str">
        <f t="shared" si="988"/>
        <v/>
      </c>
      <c r="X1801" s="34" t="str">
        <f>IF(B1801="","",COUNTIF($C$8:C1801,C1801)&amp;C1801)</f>
        <v/>
      </c>
    </row>
    <row r="1802" spans="2:24" ht="23.1" customHeight="1">
      <c r="B1802" s="31"/>
      <c r="C1802" s="9"/>
      <c r="D1802" s="9"/>
      <c r="E1802" s="7"/>
      <c r="F1802" s="7"/>
      <c r="G1802" s="7"/>
      <c r="H1802" s="7"/>
      <c r="I1802" s="7"/>
      <c r="J1802" s="39"/>
      <c r="L1802" s="16" t="str">
        <f t="shared" si="979"/>
        <v/>
      </c>
      <c r="M1802" s="16" t="str">
        <f t="shared" si="980"/>
        <v/>
      </c>
      <c r="N1802" s="16" t="str">
        <f t="shared" si="981"/>
        <v/>
      </c>
      <c r="O1802" s="16" t="str">
        <f>IF(N1802="","",COUNTIF($N$8:N1802,N1802))</f>
        <v/>
      </c>
      <c r="P1802" s="34" t="str">
        <f t="shared" si="982"/>
        <v/>
      </c>
      <c r="Q1802" s="34" t="str">
        <f t="shared" si="983"/>
        <v/>
      </c>
      <c r="R1802" s="34" t="str">
        <f t="shared" si="984"/>
        <v/>
      </c>
      <c r="S1802" s="34" t="str">
        <f t="shared" si="985"/>
        <v/>
      </c>
      <c r="T1802" s="34" t="str">
        <f t="shared" si="986"/>
        <v/>
      </c>
      <c r="U1802" s="34" t="str">
        <f>IF(AND(L1802=1,bp_kode=T1802,T1802&lt;&gt;""),COUNTIF($T$8:T1802,T1802),"")</f>
        <v/>
      </c>
      <c r="V1802" s="34" t="str">
        <f t="shared" si="987"/>
        <v/>
      </c>
      <c r="W1802" s="34" t="str">
        <f t="shared" si="988"/>
        <v/>
      </c>
      <c r="X1802" s="34" t="str">
        <f>IF(B1802="","",COUNTIF($C$8:C1802,C1802)&amp;C1802)</f>
        <v/>
      </c>
    </row>
    <row r="1803" spans="2:24" ht="23.1" customHeight="1">
      <c r="B1803" s="31"/>
      <c r="C1803" s="9"/>
      <c r="D1803" s="9"/>
      <c r="E1803" s="7"/>
      <c r="F1803" s="7"/>
      <c r="G1803" s="7"/>
      <c r="H1803" s="7"/>
      <c r="I1803" s="7"/>
      <c r="J1803" s="39"/>
      <c r="L1803" s="16" t="str">
        <f t="shared" si="979"/>
        <v/>
      </c>
      <c r="M1803" s="16" t="str">
        <f t="shared" si="980"/>
        <v/>
      </c>
      <c r="N1803" s="16" t="str">
        <f t="shared" si="981"/>
        <v/>
      </c>
      <c r="O1803" s="16" t="str">
        <f>IF(N1803="","",COUNTIF($N$8:N1803,N1803))</f>
        <v/>
      </c>
      <c r="P1803" s="34" t="str">
        <f t="shared" si="982"/>
        <v/>
      </c>
      <c r="Q1803" s="34" t="str">
        <f t="shared" si="983"/>
        <v/>
      </c>
      <c r="R1803" s="34" t="str">
        <f t="shared" si="984"/>
        <v/>
      </c>
      <c r="S1803" s="34" t="str">
        <f t="shared" si="985"/>
        <v/>
      </c>
      <c r="T1803" s="34" t="str">
        <f t="shared" si="986"/>
        <v/>
      </c>
      <c r="U1803" s="34" t="str">
        <f>IF(AND(L1803=1,bp_kode=T1803,T1803&lt;&gt;""),COUNTIF($T$8:T1803,T1803),"")</f>
        <v/>
      </c>
      <c r="V1803" s="34" t="str">
        <f t="shared" si="987"/>
        <v/>
      </c>
      <c r="W1803" s="34" t="str">
        <f t="shared" si="988"/>
        <v/>
      </c>
      <c r="X1803" s="34" t="str">
        <f>IF(B1803="","",COUNTIF($C$8:C1803,C1803)&amp;C1803)</f>
        <v/>
      </c>
    </row>
    <row r="1804" spans="2:24" ht="23.1" customHeight="1">
      <c r="B1804" s="31"/>
      <c r="C1804" s="9"/>
      <c r="D1804" s="9"/>
      <c r="E1804" s="7"/>
      <c r="F1804" s="7"/>
      <c r="G1804" s="7"/>
      <c r="H1804" s="7"/>
      <c r="I1804" s="7"/>
      <c r="J1804" s="39"/>
      <c r="L1804" s="16" t="str">
        <f t="shared" si="979"/>
        <v/>
      </c>
      <c r="M1804" s="16" t="str">
        <f t="shared" si="980"/>
        <v/>
      </c>
      <c r="N1804" s="16" t="str">
        <f t="shared" si="981"/>
        <v/>
      </c>
      <c r="O1804" s="16" t="str">
        <f>IF(N1804="","",COUNTIF($N$8:N1804,N1804))</f>
        <v/>
      </c>
      <c r="P1804" s="34" t="str">
        <f t="shared" si="982"/>
        <v/>
      </c>
      <c r="Q1804" s="34" t="str">
        <f t="shared" si="983"/>
        <v/>
      </c>
      <c r="R1804" s="34" t="str">
        <f t="shared" si="984"/>
        <v/>
      </c>
      <c r="S1804" s="34" t="str">
        <f t="shared" si="985"/>
        <v/>
      </c>
      <c r="T1804" s="34" t="str">
        <f t="shared" si="986"/>
        <v/>
      </c>
      <c r="U1804" s="34" t="str">
        <f>IF(AND(L1804=1,bp_kode=T1804,T1804&lt;&gt;""),COUNTIF($T$8:T1804,T1804),"")</f>
        <v/>
      </c>
      <c r="V1804" s="34" t="str">
        <f t="shared" si="987"/>
        <v/>
      </c>
      <c r="W1804" s="34" t="str">
        <f t="shared" si="988"/>
        <v/>
      </c>
      <c r="X1804" s="34" t="str">
        <f>IF(B1804="","",COUNTIF($C$8:C1804,C1804)&amp;C1804)</f>
        <v/>
      </c>
    </row>
    <row r="1805" spans="2:24" ht="23.1" customHeight="1">
      <c r="B1805" s="31"/>
      <c r="C1805" s="9"/>
      <c r="D1805" s="9"/>
      <c r="E1805" s="7"/>
      <c r="F1805" s="7"/>
      <c r="G1805" s="7"/>
      <c r="H1805" s="7"/>
      <c r="I1805" s="7"/>
      <c r="J1805" s="39"/>
      <c r="L1805" s="16" t="str">
        <f t="shared" si="979"/>
        <v/>
      </c>
      <c r="M1805" s="16" t="str">
        <f t="shared" si="980"/>
        <v/>
      </c>
      <c r="N1805" s="16" t="str">
        <f t="shared" si="981"/>
        <v/>
      </c>
      <c r="O1805" s="16" t="str">
        <f>IF(N1805="","",COUNTIF($N$8:N1805,N1805))</f>
        <v/>
      </c>
      <c r="P1805" s="34" t="str">
        <f t="shared" si="982"/>
        <v/>
      </c>
      <c r="Q1805" s="34" t="str">
        <f t="shared" si="983"/>
        <v/>
      </c>
      <c r="R1805" s="34" t="str">
        <f t="shared" si="984"/>
        <v/>
      </c>
      <c r="S1805" s="34" t="str">
        <f t="shared" si="985"/>
        <v/>
      </c>
      <c r="T1805" s="34" t="str">
        <f t="shared" si="986"/>
        <v/>
      </c>
      <c r="U1805" s="34" t="str">
        <f>IF(AND(L1805=1,bp_kode=T1805,T1805&lt;&gt;""),COUNTIF($T$8:T1805,T1805),"")</f>
        <v/>
      </c>
      <c r="V1805" s="34" t="str">
        <f t="shared" si="987"/>
        <v/>
      </c>
      <c r="W1805" s="34" t="str">
        <f t="shared" si="988"/>
        <v/>
      </c>
      <c r="X1805" s="34" t="str">
        <f>IF(B1805="","",COUNTIF($C$8:C1805,C1805)&amp;C1805)</f>
        <v/>
      </c>
    </row>
    <row r="1806" spans="2:24" ht="23.1" customHeight="1">
      <c r="B1806" s="31"/>
      <c r="C1806" s="9"/>
      <c r="D1806" s="9"/>
      <c r="E1806" s="7"/>
      <c r="F1806" s="7"/>
      <c r="G1806" s="7"/>
      <c r="H1806" s="7"/>
      <c r="I1806" s="7"/>
      <c r="J1806" s="39"/>
      <c r="L1806" s="16" t="str">
        <f t="shared" si="979"/>
        <v/>
      </c>
      <c r="M1806" s="16" t="str">
        <f t="shared" si="980"/>
        <v/>
      </c>
      <c r="N1806" s="16" t="str">
        <f t="shared" si="981"/>
        <v/>
      </c>
      <c r="O1806" s="16" t="str">
        <f>IF(N1806="","",COUNTIF($N$8:N1806,N1806))</f>
        <v/>
      </c>
      <c r="P1806" s="34" t="str">
        <f t="shared" si="982"/>
        <v/>
      </c>
      <c r="Q1806" s="34" t="str">
        <f t="shared" si="983"/>
        <v/>
      </c>
      <c r="R1806" s="34" t="str">
        <f t="shared" si="984"/>
        <v/>
      </c>
      <c r="S1806" s="34" t="str">
        <f t="shared" si="985"/>
        <v/>
      </c>
      <c r="T1806" s="34" t="str">
        <f t="shared" si="986"/>
        <v/>
      </c>
      <c r="U1806" s="34" t="str">
        <f>IF(AND(L1806=1,bp_kode=T1806,T1806&lt;&gt;""),COUNTIF($T$8:T1806,T1806),"")</f>
        <v/>
      </c>
      <c r="V1806" s="34" t="str">
        <f t="shared" si="987"/>
        <v/>
      </c>
      <c r="W1806" s="34" t="str">
        <f t="shared" si="988"/>
        <v/>
      </c>
      <c r="X1806" s="34" t="str">
        <f>IF(B1806="","",COUNTIF($C$8:C1806,C1806)&amp;C1806)</f>
        <v/>
      </c>
    </row>
    <row r="1807" spans="2:24" ht="23.1" customHeight="1">
      <c r="B1807" s="31"/>
      <c r="C1807" s="9"/>
      <c r="D1807" s="9"/>
      <c r="E1807" s="7"/>
      <c r="F1807" s="7"/>
      <c r="G1807" s="7"/>
      <c r="H1807" s="7"/>
      <c r="I1807" s="7"/>
      <c r="J1807" s="39"/>
      <c r="L1807" s="16" t="str">
        <f t="shared" si="979"/>
        <v/>
      </c>
      <c r="M1807" s="16" t="str">
        <f t="shared" si="980"/>
        <v/>
      </c>
      <c r="N1807" s="16" t="str">
        <f t="shared" si="981"/>
        <v/>
      </c>
      <c r="O1807" s="16" t="str">
        <f>IF(N1807="","",COUNTIF($N$8:N1807,N1807))</f>
        <v/>
      </c>
      <c r="P1807" s="34" t="str">
        <f t="shared" si="982"/>
        <v/>
      </c>
      <c r="Q1807" s="34" t="str">
        <f t="shared" si="983"/>
        <v/>
      </c>
      <c r="R1807" s="34" t="str">
        <f t="shared" si="984"/>
        <v/>
      </c>
      <c r="S1807" s="34" t="str">
        <f t="shared" si="985"/>
        <v/>
      </c>
      <c r="T1807" s="34" t="str">
        <f t="shared" si="986"/>
        <v/>
      </c>
      <c r="U1807" s="34" t="str">
        <f>IF(AND(L1807=1,bp_kode=T1807,T1807&lt;&gt;""),COUNTIF($T$8:T1807,T1807),"")</f>
        <v/>
      </c>
      <c r="V1807" s="34" t="str">
        <f t="shared" si="987"/>
        <v/>
      </c>
      <c r="W1807" s="34" t="str">
        <f t="shared" si="988"/>
        <v/>
      </c>
      <c r="X1807" s="34" t="str">
        <f>IF(B1807="","",COUNTIF($C$8:C1807,C1807)&amp;C1807)</f>
        <v/>
      </c>
    </row>
    <row r="1808" spans="2:24" ht="23.1" customHeight="1">
      <c r="B1808" s="31"/>
      <c r="C1808" s="9"/>
      <c r="D1808" s="9"/>
      <c r="E1808" s="7"/>
      <c r="F1808" s="7"/>
      <c r="G1808" s="7"/>
      <c r="H1808" s="7"/>
      <c r="I1808" s="7"/>
      <c r="J1808" s="39"/>
      <c r="L1808" s="16" t="str">
        <f t="shared" si="979"/>
        <v/>
      </c>
      <c r="M1808" s="16" t="str">
        <f t="shared" si="980"/>
        <v/>
      </c>
      <c r="N1808" s="16" t="str">
        <f t="shared" si="981"/>
        <v/>
      </c>
      <c r="O1808" s="16" t="str">
        <f>IF(N1808="","",COUNTIF($N$8:N1808,N1808))</f>
        <v/>
      </c>
      <c r="P1808" s="34" t="str">
        <f t="shared" si="982"/>
        <v/>
      </c>
      <c r="Q1808" s="34" t="str">
        <f t="shared" si="983"/>
        <v/>
      </c>
      <c r="R1808" s="34" t="str">
        <f t="shared" si="984"/>
        <v/>
      </c>
      <c r="S1808" s="34" t="str">
        <f t="shared" si="985"/>
        <v/>
      </c>
      <c r="T1808" s="34" t="str">
        <f t="shared" si="986"/>
        <v/>
      </c>
      <c r="U1808" s="34" t="str">
        <f>IF(AND(L1808=1,bp_kode=T1808,T1808&lt;&gt;""),COUNTIF($T$8:T1808,T1808),"")</f>
        <v/>
      </c>
      <c r="V1808" s="34" t="str">
        <f t="shared" si="987"/>
        <v/>
      </c>
      <c r="W1808" s="34" t="str">
        <f t="shared" si="988"/>
        <v/>
      </c>
      <c r="X1808" s="34" t="str">
        <f>IF(B1808="","",COUNTIF($C$8:C1808,C1808)&amp;C1808)</f>
        <v/>
      </c>
    </row>
    <row r="1809" spans="2:24" ht="23.1" customHeight="1">
      <c r="B1809" s="31"/>
      <c r="C1809" s="9"/>
      <c r="D1809" s="9"/>
      <c r="E1809" s="7"/>
      <c r="F1809" s="7"/>
      <c r="G1809" s="7"/>
      <c r="H1809" s="7"/>
      <c r="I1809" s="7"/>
      <c r="J1809" s="39"/>
      <c r="L1809" s="16" t="str">
        <f t="shared" si="979"/>
        <v/>
      </c>
      <c r="M1809" s="16" t="str">
        <f t="shared" si="980"/>
        <v/>
      </c>
      <c r="N1809" s="16" t="str">
        <f t="shared" si="981"/>
        <v/>
      </c>
      <c r="O1809" s="16" t="str">
        <f>IF(N1809="","",COUNTIF($N$8:N1809,N1809))</f>
        <v/>
      </c>
      <c r="P1809" s="34" t="str">
        <f t="shared" si="982"/>
        <v/>
      </c>
      <c r="Q1809" s="34" t="str">
        <f t="shared" si="983"/>
        <v/>
      </c>
      <c r="R1809" s="34" t="str">
        <f t="shared" si="984"/>
        <v/>
      </c>
      <c r="S1809" s="34" t="str">
        <f t="shared" si="985"/>
        <v/>
      </c>
      <c r="T1809" s="34" t="str">
        <f t="shared" si="986"/>
        <v/>
      </c>
      <c r="U1809" s="34" t="str">
        <f>IF(AND(L1809=1,bp_kode=T1809,T1809&lt;&gt;""),COUNTIF($T$8:T1809,T1809),"")</f>
        <v/>
      </c>
      <c r="V1809" s="34" t="str">
        <f t="shared" si="987"/>
        <v/>
      </c>
      <c r="W1809" s="34" t="str">
        <f t="shared" si="988"/>
        <v/>
      </c>
      <c r="X1809" s="34" t="str">
        <f>IF(B1809="","",COUNTIF($C$8:C1809,C1809)&amp;C1809)</f>
        <v/>
      </c>
    </row>
    <row r="1810" spans="2:24" ht="23.1" customHeight="1">
      <c r="B1810" s="31"/>
      <c r="C1810" s="9"/>
      <c r="D1810" s="9"/>
      <c r="E1810" s="7"/>
      <c r="F1810" s="7"/>
      <c r="G1810" s="7"/>
      <c r="H1810" s="7"/>
      <c r="I1810" s="7"/>
      <c r="J1810" s="39"/>
      <c r="L1810" s="16" t="str">
        <f t="shared" si="979"/>
        <v/>
      </c>
      <c r="M1810" s="16" t="str">
        <f t="shared" si="980"/>
        <v/>
      </c>
      <c r="N1810" s="16" t="str">
        <f t="shared" si="981"/>
        <v/>
      </c>
      <c r="O1810" s="16" t="str">
        <f>IF(N1810="","",COUNTIF($N$8:N1810,N1810))</f>
        <v/>
      </c>
      <c r="P1810" s="34" t="str">
        <f t="shared" si="982"/>
        <v/>
      </c>
      <c r="Q1810" s="34" t="str">
        <f t="shared" si="983"/>
        <v/>
      </c>
      <c r="R1810" s="34" t="str">
        <f t="shared" si="984"/>
        <v/>
      </c>
      <c r="S1810" s="34" t="str">
        <f t="shared" si="985"/>
        <v/>
      </c>
      <c r="T1810" s="34" t="str">
        <f t="shared" si="986"/>
        <v/>
      </c>
      <c r="U1810" s="34" t="str">
        <f>IF(AND(L1810=1,bp_kode=T1810,T1810&lt;&gt;""),COUNTIF($T$8:T1810,T1810),"")</f>
        <v/>
      </c>
      <c r="V1810" s="34" t="str">
        <f t="shared" si="987"/>
        <v/>
      </c>
      <c r="W1810" s="34" t="str">
        <f t="shared" si="988"/>
        <v/>
      </c>
      <c r="X1810" s="34" t="str">
        <f>IF(B1810="","",COUNTIF($C$8:C1810,C1810)&amp;C1810)</f>
        <v/>
      </c>
    </row>
    <row r="1811" spans="2:24" ht="23.1" customHeight="1">
      <c r="B1811" s="31"/>
      <c r="C1811" s="9"/>
      <c r="D1811" s="9"/>
      <c r="E1811" s="7"/>
      <c r="F1811" s="7"/>
      <c r="G1811" s="7"/>
      <c r="H1811" s="7"/>
      <c r="I1811" s="7"/>
      <c r="J1811" s="39"/>
      <c r="L1811" s="16" t="str">
        <f t="shared" ref="L1811:L1816" si="989">IF(AND(B1811&gt;=awal,B1811&lt;=akhir,B1811&lt;&gt;""),1,IF(AND(B1811&lt;&gt;"",B1811&lt;awal),2,""))</f>
        <v/>
      </c>
      <c r="M1811" s="16" t="str">
        <f t="shared" ref="M1811:M1816" si="990">IF(B1811="","",TEXT(B1811,"mmmm"))</f>
        <v/>
      </c>
      <c r="N1811" s="16" t="str">
        <f t="shared" ref="N1811:N1816" si="991">IF(AND(L1811=1,H1811=bb_akun),"Awe",IF(AND(L1811=1,I1811=bb_akun),"Awe",""))</f>
        <v/>
      </c>
      <c r="O1811" s="16" t="str">
        <f>IF(N1811="","",COUNTIF($N$8:N1811,N1811))</f>
        <v/>
      </c>
      <c r="P1811" s="34" t="str">
        <f t="shared" ref="P1811:P1816" si="992">IFERROR(IF(OR(INDEX(akun_type,MATCH(H1811,akun_kb,0))="Kas",INDEX(akun_type,MATCH(H1811,akun_kb,0))="Bank"),"In"&amp;INDEX(akun_type,MATCH(I1811,akun_kb,0)),IF(OR(INDEX(akun_type,MATCH(I1811,akun_kb,0))="Kas",INDEX(akun_type,MATCH(I1811,akun_kb,0))="Bank"),"out"&amp;INDEX(akun_type,MATCH(H1811,akun_kb,0)),"")),"")</f>
        <v/>
      </c>
      <c r="Q1811" s="34" t="str">
        <f t="shared" ref="Q1811:Q1816" si="993">IFERROR(IF(OR(INDEX(akun_type,MATCH(H1811,akun_kb,0))="Kas",INDEX(akun_type,MATCH(H1811,akun_kb,0))="Bank"),"in"&amp;TEXT(B1811,"mmmm")&amp;INDEX(akun_type,MATCH(I1811,akun_kb,0)),IF(OR(INDEX(akun_type,MATCH(I1811,akun_kb,0))="Kas",INDEX(akun_type,MATCH(I1811,akun_kb,0))="Bank"),"out"&amp;TEXT(B1811,"mmmm")&amp;INDEX(akun_type,MATCH(H1811,akun_kb,0)),"")),"")</f>
        <v/>
      </c>
      <c r="R1811" s="34" t="str">
        <f t="shared" ref="R1811:R1816" si="994">IFERROR(INDEX(akun_type,MATCH(H1811,akun_kb,0)),"")</f>
        <v/>
      </c>
      <c r="S1811" s="34" t="str">
        <f t="shared" ref="S1811:S1816" si="995">IFERROR(INDEX(akun_type,MATCH(I1811,akun_kb,0)),"")</f>
        <v/>
      </c>
      <c r="T1811" s="34" t="str">
        <f t="shared" ref="T1811:T1816" si="996">IF(AND(L1811=1,OR(R1811="Akun Piutang",R1811="akun hutang",S1811="akun piutang",S1811="akun hutang")),E1811,"")</f>
        <v/>
      </c>
      <c r="U1811" s="34" t="str">
        <f>IF(AND(L1811=1,bp_kode=T1811,T1811&lt;&gt;""),COUNTIF($T$8:T1811,T1811),"")</f>
        <v/>
      </c>
      <c r="V1811" s="34" t="str">
        <f t="shared" ref="V1811:V1816" si="997">IF(OR(R1811="Pendapatan",R1811="Pendapatan Lainnya",R1811="Beban",R1811="Harga Pokok Penjualan",R1811="Beban Lainnya"),"db"&amp;F1811,IF(OR(S1811="Pendapatan",S1811="Pendapatan Lainnya",S1811="Beban",S1811="Harga Pokok Penjualan",S1811="Beban Lainnya"),"kr"&amp;F1811,""))</f>
        <v/>
      </c>
      <c r="W1811" s="34" t="str">
        <f t="shared" ref="W1811:W1816" si="998">IF(OR(R1811="Pendapatan",R1811="Pendapatan Lainnya",R1811="Beban",R1811="Harga Pokok Penjualan",R1811="Beban Lainnya"),"db"&amp;G1811,IF(OR(S1811="Pendapatan",S1811="Pendapatan Lainnya",S1811="Beban",S1811="Harga Pokok Penjualan",S1811="Beban Lainnya"),"kr"&amp;G1811,""))</f>
        <v/>
      </c>
      <c r="X1811" s="34" t="str">
        <f>IF(B1811="","",COUNTIF($C$8:C1811,C1811)&amp;C1811)</f>
        <v/>
      </c>
    </row>
    <row r="1812" spans="2:24" ht="23.1" customHeight="1">
      <c r="B1812" s="31"/>
      <c r="C1812" s="9"/>
      <c r="D1812" s="9"/>
      <c r="E1812" s="7"/>
      <c r="F1812" s="7"/>
      <c r="G1812" s="7"/>
      <c r="H1812" s="7"/>
      <c r="I1812" s="7"/>
      <c r="J1812" s="39"/>
      <c r="L1812" s="16" t="str">
        <f t="shared" si="989"/>
        <v/>
      </c>
      <c r="M1812" s="16" t="str">
        <f t="shared" si="990"/>
        <v/>
      </c>
      <c r="N1812" s="16" t="str">
        <f t="shared" si="991"/>
        <v/>
      </c>
      <c r="O1812" s="16" t="str">
        <f>IF(N1812="","",COUNTIF($N$8:N1812,N1812))</f>
        <v/>
      </c>
      <c r="P1812" s="34" t="str">
        <f t="shared" si="992"/>
        <v/>
      </c>
      <c r="Q1812" s="34" t="str">
        <f t="shared" si="993"/>
        <v/>
      </c>
      <c r="R1812" s="34" t="str">
        <f t="shared" si="994"/>
        <v/>
      </c>
      <c r="S1812" s="34" t="str">
        <f t="shared" si="995"/>
        <v/>
      </c>
      <c r="T1812" s="34" t="str">
        <f t="shared" si="996"/>
        <v/>
      </c>
      <c r="U1812" s="34" t="str">
        <f>IF(AND(L1812=1,bp_kode=T1812,T1812&lt;&gt;""),COUNTIF($T$8:T1812,T1812),"")</f>
        <v/>
      </c>
      <c r="V1812" s="34" t="str">
        <f t="shared" si="997"/>
        <v/>
      </c>
      <c r="W1812" s="34" t="str">
        <f t="shared" si="998"/>
        <v/>
      </c>
      <c r="X1812" s="34" t="str">
        <f>IF(B1812="","",COUNTIF($C$8:C1812,C1812)&amp;C1812)</f>
        <v/>
      </c>
    </row>
    <row r="1813" spans="2:24" ht="23.1" customHeight="1">
      <c r="B1813" s="31"/>
      <c r="C1813" s="9"/>
      <c r="D1813" s="9"/>
      <c r="E1813" s="7"/>
      <c r="F1813" s="7"/>
      <c r="G1813" s="7"/>
      <c r="H1813" s="7"/>
      <c r="I1813" s="7"/>
      <c r="J1813" s="39"/>
      <c r="L1813" s="16" t="str">
        <f t="shared" si="989"/>
        <v/>
      </c>
      <c r="M1813" s="16" t="str">
        <f t="shared" si="990"/>
        <v/>
      </c>
      <c r="N1813" s="16" t="str">
        <f t="shared" si="991"/>
        <v/>
      </c>
      <c r="O1813" s="16" t="str">
        <f>IF(N1813="","",COUNTIF($N$8:N1813,N1813))</f>
        <v/>
      </c>
      <c r="P1813" s="34" t="str">
        <f t="shared" si="992"/>
        <v/>
      </c>
      <c r="Q1813" s="34" t="str">
        <f t="shared" si="993"/>
        <v/>
      </c>
      <c r="R1813" s="34" t="str">
        <f t="shared" si="994"/>
        <v/>
      </c>
      <c r="S1813" s="34" t="str">
        <f t="shared" si="995"/>
        <v/>
      </c>
      <c r="T1813" s="34" t="str">
        <f t="shared" si="996"/>
        <v/>
      </c>
      <c r="U1813" s="34" t="str">
        <f>IF(AND(L1813=1,bp_kode=T1813,T1813&lt;&gt;""),COUNTIF($T$8:T1813,T1813),"")</f>
        <v/>
      </c>
      <c r="V1813" s="34" t="str">
        <f t="shared" si="997"/>
        <v/>
      </c>
      <c r="W1813" s="34" t="str">
        <f t="shared" si="998"/>
        <v/>
      </c>
      <c r="X1813" s="34" t="str">
        <f>IF(B1813="","",COUNTIF($C$8:C1813,C1813)&amp;C1813)</f>
        <v/>
      </c>
    </row>
    <row r="1814" spans="2:24" ht="23.1" customHeight="1">
      <c r="B1814" s="31"/>
      <c r="C1814" s="9"/>
      <c r="D1814" s="9"/>
      <c r="E1814" s="7"/>
      <c r="F1814" s="7"/>
      <c r="G1814" s="7"/>
      <c r="H1814" s="7"/>
      <c r="I1814" s="7"/>
      <c r="J1814" s="39"/>
      <c r="L1814" s="16" t="str">
        <f t="shared" si="989"/>
        <v/>
      </c>
      <c r="M1814" s="16" t="str">
        <f t="shared" si="990"/>
        <v/>
      </c>
      <c r="N1814" s="16" t="str">
        <f t="shared" si="991"/>
        <v/>
      </c>
      <c r="O1814" s="16" t="str">
        <f>IF(N1814="","",COUNTIF($N$8:N1814,N1814))</f>
        <v/>
      </c>
      <c r="P1814" s="34" t="str">
        <f t="shared" si="992"/>
        <v/>
      </c>
      <c r="Q1814" s="34" t="str">
        <f t="shared" si="993"/>
        <v/>
      </c>
      <c r="R1814" s="34" t="str">
        <f t="shared" si="994"/>
        <v/>
      </c>
      <c r="S1814" s="34" t="str">
        <f t="shared" si="995"/>
        <v/>
      </c>
      <c r="T1814" s="34" t="str">
        <f t="shared" si="996"/>
        <v/>
      </c>
      <c r="U1814" s="34" t="str">
        <f>IF(AND(L1814=1,bp_kode=T1814,T1814&lt;&gt;""),COUNTIF($T$8:T1814,T1814),"")</f>
        <v/>
      </c>
      <c r="V1814" s="34" t="str">
        <f t="shared" si="997"/>
        <v/>
      </c>
      <c r="W1814" s="34" t="str">
        <f t="shared" si="998"/>
        <v/>
      </c>
      <c r="X1814" s="34" t="str">
        <f>IF(B1814="","",COUNTIF($C$8:C1814,C1814)&amp;C1814)</f>
        <v/>
      </c>
    </row>
    <row r="1815" spans="2:24" ht="23.1" customHeight="1">
      <c r="B1815" s="31"/>
      <c r="C1815" s="9"/>
      <c r="D1815" s="9"/>
      <c r="E1815" s="7"/>
      <c r="F1815" s="7"/>
      <c r="G1815" s="7"/>
      <c r="H1815" s="7"/>
      <c r="I1815" s="7"/>
      <c r="J1815" s="39"/>
      <c r="L1815" s="16" t="str">
        <f t="shared" si="989"/>
        <v/>
      </c>
      <c r="M1815" s="16" t="str">
        <f t="shared" si="990"/>
        <v/>
      </c>
      <c r="N1815" s="16" t="str">
        <f t="shared" si="991"/>
        <v/>
      </c>
      <c r="O1815" s="16" t="str">
        <f>IF(N1815="","",COUNTIF($N$8:N1815,N1815))</f>
        <v/>
      </c>
      <c r="P1815" s="34" t="str">
        <f t="shared" si="992"/>
        <v/>
      </c>
      <c r="Q1815" s="34" t="str">
        <f t="shared" si="993"/>
        <v/>
      </c>
      <c r="R1815" s="34" t="str">
        <f t="shared" si="994"/>
        <v/>
      </c>
      <c r="S1815" s="34" t="str">
        <f t="shared" si="995"/>
        <v/>
      </c>
      <c r="T1815" s="34" t="str">
        <f t="shared" si="996"/>
        <v/>
      </c>
      <c r="U1815" s="34" t="str">
        <f>IF(AND(L1815=1,bp_kode=T1815,T1815&lt;&gt;""),COUNTIF($T$8:T1815,T1815),"")</f>
        <v/>
      </c>
      <c r="V1815" s="34" t="str">
        <f t="shared" si="997"/>
        <v/>
      </c>
      <c r="W1815" s="34" t="str">
        <f t="shared" si="998"/>
        <v/>
      </c>
      <c r="X1815" s="34" t="str">
        <f>IF(B1815="","",COUNTIF($C$8:C1815,C1815)&amp;C1815)</f>
        <v/>
      </c>
    </row>
    <row r="1816" spans="2:24" ht="23.1" customHeight="1">
      <c r="B1816" s="31"/>
      <c r="C1816" s="9"/>
      <c r="D1816" s="9"/>
      <c r="E1816" s="7"/>
      <c r="F1816" s="7"/>
      <c r="G1816" s="7"/>
      <c r="H1816" s="7"/>
      <c r="I1816" s="7"/>
      <c r="J1816" s="39"/>
      <c r="L1816" s="16" t="str">
        <f t="shared" si="989"/>
        <v/>
      </c>
      <c r="M1816" s="16" t="str">
        <f t="shared" si="990"/>
        <v/>
      </c>
      <c r="N1816" s="16" t="str">
        <f t="shared" si="991"/>
        <v/>
      </c>
      <c r="O1816" s="16" t="str">
        <f>IF(N1816="","",COUNTIF($N$8:N1816,N1816))</f>
        <v/>
      </c>
      <c r="P1816" s="34" t="str">
        <f t="shared" si="992"/>
        <v/>
      </c>
      <c r="Q1816" s="34" t="str">
        <f t="shared" si="993"/>
        <v/>
      </c>
      <c r="R1816" s="34" t="str">
        <f t="shared" si="994"/>
        <v/>
      </c>
      <c r="S1816" s="34" t="str">
        <f t="shared" si="995"/>
        <v/>
      </c>
      <c r="T1816" s="34" t="str">
        <f t="shared" si="996"/>
        <v/>
      </c>
      <c r="U1816" s="34" t="str">
        <f>IF(AND(L1816=1,bp_kode=T1816,T1816&lt;&gt;""),COUNTIF($T$8:T1816,T1816),"")</f>
        <v/>
      </c>
      <c r="V1816" s="34" t="str">
        <f t="shared" si="997"/>
        <v/>
      </c>
      <c r="W1816" s="34" t="str">
        <f t="shared" si="998"/>
        <v/>
      </c>
      <c r="X1816" s="34" t="str">
        <f>IF(B1816="","",COUNTIF($C$8:C1816,C1816)&amp;C1816)</f>
        <v/>
      </c>
    </row>
    <row r="1817" spans="2:24" ht="23.1" customHeight="1">
      <c r="B1817" s="31"/>
      <c r="C1817" s="9"/>
      <c r="D1817" s="9"/>
      <c r="E1817" s="7"/>
      <c r="F1817" s="7"/>
      <c r="G1817" s="7"/>
      <c r="H1817" s="7"/>
      <c r="I1817" s="7"/>
      <c r="J1817" s="39"/>
      <c r="L1817" s="16" t="str">
        <f t="shared" ref="L1817:L1880" si="999">IF(AND(B1817&gt;=awal,B1817&lt;=akhir,B1817&lt;&gt;""),1,IF(AND(B1817&lt;&gt;"",B1817&lt;awal),2,""))</f>
        <v/>
      </c>
      <c r="M1817" s="16" t="str">
        <f t="shared" ref="M1817:M1880" si="1000">IF(B1817="","",TEXT(B1817,"mmmm"))</f>
        <v/>
      </c>
      <c r="N1817" s="16" t="str">
        <f t="shared" ref="N1817:N1880" si="1001">IF(AND(L1817=1,H1817=bb_akun),"Awe",IF(AND(L1817=1,I1817=bb_akun),"Awe",""))</f>
        <v/>
      </c>
      <c r="O1817" s="16" t="str">
        <f>IF(N1817="","",COUNTIF($N$8:N1817,N1817))</f>
        <v/>
      </c>
      <c r="P1817" s="34" t="str">
        <f t="shared" ref="P1817:P1880" si="1002">IFERROR(IF(OR(INDEX(akun_type,MATCH(H1817,akun_kb,0))="Kas",INDEX(akun_type,MATCH(H1817,akun_kb,0))="Bank"),"In"&amp;INDEX(akun_type,MATCH(I1817,akun_kb,0)),IF(OR(INDEX(akun_type,MATCH(I1817,akun_kb,0))="Kas",INDEX(akun_type,MATCH(I1817,akun_kb,0))="Bank"),"out"&amp;INDEX(akun_type,MATCH(H1817,akun_kb,0)),"")),"")</f>
        <v/>
      </c>
      <c r="Q1817" s="34" t="str">
        <f t="shared" ref="Q1817:Q1880" si="1003">IFERROR(IF(OR(INDEX(akun_type,MATCH(H1817,akun_kb,0))="Kas",INDEX(akun_type,MATCH(H1817,akun_kb,0))="Bank"),"in"&amp;TEXT(B1817,"mmmm")&amp;INDEX(akun_type,MATCH(I1817,akun_kb,0)),IF(OR(INDEX(akun_type,MATCH(I1817,akun_kb,0))="Kas",INDEX(akun_type,MATCH(I1817,akun_kb,0))="Bank"),"out"&amp;TEXT(B1817,"mmmm")&amp;INDEX(akun_type,MATCH(H1817,akun_kb,0)),"")),"")</f>
        <v/>
      </c>
      <c r="R1817" s="34" t="str">
        <f t="shared" ref="R1817:R1880" si="1004">IFERROR(INDEX(akun_type,MATCH(H1817,akun_kb,0)),"")</f>
        <v/>
      </c>
      <c r="S1817" s="34" t="str">
        <f t="shared" ref="S1817:S1880" si="1005">IFERROR(INDEX(akun_type,MATCH(I1817,akun_kb,0)),"")</f>
        <v/>
      </c>
      <c r="T1817" s="34" t="str">
        <f t="shared" ref="T1817:T1880" si="1006">IF(AND(L1817=1,OR(R1817="Akun Piutang",R1817="akun hutang",S1817="akun piutang",S1817="akun hutang")),E1817,"")</f>
        <v/>
      </c>
      <c r="U1817" s="34" t="str">
        <f>IF(AND(L1817=1,bp_kode=T1817,T1817&lt;&gt;""),COUNTIF($T$8:T1817,T1817),"")</f>
        <v/>
      </c>
      <c r="V1817" s="34" t="str">
        <f t="shared" ref="V1817:V1880" si="1007">IF(OR(R1817="Pendapatan",R1817="Pendapatan Lainnya",R1817="Beban",R1817="Harga Pokok Penjualan",R1817="Beban Lainnya"),"db"&amp;F1817,IF(OR(S1817="Pendapatan",S1817="Pendapatan Lainnya",S1817="Beban",S1817="Harga Pokok Penjualan",S1817="Beban Lainnya"),"kr"&amp;F1817,""))</f>
        <v/>
      </c>
      <c r="W1817" s="34" t="str">
        <f t="shared" ref="W1817:W1880" si="1008">IF(OR(R1817="Pendapatan",R1817="Pendapatan Lainnya",R1817="Beban",R1817="Harga Pokok Penjualan",R1817="Beban Lainnya"),"db"&amp;G1817,IF(OR(S1817="Pendapatan",S1817="Pendapatan Lainnya",S1817="Beban",S1817="Harga Pokok Penjualan",S1817="Beban Lainnya"),"kr"&amp;G1817,""))</f>
        <v/>
      </c>
      <c r="X1817" s="34" t="str">
        <f>IF(B1817="","",COUNTIF($C$8:C1817,C1817)&amp;C1817)</f>
        <v/>
      </c>
    </row>
    <row r="1818" spans="2:24" ht="23.1" customHeight="1">
      <c r="B1818" s="31"/>
      <c r="C1818" s="9"/>
      <c r="D1818" s="9"/>
      <c r="E1818" s="7"/>
      <c r="F1818" s="7"/>
      <c r="G1818" s="7"/>
      <c r="H1818" s="7"/>
      <c r="I1818" s="7"/>
      <c r="J1818" s="39"/>
      <c r="L1818" s="16" t="str">
        <f t="shared" si="999"/>
        <v/>
      </c>
      <c r="M1818" s="16" t="str">
        <f t="shared" si="1000"/>
        <v/>
      </c>
      <c r="N1818" s="16" t="str">
        <f t="shared" si="1001"/>
        <v/>
      </c>
      <c r="O1818" s="16" t="str">
        <f>IF(N1818="","",COUNTIF($N$8:N1818,N1818))</f>
        <v/>
      </c>
      <c r="P1818" s="34" t="str">
        <f t="shared" si="1002"/>
        <v/>
      </c>
      <c r="Q1818" s="34" t="str">
        <f t="shared" si="1003"/>
        <v/>
      </c>
      <c r="R1818" s="34" t="str">
        <f t="shared" si="1004"/>
        <v/>
      </c>
      <c r="S1818" s="34" t="str">
        <f t="shared" si="1005"/>
        <v/>
      </c>
      <c r="T1818" s="34" t="str">
        <f t="shared" si="1006"/>
        <v/>
      </c>
      <c r="U1818" s="34" t="str">
        <f>IF(AND(L1818=1,bp_kode=T1818,T1818&lt;&gt;""),COUNTIF($T$8:T1818,T1818),"")</f>
        <v/>
      </c>
      <c r="V1818" s="34" t="str">
        <f t="shared" si="1007"/>
        <v/>
      </c>
      <c r="W1818" s="34" t="str">
        <f t="shared" si="1008"/>
        <v/>
      </c>
      <c r="X1818" s="34" t="str">
        <f>IF(B1818="","",COUNTIF($C$8:C1818,C1818)&amp;C1818)</f>
        <v/>
      </c>
    </row>
    <row r="1819" spans="2:24" ht="23.1" customHeight="1">
      <c r="B1819" s="31"/>
      <c r="C1819" s="9"/>
      <c r="D1819" s="9"/>
      <c r="E1819" s="7"/>
      <c r="F1819" s="7"/>
      <c r="G1819" s="7"/>
      <c r="H1819" s="7"/>
      <c r="I1819" s="7"/>
      <c r="J1819" s="39"/>
      <c r="L1819" s="16" t="str">
        <f t="shared" si="999"/>
        <v/>
      </c>
      <c r="M1819" s="16" t="str">
        <f t="shared" si="1000"/>
        <v/>
      </c>
      <c r="N1819" s="16" t="str">
        <f t="shared" si="1001"/>
        <v/>
      </c>
      <c r="O1819" s="16" t="str">
        <f>IF(N1819="","",COUNTIF($N$8:N1819,N1819))</f>
        <v/>
      </c>
      <c r="P1819" s="34" t="str">
        <f t="shared" si="1002"/>
        <v/>
      </c>
      <c r="Q1819" s="34" t="str">
        <f t="shared" si="1003"/>
        <v/>
      </c>
      <c r="R1819" s="34" t="str">
        <f t="shared" si="1004"/>
        <v/>
      </c>
      <c r="S1819" s="34" t="str">
        <f t="shared" si="1005"/>
        <v/>
      </c>
      <c r="T1819" s="34" t="str">
        <f t="shared" si="1006"/>
        <v/>
      </c>
      <c r="U1819" s="34" t="str">
        <f>IF(AND(L1819=1,bp_kode=T1819,T1819&lt;&gt;""),COUNTIF($T$8:T1819,T1819),"")</f>
        <v/>
      </c>
      <c r="V1819" s="34" t="str">
        <f t="shared" si="1007"/>
        <v/>
      </c>
      <c r="W1819" s="34" t="str">
        <f t="shared" si="1008"/>
        <v/>
      </c>
      <c r="X1819" s="34" t="str">
        <f>IF(B1819="","",COUNTIF($C$8:C1819,C1819)&amp;C1819)</f>
        <v/>
      </c>
    </row>
    <row r="1820" spans="2:24" ht="23.1" customHeight="1">
      <c r="B1820" s="31"/>
      <c r="C1820" s="9"/>
      <c r="D1820" s="9"/>
      <c r="E1820" s="7"/>
      <c r="F1820" s="7"/>
      <c r="G1820" s="7"/>
      <c r="H1820" s="7"/>
      <c r="I1820" s="7"/>
      <c r="J1820" s="39"/>
      <c r="L1820" s="16" t="str">
        <f t="shared" si="999"/>
        <v/>
      </c>
      <c r="M1820" s="16" t="str">
        <f t="shared" si="1000"/>
        <v/>
      </c>
      <c r="N1820" s="16" t="str">
        <f t="shared" si="1001"/>
        <v/>
      </c>
      <c r="O1820" s="16" t="str">
        <f>IF(N1820="","",COUNTIF($N$8:N1820,N1820))</f>
        <v/>
      </c>
      <c r="P1820" s="34" t="str">
        <f t="shared" si="1002"/>
        <v/>
      </c>
      <c r="Q1820" s="34" t="str">
        <f t="shared" si="1003"/>
        <v/>
      </c>
      <c r="R1820" s="34" t="str">
        <f t="shared" si="1004"/>
        <v/>
      </c>
      <c r="S1820" s="34" t="str">
        <f t="shared" si="1005"/>
        <v/>
      </c>
      <c r="T1820" s="34" t="str">
        <f t="shared" si="1006"/>
        <v/>
      </c>
      <c r="U1820" s="34" t="str">
        <f>IF(AND(L1820=1,bp_kode=T1820,T1820&lt;&gt;""),COUNTIF($T$8:T1820,T1820),"")</f>
        <v/>
      </c>
      <c r="V1820" s="34" t="str">
        <f t="shared" si="1007"/>
        <v/>
      </c>
      <c r="W1820" s="34" t="str">
        <f t="shared" si="1008"/>
        <v/>
      </c>
      <c r="X1820" s="34" t="str">
        <f>IF(B1820="","",COUNTIF($C$8:C1820,C1820)&amp;C1820)</f>
        <v/>
      </c>
    </row>
    <row r="1821" spans="2:24" ht="23.1" customHeight="1">
      <c r="B1821" s="31"/>
      <c r="C1821" s="9"/>
      <c r="D1821" s="9"/>
      <c r="E1821" s="7"/>
      <c r="F1821" s="7"/>
      <c r="G1821" s="7"/>
      <c r="H1821" s="7"/>
      <c r="I1821" s="7"/>
      <c r="J1821" s="39"/>
      <c r="L1821" s="16" t="str">
        <f t="shared" si="999"/>
        <v/>
      </c>
      <c r="M1821" s="16" t="str">
        <f t="shared" si="1000"/>
        <v/>
      </c>
      <c r="N1821" s="16" t="str">
        <f t="shared" si="1001"/>
        <v/>
      </c>
      <c r="O1821" s="16" t="str">
        <f>IF(N1821="","",COUNTIF($N$8:N1821,N1821))</f>
        <v/>
      </c>
      <c r="P1821" s="34" t="str">
        <f t="shared" si="1002"/>
        <v/>
      </c>
      <c r="Q1821" s="34" t="str">
        <f t="shared" si="1003"/>
        <v/>
      </c>
      <c r="R1821" s="34" t="str">
        <f t="shared" si="1004"/>
        <v/>
      </c>
      <c r="S1821" s="34" t="str">
        <f t="shared" si="1005"/>
        <v/>
      </c>
      <c r="T1821" s="34" t="str">
        <f t="shared" si="1006"/>
        <v/>
      </c>
      <c r="U1821" s="34" t="str">
        <f>IF(AND(L1821=1,bp_kode=T1821,T1821&lt;&gt;""),COUNTIF($T$8:T1821,T1821),"")</f>
        <v/>
      </c>
      <c r="V1821" s="34" t="str">
        <f t="shared" si="1007"/>
        <v/>
      </c>
      <c r="W1821" s="34" t="str">
        <f t="shared" si="1008"/>
        <v/>
      </c>
      <c r="X1821" s="34" t="str">
        <f>IF(B1821="","",COUNTIF($C$8:C1821,C1821)&amp;C1821)</f>
        <v/>
      </c>
    </row>
    <row r="1822" spans="2:24" ht="23.1" customHeight="1">
      <c r="B1822" s="31"/>
      <c r="C1822" s="9"/>
      <c r="D1822" s="9"/>
      <c r="E1822" s="7"/>
      <c r="F1822" s="7"/>
      <c r="G1822" s="7"/>
      <c r="H1822" s="7"/>
      <c r="I1822" s="7"/>
      <c r="J1822" s="39"/>
      <c r="L1822" s="16" t="str">
        <f t="shared" si="999"/>
        <v/>
      </c>
      <c r="M1822" s="16" t="str">
        <f t="shared" si="1000"/>
        <v/>
      </c>
      <c r="N1822" s="16" t="str">
        <f t="shared" si="1001"/>
        <v/>
      </c>
      <c r="O1822" s="16" t="str">
        <f>IF(N1822="","",COUNTIF($N$8:N1822,N1822))</f>
        <v/>
      </c>
      <c r="P1822" s="34" t="str">
        <f t="shared" si="1002"/>
        <v/>
      </c>
      <c r="Q1822" s="34" t="str">
        <f t="shared" si="1003"/>
        <v/>
      </c>
      <c r="R1822" s="34" t="str">
        <f t="shared" si="1004"/>
        <v/>
      </c>
      <c r="S1822" s="34" t="str">
        <f t="shared" si="1005"/>
        <v/>
      </c>
      <c r="T1822" s="34" t="str">
        <f t="shared" si="1006"/>
        <v/>
      </c>
      <c r="U1822" s="34" t="str">
        <f>IF(AND(L1822=1,bp_kode=T1822,T1822&lt;&gt;""),COUNTIF($T$8:T1822,T1822),"")</f>
        <v/>
      </c>
      <c r="V1822" s="34" t="str">
        <f t="shared" si="1007"/>
        <v/>
      </c>
      <c r="W1822" s="34" t="str">
        <f t="shared" si="1008"/>
        <v/>
      </c>
      <c r="X1822" s="34" t="str">
        <f>IF(B1822="","",COUNTIF($C$8:C1822,C1822)&amp;C1822)</f>
        <v/>
      </c>
    </row>
    <row r="1823" spans="2:24" ht="23.1" customHeight="1">
      <c r="B1823" s="31"/>
      <c r="C1823" s="9"/>
      <c r="D1823" s="9"/>
      <c r="E1823" s="7"/>
      <c r="F1823" s="7"/>
      <c r="G1823" s="7"/>
      <c r="H1823" s="7"/>
      <c r="I1823" s="7"/>
      <c r="J1823" s="39"/>
      <c r="L1823" s="16" t="str">
        <f t="shared" si="999"/>
        <v/>
      </c>
      <c r="M1823" s="16" t="str">
        <f t="shared" si="1000"/>
        <v/>
      </c>
      <c r="N1823" s="16" t="str">
        <f t="shared" si="1001"/>
        <v/>
      </c>
      <c r="O1823" s="16" t="str">
        <f>IF(N1823="","",COUNTIF($N$8:N1823,N1823))</f>
        <v/>
      </c>
      <c r="P1823" s="34" t="str">
        <f t="shared" si="1002"/>
        <v/>
      </c>
      <c r="Q1823" s="34" t="str">
        <f t="shared" si="1003"/>
        <v/>
      </c>
      <c r="R1823" s="34" t="str">
        <f t="shared" si="1004"/>
        <v/>
      </c>
      <c r="S1823" s="34" t="str">
        <f t="shared" si="1005"/>
        <v/>
      </c>
      <c r="T1823" s="34" t="str">
        <f t="shared" si="1006"/>
        <v/>
      </c>
      <c r="U1823" s="34" t="str">
        <f>IF(AND(L1823=1,bp_kode=T1823,T1823&lt;&gt;""),COUNTIF($T$8:T1823,T1823),"")</f>
        <v/>
      </c>
      <c r="V1823" s="34" t="str">
        <f t="shared" si="1007"/>
        <v/>
      </c>
      <c r="W1823" s="34" t="str">
        <f t="shared" si="1008"/>
        <v/>
      </c>
      <c r="X1823" s="34" t="str">
        <f>IF(B1823="","",COUNTIF($C$8:C1823,C1823)&amp;C1823)</f>
        <v/>
      </c>
    </row>
    <row r="1824" spans="2:24" ht="23.1" customHeight="1">
      <c r="B1824" s="31"/>
      <c r="C1824" s="9"/>
      <c r="D1824" s="9"/>
      <c r="E1824" s="7"/>
      <c r="F1824" s="7"/>
      <c r="G1824" s="7"/>
      <c r="H1824" s="7"/>
      <c r="I1824" s="7"/>
      <c r="J1824" s="39"/>
      <c r="L1824" s="16" t="str">
        <f t="shared" si="999"/>
        <v/>
      </c>
      <c r="M1824" s="16" t="str">
        <f t="shared" si="1000"/>
        <v/>
      </c>
      <c r="N1824" s="16" t="str">
        <f t="shared" si="1001"/>
        <v/>
      </c>
      <c r="O1824" s="16" t="str">
        <f>IF(N1824="","",COUNTIF($N$8:N1824,N1824))</f>
        <v/>
      </c>
      <c r="P1824" s="34" t="str">
        <f t="shared" si="1002"/>
        <v/>
      </c>
      <c r="Q1824" s="34" t="str">
        <f t="shared" si="1003"/>
        <v/>
      </c>
      <c r="R1824" s="34" t="str">
        <f t="shared" si="1004"/>
        <v/>
      </c>
      <c r="S1824" s="34" t="str">
        <f t="shared" si="1005"/>
        <v/>
      </c>
      <c r="T1824" s="34" t="str">
        <f t="shared" si="1006"/>
        <v/>
      </c>
      <c r="U1824" s="34" t="str">
        <f>IF(AND(L1824=1,bp_kode=T1824,T1824&lt;&gt;""),COUNTIF($T$8:T1824,T1824),"")</f>
        <v/>
      </c>
      <c r="V1824" s="34" t="str">
        <f t="shared" si="1007"/>
        <v/>
      </c>
      <c r="W1824" s="34" t="str">
        <f t="shared" si="1008"/>
        <v/>
      </c>
      <c r="X1824" s="34" t="str">
        <f>IF(B1824="","",COUNTIF($C$8:C1824,C1824)&amp;C1824)</f>
        <v/>
      </c>
    </row>
    <row r="1825" spans="2:24" ht="23.1" customHeight="1">
      <c r="B1825" s="31"/>
      <c r="C1825" s="9"/>
      <c r="D1825" s="9"/>
      <c r="E1825" s="7"/>
      <c r="F1825" s="7"/>
      <c r="G1825" s="7"/>
      <c r="H1825" s="7"/>
      <c r="I1825" s="7"/>
      <c r="J1825" s="39"/>
      <c r="L1825" s="16" t="str">
        <f t="shared" si="999"/>
        <v/>
      </c>
      <c r="M1825" s="16" t="str">
        <f t="shared" si="1000"/>
        <v/>
      </c>
      <c r="N1825" s="16" t="str">
        <f t="shared" si="1001"/>
        <v/>
      </c>
      <c r="O1825" s="16" t="str">
        <f>IF(N1825="","",COUNTIF($N$8:N1825,N1825))</f>
        <v/>
      </c>
      <c r="P1825" s="34" t="str">
        <f t="shared" si="1002"/>
        <v/>
      </c>
      <c r="Q1825" s="34" t="str">
        <f t="shared" si="1003"/>
        <v/>
      </c>
      <c r="R1825" s="34" t="str">
        <f t="shared" si="1004"/>
        <v/>
      </c>
      <c r="S1825" s="34" t="str">
        <f t="shared" si="1005"/>
        <v/>
      </c>
      <c r="T1825" s="34" t="str">
        <f t="shared" si="1006"/>
        <v/>
      </c>
      <c r="U1825" s="34" t="str">
        <f>IF(AND(L1825=1,bp_kode=T1825,T1825&lt;&gt;""),COUNTIF($T$8:T1825,T1825),"")</f>
        <v/>
      </c>
      <c r="V1825" s="34" t="str">
        <f t="shared" si="1007"/>
        <v/>
      </c>
      <c r="W1825" s="34" t="str">
        <f t="shared" si="1008"/>
        <v/>
      </c>
      <c r="X1825" s="34" t="str">
        <f>IF(B1825="","",COUNTIF($C$8:C1825,C1825)&amp;C1825)</f>
        <v/>
      </c>
    </row>
    <row r="1826" spans="2:24" ht="23.1" customHeight="1">
      <c r="B1826" s="31"/>
      <c r="C1826" s="9"/>
      <c r="D1826" s="9"/>
      <c r="E1826" s="7"/>
      <c r="F1826" s="7"/>
      <c r="G1826" s="7"/>
      <c r="H1826" s="7"/>
      <c r="I1826" s="7"/>
      <c r="J1826" s="39"/>
      <c r="L1826" s="16" t="str">
        <f t="shared" si="999"/>
        <v/>
      </c>
      <c r="M1826" s="16" t="str">
        <f t="shared" si="1000"/>
        <v/>
      </c>
      <c r="N1826" s="16" t="str">
        <f t="shared" si="1001"/>
        <v/>
      </c>
      <c r="O1826" s="16" t="str">
        <f>IF(N1826="","",COUNTIF($N$8:N1826,N1826))</f>
        <v/>
      </c>
      <c r="P1826" s="34" t="str">
        <f t="shared" si="1002"/>
        <v/>
      </c>
      <c r="Q1826" s="34" t="str">
        <f t="shared" si="1003"/>
        <v/>
      </c>
      <c r="R1826" s="34" t="str">
        <f t="shared" si="1004"/>
        <v/>
      </c>
      <c r="S1826" s="34" t="str">
        <f t="shared" si="1005"/>
        <v/>
      </c>
      <c r="T1826" s="34" t="str">
        <f t="shared" si="1006"/>
        <v/>
      </c>
      <c r="U1826" s="34" t="str">
        <f>IF(AND(L1826=1,bp_kode=T1826,T1826&lt;&gt;""),COUNTIF($T$8:T1826,T1826),"")</f>
        <v/>
      </c>
      <c r="V1826" s="34" t="str">
        <f t="shared" si="1007"/>
        <v/>
      </c>
      <c r="W1826" s="34" t="str">
        <f t="shared" si="1008"/>
        <v/>
      </c>
      <c r="X1826" s="34" t="str">
        <f>IF(B1826="","",COUNTIF($C$8:C1826,C1826)&amp;C1826)</f>
        <v/>
      </c>
    </row>
    <row r="1827" spans="2:24" ht="23.1" customHeight="1">
      <c r="B1827" s="31"/>
      <c r="C1827" s="9"/>
      <c r="D1827" s="9"/>
      <c r="E1827" s="7"/>
      <c r="F1827" s="7"/>
      <c r="G1827" s="7"/>
      <c r="H1827" s="7"/>
      <c r="I1827" s="7"/>
      <c r="J1827" s="39"/>
      <c r="L1827" s="16" t="str">
        <f t="shared" si="999"/>
        <v/>
      </c>
      <c r="M1827" s="16" t="str">
        <f t="shared" si="1000"/>
        <v/>
      </c>
      <c r="N1827" s="16" t="str">
        <f t="shared" si="1001"/>
        <v/>
      </c>
      <c r="O1827" s="16" t="str">
        <f>IF(N1827="","",COUNTIF($N$8:N1827,N1827))</f>
        <v/>
      </c>
      <c r="P1827" s="34" t="str">
        <f t="shared" si="1002"/>
        <v/>
      </c>
      <c r="Q1827" s="34" t="str">
        <f t="shared" si="1003"/>
        <v/>
      </c>
      <c r="R1827" s="34" t="str">
        <f t="shared" si="1004"/>
        <v/>
      </c>
      <c r="S1827" s="34" t="str">
        <f t="shared" si="1005"/>
        <v/>
      </c>
      <c r="T1827" s="34" t="str">
        <f t="shared" si="1006"/>
        <v/>
      </c>
      <c r="U1827" s="34" t="str">
        <f>IF(AND(L1827=1,bp_kode=T1827,T1827&lt;&gt;""),COUNTIF($T$8:T1827,T1827),"")</f>
        <v/>
      </c>
      <c r="V1827" s="34" t="str">
        <f t="shared" si="1007"/>
        <v/>
      </c>
      <c r="W1827" s="34" t="str">
        <f t="shared" si="1008"/>
        <v/>
      </c>
      <c r="X1827" s="34" t="str">
        <f>IF(B1827="","",COUNTIF($C$8:C1827,C1827)&amp;C1827)</f>
        <v/>
      </c>
    </row>
    <row r="1828" spans="2:24" ht="23.1" customHeight="1">
      <c r="B1828" s="31"/>
      <c r="C1828" s="9"/>
      <c r="D1828" s="9"/>
      <c r="E1828" s="7"/>
      <c r="F1828" s="7"/>
      <c r="G1828" s="7"/>
      <c r="H1828" s="7"/>
      <c r="I1828" s="7"/>
      <c r="J1828" s="39"/>
      <c r="L1828" s="16" t="str">
        <f t="shared" si="999"/>
        <v/>
      </c>
      <c r="M1828" s="16" t="str">
        <f t="shared" si="1000"/>
        <v/>
      </c>
      <c r="N1828" s="16" t="str">
        <f t="shared" si="1001"/>
        <v/>
      </c>
      <c r="O1828" s="16" t="str">
        <f>IF(N1828="","",COUNTIF($N$8:N1828,N1828))</f>
        <v/>
      </c>
      <c r="P1828" s="34" t="str">
        <f t="shared" si="1002"/>
        <v/>
      </c>
      <c r="Q1828" s="34" t="str">
        <f t="shared" si="1003"/>
        <v/>
      </c>
      <c r="R1828" s="34" t="str">
        <f t="shared" si="1004"/>
        <v/>
      </c>
      <c r="S1828" s="34" t="str">
        <f t="shared" si="1005"/>
        <v/>
      </c>
      <c r="T1828" s="34" t="str">
        <f t="shared" si="1006"/>
        <v/>
      </c>
      <c r="U1828" s="34" t="str">
        <f>IF(AND(L1828=1,bp_kode=T1828,T1828&lt;&gt;""),COUNTIF($T$8:T1828,T1828),"")</f>
        <v/>
      </c>
      <c r="V1828" s="34" t="str">
        <f t="shared" si="1007"/>
        <v/>
      </c>
      <c r="W1828" s="34" t="str">
        <f t="shared" si="1008"/>
        <v/>
      </c>
      <c r="X1828" s="34" t="str">
        <f>IF(B1828="","",COUNTIF($C$8:C1828,C1828)&amp;C1828)</f>
        <v/>
      </c>
    </row>
    <row r="1829" spans="2:24" ht="23.1" customHeight="1">
      <c r="B1829" s="31"/>
      <c r="C1829" s="9"/>
      <c r="D1829" s="9"/>
      <c r="E1829" s="7"/>
      <c r="F1829" s="7"/>
      <c r="G1829" s="7"/>
      <c r="H1829" s="7"/>
      <c r="I1829" s="7"/>
      <c r="J1829" s="39"/>
      <c r="L1829" s="16" t="str">
        <f t="shared" si="999"/>
        <v/>
      </c>
      <c r="M1829" s="16" t="str">
        <f t="shared" si="1000"/>
        <v/>
      </c>
      <c r="N1829" s="16" t="str">
        <f t="shared" si="1001"/>
        <v/>
      </c>
      <c r="O1829" s="16" t="str">
        <f>IF(N1829="","",COUNTIF($N$8:N1829,N1829))</f>
        <v/>
      </c>
      <c r="P1829" s="34" t="str">
        <f t="shared" si="1002"/>
        <v/>
      </c>
      <c r="Q1829" s="34" t="str">
        <f t="shared" si="1003"/>
        <v/>
      </c>
      <c r="R1829" s="34" t="str">
        <f t="shared" si="1004"/>
        <v/>
      </c>
      <c r="S1829" s="34" t="str">
        <f t="shared" si="1005"/>
        <v/>
      </c>
      <c r="T1829" s="34" t="str">
        <f t="shared" si="1006"/>
        <v/>
      </c>
      <c r="U1829" s="34" t="str">
        <f>IF(AND(L1829=1,bp_kode=T1829,T1829&lt;&gt;""),COUNTIF($T$8:T1829,T1829),"")</f>
        <v/>
      </c>
      <c r="V1829" s="34" t="str">
        <f t="shared" si="1007"/>
        <v/>
      </c>
      <c r="W1829" s="34" t="str">
        <f t="shared" si="1008"/>
        <v/>
      </c>
      <c r="X1829" s="34" t="str">
        <f>IF(B1829="","",COUNTIF($C$8:C1829,C1829)&amp;C1829)</f>
        <v/>
      </c>
    </row>
    <row r="1830" spans="2:24" ht="23.1" customHeight="1">
      <c r="B1830" s="31"/>
      <c r="C1830" s="9"/>
      <c r="D1830" s="9"/>
      <c r="E1830" s="7"/>
      <c r="F1830" s="7"/>
      <c r="G1830" s="7"/>
      <c r="H1830" s="7"/>
      <c r="I1830" s="7"/>
      <c r="J1830" s="39"/>
      <c r="L1830" s="16" t="str">
        <f t="shared" si="999"/>
        <v/>
      </c>
      <c r="M1830" s="16" t="str">
        <f t="shared" si="1000"/>
        <v/>
      </c>
      <c r="N1830" s="16" t="str">
        <f t="shared" si="1001"/>
        <v/>
      </c>
      <c r="O1830" s="16" t="str">
        <f>IF(N1830="","",COUNTIF($N$8:N1830,N1830))</f>
        <v/>
      </c>
      <c r="P1830" s="34" t="str">
        <f t="shared" si="1002"/>
        <v/>
      </c>
      <c r="Q1830" s="34" t="str">
        <f t="shared" si="1003"/>
        <v/>
      </c>
      <c r="R1830" s="34" t="str">
        <f t="shared" si="1004"/>
        <v/>
      </c>
      <c r="S1830" s="34" t="str">
        <f t="shared" si="1005"/>
        <v/>
      </c>
      <c r="T1830" s="34" t="str">
        <f t="shared" si="1006"/>
        <v/>
      </c>
      <c r="U1830" s="34" t="str">
        <f>IF(AND(L1830=1,bp_kode=T1830,T1830&lt;&gt;""),COUNTIF($T$8:T1830,T1830),"")</f>
        <v/>
      </c>
      <c r="V1830" s="34" t="str">
        <f t="shared" si="1007"/>
        <v/>
      </c>
      <c r="W1830" s="34" t="str">
        <f t="shared" si="1008"/>
        <v/>
      </c>
      <c r="X1830" s="34" t="str">
        <f>IF(B1830="","",COUNTIF($C$8:C1830,C1830)&amp;C1830)</f>
        <v/>
      </c>
    </row>
    <row r="1831" spans="2:24" ht="23.1" customHeight="1">
      <c r="B1831" s="31"/>
      <c r="C1831" s="9"/>
      <c r="D1831" s="9"/>
      <c r="E1831" s="7"/>
      <c r="F1831" s="7"/>
      <c r="G1831" s="7"/>
      <c r="H1831" s="7"/>
      <c r="I1831" s="7"/>
      <c r="J1831" s="39"/>
      <c r="L1831" s="16" t="str">
        <f t="shared" si="999"/>
        <v/>
      </c>
      <c r="M1831" s="16" t="str">
        <f t="shared" si="1000"/>
        <v/>
      </c>
      <c r="N1831" s="16" t="str">
        <f t="shared" si="1001"/>
        <v/>
      </c>
      <c r="O1831" s="16" t="str">
        <f>IF(N1831="","",COUNTIF($N$8:N1831,N1831))</f>
        <v/>
      </c>
      <c r="P1831" s="34" t="str">
        <f t="shared" si="1002"/>
        <v/>
      </c>
      <c r="Q1831" s="34" t="str">
        <f t="shared" si="1003"/>
        <v/>
      </c>
      <c r="R1831" s="34" t="str">
        <f t="shared" si="1004"/>
        <v/>
      </c>
      <c r="S1831" s="34" t="str">
        <f t="shared" si="1005"/>
        <v/>
      </c>
      <c r="T1831" s="34" t="str">
        <f t="shared" si="1006"/>
        <v/>
      </c>
      <c r="U1831" s="34" t="str">
        <f>IF(AND(L1831=1,bp_kode=T1831,T1831&lt;&gt;""),COUNTIF($T$8:T1831,T1831),"")</f>
        <v/>
      </c>
      <c r="V1831" s="34" t="str">
        <f t="shared" si="1007"/>
        <v/>
      </c>
      <c r="W1831" s="34" t="str">
        <f t="shared" si="1008"/>
        <v/>
      </c>
      <c r="X1831" s="34" t="str">
        <f>IF(B1831="","",COUNTIF($C$8:C1831,C1831)&amp;C1831)</f>
        <v/>
      </c>
    </row>
    <row r="1832" spans="2:24" ht="23.1" customHeight="1">
      <c r="B1832" s="31"/>
      <c r="C1832" s="9"/>
      <c r="D1832" s="9"/>
      <c r="E1832" s="7"/>
      <c r="F1832" s="7"/>
      <c r="G1832" s="7"/>
      <c r="H1832" s="7"/>
      <c r="I1832" s="7"/>
      <c r="J1832" s="39"/>
      <c r="L1832" s="16" t="str">
        <f t="shared" si="999"/>
        <v/>
      </c>
      <c r="M1832" s="16" t="str">
        <f t="shared" si="1000"/>
        <v/>
      </c>
      <c r="N1832" s="16" t="str">
        <f t="shared" si="1001"/>
        <v/>
      </c>
      <c r="O1832" s="16" t="str">
        <f>IF(N1832="","",COUNTIF($N$8:N1832,N1832))</f>
        <v/>
      </c>
      <c r="P1832" s="34" t="str">
        <f t="shared" si="1002"/>
        <v/>
      </c>
      <c r="Q1832" s="34" t="str">
        <f t="shared" si="1003"/>
        <v/>
      </c>
      <c r="R1832" s="34" t="str">
        <f t="shared" si="1004"/>
        <v/>
      </c>
      <c r="S1832" s="34" t="str">
        <f t="shared" si="1005"/>
        <v/>
      </c>
      <c r="T1832" s="34" t="str">
        <f t="shared" si="1006"/>
        <v/>
      </c>
      <c r="U1832" s="34" t="str">
        <f>IF(AND(L1832=1,bp_kode=T1832,T1832&lt;&gt;""),COUNTIF($T$8:T1832,T1832),"")</f>
        <v/>
      </c>
      <c r="V1832" s="34" t="str">
        <f t="shared" si="1007"/>
        <v/>
      </c>
      <c r="W1832" s="34" t="str">
        <f t="shared" si="1008"/>
        <v/>
      </c>
      <c r="X1832" s="34" t="str">
        <f>IF(B1832="","",COUNTIF($C$8:C1832,C1832)&amp;C1832)</f>
        <v/>
      </c>
    </row>
    <row r="1833" spans="2:24" ht="23.1" customHeight="1">
      <c r="B1833" s="31"/>
      <c r="C1833" s="9"/>
      <c r="D1833" s="9"/>
      <c r="E1833" s="7"/>
      <c r="F1833" s="7"/>
      <c r="G1833" s="7"/>
      <c r="H1833" s="7"/>
      <c r="I1833" s="7"/>
      <c r="J1833" s="39"/>
      <c r="L1833" s="16" t="str">
        <f t="shared" si="999"/>
        <v/>
      </c>
      <c r="M1833" s="16" t="str">
        <f t="shared" si="1000"/>
        <v/>
      </c>
      <c r="N1833" s="16" t="str">
        <f t="shared" si="1001"/>
        <v/>
      </c>
      <c r="O1833" s="16" t="str">
        <f>IF(N1833="","",COUNTIF($N$8:N1833,N1833))</f>
        <v/>
      </c>
      <c r="P1833" s="34" t="str">
        <f t="shared" si="1002"/>
        <v/>
      </c>
      <c r="Q1833" s="34" t="str">
        <f t="shared" si="1003"/>
        <v/>
      </c>
      <c r="R1833" s="34" t="str">
        <f t="shared" si="1004"/>
        <v/>
      </c>
      <c r="S1833" s="34" t="str">
        <f t="shared" si="1005"/>
        <v/>
      </c>
      <c r="T1833" s="34" t="str">
        <f t="shared" si="1006"/>
        <v/>
      </c>
      <c r="U1833" s="34" t="str">
        <f>IF(AND(L1833=1,bp_kode=T1833,T1833&lt;&gt;""),COUNTIF($T$8:T1833,T1833),"")</f>
        <v/>
      </c>
      <c r="V1833" s="34" t="str">
        <f t="shared" si="1007"/>
        <v/>
      </c>
      <c r="W1833" s="34" t="str">
        <f t="shared" si="1008"/>
        <v/>
      </c>
      <c r="X1833" s="34" t="str">
        <f>IF(B1833="","",COUNTIF($C$8:C1833,C1833)&amp;C1833)</f>
        <v/>
      </c>
    </row>
    <row r="1834" spans="2:24" ht="23.1" customHeight="1">
      <c r="B1834" s="31"/>
      <c r="C1834" s="9"/>
      <c r="D1834" s="9"/>
      <c r="E1834" s="7"/>
      <c r="F1834" s="7"/>
      <c r="G1834" s="7"/>
      <c r="H1834" s="7"/>
      <c r="I1834" s="7"/>
      <c r="J1834" s="39"/>
      <c r="L1834" s="16" t="str">
        <f t="shared" si="999"/>
        <v/>
      </c>
      <c r="M1834" s="16" t="str">
        <f t="shared" si="1000"/>
        <v/>
      </c>
      <c r="N1834" s="16" t="str">
        <f t="shared" si="1001"/>
        <v/>
      </c>
      <c r="O1834" s="16" t="str">
        <f>IF(N1834="","",COUNTIF($N$8:N1834,N1834))</f>
        <v/>
      </c>
      <c r="P1834" s="34" t="str">
        <f t="shared" si="1002"/>
        <v/>
      </c>
      <c r="Q1834" s="34" t="str">
        <f t="shared" si="1003"/>
        <v/>
      </c>
      <c r="R1834" s="34" t="str">
        <f t="shared" si="1004"/>
        <v/>
      </c>
      <c r="S1834" s="34" t="str">
        <f t="shared" si="1005"/>
        <v/>
      </c>
      <c r="T1834" s="34" t="str">
        <f t="shared" si="1006"/>
        <v/>
      </c>
      <c r="U1834" s="34" t="str">
        <f>IF(AND(L1834=1,bp_kode=T1834,T1834&lt;&gt;""),COUNTIF($T$8:T1834,T1834),"")</f>
        <v/>
      </c>
      <c r="V1834" s="34" t="str">
        <f t="shared" si="1007"/>
        <v/>
      </c>
      <c r="W1834" s="34" t="str">
        <f t="shared" si="1008"/>
        <v/>
      </c>
      <c r="X1834" s="34" t="str">
        <f>IF(B1834="","",COUNTIF($C$8:C1834,C1834)&amp;C1834)</f>
        <v/>
      </c>
    </row>
    <row r="1835" spans="2:24" ht="23.1" customHeight="1">
      <c r="B1835" s="31"/>
      <c r="C1835" s="9"/>
      <c r="D1835" s="9"/>
      <c r="E1835" s="7"/>
      <c r="F1835" s="7"/>
      <c r="G1835" s="7"/>
      <c r="H1835" s="7"/>
      <c r="I1835" s="7"/>
      <c r="J1835" s="39"/>
      <c r="L1835" s="16" t="str">
        <f t="shared" si="999"/>
        <v/>
      </c>
      <c r="M1835" s="16" t="str">
        <f t="shared" si="1000"/>
        <v/>
      </c>
      <c r="N1835" s="16" t="str">
        <f t="shared" si="1001"/>
        <v/>
      </c>
      <c r="O1835" s="16" t="str">
        <f>IF(N1835="","",COUNTIF($N$8:N1835,N1835))</f>
        <v/>
      </c>
      <c r="P1835" s="34" t="str">
        <f t="shared" si="1002"/>
        <v/>
      </c>
      <c r="Q1835" s="34" t="str">
        <f t="shared" si="1003"/>
        <v/>
      </c>
      <c r="R1835" s="34" t="str">
        <f t="shared" si="1004"/>
        <v/>
      </c>
      <c r="S1835" s="34" t="str">
        <f t="shared" si="1005"/>
        <v/>
      </c>
      <c r="T1835" s="34" t="str">
        <f t="shared" si="1006"/>
        <v/>
      </c>
      <c r="U1835" s="34" t="str">
        <f>IF(AND(L1835=1,bp_kode=T1835,T1835&lt;&gt;""),COUNTIF($T$8:T1835,T1835),"")</f>
        <v/>
      </c>
      <c r="V1835" s="34" t="str">
        <f t="shared" si="1007"/>
        <v/>
      </c>
      <c r="W1835" s="34" t="str">
        <f t="shared" si="1008"/>
        <v/>
      </c>
      <c r="X1835" s="34" t="str">
        <f>IF(B1835="","",COUNTIF($C$8:C1835,C1835)&amp;C1835)</f>
        <v/>
      </c>
    </row>
    <row r="1836" spans="2:24" ht="23.1" customHeight="1">
      <c r="B1836" s="31"/>
      <c r="C1836" s="9"/>
      <c r="D1836" s="9"/>
      <c r="E1836" s="7"/>
      <c r="F1836" s="7"/>
      <c r="G1836" s="7"/>
      <c r="H1836" s="7"/>
      <c r="I1836" s="7"/>
      <c r="J1836" s="39"/>
      <c r="L1836" s="16" t="str">
        <f t="shared" si="999"/>
        <v/>
      </c>
      <c r="M1836" s="16" t="str">
        <f t="shared" si="1000"/>
        <v/>
      </c>
      <c r="N1836" s="16" t="str">
        <f t="shared" si="1001"/>
        <v/>
      </c>
      <c r="O1836" s="16" t="str">
        <f>IF(N1836="","",COUNTIF($N$8:N1836,N1836))</f>
        <v/>
      </c>
      <c r="P1836" s="34" t="str">
        <f t="shared" si="1002"/>
        <v/>
      </c>
      <c r="Q1836" s="34" t="str">
        <f t="shared" si="1003"/>
        <v/>
      </c>
      <c r="R1836" s="34" t="str">
        <f t="shared" si="1004"/>
        <v/>
      </c>
      <c r="S1836" s="34" t="str">
        <f t="shared" si="1005"/>
        <v/>
      </c>
      <c r="T1836" s="34" t="str">
        <f t="shared" si="1006"/>
        <v/>
      </c>
      <c r="U1836" s="34" t="str">
        <f>IF(AND(L1836=1,bp_kode=T1836,T1836&lt;&gt;""),COUNTIF($T$8:T1836,T1836),"")</f>
        <v/>
      </c>
      <c r="V1836" s="34" t="str">
        <f t="shared" si="1007"/>
        <v/>
      </c>
      <c r="W1836" s="34" t="str">
        <f t="shared" si="1008"/>
        <v/>
      </c>
      <c r="X1836" s="34" t="str">
        <f>IF(B1836="","",COUNTIF($C$8:C1836,C1836)&amp;C1836)</f>
        <v/>
      </c>
    </row>
    <row r="1837" spans="2:24" ht="23.1" customHeight="1">
      <c r="B1837" s="31"/>
      <c r="C1837" s="9"/>
      <c r="D1837" s="9"/>
      <c r="E1837" s="7"/>
      <c r="F1837" s="7"/>
      <c r="G1837" s="7"/>
      <c r="H1837" s="7"/>
      <c r="I1837" s="7"/>
      <c r="J1837" s="39"/>
      <c r="L1837" s="16" t="str">
        <f t="shared" si="999"/>
        <v/>
      </c>
      <c r="M1837" s="16" t="str">
        <f t="shared" si="1000"/>
        <v/>
      </c>
      <c r="N1837" s="16" t="str">
        <f t="shared" si="1001"/>
        <v/>
      </c>
      <c r="O1837" s="16" t="str">
        <f>IF(N1837="","",COUNTIF($N$8:N1837,N1837))</f>
        <v/>
      </c>
      <c r="P1837" s="34" t="str">
        <f t="shared" si="1002"/>
        <v/>
      </c>
      <c r="Q1837" s="34" t="str">
        <f t="shared" si="1003"/>
        <v/>
      </c>
      <c r="R1837" s="34" t="str">
        <f t="shared" si="1004"/>
        <v/>
      </c>
      <c r="S1837" s="34" t="str">
        <f t="shared" si="1005"/>
        <v/>
      </c>
      <c r="T1837" s="34" t="str">
        <f t="shared" si="1006"/>
        <v/>
      </c>
      <c r="U1837" s="34" t="str">
        <f>IF(AND(L1837=1,bp_kode=T1837,T1837&lt;&gt;""),COUNTIF($T$8:T1837,T1837),"")</f>
        <v/>
      </c>
      <c r="V1837" s="34" t="str">
        <f t="shared" si="1007"/>
        <v/>
      </c>
      <c r="W1837" s="34" t="str">
        <f t="shared" si="1008"/>
        <v/>
      </c>
      <c r="X1837" s="34" t="str">
        <f>IF(B1837="","",COUNTIF($C$8:C1837,C1837)&amp;C1837)</f>
        <v/>
      </c>
    </row>
    <row r="1838" spans="2:24" ht="23.1" customHeight="1">
      <c r="B1838" s="31"/>
      <c r="C1838" s="9"/>
      <c r="D1838" s="9"/>
      <c r="E1838" s="7"/>
      <c r="F1838" s="7"/>
      <c r="G1838" s="7"/>
      <c r="H1838" s="7"/>
      <c r="I1838" s="7"/>
      <c r="J1838" s="39"/>
      <c r="L1838" s="16" t="str">
        <f t="shared" si="999"/>
        <v/>
      </c>
      <c r="M1838" s="16" t="str">
        <f t="shared" si="1000"/>
        <v/>
      </c>
      <c r="N1838" s="16" t="str">
        <f t="shared" si="1001"/>
        <v/>
      </c>
      <c r="O1838" s="16" t="str">
        <f>IF(N1838="","",COUNTIF($N$8:N1838,N1838))</f>
        <v/>
      </c>
      <c r="P1838" s="34" t="str">
        <f t="shared" si="1002"/>
        <v/>
      </c>
      <c r="Q1838" s="34" t="str">
        <f t="shared" si="1003"/>
        <v/>
      </c>
      <c r="R1838" s="34" t="str">
        <f t="shared" si="1004"/>
        <v/>
      </c>
      <c r="S1838" s="34" t="str">
        <f t="shared" si="1005"/>
        <v/>
      </c>
      <c r="T1838" s="34" t="str">
        <f t="shared" si="1006"/>
        <v/>
      </c>
      <c r="U1838" s="34" t="str">
        <f>IF(AND(L1838=1,bp_kode=T1838,T1838&lt;&gt;""),COUNTIF($T$8:T1838,T1838),"")</f>
        <v/>
      </c>
      <c r="V1838" s="34" t="str">
        <f t="shared" si="1007"/>
        <v/>
      </c>
      <c r="W1838" s="34" t="str">
        <f t="shared" si="1008"/>
        <v/>
      </c>
      <c r="X1838" s="34" t="str">
        <f>IF(B1838="","",COUNTIF($C$8:C1838,C1838)&amp;C1838)</f>
        <v/>
      </c>
    </row>
    <row r="1839" spans="2:24" ht="23.1" customHeight="1">
      <c r="B1839" s="31"/>
      <c r="C1839" s="9"/>
      <c r="D1839" s="9"/>
      <c r="E1839" s="7"/>
      <c r="F1839" s="7"/>
      <c r="G1839" s="7"/>
      <c r="H1839" s="7"/>
      <c r="I1839" s="7"/>
      <c r="J1839" s="39"/>
      <c r="L1839" s="16" t="str">
        <f t="shared" si="999"/>
        <v/>
      </c>
      <c r="M1839" s="16" t="str">
        <f t="shared" si="1000"/>
        <v/>
      </c>
      <c r="N1839" s="16" t="str">
        <f t="shared" si="1001"/>
        <v/>
      </c>
      <c r="O1839" s="16" t="str">
        <f>IF(N1839="","",COUNTIF($N$8:N1839,N1839))</f>
        <v/>
      </c>
      <c r="P1839" s="34" t="str">
        <f t="shared" si="1002"/>
        <v/>
      </c>
      <c r="Q1839" s="34" t="str">
        <f t="shared" si="1003"/>
        <v/>
      </c>
      <c r="R1839" s="34" t="str">
        <f t="shared" si="1004"/>
        <v/>
      </c>
      <c r="S1839" s="34" t="str">
        <f t="shared" si="1005"/>
        <v/>
      </c>
      <c r="T1839" s="34" t="str">
        <f t="shared" si="1006"/>
        <v/>
      </c>
      <c r="U1839" s="34" t="str">
        <f>IF(AND(L1839=1,bp_kode=T1839,T1839&lt;&gt;""),COUNTIF($T$8:T1839,T1839),"")</f>
        <v/>
      </c>
      <c r="V1839" s="34" t="str">
        <f t="shared" si="1007"/>
        <v/>
      </c>
      <c r="W1839" s="34" t="str">
        <f t="shared" si="1008"/>
        <v/>
      </c>
      <c r="X1839" s="34" t="str">
        <f>IF(B1839="","",COUNTIF($C$8:C1839,C1839)&amp;C1839)</f>
        <v/>
      </c>
    </row>
    <row r="1840" spans="2:24" ht="23.1" customHeight="1">
      <c r="B1840" s="31"/>
      <c r="C1840" s="9"/>
      <c r="D1840" s="9"/>
      <c r="E1840" s="7"/>
      <c r="F1840" s="7"/>
      <c r="G1840" s="7"/>
      <c r="H1840" s="7"/>
      <c r="I1840" s="7"/>
      <c r="J1840" s="39"/>
      <c r="L1840" s="16" t="str">
        <f t="shared" si="999"/>
        <v/>
      </c>
      <c r="M1840" s="16" t="str">
        <f t="shared" si="1000"/>
        <v/>
      </c>
      <c r="N1840" s="16" t="str">
        <f t="shared" si="1001"/>
        <v/>
      </c>
      <c r="O1840" s="16" t="str">
        <f>IF(N1840="","",COUNTIF($N$8:N1840,N1840))</f>
        <v/>
      </c>
      <c r="P1840" s="34" t="str">
        <f t="shared" si="1002"/>
        <v/>
      </c>
      <c r="Q1840" s="34" t="str">
        <f t="shared" si="1003"/>
        <v/>
      </c>
      <c r="R1840" s="34" t="str">
        <f t="shared" si="1004"/>
        <v/>
      </c>
      <c r="S1840" s="34" t="str">
        <f t="shared" si="1005"/>
        <v/>
      </c>
      <c r="T1840" s="34" t="str">
        <f t="shared" si="1006"/>
        <v/>
      </c>
      <c r="U1840" s="34" t="str">
        <f>IF(AND(L1840=1,bp_kode=T1840,T1840&lt;&gt;""),COUNTIF($T$8:T1840,T1840),"")</f>
        <v/>
      </c>
      <c r="V1840" s="34" t="str">
        <f t="shared" si="1007"/>
        <v/>
      </c>
      <c r="W1840" s="34" t="str">
        <f t="shared" si="1008"/>
        <v/>
      </c>
      <c r="X1840" s="34" t="str">
        <f>IF(B1840="","",COUNTIF($C$8:C1840,C1840)&amp;C1840)</f>
        <v/>
      </c>
    </row>
    <row r="1841" spans="2:24" ht="23.1" customHeight="1">
      <c r="B1841" s="31"/>
      <c r="C1841" s="9"/>
      <c r="D1841" s="9"/>
      <c r="E1841" s="7"/>
      <c r="F1841" s="7"/>
      <c r="G1841" s="7"/>
      <c r="H1841" s="7"/>
      <c r="I1841" s="7"/>
      <c r="J1841" s="39"/>
      <c r="L1841" s="16" t="str">
        <f t="shared" si="999"/>
        <v/>
      </c>
      <c r="M1841" s="16" t="str">
        <f t="shared" si="1000"/>
        <v/>
      </c>
      <c r="N1841" s="16" t="str">
        <f t="shared" si="1001"/>
        <v/>
      </c>
      <c r="O1841" s="16" t="str">
        <f>IF(N1841="","",COUNTIF($N$8:N1841,N1841))</f>
        <v/>
      </c>
      <c r="P1841" s="34" t="str">
        <f t="shared" si="1002"/>
        <v/>
      </c>
      <c r="Q1841" s="34" t="str">
        <f t="shared" si="1003"/>
        <v/>
      </c>
      <c r="R1841" s="34" t="str">
        <f t="shared" si="1004"/>
        <v/>
      </c>
      <c r="S1841" s="34" t="str">
        <f t="shared" si="1005"/>
        <v/>
      </c>
      <c r="T1841" s="34" t="str">
        <f t="shared" si="1006"/>
        <v/>
      </c>
      <c r="U1841" s="34" t="str">
        <f>IF(AND(L1841=1,bp_kode=T1841,T1841&lt;&gt;""),COUNTIF($T$8:T1841,T1841),"")</f>
        <v/>
      </c>
      <c r="V1841" s="34" t="str">
        <f t="shared" si="1007"/>
        <v/>
      </c>
      <c r="W1841" s="34" t="str">
        <f t="shared" si="1008"/>
        <v/>
      </c>
      <c r="X1841" s="34" t="str">
        <f>IF(B1841="","",COUNTIF($C$8:C1841,C1841)&amp;C1841)</f>
        <v/>
      </c>
    </row>
    <row r="1842" spans="2:24" ht="23.1" customHeight="1">
      <c r="B1842" s="31"/>
      <c r="C1842" s="9"/>
      <c r="D1842" s="9"/>
      <c r="E1842" s="7"/>
      <c r="F1842" s="7"/>
      <c r="G1842" s="7"/>
      <c r="H1842" s="7"/>
      <c r="I1842" s="7"/>
      <c r="J1842" s="39"/>
      <c r="L1842" s="16" t="str">
        <f t="shared" si="999"/>
        <v/>
      </c>
      <c r="M1842" s="16" t="str">
        <f t="shared" si="1000"/>
        <v/>
      </c>
      <c r="N1842" s="16" t="str">
        <f t="shared" si="1001"/>
        <v/>
      </c>
      <c r="O1842" s="16" t="str">
        <f>IF(N1842="","",COUNTIF($N$8:N1842,N1842))</f>
        <v/>
      </c>
      <c r="P1842" s="34" t="str">
        <f t="shared" si="1002"/>
        <v/>
      </c>
      <c r="Q1842" s="34" t="str">
        <f t="shared" si="1003"/>
        <v/>
      </c>
      <c r="R1842" s="34" t="str">
        <f t="shared" si="1004"/>
        <v/>
      </c>
      <c r="S1842" s="34" t="str">
        <f t="shared" si="1005"/>
        <v/>
      </c>
      <c r="T1842" s="34" t="str">
        <f t="shared" si="1006"/>
        <v/>
      </c>
      <c r="U1842" s="34" t="str">
        <f>IF(AND(L1842=1,bp_kode=T1842,T1842&lt;&gt;""),COUNTIF($T$8:T1842,T1842),"")</f>
        <v/>
      </c>
      <c r="V1842" s="34" t="str">
        <f t="shared" si="1007"/>
        <v/>
      </c>
      <c r="W1842" s="34" t="str">
        <f t="shared" si="1008"/>
        <v/>
      </c>
      <c r="X1842" s="34" t="str">
        <f>IF(B1842="","",COUNTIF($C$8:C1842,C1842)&amp;C1842)</f>
        <v/>
      </c>
    </row>
    <row r="1843" spans="2:24" ht="23.1" customHeight="1">
      <c r="B1843" s="31"/>
      <c r="C1843" s="9"/>
      <c r="D1843" s="9"/>
      <c r="E1843" s="7"/>
      <c r="F1843" s="7"/>
      <c r="G1843" s="7"/>
      <c r="H1843" s="7"/>
      <c r="I1843" s="7"/>
      <c r="J1843" s="39"/>
      <c r="L1843" s="16" t="str">
        <f t="shared" si="999"/>
        <v/>
      </c>
      <c r="M1843" s="16" t="str">
        <f t="shared" si="1000"/>
        <v/>
      </c>
      <c r="N1843" s="16" t="str">
        <f t="shared" si="1001"/>
        <v/>
      </c>
      <c r="O1843" s="16" t="str">
        <f>IF(N1843="","",COUNTIF($N$8:N1843,N1843))</f>
        <v/>
      </c>
      <c r="P1843" s="34" t="str">
        <f t="shared" si="1002"/>
        <v/>
      </c>
      <c r="Q1843" s="34" t="str">
        <f t="shared" si="1003"/>
        <v/>
      </c>
      <c r="R1843" s="34" t="str">
        <f t="shared" si="1004"/>
        <v/>
      </c>
      <c r="S1843" s="34" t="str">
        <f t="shared" si="1005"/>
        <v/>
      </c>
      <c r="T1843" s="34" t="str">
        <f t="shared" si="1006"/>
        <v/>
      </c>
      <c r="U1843" s="34" t="str">
        <f>IF(AND(L1843=1,bp_kode=T1843,T1843&lt;&gt;""),COUNTIF($T$8:T1843,T1843),"")</f>
        <v/>
      </c>
      <c r="V1843" s="34" t="str">
        <f t="shared" si="1007"/>
        <v/>
      </c>
      <c r="W1843" s="34" t="str">
        <f t="shared" si="1008"/>
        <v/>
      </c>
      <c r="X1843" s="34" t="str">
        <f>IF(B1843="","",COUNTIF($C$8:C1843,C1843)&amp;C1843)</f>
        <v/>
      </c>
    </row>
    <row r="1844" spans="2:24" ht="23.1" customHeight="1">
      <c r="B1844" s="31"/>
      <c r="C1844" s="9"/>
      <c r="D1844" s="9"/>
      <c r="E1844" s="7"/>
      <c r="F1844" s="7"/>
      <c r="G1844" s="7"/>
      <c r="H1844" s="7"/>
      <c r="I1844" s="7"/>
      <c r="J1844" s="39"/>
      <c r="L1844" s="16" t="str">
        <f t="shared" si="999"/>
        <v/>
      </c>
      <c r="M1844" s="16" t="str">
        <f t="shared" si="1000"/>
        <v/>
      </c>
      <c r="N1844" s="16" t="str">
        <f t="shared" si="1001"/>
        <v/>
      </c>
      <c r="O1844" s="16" t="str">
        <f>IF(N1844="","",COUNTIF($N$8:N1844,N1844))</f>
        <v/>
      </c>
      <c r="P1844" s="34" t="str">
        <f t="shared" si="1002"/>
        <v/>
      </c>
      <c r="Q1844" s="34" t="str">
        <f t="shared" si="1003"/>
        <v/>
      </c>
      <c r="R1844" s="34" t="str">
        <f t="shared" si="1004"/>
        <v/>
      </c>
      <c r="S1844" s="34" t="str">
        <f t="shared" si="1005"/>
        <v/>
      </c>
      <c r="T1844" s="34" t="str">
        <f t="shared" si="1006"/>
        <v/>
      </c>
      <c r="U1844" s="34" t="str">
        <f>IF(AND(L1844=1,bp_kode=T1844,T1844&lt;&gt;""),COUNTIF($T$8:T1844,T1844),"")</f>
        <v/>
      </c>
      <c r="V1844" s="34" t="str">
        <f t="shared" si="1007"/>
        <v/>
      </c>
      <c r="W1844" s="34" t="str">
        <f t="shared" si="1008"/>
        <v/>
      </c>
      <c r="X1844" s="34" t="str">
        <f>IF(B1844="","",COUNTIF($C$8:C1844,C1844)&amp;C1844)</f>
        <v/>
      </c>
    </row>
    <row r="1845" spans="2:24" ht="23.1" customHeight="1">
      <c r="B1845" s="31"/>
      <c r="C1845" s="9"/>
      <c r="D1845" s="9"/>
      <c r="E1845" s="7"/>
      <c r="F1845" s="7"/>
      <c r="G1845" s="7"/>
      <c r="H1845" s="7"/>
      <c r="I1845" s="7"/>
      <c r="J1845" s="39"/>
      <c r="L1845" s="16" t="str">
        <f t="shared" si="999"/>
        <v/>
      </c>
      <c r="M1845" s="16" t="str">
        <f t="shared" si="1000"/>
        <v/>
      </c>
      <c r="N1845" s="16" t="str">
        <f t="shared" si="1001"/>
        <v/>
      </c>
      <c r="O1845" s="16" t="str">
        <f>IF(N1845="","",COUNTIF($N$8:N1845,N1845))</f>
        <v/>
      </c>
      <c r="P1845" s="34" t="str">
        <f t="shared" si="1002"/>
        <v/>
      </c>
      <c r="Q1845" s="34" t="str">
        <f t="shared" si="1003"/>
        <v/>
      </c>
      <c r="R1845" s="34" t="str">
        <f t="shared" si="1004"/>
        <v/>
      </c>
      <c r="S1845" s="34" t="str">
        <f t="shared" si="1005"/>
        <v/>
      </c>
      <c r="T1845" s="34" t="str">
        <f t="shared" si="1006"/>
        <v/>
      </c>
      <c r="U1845" s="34" t="str">
        <f>IF(AND(L1845=1,bp_kode=T1845,T1845&lt;&gt;""),COUNTIF($T$8:T1845,T1845),"")</f>
        <v/>
      </c>
      <c r="V1845" s="34" t="str">
        <f t="shared" si="1007"/>
        <v/>
      </c>
      <c r="W1845" s="34" t="str">
        <f t="shared" si="1008"/>
        <v/>
      </c>
      <c r="X1845" s="34" t="str">
        <f>IF(B1845="","",COUNTIF($C$8:C1845,C1845)&amp;C1845)</f>
        <v/>
      </c>
    </row>
    <row r="1846" spans="2:24" ht="23.1" customHeight="1">
      <c r="B1846" s="31"/>
      <c r="C1846" s="9"/>
      <c r="D1846" s="9"/>
      <c r="E1846" s="7"/>
      <c r="F1846" s="7"/>
      <c r="G1846" s="7"/>
      <c r="H1846" s="7"/>
      <c r="I1846" s="7"/>
      <c r="J1846" s="39"/>
      <c r="L1846" s="16" t="str">
        <f t="shared" si="999"/>
        <v/>
      </c>
      <c r="M1846" s="16" t="str">
        <f t="shared" si="1000"/>
        <v/>
      </c>
      <c r="N1846" s="16" t="str">
        <f t="shared" si="1001"/>
        <v/>
      </c>
      <c r="O1846" s="16" t="str">
        <f>IF(N1846="","",COUNTIF($N$8:N1846,N1846))</f>
        <v/>
      </c>
      <c r="P1846" s="34" t="str">
        <f t="shared" si="1002"/>
        <v/>
      </c>
      <c r="Q1846" s="34" t="str">
        <f t="shared" si="1003"/>
        <v/>
      </c>
      <c r="R1846" s="34" t="str">
        <f t="shared" si="1004"/>
        <v/>
      </c>
      <c r="S1846" s="34" t="str">
        <f t="shared" si="1005"/>
        <v/>
      </c>
      <c r="T1846" s="34" t="str">
        <f t="shared" si="1006"/>
        <v/>
      </c>
      <c r="U1846" s="34" t="str">
        <f>IF(AND(L1846=1,bp_kode=T1846,T1846&lt;&gt;""),COUNTIF($T$8:T1846,T1846),"")</f>
        <v/>
      </c>
      <c r="V1846" s="34" t="str">
        <f t="shared" si="1007"/>
        <v/>
      </c>
      <c r="W1846" s="34" t="str">
        <f t="shared" si="1008"/>
        <v/>
      </c>
      <c r="X1846" s="34" t="str">
        <f>IF(B1846="","",COUNTIF($C$8:C1846,C1846)&amp;C1846)</f>
        <v/>
      </c>
    </row>
    <row r="1847" spans="2:24" ht="23.1" customHeight="1">
      <c r="B1847" s="31"/>
      <c r="C1847" s="9"/>
      <c r="D1847" s="9"/>
      <c r="E1847" s="7"/>
      <c r="F1847" s="7"/>
      <c r="G1847" s="7"/>
      <c r="H1847" s="7"/>
      <c r="I1847" s="7"/>
      <c r="J1847" s="39"/>
      <c r="L1847" s="16" t="str">
        <f t="shared" si="999"/>
        <v/>
      </c>
      <c r="M1847" s="16" t="str">
        <f t="shared" si="1000"/>
        <v/>
      </c>
      <c r="N1847" s="16" t="str">
        <f t="shared" si="1001"/>
        <v/>
      </c>
      <c r="O1847" s="16" t="str">
        <f>IF(N1847="","",COUNTIF($N$8:N1847,N1847))</f>
        <v/>
      </c>
      <c r="P1847" s="34" t="str">
        <f t="shared" si="1002"/>
        <v/>
      </c>
      <c r="Q1847" s="34" t="str">
        <f t="shared" si="1003"/>
        <v/>
      </c>
      <c r="R1847" s="34" t="str">
        <f t="shared" si="1004"/>
        <v/>
      </c>
      <c r="S1847" s="34" t="str">
        <f t="shared" si="1005"/>
        <v/>
      </c>
      <c r="T1847" s="34" t="str">
        <f t="shared" si="1006"/>
        <v/>
      </c>
      <c r="U1847" s="34" t="str">
        <f>IF(AND(L1847=1,bp_kode=T1847,T1847&lt;&gt;""),COUNTIF($T$8:T1847,T1847),"")</f>
        <v/>
      </c>
      <c r="V1847" s="34" t="str">
        <f t="shared" si="1007"/>
        <v/>
      </c>
      <c r="W1847" s="34" t="str">
        <f t="shared" si="1008"/>
        <v/>
      </c>
      <c r="X1847" s="34" t="str">
        <f>IF(B1847="","",COUNTIF($C$8:C1847,C1847)&amp;C1847)</f>
        <v/>
      </c>
    </row>
    <row r="1848" spans="2:24" ht="23.1" customHeight="1">
      <c r="B1848" s="31"/>
      <c r="C1848" s="9"/>
      <c r="D1848" s="9"/>
      <c r="E1848" s="7"/>
      <c r="F1848" s="7"/>
      <c r="G1848" s="7"/>
      <c r="H1848" s="7"/>
      <c r="I1848" s="7"/>
      <c r="J1848" s="39"/>
      <c r="L1848" s="16" t="str">
        <f t="shared" si="999"/>
        <v/>
      </c>
      <c r="M1848" s="16" t="str">
        <f t="shared" si="1000"/>
        <v/>
      </c>
      <c r="N1848" s="16" t="str">
        <f t="shared" si="1001"/>
        <v/>
      </c>
      <c r="O1848" s="16" t="str">
        <f>IF(N1848="","",COUNTIF($N$8:N1848,N1848))</f>
        <v/>
      </c>
      <c r="P1848" s="34" t="str">
        <f t="shared" si="1002"/>
        <v/>
      </c>
      <c r="Q1848" s="34" t="str">
        <f t="shared" si="1003"/>
        <v/>
      </c>
      <c r="R1848" s="34" t="str">
        <f t="shared" si="1004"/>
        <v/>
      </c>
      <c r="S1848" s="34" t="str">
        <f t="shared" si="1005"/>
        <v/>
      </c>
      <c r="T1848" s="34" t="str">
        <f t="shared" si="1006"/>
        <v/>
      </c>
      <c r="U1848" s="34" t="str">
        <f>IF(AND(L1848=1,bp_kode=T1848,T1848&lt;&gt;""),COUNTIF($T$8:T1848,T1848),"")</f>
        <v/>
      </c>
      <c r="V1848" s="34" t="str">
        <f t="shared" si="1007"/>
        <v/>
      </c>
      <c r="W1848" s="34" t="str">
        <f t="shared" si="1008"/>
        <v/>
      </c>
      <c r="X1848" s="34" t="str">
        <f>IF(B1848="","",COUNTIF($C$8:C1848,C1848)&amp;C1848)</f>
        <v/>
      </c>
    </row>
    <row r="1849" spans="2:24" ht="23.1" customHeight="1">
      <c r="B1849" s="31"/>
      <c r="C1849" s="9"/>
      <c r="D1849" s="9"/>
      <c r="E1849" s="7"/>
      <c r="F1849" s="7"/>
      <c r="G1849" s="7"/>
      <c r="H1849" s="7"/>
      <c r="I1849" s="7"/>
      <c r="J1849" s="39"/>
      <c r="L1849" s="16" t="str">
        <f t="shared" si="999"/>
        <v/>
      </c>
      <c r="M1849" s="16" t="str">
        <f t="shared" si="1000"/>
        <v/>
      </c>
      <c r="N1849" s="16" t="str">
        <f t="shared" si="1001"/>
        <v/>
      </c>
      <c r="O1849" s="16" t="str">
        <f>IF(N1849="","",COUNTIF($N$8:N1849,N1849))</f>
        <v/>
      </c>
      <c r="P1849" s="34" t="str">
        <f t="shared" si="1002"/>
        <v/>
      </c>
      <c r="Q1849" s="34" t="str">
        <f t="shared" si="1003"/>
        <v/>
      </c>
      <c r="R1849" s="34" t="str">
        <f t="shared" si="1004"/>
        <v/>
      </c>
      <c r="S1849" s="34" t="str">
        <f t="shared" si="1005"/>
        <v/>
      </c>
      <c r="T1849" s="34" t="str">
        <f t="shared" si="1006"/>
        <v/>
      </c>
      <c r="U1849" s="34" t="str">
        <f>IF(AND(L1849=1,bp_kode=T1849,T1849&lt;&gt;""),COUNTIF($T$8:T1849,T1849),"")</f>
        <v/>
      </c>
      <c r="V1849" s="34" t="str">
        <f t="shared" si="1007"/>
        <v/>
      </c>
      <c r="W1849" s="34" t="str">
        <f t="shared" si="1008"/>
        <v/>
      </c>
      <c r="X1849" s="34" t="str">
        <f>IF(B1849="","",COUNTIF($C$8:C1849,C1849)&amp;C1849)</f>
        <v/>
      </c>
    </row>
    <row r="1850" spans="2:24" ht="23.1" customHeight="1">
      <c r="B1850" s="31"/>
      <c r="C1850" s="9"/>
      <c r="D1850" s="9"/>
      <c r="E1850" s="7"/>
      <c r="F1850" s="7"/>
      <c r="G1850" s="7"/>
      <c r="H1850" s="7"/>
      <c r="I1850" s="7"/>
      <c r="J1850" s="39"/>
      <c r="L1850" s="16" t="str">
        <f t="shared" si="999"/>
        <v/>
      </c>
      <c r="M1850" s="16" t="str">
        <f t="shared" si="1000"/>
        <v/>
      </c>
      <c r="N1850" s="16" t="str">
        <f t="shared" si="1001"/>
        <v/>
      </c>
      <c r="O1850" s="16" t="str">
        <f>IF(N1850="","",COUNTIF($N$8:N1850,N1850))</f>
        <v/>
      </c>
      <c r="P1850" s="34" t="str">
        <f t="shared" si="1002"/>
        <v/>
      </c>
      <c r="Q1850" s="34" t="str">
        <f t="shared" si="1003"/>
        <v/>
      </c>
      <c r="R1850" s="34" t="str">
        <f t="shared" si="1004"/>
        <v/>
      </c>
      <c r="S1850" s="34" t="str">
        <f t="shared" si="1005"/>
        <v/>
      </c>
      <c r="T1850" s="34" t="str">
        <f t="shared" si="1006"/>
        <v/>
      </c>
      <c r="U1850" s="34" t="str">
        <f>IF(AND(L1850=1,bp_kode=T1850,T1850&lt;&gt;""),COUNTIF($T$8:T1850,T1850),"")</f>
        <v/>
      </c>
      <c r="V1850" s="34" t="str">
        <f t="shared" si="1007"/>
        <v/>
      </c>
      <c r="W1850" s="34" t="str">
        <f t="shared" si="1008"/>
        <v/>
      </c>
      <c r="X1850" s="34" t="str">
        <f>IF(B1850="","",COUNTIF($C$8:C1850,C1850)&amp;C1850)</f>
        <v/>
      </c>
    </row>
    <row r="1851" spans="2:24" ht="23.1" customHeight="1">
      <c r="B1851" s="31"/>
      <c r="C1851" s="9"/>
      <c r="D1851" s="9"/>
      <c r="E1851" s="7"/>
      <c r="F1851" s="7"/>
      <c r="G1851" s="7"/>
      <c r="H1851" s="7"/>
      <c r="I1851" s="7"/>
      <c r="J1851" s="39"/>
      <c r="L1851" s="16" t="str">
        <f t="shared" si="999"/>
        <v/>
      </c>
      <c r="M1851" s="16" t="str">
        <f t="shared" si="1000"/>
        <v/>
      </c>
      <c r="N1851" s="16" t="str">
        <f t="shared" si="1001"/>
        <v/>
      </c>
      <c r="O1851" s="16" t="str">
        <f>IF(N1851="","",COUNTIF($N$8:N1851,N1851))</f>
        <v/>
      </c>
      <c r="P1851" s="34" t="str">
        <f t="shared" si="1002"/>
        <v/>
      </c>
      <c r="Q1851" s="34" t="str">
        <f t="shared" si="1003"/>
        <v/>
      </c>
      <c r="R1851" s="34" t="str">
        <f t="shared" si="1004"/>
        <v/>
      </c>
      <c r="S1851" s="34" t="str">
        <f t="shared" si="1005"/>
        <v/>
      </c>
      <c r="T1851" s="34" t="str">
        <f t="shared" si="1006"/>
        <v/>
      </c>
      <c r="U1851" s="34" t="str">
        <f>IF(AND(L1851=1,bp_kode=T1851,T1851&lt;&gt;""),COUNTIF($T$8:T1851,T1851),"")</f>
        <v/>
      </c>
      <c r="V1851" s="34" t="str">
        <f t="shared" si="1007"/>
        <v/>
      </c>
      <c r="W1851" s="34" t="str">
        <f t="shared" si="1008"/>
        <v/>
      </c>
      <c r="X1851" s="34" t="str">
        <f>IF(B1851="","",COUNTIF($C$8:C1851,C1851)&amp;C1851)</f>
        <v/>
      </c>
    </row>
    <row r="1852" spans="2:24" ht="23.1" customHeight="1">
      <c r="B1852" s="31"/>
      <c r="C1852" s="9"/>
      <c r="D1852" s="9"/>
      <c r="E1852" s="7"/>
      <c r="F1852" s="7"/>
      <c r="G1852" s="7"/>
      <c r="H1852" s="7"/>
      <c r="I1852" s="7"/>
      <c r="J1852" s="39"/>
      <c r="L1852" s="16" t="str">
        <f t="shared" si="999"/>
        <v/>
      </c>
      <c r="M1852" s="16" t="str">
        <f t="shared" si="1000"/>
        <v/>
      </c>
      <c r="N1852" s="16" t="str">
        <f t="shared" si="1001"/>
        <v/>
      </c>
      <c r="O1852" s="16" t="str">
        <f>IF(N1852="","",COUNTIF($N$8:N1852,N1852))</f>
        <v/>
      </c>
      <c r="P1852" s="34" t="str">
        <f t="shared" si="1002"/>
        <v/>
      </c>
      <c r="Q1852" s="34" t="str">
        <f t="shared" si="1003"/>
        <v/>
      </c>
      <c r="R1852" s="34" t="str">
        <f t="shared" si="1004"/>
        <v/>
      </c>
      <c r="S1852" s="34" t="str">
        <f t="shared" si="1005"/>
        <v/>
      </c>
      <c r="T1852" s="34" t="str">
        <f t="shared" si="1006"/>
        <v/>
      </c>
      <c r="U1852" s="34" t="str">
        <f>IF(AND(L1852=1,bp_kode=T1852,T1852&lt;&gt;""),COUNTIF($T$8:T1852,T1852),"")</f>
        <v/>
      </c>
      <c r="V1852" s="34" t="str">
        <f t="shared" si="1007"/>
        <v/>
      </c>
      <c r="W1852" s="34" t="str">
        <f t="shared" si="1008"/>
        <v/>
      </c>
      <c r="X1852" s="34" t="str">
        <f>IF(B1852="","",COUNTIF($C$8:C1852,C1852)&amp;C1852)</f>
        <v/>
      </c>
    </row>
    <row r="1853" spans="2:24" ht="23.1" customHeight="1">
      <c r="B1853" s="31"/>
      <c r="C1853" s="9"/>
      <c r="D1853" s="9"/>
      <c r="E1853" s="7"/>
      <c r="F1853" s="7"/>
      <c r="G1853" s="7"/>
      <c r="H1853" s="7"/>
      <c r="I1853" s="7"/>
      <c r="J1853" s="39"/>
      <c r="L1853" s="16" t="str">
        <f t="shared" si="999"/>
        <v/>
      </c>
      <c r="M1853" s="16" t="str">
        <f t="shared" si="1000"/>
        <v/>
      </c>
      <c r="N1853" s="16" t="str">
        <f t="shared" si="1001"/>
        <v/>
      </c>
      <c r="O1853" s="16" t="str">
        <f>IF(N1853="","",COUNTIF($N$8:N1853,N1853))</f>
        <v/>
      </c>
      <c r="P1853" s="34" t="str">
        <f t="shared" si="1002"/>
        <v/>
      </c>
      <c r="Q1853" s="34" t="str">
        <f t="shared" si="1003"/>
        <v/>
      </c>
      <c r="R1853" s="34" t="str">
        <f t="shared" si="1004"/>
        <v/>
      </c>
      <c r="S1853" s="34" t="str">
        <f t="shared" si="1005"/>
        <v/>
      </c>
      <c r="T1853" s="34" t="str">
        <f t="shared" si="1006"/>
        <v/>
      </c>
      <c r="U1853" s="34" t="str">
        <f>IF(AND(L1853=1,bp_kode=T1853,T1853&lt;&gt;""),COUNTIF($T$8:T1853,T1853),"")</f>
        <v/>
      </c>
      <c r="V1853" s="34" t="str">
        <f t="shared" si="1007"/>
        <v/>
      </c>
      <c r="W1853" s="34" t="str">
        <f t="shared" si="1008"/>
        <v/>
      </c>
      <c r="X1853" s="34" t="str">
        <f>IF(B1853="","",COUNTIF($C$8:C1853,C1853)&amp;C1853)</f>
        <v/>
      </c>
    </row>
    <row r="1854" spans="2:24" ht="23.1" customHeight="1">
      <c r="B1854" s="31"/>
      <c r="C1854" s="9"/>
      <c r="D1854" s="9"/>
      <c r="E1854" s="7"/>
      <c r="F1854" s="7"/>
      <c r="G1854" s="7"/>
      <c r="H1854" s="7"/>
      <c r="I1854" s="7"/>
      <c r="J1854" s="39"/>
      <c r="L1854" s="16" t="str">
        <f t="shared" si="999"/>
        <v/>
      </c>
      <c r="M1854" s="16" t="str">
        <f t="shared" si="1000"/>
        <v/>
      </c>
      <c r="N1854" s="16" t="str">
        <f t="shared" si="1001"/>
        <v/>
      </c>
      <c r="O1854" s="16" t="str">
        <f>IF(N1854="","",COUNTIF($N$8:N1854,N1854))</f>
        <v/>
      </c>
      <c r="P1854" s="34" t="str">
        <f t="shared" si="1002"/>
        <v/>
      </c>
      <c r="Q1854" s="34" t="str">
        <f t="shared" si="1003"/>
        <v/>
      </c>
      <c r="R1854" s="34" t="str">
        <f t="shared" si="1004"/>
        <v/>
      </c>
      <c r="S1854" s="34" t="str">
        <f t="shared" si="1005"/>
        <v/>
      </c>
      <c r="T1854" s="34" t="str">
        <f t="shared" si="1006"/>
        <v/>
      </c>
      <c r="U1854" s="34" t="str">
        <f>IF(AND(L1854=1,bp_kode=T1854,T1854&lt;&gt;""),COUNTIF($T$8:T1854,T1854),"")</f>
        <v/>
      </c>
      <c r="V1854" s="34" t="str">
        <f t="shared" si="1007"/>
        <v/>
      </c>
      <c r="W1854" s="34" t="str">
        <f t="shared" si="1008"/>
        <v/>
      </c>
      <c r="X1854" s="34" t="str">
        <f>IF(B1854="","",COUNTIF($C$8:C1854,C1854)&amp;C1854)</f>
        <v/>
      </c>
    </row>
    <row r="1855" spans="2:24" ht="23.1" customHeight="1">
      <c r="B1855" s="31"/>
      <c r="C1855" s="9"/>
      <c r="D1855" s="9"/>
      <c r="E1855" s="7"/>
      <c r="F1855" s="7"/>
      <c r="G1855" s="7"/>
      <c r="H1855" s="7"/>
      <c r="I1855" s="7"/>
      <c r="J1855" s="39"/>
      <c r="L1855" s="16" t="str">
        <f t="shared" si="999"/>
        <v/>
      </c>
      <c r="M1855" s="16" t="str">
        <f t="shared" si="1000"/>
        <v/>
      </c>
      <c r="N1855" s="16" t="str">
        <f t="shared" si="1001"/>
        <v/>
      </c>
      <c r="O1855" s="16" t="str">
        <f>IF(N1855="","",COUNTIF($N$8:N1855,N1855))</f>
        <v/>
      </c>
      <c r="P1855" s="34" t="str">
        <f t="shared" si="1002"/>
        <v/>
      </c>
      <c r="Q1855" s="34" t="str">
        <f t="shared" si="1003"/>
        <v/>
      </c>
      <c r="R1855" s="34" t="str">
        <f t="shared" si="1004"/>
        <v/>
      </c>
      <c r="S1855" s="34" t="str">
        <f t="shared" si="1005"/>
        <v/>
      </c>
      <c r="T1855" s="34" t="str">
        <f t="shared" si="1006"/>
        <v/>
      </c>
      <c r="U1855" s="34" t="str">
        <f>IF(AND(L1855=1,bp_kode=T1855,T1855&lt;&gt;""),COUNTIF($T$8:T1855,T1855),"")</f>
        <v/>
      </c>
      <c r="V1855" s="34" t="str">
        <f t="shared" si="1007"/>
        <v/>
      </c>
      <c r="W1855" s="34" t="str">
        <f t="shared" si="1008"/>
        <v/>
      </c>
      <c r="X1855" s="34" t="str">
        <f>IF(B1855="","",COUNTIF($C$8:C1855,C1855)&amp;C1855)</f>
        <v/>
      </c>
    </row>
    <row r="1856" spans="2:24" ht="23.1" customHeight="1">
      <c r="B1856" s="31"/>
      <c r="C1856" s="9"/>
      <c r="D1856" s="9"/>
      <c r="E1856" s="7"/>
      <c r="F1856" s="7"/>
      <c r="G1856" s="7"/>
      <c r="H1856" s="7"/>
      <c r="I1856" s="7"/>
      <c r="J1856" s="39"/>
      <c r="L1856" s="16" t="str">
        <f t="shared" si="999"/>
        <v/>
      </c>
      <c r="M1856" s="16" t="str">
        <f t="shared" si="1000"/>
        <v/>
      </c>
      <c r="N1856" s="16" t="str">
        <f t="shared" si="1001"/>
        <v/>
      </c>
      <c r="O1856" s="16" t="str">
        <f>IF(N1856="","",COUNTIF($N$8:N1856,N1856))</f>
        <v/>
      </c>
      <c r="P1856" s="34" t="str">
        <f t="shared" si="1002"/>
        <v/>
      </c>
      <c r="Q1856" s="34" t="str">
        <f t="shared" si="1003"/>
        <v/>
      </c>
      <c r="R1856" s="34" t="str">
        <f t="shared" si="1004"/>
        <v/>
      </c>
      <c r="S1856" s="34" t="str">
        <f t="shared" si="1005"/>
        <v/>
      </c>
      <c r="T1856" s="34" t="str">
        <f t="shared" si="1006"/>
        <v/>
      </c>
      <c r="U1856" s="34" t="str">
        <f>IF(AND(L1856=1,bp_kode=T1856,T1856&lt;&gt;""),COUNTIF($T$8:T1856,T1856),"")</f>
        <v/>
      </c>
      <c r="V1856" s="34" t="str">
        <f t="shared" si="1007"/>
        <v/>
      </c>
      <c r="W1856" s="34" t="str">
        <f t="shared" si="1008"/>
        <v/>
      </c>
      <c r="X1856" s="34" t="str">
        <f>IF(B1856="","",COUNTIF($C$8:C1856,C1856)&amp;C1856)</f>
        <v/>
      </c>
    </row>
    <row r="1857" spans="2:24" ht="23.1" customHeight="1">
      <c r="B1857" s="31"/>
      <c r="C1857" s="9"/>
      <c r="D1857" s="9"/>
      <c r="E1857" s="7"/>
      <c r="F1857" s="7"/>
      <c r="G1857" s="7"/>
      <c r="H1857" s="7"/>
      <c r="I1857" s="7"/>
      <c r="J1857" s="39"/>
      <c r="L1857" s="16" t="str">
        <f t="shared" si="999"/>
        <v/>
      </c>
      <c r="M1857" s="16" t="str">
        <f t="shared" si="1000"/>
        <v/>
      </c>
      <c r="N1857" s="16" t="str">
        <f t="shared" si="1001"/>
        <v/>
      </c>
      <c r="O1857" s="16" t="str">
        <f>IF(N1857="","",COUNTIF($N$8:N1857,N1857))</f>
        <v/>
      </c>
      <c r="P1857" s="34" t="str">
        <f t="shared" si="1002"/>
        <v/>
      </c>
      <c r="Q1857" s="34" t="str">
        <f t="shared" si="1003"/>
        <v/>
      </c>
      <c r="R1857" s="34" t="str">
        <f t="shared" si="1004"/>
        <v/>
      </c>
      <c r="S1857" s="34" t="str">
        <f t="shared" si="1005"/>
        <v/>
      </c>
      <c r="T1857" s="34" t="str">
        <f t="shared" si="1006"/>
        <v/>
      </c>
      <c r="U1857" s="34" t="str">
        <f>IF(AND(L1857=1,bp_kode=T1857,T1857&lt;&gt;""),COUNTIF($T$8:T1857,T1857),"")</f>
        <v/>
      </c>
      <c r="V1857" s="34" t="str">
        <f t="shared" si="1007"/>
        <v/>
      </c>
      <c r="W1857" s="34" t="str">
        <f t="shared" si="1008"/>
        <v/>
      </c>
      <c r="X1857" s="34" t="str">
        <f>IF(B1857="","",COUNTIF($C$8:C1857,C1857)&amp;C1857)</f>
        <v/>
      </c>
    </row>
    <row r="1858" spans="2:24" ht="23.1" customHeight="1">
      <c r="B1858" s="31"/>
      <c r="C1858" s="9"/>
      <c r="D1858" s="9"/>
      <c r="E1858" s="7"/>
      <c r="F1858" s="7"/>
      <c r="G1858" s="7"/>
      <c r="H1858" s="7"/>
      <c r="I1858" s="7"/>
      <c r="J1858" s="39"/>
      <c r="L1858" s="16" t="str">
        <f t="shared" si="999"/>
        <v/>
      </c>
      <c r="M1858" s="16" t="str">
        <f t="shared" si="1000"/>
        <v/>
      </c>
      <c r="N1858" s="16" t="str">
        <f t="shared" si="1001"/>
        <v/>
      </c>
      <c r="O1858" s="16" t="str">
        <f>IF(N1858="","",COUNTIF($N$8:N1858,N1858))</f>
        <v/>
      </c>
      <c r="P1858" s="34" t="str">
        <f t="shared" si="1002"/>
        <v/>
      </c>
      <c r="Q1858" s="34" t="str">
        <f t="shared" si="1003"/>
        <v/>
      </c>
      <c r="R1858" s="34" t="str">
        <f t="shared" si="1004"/>
        <v/>
      </c>
      <c r="S1858" s="34" t="str">
        <f t="shared" si="1005"/>
        <v/>
      </c>
      <c r="T1858" s="34" t="str">
        <f t="shared" si="1006"/>
        <v/>
      </c>
      <c r="U1858" s="34" t="str">
        <f>IF(AND(L1858=1,bp_kode=T1858,T1858&lt;&gt;""),COUNTIF($T$8:T1858,T1858),"")</f>
        <v/>
      </c>
      <c r="V1858" s="34" t="str">
        <f t="shared" si="1007"/>
        <v/>
      </c>
      <c r="W1858" s="34" t="str">
        <f t="shared" si="1008"/>
        <v/>
      </c>
      <c r="X1858" s="34" t="str">
        <f>IF(B1858="","",COUNTIF($C$8:C1858,C1858)&amp;C1858)</f>
        <v/>
      </c>
    </row>
    <row r="1859" spans="2:24" ht="23.1" customHeight="1">
      <c r="B1859" s="31"/>
      <c r="C1859" s="9"/>
      <c r="D1859" s="9"/>
      <c r="E1859" s="7"/>
      <c r="F1859" s="7"/>
      <c r="G1859" s="7"/>
      <c r="H1859" s="7"/>
      <c r="I1859" s="7"/>
      <c r="J1859" s="39"/>
      <c r="L1859" s="16" t="str">
        <f t="shared" si="999"/>
        <v/>
      </c>
      <c r="M1859" s="16" t="str">
        <f t="shared" si="1000"/>
        <v/>
      </c>
      <c r="N1859" s="16" t="str">
        <f t="shared" si="1001"/>
        <v/>
      </c>
      <c r="O1859" s="16" t="str">
        <f>IF(N1859="","",COUNTIF($N$8:N1859,N1859))</f>
        <v/>
      </c>
      <c r="P1859" s="34" t="str">
        <f t="shared" si="1002"/>
        <v/>
      </c>
      <c r="Q1859" s="34" t="str">
        <f t="shared" si="1003"/>
        <v/>
      </c>
      <c r="R1859" s="34" t="str">
        <f t="shared" si="1004"/>
        <v/>
      </c>
      <c r="S1859" s="34" t="str">
        <f t="shared" si="1005"/>
        <v/>
      </c>
      <c r="T1859" s="34" t="str">
        <f t="shared" si="1006"/>
        <v/>
      </c>
      <c r="U1859" s="34" t="str">
        <f>IF(AND(L1859=1,bp_kode=T1859,T1859&lt;&gt;""),COUNTIF($T$8:T1859,T1859),"")</f>
        <v/>
      </c>
      <c r="V1859" s="34" t="str">
        <f t="shared" si="1007"/>
        <v/>
      </c>
      <c r="W1859" s="34" t="str">
        <f t="shared" si="1008"/>
        <v/>
      </c>
      <c r="X1859" s="34" t="str">
        <f>IF(B1859="","",COUNTIF($C$8:C1859,C1859)&amp;C1859)</f>
        <v/>
      </c>
    </row>
    <row r="1860" spans="2:24" ht="23.1" customHeight="1">
      <c r="B1860" s="31"/>
      <c r="C1860" s="9"/>
      <c r="D1860" s="9"/>
      <c r="E1860" s="7"/>
      <c r="F1860" s="7"/>
      <c r="G1860" s="7"/>
      <c r="H1860" s="7"/>
      <c r="I1860" s="7"/>
      <c r="J1860" s="39"/>
      <c r="L1860" s="16" t="str">
        <f t="shared" si="999"/>
        <v/>
      </c>
      <c r="M1860" s="16" t="str">
        <f t="shared" si="1000"/>
        <v/>
      </c>
      <c r="N1860" s="16" t="str">
        <f t="shared" si="1001"/>
        <v/>
      </c>
      <c r="O1860" s="16" t="str">
        <f>IF(N1860="","",COUNTIF($N$8:N1860,N1860))</f>
        <v/>
      </c>
      <c r="P1860" s="34" t="str">
        <f t="shared" si="1002"/>
        <v/>
      </c>
      <c r="Q1860" s="34" t="str">
        <f t="shared" si="1003"/>
        <v/>
      </c>
      <c r="R1860" s="34" t="str">
        <f t="shared" si="1004"/>
        <v/>
      </c>
      <c r="S1860" s="34" t="str">
        <f t="shared" si="1005"/>
        <v/>
      </c>
      <c r="T1860" s="34" t="str">
        <f t="shared" si="1006"/>
        <v/>
      </c>
      <c r="U1860" s="34" t="str">
        <f>IF(AND(L1860=1,bp_kode=T1860,T1860&lt;&gt;""),COUNTIF($T$8:T1860,T1860),"")</f>
        <v/>
      </c>
      <c r="V1860" s="34" t="str">
        <f t="shared" si="1007"/>
        <v/>
      </c>
      <c r="W1860" s="34" t="str">
        <f t="shared" si="1008"/>
        <v/>
      </c>
      <c r="X1860" s="34" t="str">
        <f>IF(B1860="","",COUNTIF($C$8:C1860,C1860)&amp;C1860)</f>
        <v/>
      </c>
    </row>
    <row r="1861" spans="2:24" ht="23.1" customHeight="1">
      <c r="B1861" s="31"/>
      <c r="C1861" s="9"/>
      <c r="D1861" s="9"/>
      <c r="E1861" s="7"/>
      <c r="F1861" s="7"/>
      <c r="G1861" s="7"/>
      <c r="H1861" s="7"/>
      <c r="I1861" s="7"/>
      <c r="J1861" s="39"/>
      <c r="L1861" s="16" t="str">
        <f t="shared" si="999"/>
        <v/>
      </c>
      <c r="M1861" s="16" t="str">
        <f t="shared" si="1000"/>
        <v/>
      </c>
      <c r="N1861" s="16" t="str">
        <f t="shared" si="1001"/>
        <v/>
      </c>
      <c r="O1861" s="16" t="str">
        <f>IF(N1861="","",COUNTIF($N$8:N1861,N1861))</f>
        <v/>
      </c>
      <c r="P1861" s="34" t="str">
        <f t="shared" si="1002"/>
        <v/>
      </c>
      <c r="Q1861" s="34" t="str">
        <f t="shared" si="1003"/>
        <v/>
      </c>
      <c r="R1861" s="34" t="str">
        <f t="shared" si="1004"/>
        <v/>
      </c>
      <c r="S1861" s="34" t="str">
        <f t="shared" si="1005"/>
        <v/>
      </c>
      <c r="T1861" s="34" t="str">
        <f t="shared" si="1006"/>
        <v/>
      </c>
      <c r="U1861" s="34" t="str">
        <f>IF(AND(L1861=1,bp_kode=T1861,T1861&lt;&gt;""),COUNTIF($T$8:T1861,T1861),"")</f>
        <v/>
      </c>
      <c r="V1861" s="34" t="str">
        <f t="shared" si="1007"/>
        <v/>
      </c>
      <c r="W1861" s="34" t="str">
        <f t="shared" si="1008"/>
        <v/>
      </c>
      <c r="X1861" s="34" t="str">
        <f>IF(B1861="","",COUNTIF($C$8:C1861,C1861)&amp;C1861)</f>
        <v/>
      </c>
    </row>
    <row r="1862" spans="2:24" ht="23.1" customHeight="1">
      <c r="B1862" s="31"/>
      <c r="C1862" s="9"/>
      <c r="D1862" s="9"/>
      <c r="E1862" s="7"/>
      <c r="F1862" s="7"/>
      <c r="G1862" s="7"/>
      <c r="H1862" s="7"/>
      <c r="I1862" s="7"/>
      <c r="J1862" s="39"/>
      <c r="L1862" s="16" t="str">
        <f t="shared" si="999"/>
        <v/>
      </c>
      <c r="M1862" s="16" t="str">
        <f t="shared" si="1000"/>
        <v/>
      </c>
      <c r="N1862" s="16" t="str">
        <f t="shared" si="1001"/>
        <v/>
      </c>
      <c r="O1862" s="16" t="str">
        <f>IF(N1862="","",COUNTIF($N$8:N1862,N1862))</f>
        <v/>
      </c>
      <c r="P1862" s="34" t="str">
        <f t="shared" si="1002"/>
        <v/>
      </c>
      <c r="Q1862" s="34" t="str">
        <f t="shared" si="1003"/>
        <v/>
      </c>
      <c r="R1862" s="34" t="str">
        <f t="shared" si="1004"/>
        <v/>
      </c>
      <c r="S1862" s="34" t="str">
        <f t="shared" si="1005"/>
        <v/>
      </c>
      <c r="T1862" s="34" t="str">
        <f t="shared" si="1006"/>
        <v/>
      </c>
      <c r="U1862" s="34" t="str">
        <f>IF(AND(L1862=1,bp_kode=T1862,T1862&lt;&gt;""),COUNTIF($T$8:T1862,T1862),"")</f>
        <v/>
      </c>
      <c r="V1862" s="34" t="str">
        <f t="shared" si="1007"/>
        <v/>
      </c>
      <c r="W1862" s="34" t="str">
        <f t="shared" si="1008"/>
        <v/>
      </c>
      <c r="X1862" s="34" t="str">
        <f>IF(B1862="","",COUNTIF($C$8:C1862,C1862)&amp;C1862)</f>
        <v/>
      </c>
    </row>
    <row r="1863" spans="2:24" ht="23.1" customHeight="1">
      <c r="B1863" s="31"/>
      <c r="C1863" s="9"/>
      <c r="D1863" s="9"/>
      <c r="E1863" s="7"/>
      <c r="F1863" s="7"/>
      <c r="G1863" s="7"/>
      <c r="H1863" s="7"/>
      <c r="I1863" s="7"/>
      <c r="J1863" s="39"/>
      <c r="L1863" s="16" t="str">
        <f t="shared" si="999"/>
        <v/>
      </c>
      <c r="M1863" s="16" t="str">
        <f t="shared" si="1000"/>
        <v/>
      </c>
      <c r="N1863" s="16" t="str">
        <f t="shared" si="1001"/>
        <v/>
      </c>
      <c r="O1863" s="16" t="str">
        <f>IF(N1863="","",COUNTIF($N$8:N1863,N1863))</f>
        <v/>
      </c>
      <c r="P1863" s="34" t="str">
        <f t="shared" si="1002"/>
        <v/>
      </c>
      <c r="Q1863" s="34" t="str">
        <f t="shared" si="1003"/>
        <v/>
      </c>
      <c r="R1863" s="34" t="str">
        <f t="shared" si="1004"/>
        <v/>
      </c>
      <c r="S1863" s="34" t="str">
        <f t="shared" si="1005"/>
        <v/>
      </c>
      <c r="T1863" s="34" t="str">
        <f t="shared" si="1006"/>
        <v/>
      </c>
      <c r="U1863" s="34" t="str">
        <f>IF(AND(L1863=1,bp_kode=T1863,T1863&lt;&gt;""),COUNTIF($T$8:T1863,T1863),"")</f>
        <v/>
      </c>
      <c r="V1863" s="34" t="str">
        <f t="shared" si="1007"/>
        <v/>
      </c>
      <c r="W1863" s="34" t="str">
        <f t="shared" si="1008"/>
        <v/>
      </c>
      <c r="X1863" s="34" t="str">
        <f>IF(B1863="","",COUNTIF($C$8:C1863,C1863)&amp;C1863)</f>
        <v/>
      </c>
    </row>
    <row r="1864" spans="2:24" ht="23.1" customHeight="1">
      <c r="B1864" s="31"/>
      <c r="C1864" s="9"/>
      <c r="D1864" s="9"/>
      <c r="E1864" s="7"/>
      <c r="F1864" s="7"/>
      <c r="G1864" s="7"/>
      <c r="H1864" s="7"/>
      <c r="I1864" s="7"/>
      <c r="J1864" s="39"/>
      <c r="L1864" s="16" t="str">
        <f t="shared" si="999"/>
        <v/>
      </c>
      <c r="M1864" s="16" t="str">
        <f t="shared" si="1000"/>
        <v/>
      </c>
      <c r="N1864" s="16" t="str">
        <f t="shared" si="1001"/>
        <v/>
      </c>
      <c r="O1864" s="16" t="str">
        <f>IF(N1864="","",COUNTIF($N$8:N1864,N1864))</f>
        <v/>
      </c>
      <c r="P1864" s="34" t="str">
        <f t="shared" si="1002"/>
        <v/>
      </c>
      <c r="Q1864" s="34" t="str">
        <f t="shared" si="1003"/>
        <v/>
      </c>
      <c r="R1864" s="34" t="str">
        <f t="shared" si="1004"/>
        <v/>
      </c>
      <c r="S1864" s="34" t="str">
        <f t="shared" si="1005"/>
        <v/>
      </c>
      <c r="T1864" s="34" t="str">
        <f t="shared" si="1006"/>
        <v/>
      </c>
      <c r="U1864" s="34" t="str">
        <f>IF(AND(L1864=1,bp_kode=T1864,T1864&lt;&gt;""),COUNTIF($T$8:T1864,T1864),"")</f>
        <v/>
      </c>
      <c r="V1864" s="34" t="str">
        <f t="shared" si="1007"/>
        <v/>
      </c>
      <c r="W1864" s="34" t="str">
        <f t="shared" si="1008"/>
        <v/>
      </c>
      <c r="X1864" s="34" t="str">
        <f>IF(B1864="","",COUNTIF($C$8:C1864,C1864)&amp;C1864)</f>
        <v/>
      </c>
    </row>
    <row r="1865" spans="2:24" ht="23.1" customHeight="1">
      <c r="B1865" s="31"/>
      <c r="C1865" s="9"/>
      <c r="D1865" s="9"/>
      <c r="E1865" s="7"/>
      <c r="F1865" s="7"/>
      <c r="G1865" s="7"/>
      <c r="H1865" s="7"/>
      <c r="I1865" s="7"/>
      <c r="J1865" s="39"/>
      <c r="L1865" s="16" t="str">
        <f t="shared" si="999"/>
        <v/>
      </c>
      <c r="M1865" s="16" t="str">
        <f t="shared" si="1000"/>
        <v/>
      </c>
      <c r="N1865" s="16" t="str">
        <f t="shared" si="1001"/>
        <v/>
      </c>
      <c r="O1865" s="16" t="str">
        <f>IF(N1865="","",COUNTIF($N$8:N1865,N1865))</f>
        <v/>
      </c>
      <c r="P1865" s="34" t="str">
        <f t="shared" si="1002"/>
        <v/>
      </c>
      <c r="Q1865" s="34" t="str">
        <f t="shared" si="1003"/>
        <v/>
      </c>
      <c r="R1865" s="34" t="str">
        <f t="shared" si="1004"/>
        <v/>
      </c>
      <c r="S1865" s="34" t="str">
        <f t="shared" si="1005"/>
        <v/>
      </c>
      <c r="T1865" s="34" t="str">
        <f t="shared" si="1006"/>
        <v/>
      </c>
      <c r="U1865" s="34" t="str">
        <f>IF(AND(L1865=1,bp_kode=T1865,T1865&lt;&gt;""),COUNTIF($T$8:T1865,T1865),"")</f>
        <v/>
      </c>
      <c r="V1865" s="34" t="str">
        <f t="shared" si="1007"/>
        <v/>
      </c>
      <c r="W1865" s="34" t="str">
        <f t="shared" si="1008"/>
        <v/>
      </c>
      <c r="X1865" s="34" t="str">
        <f>IF(B1865="","",COUNTIF($C$8:C1865,C1865)&amp;C1865)</f>
        <v/>
      </c>
    </row>
    <row r="1866" spans="2:24" ht="23.1" customHeight="1">
      <c r="B1866" s="31"/>
      <c r="C1866" s="9"/>
      <c r="D1866" s="9"/>
      <c r="E1866" s="7"/>
      <c r="F1866" s="7"/>
      <c r="G1866" s="7"/>
      <c r="H1866" s="7"/>
      <c r="I1866" s="7"/>
      <c r="J1866" s="39"/>
      <c r="L1866" s="16" t="str">
        <f t="shared" si="999"/>
        <v/>
      </c>
      <c r="M1866" s="16" t="str">
        <f t="shared" si="1000"/>
        <v/>
      </c>
      <c r="N1866" s="16" t="str">
        <f t="shared" si="1001"/>
        <v/>
      </c>
      <c r="O1866" s="16" t="str">
        <f>IF(N1866="","",COUNTIF($N$8:N1866,N1866))</f>
        <v/>
      </c>
      <c r="P1866" s="34" t="str">
        <f t="shared" si="1002"/>
        <v/>
      </c>
      <c r="Q1866" s="34" t="str">
        <f t="shared" si="1003"/>
        <v/>
      </c>
      <c r="R1866" s="34" t="str">
        <f t="shared" si="1004"/>
        <v/>
      </c>
      <c r="S1866" s="34" t="str">
        <f t="shared" si="1005"/>
        <v/>
      </c>
      <c r="T1866" s="34" t="str">
        <f t="shared" si="1006"/>
        <v/>
      </c>
      <c r="U1866" s="34" t="str">
        <f>IF(AND(L1866=1,bp_kode=T1866,T1866&lt;&gt;""),COUNTIF($T$8:T1866,T1866),"")</f>
        <v/>
      </c>
      <c r="V1866" s="34" t="str">
        <f t="shared" si="1007"/>
        <v/>
      </c>
      <c r="W1866" s="34" t="str">
        <f t="shared" si="1008"/>
        <v/>
      </c>
      <c r="X1866" s="34" t="str">
        <f>IF(B1866="","",COUNTIF($C$8:C1866,C1866)&amp;C1866)</f>
        <v/>
      </c>
    </row>
    <row r="1867" spans="2:24" ht="23.1" customHeight="1">
      <c r="B1867" s="31"/>
      <c r="C1867" s="9"/>
      <c r="D1867" s="9"/>
      <c r="E1867" s="7"/>
      <c r="F1867" s="7"/>
      <c r="G1867" s="7"/>
      <c r="H1867" s="7"/>
      <c r="I1867" s="7"/>
      <c r="J1867" s="39"/>
      <c r="L1867" s="16" t="str">
        <f t="shared" si="999"/>
        <v/>
      </c>
      <c r="M1867" s="16" t="str">
        <f t="shared" si="1000"/>
        <v/>
      </c>
      <c r="N1867" s="16" t="str">
        <f t="shared" si="1001"/>
        <v/>
      </c>
      <c r="O1867" s="16" t="str">
        <f>IF(N1867="","",COUNTIF($N$8:N1867,N1867))</f>
        <v/>
      </c>
      <c r="P1867" s="34" t="str">
        <f t="shared" si="1002"/>
        <v/>
      </c>
      <c r="Q1867" s="34" t="str">
        <f t="shared" si="1003"/>
        <v/>
      </c>
      <c r="R1867" s="34" t="str">
        <f t="shared" si="1004"/>
        <v/>
      </c>
      <c r="S1867" s="34" t="str">
        <f t="shared" si="1005"/>
        <v/>
      </c>
      <c r="T1867" s="34" t="str">
        <f t="shared" si="1006"/>
        <v/>
      </c>
      <c r="U1867" s="34" t="str">
        <f>IF(AND(L1867=1,bp_kode=T1867,T1867&lt;&gt;""),COUNTIF($T$8:T1867,T1867),"")</f>
        <v/>
      </c>
      <c r="V1867" s="34" t="str">
        <f t="shared" si="1007"/>
        <v/>
      </c>
      <c r="W1867" s="34" t="str">
        <f t="shared" si="1008"/>
        <v/>
      </c>
      <c r="X1867" s="34" t="str">
        <f>IF(B1867="","",COUNTIF($C$8:C1867,C1867)&amp;C1867)</f>
        <v/>
      </c>
    </row>
    <row r="1868" spans="2:24" ht="23.1" customHeight="1">
      <c r="B1868" s="31"/>
      <c r="C1868" s="9"/>
      <c r="D1868" s="9"/>
      <c r="E1868" s="7"/>
      <c r="F1868" s="7"/>
      <c r="G1868" s="7"/>
      <c r="H1868" s="7"/>
      <c r="I1868" s="7"/>
      <c r="J1868" s="39"/>
      <c r="L1868" s="16" t="str">
        <f t="shared" si="999"/>
        <v/>
      </c>
      <c r="M1868" s="16" t="str">
        <f t="shared" si="1000"/>
        <v/>
      </c>
      <c r="N1868" s="16" t="str">
        <f t="shared" si="1001"/>
        <v/>
      </c>
      <c r="O1868" s="16" t="str">
        <f>IF(N1868="","",COUNTIF($N$8:N1868,N1868))</f>
        <v/>
      </c>
      <c r="P1868" s="34" t="str">
        <f t="shared" si="1002"/>
        <v/>
      </c>
      <c r="Q1868" s="34" t="str">
        <f t="shared" si="1003"/>
        <v/>
      </c>
      <c r="R1868" s="34" t="str">
        <f t="shared" si="1004"/>
        <v/>
      </c>
      <c r="S1868" s="34" t="str">
        <f t="shared" si="1005"/>
        <v/>
      </c>
      <c r="T1868" s="34" t="str">
        <f t="shared" si="1006"/>
        <v/>
      </c>
      <c r="U1868" s="34" t="str">
        <f>IF(AND(L1868=1,bp_kode=T1868,T1868&lt;&gt;""),COUNTIF($T$8:T1868,T1868),"")</f>
        <v/>
      </c>
      <c r="V1868" s="34" t="str">
        <f t="shared" si="1007"/>
        <v/>
      </c>
      <c r="W1868" s="34" t="str">
        <f t="shared" si="1008"/>
        <v/>
      </c>
      <c r="X1868" s="34" t="str">
        <f>IF(B1868="","",COUNTIF($C$8:C1868,C1868)&amp;C1868)</f>
        <v/>
      </c>
    </row>
    <row r="1869" spans="2:24" ht="23.1" customHeight="1">
      <c r="B1869" s="31"/>
      <c r="C1869" s="9"/>
      <c r="D1869" s="9"/>
      <c r="E1869" s="7"/>
      <c r="F1869" s="7"/>
      <c r="G1869" s="7"/>
      <c r="H1869" s="7"/>
      <c r="I1869" s="7"/>
      <c r="J1869" s="39"/>
      <c r="L1869" s="16" t="str">
        <f t="shared" si="999"/>
        <v/>
      </c>
      <c r="M1869" s="16" t="str">
        <f t="shared" si="1000"/>
        <v/>
      </c>
      <c r="N1869" s="16" t="str">
        <f t="shared" si="1001"/>
        <v/>
      </c>
      <c r="O1869" s="16" t="str">
        <f>IF(N1869="","",COUNTIF($N$8:N1869,N1869))</f>
        <v/>
      </c>
      <c r="P1869" s="34" t="str">
        <f t="shared" si="1002"/>
        <v/>
      </c>
      <c r="Q1869" s="34" t="str">
        <f t="shared" si="1003"/>
        <v/>
      </c>
      <c r="R1869" s="34" t="str">
        <f t="shared" si="1004"/>
        <v/>
      </c>
      <c r="S1869" s="34" t="str">
        <f t="shared" si="1005"/>
        <v/>
      </c>
      <c r="T1869" s="34" t="str">
        <f t="shared" si="1006"/>
        <v/>
      </c>
      <c r="U1869" s="34" t="str">
        <f>IF(AND(L1869=1,bp_kode=T1869,T1869&lt;&gt;""),COUNTIF($T$8:T1869,T1869),"")</f>
        <v/>
      </c>
      <c r="V1869" s="34" t="str">
        <f t="shared" si="1007"/>
        <v/>
      </c>
      <c r="W1869" s="34" t="str">
        <f t="shared" si="1008"/>
        <v/>
      </c>
      <c r="X1869" s="34" t="str">
        <f>IF(B1869="","",COUNTIF($C$8:C1869,C1869)&amp;C1869)</f>
        <v/>
      </c>
    </row>
    <row r="1870" spans="2:24" ht="23.1" customHeight="1">
      <c r="B1870" s="31"/>
      <c r="C1870" s="9"/>
      <c r="D1870" s="9"/>
      <c r="E1870" s="7"/>
      <c r="F1870" s="7"/>
      <c r="G1870" s="7"/>
      <c r="H1870" s="7"/>
      <c r="I1870" s="7"/>
      <c r="J1870" s="39"/>
      <c r="L1870" s="16" t="str">
        <f t="shared" si="999"/>
        <v/>
      </c>
      <c r="M1870" s="16" t="str">
        <f t="shared" si="1000"/>
        <v/>
      </c>
      <c r="N1870" s="16" t="str">
        <f t="shared" si="1001"/>
        <v/>
      </c>
      <c r="O1870" s="16" t="str">
        <f>IF(N1870="","",COUNTIF($N$8:N1870,N1870))</f>
        <v/>
      </c>
      <c r="P1870" s="34" t="str">
        <f t="shared" si="1002"/>
        <v/>
      </c>
      <c r="Q1870" s="34" t="str">
        <f t="shared" si="1003"/>
        <v/>
      </c>
      <c r="R1870" s="34" t="str">
        <f t="shared" si="1004"/>
        <v/>
      </c>
      <c r="S1870" s="34" t="str">
        <f t="shared" si="1005"/>
        <v/>
      </c>
      <c r="T1870" s="34" t="str">
        <f t="shared" si="1006"/>
        <v/>
      </c>
      <c r="U1870" s="34" t="str">
        <f>IF(AND(L1870=1,bp_kode=T1870,T1870&lt;&gt;""),COUNTIF($T$8:T1870,T1870),"")</f>
        <v/>
      </c>
      <c r="V1870" s="34" t="str">
        <f t="shared" si="1007"/>
        <v/>
      </c>
      <c r="W1870" s="34" t="str">
        <f t="shared" si="1008"/>
        <v/>
      </c>
      <c r="X1870" s="34" t="str">
        <f>IF(B1870="","",COUNTIF($C$8:C1870,C1870)&amp;C1870)</f>
        <v/>
      </c>
    </row>
    <row r="1871" spans="2:24" ht="23.1" customHeight="1">
      <c r="B1871" s="31"/>
      <c r="C1871" s="9"/>
      <c r="D1871" s="9"/>
      <c r="E1871" s="7"/>
      <c r="F1871" s="7"/>
      <c r="G1871" s="7"/>
      <c r="H1871" s="7"/>
      <c r="I1871" s="7"/>
      <c r="J1871" s="39"/>
      <c r="L1871" s="16" t="str">
        <f t="shared" si="999"/>
        <v/>
      </c>
      <c r="M1871" s="16" t="str">
        <f t="shared" si="1000"/>
        <v/>
      </c>
      <c r="N1871" s="16" t="str">
        <f t="shared" si="1001"/>
        <v/>
      </c>
      <c r="O1871" s="16" t="str">
        <f>IF(N1871="","",COUNTIF($N$8:N1871,N1871))</f>
        <v/>
      </c>
      <c r="P1871" s="34" t="str">
        <f t="shared" si="1002"/>
        <v/>
      </c>
      <c r="Q1871" s="34" t="str">
        <f t="shared" si="1003"/>
        <v/>
      </c>
      <c r="R1871" s="34" t="str">
        <f t="shared" si="1004"/>
        <v/>
      </c>
      <c r="S1871" s="34" t="str">
        <f t="shared" si="1005"/>
        <v/>
      </c>
      <c r="T1871" s="34" t="str">
        <f t="shared" si="1006"/>
        <v/>
      </c>
      <c r="U1871" s="34" t="str">
        <f>IF(AND(L1871=1,bp_kode=T1871,T1871&lt;&gt;""),COUNTIF($T$8:T1871,T1871),"")</f>
        <v/>
      </c>
      <c r="V1871" s="34" t="str">
        <f t="shared" si="1007"/>
        <v/>
      </c>
      <c r="W1871" s="34" t="str">
        <f t="shared" si="1008"/>
        <v/>
      </c>
      <c r="X1871" s="34" t="str">
        <f>IF(B1871="","",COUNTIF($C$8:C1871,C1871)&amp;C1871)</f>
        <v/>
      </c>
    </row>
    <row r="1872" spans="2:24" ht="23.1" customHeight="1">
      <c r="B1872" s="31"/>
      <c r="C1872" s="9"/>
      <c r="D1872" s="9"/>
      <c r="E1872" s="7"/>
      <c r="F1872" s="7"/>
      <c r="G1872" s="7"/>
      <c r="H1872" s="7"/>
      <c r="I1872" s="7"/>
      <c r="J1872" s="39"/>
      <c r="L1872" s="16" t="str">
        <f t="shared" si="999"/>
        <v/>
      </c>
      <c r="M1872" s="16" t="str">
        <f t="shared" si="1000"/>
        <v/>
      </c>
      <c r="N1872" s="16" t="str">
        <f t="shared" si="1001"/>
        <v/>
      </c>
      <c r="O1872" s="16" t="str">
        <f>IF(N1872="","",COUNTIF($N$8:N1872,N1872))</f>
        <v/>
      </c>
      <c r="P1872" s="34" t="str">
        <f t="shared" si="1002"/>
        <v/>
      </c>
      <c r="Q1872" s="34" t="str">
        <f t="shared" si="1003"/>
        <v/>
      </c>
      <c r="R1872" s="34" t="str">
        <f t="shared" si="1004"/>
        <v/>
      </c>
      <c r="S1872" s="34" t="str">
        <f t="shared" si="1005"/>
        <v/>
      </c>
      <c r="T1872" s="34" t="str">
        <f t="shared" si="1006"/>
        <v/>
      </c>
      <c r="U1872" s="34" t="str">
        <f>IF(AND(L1872=1,bp_kode=T1872,T1872&lt;&gt;""),COUNTIF($T$8:T1872,T1872),"")</f>
        <v/>
      </c>
      <c r="V1872" s="34" t="str">
        <f t="shared" si="1007"/>
        <v/>
      </c>
      <c r="W1872" s="34" t="str">
        <f t="shared" si="1008"/>
        <v/>
      </c>
      <c r="X1872" s="34" t="str">
        <f>IF(B1872="","",COUNTIF($C$8:C1872,C1872)&amp;C1872)</f>
        <v/>
      </c>
    </row>
    <row r="1873" spans="2:24" ht="23.1" customHeight="1">
      <c r="B1873" s="31"/>
      <c r="C1873" s="9"/>
      <c r="D1873" s="9"/>
      <c r="E1873" s="7"/>
      <c r="F1873" s="7"/>
      <c r="G1873" s="7"/>
      <c r="H1873" s="7"/>
      <c r="I1873" s="7"/>
      <c r="J1873" s="39"/>
      <c r="L1873" s="16" t="str">
        <f t="shared" si="999"/>
        <v/>
      </c>
      <c r="M1873" s="16" t="str">
        <f t="shared" si="1000"/>
        <v/>
      </c>
      <c r="N1873" s="16" t="str">
        <f t="shared" si="1001"/>
        <v/>
      </c>
      <c r="O1873" s="16" t="str">
        <f>IF(N1873="","",COUNTIF($N$8:N1873,N1873))</f>
        <v/>
      </c>
      <c r="P1873" s="34" t="str">
        <f t="shared" si="1002"/>
        <v/>
      </c>
      <c r="Q1873" s="34" t="str">
        <f t="shared" si="1003"/>
        <v/>
      </c>
      <c r="R1873" s="34" t="str">
        <f t="shared" si="1004"/>
        <v/>
      </c>
      <c r="S1873" s="34" t="str">
        <f t="shared" si="1005"/>
        <v/>
      </c>
      <c r="T1873" s="34" t="str">
        <f t="shared" si="1006"/>
        <v/>
      </c>
      <c r="U1873" s="34" t="str">
        <f>IF(AND(L1873=1,bp_kode=T1873,T1873&lt;&gt;""),COUNTIF($T$8:T1873,T1873),"")</f>
        <v/>
      </c>
      <c r="V1873" s="34" t="str">
        <f t="shared" si="1007"/>
        <v/>
      </c>
      <c r="W1873" s="34" t="str">
        <f t="shared" si="1008"/>
        <v/>
      </c>
      <c r="X1873" s="34" t="str">
        <f>IF(B1873="","",COUNTIF($C$8:C1873,C1873)&amp;C1873)</f>
        <v/>
      </c>
    </row>
    <row r="1874" spans="2:24" ht="23.1" customHeight="1">
      <c r="B1874" s="31"/>
      <c r="C1874" s="9"/>
      <c r="D1874" s="9"/>
      <c r="E1874" s="7"/>
      <c r="F1874" s="7"/>
      <c r="G1874" s="7"/>
      <c r="H1874" s="7"/>
      <c r="I1874" s="7"/>
      <c r="J1874" s="39"/>
      <c r="L1874" s="16" t="str">
        <f t="shared" si="999"/>
        <v/>
      </c>
      <c r="M1874" s="16" t="str">
        <f t="shared" si="1000"/>
        <v/>
      </c>
      <c r="N1874" s="16" t="str">
        <f t="shared" si="1001"/>
        <v/>
      </c>
      <c r="O1874" s="16" t="str">
        <f>IF(N1874="","",COUNTIF($N$8:N1874,N1874))</f>
        <v/>
      </c>
      <c r="P1874" s="34" t="str">
        <f t="shared" si="1002"/>
        <v/>
      </c>
      <c r="Q1874" s="34" t="str">
        <f t="shared" si="1003"/>
        <v/>
      </c>
      <c r="R1874" s="34" t="str">
        <f t="shared" si="1004"/>
        <v/>
      </c>
      <c r="S1874" s="34" t="str">
        <f t="shared" si="1005"/>
        <v/>
      </c>
      <c r="T1874" s="34" t="str">
        <f t="shared" si="1006"/>
        <v/>
      </c>
      <c r="U1874" s="34" t="str">
        <f>IF(AND(L1874=1,bp_kode=T1874,T1874&lt;&gt;""),COUNTIF($T$8:T1874,T1874),"")</f>
        <v/>
      </c>
      <c r="V1874" s="34" t="str">
        <f t="shared" si="1007"/>
        <v/>
      </c>
      <c r="W1874" s="34" t="str">
        <f t="shared" si="1008"/>
        <v/>
      </c>
      <c r="X1874" s="34" t="str">
        <f>IF(B1874="","",COUNTIF($C$8:C1874,C1874)&amp;C1874)</f>
        <v/>
      </c>
    </row>
    <row r="1875" spans="2:24" ht="23.1" customHeight="1">
      <c r="B1875" s="31"/>
      <c r="C1875" s="9"/>
      <c r="D1875" s="9"/>
      <c r="E1875" s="7"/>
      <c r="F1875" s="7"/>
      <c r="G1875" s="7"/>
      <c r="H1875" s="7"/>
      <c r="I1875" s="7"/>
      <c r="J1875" s="39"/>
      <c r="L1875" s="16" t="str">
        <f t="shared" si="999"/>
        <v/>
      </c>
      <c r="M1875" s="16" t="str">
        <f t="shared" si="1000"/>
        <v/>
      </c>
      <c r="N1875" s="16" t="str">
        <f t="shared" si="1001"/>
        <v/>
      </c>
      <c r="O1875" s="16" t="str">
        <f>IF(N1875="","",COUNTIF($N$8:N1875,N1875))</f>
        <v/>
      </c>
      <c r="P1875" s="34" t="str">
        <f t="shared" si="1002"/>
        <v/>
      </c>
      <c r="Q1875" s="34" t="str">
        <f t="shared" si="1003"/>
        <v/>
      </c>
      <c r="R1875" s="34" t="str">
        <f t="shared" si="1004"/>
        <v/>
      </c>
      <c r="S1875" s="34" t="str">
        <f t="shared" si="1005"/>
        <v/>
      </c>
      <c r="T1875" s="34" t="str">
        <f t="shared" si="1006"/>
        <v/>
      </c>
      <c r="U1875" s="34" t="str">
        <f>IF(AND(L1875=1,bp_kode=T1875,T1875&lt;&gt;""),COUNTIF($T$8:T1875,T1875),"")</f>
        <v/>
      </c>
      <c r="V1875" s="34" t="str">
        <f t="shared" si="1007"/>
        <v/>
      </c>
      <c r="W1875" s="34" t="str">
        <f t="shared" si="1008"/>
        <v/>
      </c>
      <c r="X1875" s="34" t="str">
        <f>IF(B1875="","",COUNTIF($C$8:C1875,C1875)&amp;C1875)</f>
        <v/>
      </c>
    </row>
    <row r="1876" spans="2:24" ht="23.1" customHeight="1">
      <c r="B1876" s="31"/>
      <c r="C1876" s="9"/>
      <c r="D1876" s="9"/>
      <c r="E1876" s="7"/>
      <c r="F1876" s="7"/>
      <c r="G1876" s="7"/>
      <c r="H1876" s="7"/>
      <c r="I1876" s="7"/>
      <c r="J1876" s="39"/>
      <c r="L1876" s="16" t="str">
        <f t="shared" si="999"/>
        <v/>
      </c>
      <c r="M1876" s="16" t="str">
        <f t="shared" si="1000"/>
        <v/>
      </c>
      <c r="N1876" s="16" t="str">
        <f t="shared" si="1001"/>
        <v/>
      </c>
      <c r="O1876" s="16" t="str">
        <f>IF(N1876="","",COUNTIF($N$8:N1876,N1876))</f>
        <v/>
      </c>
      <c r="P1876" s="34" t="str">
        <f t="shared" si="1002"/>
        <v/>
      </c>
      <c r="Q1876" s="34" t="str">
        <f t="shared" si="1003"/>
        <v/>
      </c>
      <c r="R1876" s="34" t="str">
        <f t="shared" si="1004"/>
        <v/>
      </c>
      <c r="S1876" s="34" t="str">
        <f t="shared" si="1005"/>
        <v/>
      </c>
      <c r="T1876" s="34" t="str">
        <f t="shared" si="1006"/>
        <v/>
      </c>
      <c r="U1876" s="34" t="str">
        <f>IF(AND(L1876=1,bp_kode=T1876,T1876&lt;&gt;""),COUNTIF($T$8:T1876,T1876),"")</f>
        <v/>
      </c>
      <c r="V1876" s="34" t="str">
        <f t="shared" si="1007"/>
        <v/>
      </c>
      <c r="W1876" s="34" t="str">
        <f t="shared" si="1008"/>
        <v/>
      </c>
      <c r="X1876" s="34" t="str">
        <f>IF(B1876="","",COUNTIF($C$8:C1876,C1876)&amp;C1876)</f>
        <v/>
      </c>
    </row>
    <row r="1877" spans="2:24" ht="23.1" customHeight="1">
      <c r="B1877" s="31"/>
      <c r="C1877" s="9"/>
      <c r="D1877" s="9"/>
      <c r="E1877" s="7"/>
      <c r="F1877" s="7"/>
      <c r="G1877" s="7"/>
      <c r="H1877" s="7"/>
      <c r="I1877" s="7"/>
      <c r="J1877" s="39"/>
      <c r="L1877" s="16" t="str">
        <f t="shared" si="999"/>
        <v/>
      </c>
      <c r="M1877" s="16" t="str">
        <f t="shared" si="1000"/>
        <v/>
      </c>
      <c r="N1877" s="16" t="str">
        <f t="shared" si="1001"/>
        <v/>
      </c>
      <c r="O1877" s="16" t="str">
        <f>IF(N1877="","",COUNTIF($N$8:N1877,N1877))</f>
        <v/>
      </c>
      <c r="P1877" s="34" t="str">
        <f t="shared" si="1002"/>
        <v/>
      </c>
      <c r="Q1877" s="34" t="str">
        <f t="shared" si="1003"/>
        <v/>
      </c>
      <c r="R1877" s="34" t="str">
        <f t="shared" si="1004"/>
        <v/>
      </c>
      <c r="S1877" s="34" t="str">
        <f t="shared" si="1005"/>
        <v/>
      </c>
      <c r="T1877" s="34" t="str">
        <f t="shared" si="1006"/>
        <v/>
      </c>
      <c r="U1877" s="34" t="str">
        <f>IF(AND(L1877=1,bp_kode=T1877,T1877&lt;&gt;""),COUNTIF($T$8:T1877,T1877),"")</f>
        <v/>
      </c>
      <c r="V1877" s="34" t="str">
        <f t="shared" si="1007"/>
        <v/>
      </c>
      <c r="W1877" s="34" t="str">
        <f t="shared" si="1008"/>
        <v/>
      </c>
      <c r="X1877" s="34" t="str">
        <f>IF(B1877="","",COUNTIF($C$8:C1877,C1877)&amp;C1877)</f>
        <v/>
      </c>
    </row>
    <row r="1878" spans="2:24" ht="23.1" customHeight="1">
      <c r="B1878" s="31"/>
      <c r="C1878" s="9"/>
      <c r="D1878" s="9"/>
      <c r="E1878" s="7"/>
      <c r="F1878" s="7"/>
      <c r="G1878" s="7"/>
      <c r="H1878" s="7"/>
      <c r="I1878" s="7"/>
      <c r="J1878" s="39"/>
      <c r="L1878" s="16" t="str">
        <f t="shared" si="999"/>
        <v/>
      </c>
      <c r="M1878" s="16" t="str">
        <f t="shared" si="1000"/>
        <v/>
      </c>
      <c r="N1878" s="16" t="str">
        <f t="shared" si="1001"/>
        <v/>
      </c>
      <c r="O1878" s="16" t="str">
        <f>IF(N1878="","",COUNTIF($N$8:N1878,N1878))</f>
        <v/>
      </c>
      <c r="P1878" s="34" t="str">
        <f t="shared" si="1002"/>
        <v/>
      </c>
      <c r="Q1878" s="34" t="str">
        <f t="shared" si="1003"/>
        <v/>
      </c>
      <c r="R1878" s="34" t="str">
        <f t="shared" si="1004"/>
        <v/>
      </c>
      <c r="S1878" s="34" t="str">
        <f t="shared" si="1005"/>
        <v/>
      </c>
      <c r="T1878" s="34" t="str">
        <f t="shared" si="1006"/>
        <v/>
      </c>
      <c r="U1878" s="34" t="str">
        <f>IF(AND(L1878=1,bp_kode=T1878,T1878&lt;&gt;""),COUNTIF($T$8:T1878,T1878),"")</f>
        <v/>
      </c>
      <c r="V1878" s="34" t="str">
        <f t="shared" si="1007"/>
        <v/>
      </c>
      <c r="W1878" s="34" t="str">
        <f t="shared" si="1008"/>
        <v/>
      </c>
      <c r="X1878" s="34" t="str">
        <f>IF(B1878="","",COUNTIF($C$8:C1878,C1878)&amp;C1878)</f>
        <v/>
      </c>
    </row>
    <row r="1879" spans="2:24" ht="23.1" customHeight="1">
      <c r="B1879" s="31"/>
      <c r="C1879" s="9"/>
      <c r="D1879" s="9"/>
      <c r="E1879" s="7"/>
      <c r="F1879" s="7"/>
      <c r="G1879" s="7"/>
      <c r="H1879" s="7"/>
      <c r="I1879" s="7"/>
      <c r="J1879" s="39"/>
      <c r="L1879" s="16" t="str">
        <f t="shared" si="999"/>
        <v/>
      </c>
      <c r="M1879" s="16" t="str">
        <f t="shared" si="1000"/>
        <v/>
      </c>
      <c r="N1879" s="16" t="str">
        <f t="shared" si="1001"/>
        <v/>
      </c>
      <c r="O1879" s="16" t="str">
        <f>IF(N1879="","",COUNTIF($N$8:N1879,N1879))</f>
        <v/>
      </c>
      <c r="P1879" s="34" t="str">
        <f t="shared" si="1002"/>
        <v/>
      </c>
      <c r="Q1879" s="34" t="str">
        <f t="shared" si="1003"/>
        <v/>
      </c>
      <c r="R1879" s="34" t="str">
        <f t="shared" si="1004"/>
        <v/>
      </c>
      <c r="S1879" s="34" t="str">
        <f t="shared" si="1005"/>
        <v/>
      </c>
      <c r="T1879" s="34" t="str">
        <f t="shared" si="1006"/>
        <v/>
      </c>
      <c r="U1879" s="34" t="str">
        <f>IF(AND(L1879=1,bp_kode=T1879,T1879&lt;&gt;""),COUNTIF($T$8:T1879,T1879),"")</f>
        <v/>
      </c>
      <c r="V1879" s="34" t="str">
        <f t="shared" si="1007"/>
        <v/>
      </c>
      <c r="W1879" s="34" t="str">
        <f t="shared" si="1008"/>
        <v/>
      </c>
      <c r="X1879" s="34" t="str">
        <f>IF(B1879="","",COUNTIF($C$8:C1879,C1879)&amp;C1879)</f>
        <v/>
      </c>
    </row>
    <row r="1880" spans="2:24" ht="23.1" customHeight="1">
      <c r="B1880" s="31"/>
      <c r="C1880" s="9"/>
      <c r="D1880" s="9"/>
      <c r="E1880" s="7"/>
      <c r="F1880" s="7"/>
      <c r="G1880" s="7"/>
      <c r="H1880" s="7"/>
      <c r="I1880" s="7"/>
      <c r="J1880" s="39"/>
      <c r="L1880" s="16" t="str">
        <f t="shared" si="999"/>
        <v/>
      </c>
      <c r="M1880" s="16" t="str">
        <f t="shared" si="1000"/>
        <v/>
      </c>
      <c r="N1880" s="16" t="str">
        <f t="shared" si="1001"/>
        <v/>
      </c>
      <c r="O1880" s="16" t="str">
        <f>IF(N1880="","",COUNTIF($N$8:N1880,N1880))</f>
        <v/>
      </c>
      <c r="P1880" s="34" t="str">
        <f t="shared" si="1002"/>
        <v/>
      </c>
      <c r="Q1880" s="34" t="str">
        <f t="shared" si="1003"/>
        <v/>
      </c>
      <c r="R1880" s="34" t="str">
        <f t="shared" si="1004"/>
        <v/>
      </c>
      <c r="S1880" s="34" t="str">
        <f t="shared" si="1005"/>
        <v/>
      </c>
      <c r="T1880" s="34" t="str">
        <f t="shared" si="1006"/>
        <v/>
      </c>
      <c r="U1880" s="34" t="str">
        <f>IF(AND(L1880=1,bp_kode=T1880,T1880&lt;&gt;""),COUNTIF($T$8:T1880,T1880),"")</f>
        <v/>
      </c>
      <c r="V1880" s="34" t="str">
        <f t="shared" si="1007"/>
        <v/>
      </c>
      <c r="W1880" s="34" t="str">
        <f t="shared" si="1008"/>
        <v/>
      </c>
      <c r="X1880" s="34" t="str">
        <f>IF(B1880="","",COUNTIF($C$8:C1880,C1880)&amp;C1880)</f>
        <v/>
      </c>
    </row>
    <row r="1881" spans="2:24" ht="23.1" customHeight="1">
      <c r="B1881" s="31"/>
      <c r="C1881" s="9"/>
      <c r="D1881" s="9"/>
      <c r="E1881" s="7"/>
      <c r="F1881" s="7"/>
      <c r="G1881" s="7"/>
      <c r="H1881" s="7"/>
      <c r="I1881" s="7"/>
      <c r="J1881" s="39"/>
      <c r="L1881" s="16" t="str">
        <f t="shared" ref="L1881:L1898" si="1009">IF(AND(B1881&gt;=awal,B1881&lt;=akhir,B1881&lt;&gt;""),1,IF(AND(B1881&lt;&gt;"",B1881&lt;awal),2,""))</f>
        <v/>
      </c>
      <c r="M1881" s="16" t="str">
        <f t="shared" ref="M1881:M1898" si="1010">IF(B1881="","",TEXT(B1881,"mmmm"))</f>
        <v/>
      </c>
      <c r="N1881" s="16" t="str">
        <f t="shared" ref="N1881:N1898" si="1011">IF(AND(L1881=1,H1881=bb_akun),"Awe",IF(AND(L1881=1,I1881=bb_akun),"Awe",""))</f>
        <v/>
      </c>
      <c r="O1881" s="16" t="str">
        <f>IF(N1881="","",COUNTIF($N$8:N1881,N1881))</f>
        <v/>
      </c>
      <c r="P1881" s="34" t="str">
        <f t="shared" ref="P1881:P1898" si="1012">IFERROR(IF(OR(INDEX(akun_type,MATCH(H1881,akun_kb,0))="Kas",INDEX(akun_type,MATCH(H1881,akun_kb,0))="Bank"),"In"&amp;INDEX(akun_type,MATCH(I1881,akun_kb,0)),IF(OR(INDEX(akun_type,MATCH(I1881,akun_kb,0))="Kas",INDEX(akun_type,MATCH(I1881,akun_kb,0))="Bank"),"out"&amp;INDEX(akun_type,MATCH(H1881,akun_kb,0)),"")),"")</f>
        <v/>
      </c>
      <c r="Q1881" s="34" t="str">
        <f t="shared" ref="Q1881:Q1898" si="1013">IFERROR(IF(OR(INDEX(akun_type,MATCH(H1881,akun_kb,0))="Kas",INDEX(akun_type,MATCH(H1881,akun_kb,0))="Bank"),"in"&amp;TEXT(B1881,"mmmm")&amp;INDEX(akun_type,MATCH(I1881,akun_kb,0)),IF(OR(INDEX(akun_type,MATCH(I1881,akun_kb,0))="Kas",INDEX(akun_type,MATCH(I1881,akun_kb,0))="Bank"),"out"&amp;TEXT(B1881,"mmmm")&amp;INDEX(akun_type,MATCH(H1881,akun_kb,0)),"")),"")</f>
        <v/>
      </c>
      <c r="R1881" s="34" t="str">
        <f t="shared" ref="R1881:R1898" si="1014">IFERROR(INDEX(akun_type,MATCH(H1881,akun_kb,0)),"")</f>
        <v/>
      </c>
      <c r="S1881" s="34" t="str">
        <f t="shared" ref="S1881:S1898" si="1015">IFERROR(INDEX(akun_type,MATCH(I1881,akun_kb,0)),"")</f>
        <v/>
      </c>
      <c r="T1881" s="34" t="str">
        <f t="shared" ref="T1881:T1898" si="1016">IF(AND(L1881=1,OR(R1881="Akun Piutang",R1881="akun hutang",S1881="akun piutang",S1881="akun hutang")),E1881,"")</f>
        <v/>
      </c>
      <c r="U1881" s="34" t="str">
        <f>IF(AND(L1881=1,bp_kode=T1881,T1881&lt;&gt;""),COUNTIF($T$8:T1881,T1881),"")</f>
        <v/>
      </c>
      <c r="V1881" s="34" t="str">
        <f t="shared" ref="V1881:V1898" si="1017">IF(OR(R1881="Pendapatan",R1881="Pendapatan Lainnya",R1881="Beban",R1881="Harga Pokok Penjualan",R1881="Beban Lainnya"),"db"&amp;F1881,IF(OR(S1881="Pendapatan",S1881="Pendapatan Lainnya",S1881="Beban",S1881="Harga Pokok Penjualan",S1881="Beban Lainnya"),"kr"&amp;F1881,""))</f>
        <v/>
      </c>
      <c r="W1881" s="34" t="str">
        <f t="shared" ref="W1881:W1898" si="1018">IF(OR(R1881="Pendapatan",R1881="Pendapatan Lainnya",R1881="Beban",R1881="Harga Pokok Penjualan",R1881="Beban Lainnya"),"db"&amp;G1881,IF(OR(S1881="Pendapatan",S1881="Pendapatan Lainnya",S1881="Beban",S1881="Harga Pokok Penjualan",S1881="Beban Lainnya"),"kr"&amp;G1881,""))</f>
        <v/>
      </c>
      <c r="X1881" s="34" t="str">
        <f>IF(B1881="","",COUNTIF($C$8:C1881,C1881)&amp;C1881)</f>
        <v/>
      </c>
    </row>
    <row r="1882" spans="2:24" ht="23.1" customHeight="1">
      <c r="B1882" s="31"/>
      <c r="C1882" s="9"/>
      <c r="D1882" s="9"/>
      <c r="E1882" s="7"/>
      <c r="F1882" s="7"/>
      <c r="G1882" s="7"/>
      <c r="H1882" s="7"/>
      <c r="I1882" s="7"/>
      <c r="J1882" s="39"/>
      <c r="L1882" s="16" t="str">
        <f t="shared" si="1009"/>
        <v/>
      </c>
      <c r="M1882" s="16" t="str">
        <f t="shared" si="1010"/>
        <v/>
      </c>
      <c r="N1882" s="16" t="str">
        <f t="shared" si="1011"/>
        <v/>
      </c>
      <c r="O1882" s="16" t="str">
        <f>IF(N1882="","",COUNTIF($N$8:N1882,N1882))</f>
        <v/>
      </c>
      <c r="P1882" s="34" t="str">
        <f t="shared" si="1012"/>
        <v/>
      </c>
      <c r="Q1882" s="34" t="str">
        <f t="shared" si="1013"/>
        <v/>
      </c>
      <c r="R1882" s="34" t="str">
        <f t="shared" si="1014"/>
        <v/>
      </c>
      <c r="S1882" s="34" t="str">
        <f t="shared" si="1015"/>
        <v/>
      </c>
      <c r="T1882" s="34" t="str">
        <f t="shared" si="1016"/>
        <v/>
      </c>
      <c r="U1882" s="34" t="str">
        <f>IF(AND(L1882=1,bp_kode=T1882,T1882&lt;&gt;""),COUNTIF($T$8:T1882,T1882),"")</f>
        <v/>
      </c>
      <c r="V1882" s="34" t="str">
        <f t="shared" si="1017"/>
        <v/>
      </c>
      <c r="W1882" s="34" t="str">
        <f t="shared" si="1018"/>
        <v/>
      </c>
      <c r="X1882" s="34" t="str">
        <f>IF(B1882="","",COUNTIF($C$8:C1882,C1882)&amp;C1882)</f>
        <v/>
      </c>
    </row>
    <row r="1883" spans="2:24" ht="23.1" customHeight="1">
      <c r="B1883" s="31"/>
      <c r="C1883" s="9"/>
      <c r="D1883" s="9"/>
      <c r="E1883" s="7"/>
      <c r="F1883" s="7"/>
      <c r="G1883" s="7"/>
      <c r="H1883" s="7"/>
      <c r="I1883" s="7"/>
      <c r="J1883" s="39"/>
      <c r="L1883" s="16" t="str">
        <f t="shared" si="1009"/>
        <v/>
      </c>
      <c r="M1883" s="16" t="str">
        <f t="shared" si="1010"/>
        <v/>
      </c>
      <c r="N1883" s="16" t="str">
        <f t="shared" si="1011"/>
        <v/>
      </c>
      <c r="O1883" s="16" t="str">
        <f>IF(N1883="","",COUNTIF($N$8:N1883,N1883))</f>
        <v/>
      </c>
      <c r="P1883" s="34" t="str">
        <f t="shared" si="1012"/>
        <v/>
      </c>
      <c r="Q1883" s="34" t="str">
        <f t="shared" si="1013"/>
        <v/>
      </c>
      <c r="R1883" s="34" t="str">
        <f t="shared" si="1014"/>
        <v/>
      </c>
      <c r="S1883" s="34" t="str">
        <f t="shared" si="1015"/>
        <v/>
      </c>
      <c r="T1883" s="34" t="str">
        <f t="shared" si="1016"/>
        <v/>
      </c>
      <c r="U1883" s="34" t="str">
        <f>IF(AND(L1883=1,bp_kode=T1883,T1883&lt;&gt;""),COUNTIF($T$8:T1883,T1883),"")</f>
        <v/>
      </c>
      <c r="V1883" s="34" t="str">
        <f t="shared" si="1017"/>
        <v/>
      </c>
      <c r="W1883" s="34" t="str">
        <f t="shared" si="1018"/>
        <v/>
      </c>
      <c r="X1883" s="34" t="str">
        <f>IF(B1883="","",COUNTIF($C$8:C1883,C1883)&amp;C1883)</f>
        <v/>
      </c>
    </row>
    <row r="1884" spans="2:24" ht="23.1" customHeight="1">
      <c r="B1884" s="31"/>
      <c r="C1884" s="9"/>
      <c r="D1884" s="9"/>
      <c r="E1884" s="7"/>
      <c r="F1884" s="7"/>
      <c r="G1884" s="7"/>
      <c r="H1884" s="7"/>
      <c r="I1884" s="7"/>
      <c r="J1884" s="39"/>
      <c r="L1884" s="16" t="str">
        <f t="shared" si="1009"/>
        <v/>
      </c>
      <c r="M1884" s="16" t="str">
        <f t="shared" si="1010"/>
        <v/>
      </c>
      <c r="N1884" s="16" t="str">
        <f t="shared" si="1011"/>
        <v/>
      </c>
      <c r="O1884" s="16" t="str">
        <f>IF(N1884="","",COUNTIF($N$8:N1884,N1884))</f>
        <v/>
      </c>
      <c r="P1884" s="34" t="str">
        <f t="shared" si="1012"/>
        <v/>
      </c>
      <c r="Q1884" s="34" t="str">
        <f t="shared" si="1013"/>
        <v/>
      </c>
      <c r="R1884" s="34" t="str">
        <f t="shared" si="1014"/>
        <v/>
      </c>
      <c r="S1884" s="34" t="str">
        <f t="shared" si="1015"/>
        <v/>
      </c>
      <c r="T1884" s="34" t="str">
        <f t="shared" si="1016"/>
        <v/>
      </c>
      <c r="U1884" s="34" t="str">
        <f>IF(AND(L1884=1,bp_kode=T1884,T1884&lt;&gt;""),COUNTIF($T$8:T1884,T1884),"")</f>
        <v/>
      </c>
      <c r="V1884" s="34" t="str">
        <f t="shared" si="1017"/>
        <v/>
      </c>
      <c r="W1884" s="34" t="str">
        <f t="shared" si="1018"/>
        <v/>
      </c>
      <c r="X1884" s="34" t="str">
        <f>IF(B1884="","",COUNTIF($C$8:C1884,C1884)&amp;C1884)</f>
        <v/>
      </c>
    </row>
    <row r="1885" spans="2:24" ht="23.1" customHeight="1">
      <c r="B1885" s="31"/>
      <c r="C1885" s="9"/>
      <c r="D1885" s="9"/>
      <c r="E1885" s="7"/>
      <c r="F1885" s="7"/>
      <c r="G1885" s="7"/>
      <c r="H1885" s="7"/>
      <c r="I1885" s="7"/>
      <c r="J1885" s="39"/>
      <c r="L1885" s="16" t="str">
        <f t="shared" si="1009"/>
        <v/>
      </c>
      <c r="M1885" s="16" t="str">
        <f t="shared" si="1010"/>
        <v/>
      </c>
      <c r="N1885" s="16" t="str">
        <f t="shared" si="1011"/>
        <v/>
      </c>
      <c r="O1885" s="16" t="str">
        <f>IF(N1885="","",COUNTIF($N$8:N1885,N1885))</f>
        <v/>
      </c>
      <c r="P1885" s="34" t="str">
        <f t="shared" si="1012"/>
        <v/>
      </c>
      <c r="Q1885" s="34" t="str">
        <f t="shared" si="1013"/>
        <v/>
      </c>
      <c r="R1885" s="34" t="str">
        <f t="shared" si="1014"/>
        <v/>
      </c>
      <c r="S1885" s="34" t="str">
        <f t="shared" si="1015"/>
        <v/>
      </c>
      <c r="T1885" s="34" t="str">
        <f t="shared" si="1016"/>
        <v/>
      </c>
      <c r="U1885" s="34" t="str">
        <f>IF(AND(L1885=1,bp_kode=T1885,T1885&lt;&gt;""),COUNTIF($T$8:T1885,T1885),"")</f>
        <v/>
      </c>
      <c r="V1885" s="34" t="str">
        <f t="shared" si="1017"/>
        <v/>
      </c>
      <c r="W1885" s="34" t="str">
        <f t="shared" si="1018"/>
        <v/>
      </c>
      <c r="X1885" s="34" t="str">
        <f>IF(B1885="","",COUNTIF($C$8:C1885,C1885)&amp;C1885)</f>
        <v/>
      </c>
    </row>
    <row r="1886" spans="2:24" ht="23.1" customHeight="1">
      <c r="B1886" s="31"/>
      <c r="C1886" s="9"/>
      <c r="D1886" s="9"/>
      <c r="E1886" s="7"/>
      <c r="F1886" s="7"/>
      <c r="G1886" s="7"/>
      <c r="H1886" s="7"/>
      <c r="I1886" s="7"/>
      <c r="J1886" s="39"/>
      <c r="L1886" s="16" t="str">
        <f t="shared" si="1009"/>
        <v/>
      </c>
      <c r="M1886" s="16" t="str">
        <f t="shared" si="1010"/>
        <v/>
      </c>
      <c r="N1886" s="16" t="str">
        <f t="shared" si="1011"/>
        <v/>
      </c>
      <c r="O1886" s="16" t="str">
        <f>IF(N1886="","",COUNTIF($N$8:N1886,N1886))</f>
        <v/>
      </c>
      <c r="P1886" s="34" t="str">
        <f t="shared" si="1012"/>
        <v/>
      </c>
      <c r="Q1886" s="34" t="str">
        <f t="shared" si="1013"/>
        <v/>
      </c>
      <c r="R1886" s="34" t="str">
        <f t="shared" si="1014"/>
        <v/>
      </c>
      <c r="S1886" s="34" t="str">
        <f t="shared" si="1015"/>
        <v/>
      </c>
      <c r="T1886" s="34" t="str">
        <f t="shared" si="1016"/>
        <v/>
      </c>
      <c r="U1886" s="34" t="str">
        <f>IF(AND(L1886=1,bp_kode=T1886,T1886&lt;&gt;""),COUNTIF($T$8:T1886,T1886),"")</f>
        <v/>
      </c>
      <c r="V1886" s="34" t="str">
        <f t="shared" si="1017"/>
        <v/>
      </c>
      <c r="W1886" s="34" t="str">
        <f t="shared" si="1018"/>
        <v/>
      </c>
      <c r="X1886" s="34" t="str">
        <f>IF(B1886="","",COUNTIF($C$8:C1886,C1886)&amp;C1886)</f>
        <v/>
      </c>
    </row>
    <row r="1887" spans="2:24" ht="23.1" customHeight="1">
      <c r="B1887" s="31"/>
      <c r="C1887" s="9"/>
      <c r="D1887" s="9"/>
      <c r="E1887" s="7"/>
      <c r="F1887" s="7"/>
      <c r="G1887" s="7"/>
      <c r="H1887" s="7"/>
      <c r="I1887" s="7"/>
      <c r="J1887" s="39"/>
      <c r="L1887" s="16" t="str">
        <f t="shared" si="1009"/>
        <v/>
      </c>
      <c r="M1887" s="16" t="str">
        <f t="shared" si="1010"/>
        <v/>
      </c>
      <c r="N1887" s="16" t="str">
        <f t="shared" si="1011"/>
        <v/>
      </c>
      <c r="O1887" s="16" t="str">
        <f>IF(N1887="","",COUNTIF($N$8:N1887,N1887))</f>
        <v/>
      </c>
      <c r="P1887" s="34" t="str">
        <f t="shared" si="1012"/>
        <v/>
      </c>
      <c r="Q1887" s="34" t="str">
        <f t="shared" si="1013"/>
        <v/>
      </c>
      <c r="R1887" s="34" t="str">
        <f t="shared" si="1014"/>
        <v/>
      </c>
      <c r="S1887" s="34" t="str">
        <f t="shared" si="1015"/>
        <v/>
      </c>
      <c r="T1887" s="34" t="str">
        <f t="shared" si="1016"/>
        <v/>
      </c>
      <c r="U1887" s="34" t="str">
        <f>IF(AND(L1887=1,bp_kode=T1887,T1887&lt;&gt;""),COUNTIF($T$8:T1887,T1887),"")</f>
        <v/>
      </c>
      <c r="V1887" s="34" t="str">
        <f t="shared" si="1017"/>
        <v/>
      </c>
      <c r="W1887" s="34" t="str">
        <f t="shared" si="1018"/>
        <v/>
      </c>
      <c r="X1887" s="34" t="str">
        <f>IF(B1887="","",COUNTIF($C$8:C1887,C1887)&amp;C1887)</f>
        <v/>
      </c>
    </row>
    <row r="1888" spans="2:24" ht="23.1" customHeight="1">
      <c r="B1888" s="31"/>
      <c r="C1888" s="9"/>
      <c r="D1888" s="9"/>
      <c r="E1888" s="7"/>
      <c r="F1888" s="7"/>
      <c r="G1888" s="7"/>
      <c r="H1888" s="7"/>
      <c r="I1888" s="7"/>
      <c r="J1888" s="39"/>
      <c r="L1888" s="16" t="str">
        <f t="shared" si="1009"/>
        <v/>
      </c>
      <c r="M1888" s="16" t="str">
        <f t="shared" si="1010"/>
        <v/>
      </c>
      <c r="N1888" s="16" t="str">
        <f t="shared" si="1011"/>
        <v/>
      </c>
      <c r="O1888" s="16" t="str">
        <f>IF(N1888="","",COUNTIF($N$8:N1888,N1888))</f>
        <v/>
      </c>
      <c r="P1888" s="34" t="str">
        <f t="shared" si="1012"/>
        <v/>
      </c>
      <c r="Q1888" s="34" t="str">
        <f t="shared" si="1013"/>
        <v/>
      </c>
      <c r="R1888" s="34" t="str">
        <f t="shared" si="1014"/>
        <v/>
      </c>
      <c r="S1888" s="34" t="str">
        <f t="shared" si="1015"/>
        <v/>
      </c>
      <c r="T1888" s="34" t="str">
        <f t="shared" si="1016"/>
        <v/>
      </c>
      <c r="U1888" s="34" t="str">
        <f>IF(AND(L1888=1,bp_kode=T1888,T1888&lt;&gt;""),COUNTIF($T$8:T1888,T1888),"")</f>
        <v/>
      </c>
      <c r="V1888" s="34" t="str">
        <f t="shared" si="1017"/>
        <v/>
      </c>
      <c r="W1888" s="34" t="str">
        <f t="shared" si="1018"/>
        <v/>
      </c>
      <c r="X1888" s="34" t="str">
        <f>IF(B1888="","",COUNTIF($C$8:C1888,C1888)&amp;C1888)</f>
        <v/>
      </c>
    </row>
    <row r="1889" spans="2:24" ht="23.1" customHeight="1">
      <c r="B1889" s="31"/>
      <c r="C1889" s="9"/>
      <c r="D1889" s="9"/>
      <c r="E1889" s="7"/>
      <c r="F1889" s="7"/>
      <c r="G1889" s="7"/>
      <c r="H1889" s="7"/>
      <c r="I1889" s="7"/>
      <c r="J1889" s="39"/>
      <c r="L1889" s="16" t="str">
        <f t="shared" si="1009"/>
        <v/>
      </c>
      <c r="M1889" s="16" t="str">
        <f t="shared" si="1010"/>
        <v/>
      </c>
      <c r="N1889" s="16" t="str">
        <f t="shared" si="1011"/>
        <v/>
      </c>
      <c r="O1889" s="16" t="str">
        <f>IF(N1889="","",COUNTIF($N$8:N1889,N1889))</f>
        <v/>
      </c>
      <c r="P1889" s="34" t="str">
        <f t="shared" si="1012"/>
        <v/>
      </c>
      <c r="Q1889" s="34" t="str">
        <f t="shared" si="1013"/>
        <v/>
      </c>
      <c r="R1889" s="34" t="str">
        <f t="shared" si="1014"/>
        <v/>
      </c>
      <c r="S1889" s="34" t="str">
        <f t="shared" si="1015"/>
        <v/>
      </c>
      <c r="T1889" s="34" t="str">
        <f t="shared" si="1016"/>
        <v/>
      </c>
      <c r="U1889" s="34" t="str">
        <f>IF(AND(L1889=1,bp_kode=T1889,T1889&lt;&gt;""),COUNTIF($T$8:T1889,T1889),"")</f>
        <v/>
      </c>
      <c r="V1889" s="34" t="str">
        <f t="shared" si="1017"/>
        <v/>
      </c>
      <c r="W1889" s="34" t="str">
        <f t="shared" si="1018"/>
        <v/>
      </c>
      <c r="X1889" s="34" t="str">
        <f>IF(B1889="","",COUNTIF($C$8:C1889,C1889)&amp;C1889)</f>
        <v/>
      </c>
    </row>
    <row r="1890" spans="2:24" ht="23.1" customHeight="1">
      <c r="B1890" s="31"/>
      <c r="C1890" s="9"/>
      <c r="D1890" s="9"/>
      <c r="E1890" s="7"/>
      <c r="F1890" s="7"/>
      <c r="G1890" s="7"/>
      <c r="H1890" s="7"/>
      <c r="I1890" s="7"/>
      <c r="J1890" s="39"/>
      <c r="L1890" s="16" t="str">
        <f t="shared" si="1009"/>
        <v/>
      </c>
      <c r="M1890" s="16" t="str">
        <f t="shared" si="1010"/>
        <v/>
      </c>
      <c r="N1890" s="16" t="str">
        <f t="shared" si="1011"/>
        <v/>
      </c>
      <c r="O1890" s="16" t="str">
        <f>IF(N1890="","",COUNTIF($N$8:N1890,N1890))</f>
        <v/>
      </c>
      <c r="P1890" s="34" t="str">
        <f t="shared" si="1012"/>
        <v/>
      </c>
      <c r="Q1890" s="34" t="str">
        <f t="shared" si="1013"/>
        <v/>
      </c>
      <c r="R1890" s="34" t="str">
        <f t="shared" si="1014"/>
        <v/>
      </c>
      <c r="S1890" s="34" t="str">
        <f t="shared" si="1015"/>
        <v/>
      </c>
      <c r="T1890" s="34" t="str">
        <f t="shared" si="1016"/>
        <v/>
      </c>
      <c r="U1890" s="34" t="str">
        <f>IF(AND(L1890=1,bp_kode=T1890,T1890&lt;&gt;""),COUNTIF($T$8:T1890,T1890),"")</f>
        <v/>
      </c>
      <c r="V1890" s="34" t="str">
        <f t="shared" si="1017"/>
        <v/>
      </c>
      <c r="W1890" s="34" t="str">
        <f t="shared" si="1018"/>
        <v/>
      </c>
      <c r="X1890" s="34" t="str">
        <f>IF(B1890="","",COUNTIF($C$8:C1890,C1890)&amp;C1890)</f>
        <v/>
      </c>
    </row>
    <row r="1891" spans="2:24" ht="23.1" customHeight="1">
      <c r="B1891" s="31"/>
      <c r="C1891" s="9"/>
      <c r="D1891" s="9"/>
      <c r="E1891" s="7"/>
      <c r="F1891" s="7"/>
      <c r="G1891" s="7"/>
      <c r="H1891" s="7"/>
      <c r="I1891" s="7"/>
      <c r="J1891" s="39"/>
      <c r="L1891" s="16" t="str">
        <f t="shared" si="1009"/>
        <v/>
      </c>
      <c r="M1891" s="16" t="str">
        <f t="shared" si="1010"/>
        <v/>
      </c>
      <c r="N1891" s="16" t="str">
        <f t="shared" si="1011"/>
        <v/>
      </c>
      <c r="O1891" s="16" t="str">
        <f>IF(N1891="","",COUNTIF($N$8:N1891,N1891))</f>
        <v/>
      </c>
      <c r="P1891" s="34" t="str">
        <f t="shared" si="1012"/>
        <v/>
      </c>
      <c r="Q1891" s="34" t="str">
        <f t="shared" si="1013"/>
        <v/>
      </c>
      <c r="R1891" s="34" t="str">
        <f t="shared" si="1014"/>
        <v/>
      </c>
      <c r="S1891" s="34" t="str">
        <f t="shared" si="1015"/>
        <v/>
      </c>
      <c r="T1891" s="34" t="str">
        <f t="shared" si="1016"/>
        <v/>
      </c>
      <c r="U1891" s="34" t="str">
        <f>IF(AND(L1891=1,bp_kode=T1891,T1891&lt;&gt;""),COUNTIF($T$8:T1891,T1891),"")</f>
        <v/>
      </c>
      <c r="V1891" s="34" t="str">
        <f t="shared" si="1017"/>
        <v/>
      </c>
      <c r="W1891" s="34" t="str">
        <f t="shared" si="1018"/>
        <v/>
      </c>
      <c r="X1891" s="34" t="str">
        <f>IF(B1891="","",COUNTIF($C$8:C1891,C1891)&amp;C1891)</f>
        <v/>
      </c>
    </row>
    <row r="1892" spans="2:24" ht="23.1" customHeight="1">
      <c r="B1892" s="31"/>
      <c r="C1892" s="9"/>
      <c r="D1892" s="9"/>
      <c r="E1892" s="7"/>
      <c r="F1892" s="7"/>
      <c r="G1892" s="7"/>
      <c r="H1892" s="7"/>
      <c r="I1892" s="7"/>
      <c r="J1892" s="39"/>
      <c r="L1892" s="16" t="str">
        <f t="shared" si="1009"/>
        <v/>
      </c>
      <c r="M1892" s="16" t="str">
        <f t="shared" si="1010"/>
        <v/>
      </c>
      <c r="N1892" s="16" t="str">
        <f t="shared" si="1011"/>
        <v/>
      </c>
      <c r="O1892" s="16" t="str">
        <f>IF(N1892="","",COUNTIF($N$8:N1892,N1892))</f>
        <v/>
      </c>
      <c r="P1892" s="34" t="str">
        <f t="shared" si="1012"/>
        <v/>
      </c>
      <c r="Q1892" s="34" t="str">
        <f t="shared" si="1013"/>
        <v/>
      </c>
      <c r="R1892" s="34" t="str">
        <f t="shared" si="1014"/>
        <v/>
      </c>
      <c r="S1892" s="34" t="str">
        <f t="shared" si="1015"/>
        <v/>
      </c>
      <c r="T1892" s="34" t="str">
        <f t="shared" si="1016"/>
        <v/>
      </c>
      <c r="U1892" s="34" t="str">
        <f>IF(AND(L1892=1,bp_kode=T1892,T1892&lt;&gt;""),COUNTIF($T$8:T1892,T1892),"")</f>
        <v/>
      </c>
      <c r="V1892" s="34" t="str">
        <f t="shared" si="1017"/>
        <v/>
      </c>
      <c r="W1892" s="34" t="str">
        <f t="shared" si="1018"/>
        <v/>
      </c>
      <c r="X1892" s="34" t="str">
        <f>IF(B1892="","",COUNTIF($C$8:C1892,C1892)&amp;C1892)</f>
        <v/>
      </c>
    </row>
    <row r="1893" spans="2:24" ht="23.1" customHeight="1">
      <c r="B1893" s="31"/>
      <c r="C1893" s="9"/>
      <c r="D1893" s="9"/>
      <c r="E1893" s="7"/>
      <c r="F1893" s="7"/>
      <c r="G1893" s="7"/>
      <c r="H1893" s="7"/>
      <c r="I1893" s="7"/>
      <c r="J1893" s="39"/>
      <c r="L1893" s="16" t="str">
        <f t="shared" si="1009"/>
        <v/>
      </c>
      <c r="M1893" s="16" t="str">
        <f t="shared" si="1010"/>
        <v/>
      </c>
      <c r="N1893" s="16" t="str">
        <f t="shared" si="1011"/>
        <v/>
      </c>
      <c r="O1893" s="16" t="str">
        <f>IF(N1893="","",COUNTIF($N$8:N1893,N1893))</f>
        <v/>
      </c>
      <c r="P1893" s="34" t="str">
        <f t="shared" si="1012"/>
        <v/>
      </c>
      <c r="Q1893" s="34" t="str">
        <f t="shared" si="1013"/>
        <v/>
      </c>
      <c r="R1893" s="34" t="str">
        <f t="shared" si="1014"/>
        <v/>
      </c>
      <c r="S1893" s="34" t="str">
        <f t="shared" si="1015"/>
        <v/>
      </c>
      <c r="T1893" s="34" t="str">
        <f t="shared" si="1016"/>
        <v/>
      </c>
      <c r="U1893" s="34" t="str">
        <f>IF(AND(L1893=1,bp_kode=T1893,T1893&lt;&gt;""),COUNTIF($T$8:T1893,T1893),"")</f>
        <v/>
      </c>
      <c r="V1893" s="34" t="str">
        <f t="shared" si="1017"/>
        <v/>
      </c>
      <c r="W1893" s="34" t="str">
        <f t="shared" si="1018"/>
        <v/>
      </c>
      <c r="X1893" s="34" t="str">
        <f>IF(B1893="","",COUNTIF($C$8:C1893,C1893)&amp;C1893)</f>
        <v/>
      </c>
    </row>
    <row r="1894" spans="2:24" ht="23.1" customHeight="1">
      <c r="B1894" s="31"/>
      <c r="C1894" s="9"/>
      <c r="D1894" s="9"/>
      <c r="E1894" s="7"/>
      <c r="F1894" s="7"/>
      <c r="G1894" s="7"/>
      <c r="H1894" s="7"/>
      <c r="I1894" s="7"/>
      <c r="J1894" s="39"/>
      <c r="L1894" s="16" t="str">
        <f t="shared" si="1009"/>
        <v/>
      </c>
      <c r="M1894" s="16" t="str">
        <f t="shared" si="1010"/>
        <v/>
      </c>
      <c r="N1894" s="16" t="str">
        <f t="shared" si="1011"/>
        <v/>
      </c>
      <c r="O1894" s="16" t="str">
        <f>IF(N1894="","",COUNTIF($N$8:N1894,N1894))</f>
        <v/>
      </c>
      <c r="P1894" s="34" t="str">
        <f t="shared" si="1012"/>
        <v/>
      </c>
      <c r="Q1894" s="34" t="str">
        <f t="shared" si="1013"/>
        <v/>
      </c>
      <c r="R1894" s="34" t="str">
        <f t="shared" si="1014"/>
        <v/>
      </c>
      <c r="S1894" s="34" t="str">
        <f t="shared" si="1015"/>
        <v/>
      </c>
      <c r="T1894" s="34" t="str">
        <f t="shared" si="1016"/>
        <v/>
      </c>
      <c r="U1894" s="34" t="str">
        <f>IF(AND(L1894=1,bp_kode=T1894,T1894&lt;&gt;""),COUNTIF($T$8:T1894,T1894),"")</f>
        <v/>
      </c>
      <c r="V1894" s="34" t="str">
        <f t="shared" si="1017"/>
        <v/>
      </c>
      <c r="W1894" s="34" t="str">
        <f t="shared" si="1018"/>
        <v/>
      </c>
      <c r="X1894" s="34" t="str">
        <f>IF(B1894="","",COUNTIF($C$8:C1894,C1894)&amp;C1894)</f>
        <v/>
      </c>
    </row>
    <row r="1895" spans="2:24" ht="23.1" customHeight="1">
      <c r="B1895" s="31"/>
      <c r="C1895" s="9"/>
      <c r="D1895" s="9"/>
      <c r="E1895" s="7"/>
      <c r="F1895" s="7"/>
      <c r="G1895" s="7"/>
      <c r="H1895" s="7"/>
      <c r="I1895" s="7"/>
      <c r="J1895" s="39"/>
      <c r="L1895" s="16" t="str">
        <f t="shared" si="1009"/>
        <v/>
      </c>
      <c r="M1895" s="16" t="str">
        <f t="shared" si="1010"/>
        <v/>
      </c>
      <c r="N1895" s="16" t="str">
        <f t="shared" si="1011"/>
        <v/>
      </c>
      <c r="O1895" s="16" t="str">
        <f>IF(N1895="","",COUNTIF($N$8:N1895,N1895))</f>
        <v/>
      </c>
      <c r="P1895" s="34" t="str">
        <f t="shared" si="1012"/>
        <v/>
      </c>
      <c r="Q1895" s="34" t="str">
        <f t="shared" si="1013"/>
        <v/>
      </c>
      <c r="R1895" s="34" t="str">
        <f t="shared" si="1014"/>
        <v/>
      </c>
      <c r="S1895" s="34" t="str">
        <f t="shared" si="1015"/>
        <v/>
      </c>
      <c r="T1895" s="34" t="str">
        <f t="shared" si="1016"/>
        <v/>
      </c>
      <c r="U1895" s="34" t="str">
        <f>IF(AND(L1895=1,bp_kode=T1895,T1895&lt;&gt;""),COUNTIF($T$8:T1895,T1895),"")</f>
        <v/>
      </c>
      <c r="V1895" s="34" t="str">
        <f t="shared" si="1017"/>
        <v/>
      </c>
      <c r="W1895" s="34" t="str">
        <f t="shared" si="1018"/>
        <v/>
      </c>
      <c r="X1895" s="34" t="str">
        <f>IF(B1895="","",COUNTIF($C$8:C1895,C1895)&amp;C1895)</f>
        <v/>
      </c>
    </row>
    <row r="1896" spans="2:24" ht="23.1" customHeight="1">
      <c r="B1896" s="31"/>
      <c r="C1896" s="9"/>
      <c r="D1896" s="9"/>
      <c r="E1896" s="7"/>
      <c r="F1896" s="7"/>
      <c r="G1896" s="7"/>
      <c r="H1896" s="7"/>
      <c r="I1896" s="7"/>
      <c r="J1896" s="39"/>
      <c r="L1896" s="16" t="str">
        <f t="shared" si="1009"/>
        <v/>
      </c>
      <c r="M1896" s="16" t="str">
        <f t="shared" si="1010"/>
        <v/>
      </c>
      <c r="N1896" s="16" t="str">
        <f t="shared" si="1011"/>
        <v/>
      </c>
      <c r="O1896" s="16" t="str">
        <f>IF(N1896="","",COUNTIF($N$8:N1896,N1896))</f>
        <v/>
      </c>
      <c r="P1896" s="34" t="str">
        <f t="shared" si="1012"/>
        <v/>
      </c>
      <c r="Q1896" s="34" t="str">
        <f t="shared" si="1013"/>
        <v/>
      </c>
      <c r="R1896" s="34" t="str">
        <f t="shared" si="1014"/>
        <v/>
      </c>
      <c r="S1896" s="34" t="str">
        <f t="shared" si="1015"/>
        <v/>
      </c>
      <c r="T1896" s="34" t="str">
        <f t="shared" si="1016"/>
        <v/>
      </c>
      <c r="U1896" s="34" t="str">
        <f>IF(AND(L1896=1,bp_kode=T1896,T1896&lt;&gt;""),COUNTIF($T$8:T1896,T1896),"")</f>
        <v/>
      </c>
      <c r="V1896" s="34" t="str">
        <f t="shared" si="1017"/>
        <v/>
      </c>
      <c r="W1896" s="34" t="str">
        <f t="shared" si="1018"/>
        <v/>
      </c>
      <c r="X1896" s="34" t="str">
        <f>IF(B1896="","",COUNTIF($C$8:C1896,C1896)&amp;C1896)</f>
        <v/>
      </c>
    </row>
    <row r="1897" spans="2:24" ht="23.1" customHeight="1">
      <c r="B1897" s="31"/>
      <c r="C1897" s="9"/>
      <c r="D1897" s="9"/>
      <c r="E1897" s="7"/>
      <c r="F1897" s="7"/>
      <c r="G1897" s="7"/>
      <c r="H1897" s="7"/>
      <c r="I1897" s="7"/>
      <c r="J1897" s="39"/>
      <c r="L1897" s="16" t="str">
        <f t="shared" si="1009"/>
        <v/>
      </c>
      <c r="M1897" s="16" t="str">
        <f t="shared" si="1010"/>
        <v/>
      </c>
      <c r="N1897" s="16" t="str">
        <f t="shared" si="1011"/>
        <v/>
      </c>
      <c r="O1897" s="16" t="str">
        <f>IF(N1897="","",COUNTIF($N$8:N1897,N1897))</f>
        <v/>
      </c>
      <c r="P1897" s="34" t="str">
        <f t="shared" si="1012"/>
        <v/>
      </c>
      <c r="Q1897" s="34" t="str">
        <f t="shared" si="1013"/>
        <v/>
      </c>
      <c r="R1897" s="34" t="str">
        <f t="shared" si="1014"/>
        <v/>
      </c>
      <c r="S1897" s="34" t="str">
        <f t="shared" si="1015"/>
        <v/>
      </c>
      <c r="T1897" s="34" t="str">
        <f t="shared" si="1016"/>
        <v/>
      </c>
      <c r="U1897" s="34" t="str">
        <f>IF(AND(L1897=1,bp_kode=T1897,T1897&lt;&gt;""),COUNTIF($T$8:T1897,T1897),"")</f>
        <v/>
      </c>
      <c r="V1897" s="34" t="str">
        <f t="shared" si="1017"/>
        <v/>
      </c>
      <c r="W1897" s="34" t="str">
        <f t="shared" si="1018"/>
        <v/>
      </c>
      <c r="X1897" s="34" t="str">
        <f>IF(B1897="","",COUNTIF($C$8:C1897,C1897)&amp;C1897)</f>
        <v/>
      </c>
    </row>
    <row r="1898" spans="2:24" ht="23.1" customHeight="1">
      <c r="B1898" s="31"/>
      <c r="C1898" s="9"/>
      <c r="D1898" s="9"/>
      <c r="E1898" s="7"/>
      <c r="F1898" s="7"/>
      <c r="G1898" s="7"/>
      <c r="H1898" s="7"/>
      <c r="I1898" s="7"/>
      <c r="J1898" s="39"/>
      <c r="L1898" s="16" t="str">
        <f t="shared" si="1009"/>
        <v/>
      </c>
      <c r="M1898" s="16" t="str">
        <f t="shared" si="1010"/>
        <v/>
      </c>
      <c r="N1898" s="16" t="str">
        <f t="shared" si="1011"/>
        <v/>
      </c>
      <c r="O1898" s="16" t="str">
        <f>IF(N1898="","",COUNTIF($N$8:N1898,N1898))</f>
        <v/>
      </c>
      <c r="P1898" s="34" t="str">
        <f t="shared" si="1012"/>
        <v/>
      </c>
      <c r="Q1898" s="34" t="str">
        <f t="shared" si="1013"/>
        <v/>
      </c>
      <c r="R1898" s="34" t="str">
        <f t="shared" si="1014"/>
        <v/>
      </c>
      <c r="S1898" s="34" t="str">
        <f t="shared" si="1015"/>
        <v/>
      </c>
      <c r="T1898" s="34" t="str">
        <f t="shared" si="1016"/>
        <v/>
      </c>
      <c r="U1898" s="34" t="str">
        <f>IF(AND(L1898=1,bp_kode=T1898,T1898&lt;&gt;""),COUNTIF($T$8:T1898,T1898),"")</f>
        <v/>
      </c>
      <c r="V1898" s="34" t="str">
        <f t="shared" si="1017"/>
        <v/>
      </c>
      <c r="W1898" s="34" t="str">
        <f t="shared" si="1018"/>
        <v/>
      </c>
      <c r="X1898" s="34" t="str">
        <f>IF(B1898="","",COUNTIF($C$8:C1898,C1898)&amp;C1898)</f>
        <v/>
      </c>
    </row>
    <row r="1899" spans="2:24" ht="23.1" customHeight="1">
      <c r="B1899" s="31"/>
      <c r="C1899" s="9"/>
      <c r="D1899" s="9"/>
      <c r="E1899" s="7"/>
      <c r="F1899" s="7"/>
      <c r="G1899" s="7"/>
      <c r="H1899" s="7"/>
      <c r="I1899" s="7"/>
      <c r="J1899" s="39"/>
      <c r="L1899" s="16" t="str">
        <f t="shared" ref="L1899:L1902" si="1019">IF(AND(B1899&gt;=awal,B1899&lt;=akhir,B1899&lt;&gt;""),1,IF(AND(B1899&lt;&gt;"",B1899&lt;awal),2,""))</f>
        <v/>
      </c>
      <c r="M1899" s="16" t="str">
        <f t="shared" ref="M1899:M1902" si="1020">IF(B1899="","",TEXT(B1899,"mmmm"))</f>
        <v/>
      </c>
      <c r="N1899" s="16" t="str">
        <f t="shared" ref="N1899:N1902" si="1021">IF(AND(L1899=1,H1899=bb_akun),"Awe",IF(AND(L1899=1,I1899=bb_akun),"Awe",""))</f>
        <v/>
      </c>
      <c r="O1899" s="16" t="str">
        <f>IF(N1899="","",COUNTIF($N$8:N1899,N1899))</f>
        <v/>
      </c>
      <c r="P1899" s="34" t="str">
        <f t="shared" ref="P1899:P1902" si="1022">IFERROR(IF(OR(INDEX(akun_type,MATCH(H1899,akun_kb,0))="Kas",INDEX(akun_type,MATCH(H1899,akun_kb,0))="Bank"),"In"&amp;INDEX(akun_type,MATCH(I1899,akun_kb,0)),IF(OR(INDEX(akun_type,MATCH(I1899,akun_kb,0))="Kas",INDEX(akun_type,MATCH(I1899,akun_kb,0))="Bank"),"out"&amp;INDEX(akun_type,MATCH(H1899,akun_kb,0)),"")),"")</f>
        <v/>
      </c>
      <c r="Q1899" s="34" t="str">
        <f t="shared" ref="Q1899:Q1902" si="1023">IFERROR(IF(OR(INDEX(akun_type,MATCH(H1899,akun_kb,0))="Kas",INDEX(akun_type,MATCH(H1899,akun_kb,0))="Bank"),"in"&amp;TEXT(B1899,"mmmm")&amp;INDEX(akun_type,MATCH(I1899,akun_kb,0)),IF(OR(INDEX(akun_type,MATCH(I1899,akun_kb,0))="Kas",INDEX(akun_type,MATCH(I1899,akun_kb,0))="Bank"),"out"&amp;TEXT(B1899,"mmmm")&amp;INDEX(akun_type,MATCH(H1899,akun_kb,0)),"")),"")</f>
        <v/>
      </c>
      <c r="R1899" s="34" t="str">
        <f t="shared" ref="R1899:R1902" si="1024">IFERROR(INDEX(akun_type,MATCH(H1899,akun_kb,0)),"")</f>
        <v/>
      </c>
      <c r="S1899" s="34" t="str">
        <f t="shared" ref="S1899:S1902" si="1025">IFERROR(INDEX(akun_type,MATCH(I1899,akun_kb,0)),"")</f>
        <v/>
      </c>
      <c r="T1899" s="34" t="str">
        <f t="shared" ref="T1899:T1902" si="1026">IF(AND(L1899=1,OR(R1899="Akun Piutang",R1899="akun hutang",S1899="akun piutang",S1899="akun hutang")),E1899,"")</f>
        <v/>
      </c>
      <c r="U1899" s="34" t="str">
        <f>IF(AND(L1899=1,bp_kode=T1899,T1899&lt;&gt;""),COUNTIF($T$8:T1899,T1899),"")</f>
        <v/>
      </c>
      <c r="V1899" s="34" t="str">
        <f t="shared" ref="V1899:V1902" si="1027">IF(OR(R1899="Pendapatan",R1899="Pendapatan Lainnya",R1899="Beban",R1899="Harga Pokok Penjualan",R1899="Beban Lainnya"),"db"&amp;F1899,IF(OR(S1899="Pendapatan",S1899="Pendapatan Lainnya",S1899="Beban",S1899="Harga Pokok Penjualan",S1899="Beban Lainnya"),"kr"&amp;F1899,""))</f>
        <v/>
      </c>
      <c r="W1899" s="34" t="str">
        <f t="shared" ref="W1899:W1902" si="1028">IF(OR(R1899="Pendapatan",R1899="Pendapatan Lainnya",R1899="Beban",R1899="Harga Pokok Penjualan",R1899="Beban Lainnya"),"db"&amp;G1899,IF(OR(S1899="Pendapatan",S1899="Pendapatan Lainnya",S1899="Beban",S1899="Harga Pokok Penjualan",S1899="Beban Lainnya"),"kr"&amp;G1899,""))</f>
        <v/>
      </c>
      <c r="X1899" s="34" t="str">
        <f>IF(B1899="","",COUNTIF($C$8:C1899,C1899)&amp;C1899)</f>
        <v/>
      </c>
    </row>
    <row r="1900" spans="2:24" ht="23.1" customHeight="1">
      <c r="B1900" s="31"/>
      <c r="C1900" s="9"/>
      <c r="D1900" s="9"/>
      <c r="E1900" s="7"/>
      <c r="F1900" s="7"/>
      <c r="G1900" s="7"/>
      <c r="H1900" s="7"/>
      <c r="I1900" s="7"/>
      <c r="J1900" s="39"/>
      <c r="L1900" s="16" t="str">
        <f t="shared" si="1019"/>
        <v/>
      </c>
      <c r="M1900" s="16" t="str">
        <f t="shared" si="1020"/>
        <v/>
      </c>
      <c r="N1900" s="16" t="str">
        <f t="shared" si="1021"/>
        <v/>
      </c>
      <c r="O1900" s="16" t="str">
        <f>IF(N1900="","",COUNTIF($N$8:N1900,N1900))</f>
        <v/>
      </c>
      <c r="P1900" s="34" t="str">
        <f t="shared" si="1022"/>
        <v/>
      </c>
      <c r="Q1900" s="34" t="str">
        <f t="shared" si="1023"/>
        <v/>
      </c>
      <c r="R1900" s="34" t="str">
        <f t="shared" si="1024"/>
        <v/>
      </c>
      <c r="S1900" s="34" t="str">
        <f t="shared" si="1025"/>
        <v/>
      </c>
      <c r="T1900" s="34" t="str">
        <f t="shared" si="1026"/>
        <v/>
      </c>
      <c r="U1900" s="34" t="str">
        <f>IF(AND(L1900=1,bp_kode=T1900,T1900&lt;&gt;""),COUNTIF($T$8:T1900,T1900),"")</f>
        <v/>
      </c>
      <c r="V1900" s="34" t="str">
        <f t="shared" si="1027"/>
        <v/>
      </c>
      <c r="W1900" s="34" t="str">
        <f t="shared" si="1028"/>
        <v/>
      </c>
      <c r="X1900" s="34" t="str">
        <f>IF(B1900="","",COUNTIF($C$8:C1900,C1900)&amp;C1900)</f>
        <v/>
      </c>
    </row>
    <row r="1901" spans="2:24" ht="23.1" customHeight="1">
      <c r="B1901" s="31"/>
      <c r="C1901" s="9"/>
      <c r="D1901" s="9"/>
      <c r="E1901" s="7"/>
      <c r="F1901" s="7"/>
      <c r="G1901" s="7"/>
      <c r="H1901" s="7"/>
      <c r="I1901" s="7"/>
      <c r="J1901" s="39"/>
      <c r="L1901" s="16" t="str">
        <f t="shared" si="1019"/>
        <v/>
      </c>
      <c r="M1901" s="16" t="str">
        <f t="shared" si="1020"/>
        <v/>
      </c>
      <c r="N1901" s="16" t="str">
        <f t="shared" si="1021"/>
        <v/>
      </c>
      <c r="O1901" s="16" t="str">
        <f>IF(N1901="","",COUNTIF($N$8:N1901,N1901))</f>
        <v/>
      </c>
      <c r="P1901" s="34" t="str">
        <f t="shared" si="1022"/>
        <v/>
      </c>
      <c r="Q1901" s="34" t="str">
        <f t="shared" si="1023"/>
        <v/>
      </c>
      <c r="R1901" s="34" t="str">
        <f t="shared" si="1024"/>
        <v/>
      </c>
      <c r="S1901" s="34" t="str">
        <f t="shared" si="1025"/>
        <v/>
      </c>
      <c r="T1901" s="34" t="str">
        <f t="shared" si="1026"/>
        <v/>
      </c>
      <c r="U1901" s="34" t="str">
        <f>IF(AND(L1901=1,bp_kode=T1901,T1901&lt;&gt;""),COUNTIF($T$8:T1901,T1901),"")</f>
        <v/>
      </c>
      <c r="V1901" s="34" t="str">
        <f t="shared" si="1027"/>
        <v/>
      </c>
      <c r="W1901" s="34" t="str">
        <f t="shared" si="1028"/>
        <v/>
      </c>
      <c r="X1901" s="34" t="str">
        <f>IF(B1901="","",COUNTIF($C$8:C1901,C1901)&amp;C1901)</f>
        <v/>
      </c>
    </row>
    <row r="1902" spans="2:24" ht="23.1" customHeight="1">
      <c r="B1902" s="31"/>
      <c r="C1902" s="9"/>
      <c r="D1902" s="9"/>
      <c r="E1902" s="7"/>
      <c r="F1902" s="7"/>
      <c r="G1902" s="7"/>
      <c r="H1902" s="7"/>
      <c r="I1902" s="7"/>
      <c r="J1902" s="39"/>
      <c r="L1902" s="16" t="str">
        <f t="shared" si="1019"/>
        <v/>
      </c>
      <c r="M1902" s="16" t="str">
        <f t="shared" si="1020"/>
        <v/>
      </c>
      <c r="N1902" s="16" t="str">
        <f t="shared" si="1021"/>
        <v/>
      </c>
      <c r="O1902" s="16" t="str">
        <f>IF(N1902="","",COUNTIF($N$8:N1902,N1902))</f>
        <v/>
      </c>
      <c r="P1902" s="34" t="str">
        <f t="shared" si="1022"/>
        <v/>
      </c>
      <c r="Q1902" s="34" t="str">
        <f t="shared" si="1023"/>
        <v/>
      </c>
      <c r="R1902" s="34" t="str">
        <f t="shared" si="1024"/>
        <v/>
      </c>
      <c r="S1902" s="34" t="str">
        <f t="shared" si="1025"/>
        <v/>
      </c>
      <c r="T1902" s="34" t="str">
        <f t="shared" si="1026"/>
        <v/>
      </c>
      <c r="U1902" s="34" t="str">
        <f>IF(AND(L1902=1,bp_kode=T1902,T1902&lt;&gt;""),COUNTIF($T$8:T1902,T1902),"")</f>
        <v/>
      </c>
      <c r="V1902" s="34" t="str">
        <f t="shared" si="1027"/>
        <v/>
      </c>
      <c r="W1902" s="34" t="str">
        <f t="shared" si="1028"/>
        <v/>
      </c>
      <c r="X1902" s="34" t="str">
        <f>IF(B1902="","",COUNTIF($C$8:C1902,C1902)&amp;C1902)</f>
        <v/>
      </c>
    </row>
    <row r="1903" spans="2:24" ht="23.1" customHeight="1">
      <c r="B1903" s="31"/>
      <c r="C1903" s="9"/>
      <c r="D1903" s="9"/>
      <c r="E1903" s="7"/>
      <c r="F1903" s="7"/>
      <c r="G1903" s="7"/>
      <c r="H1903" s="7"/>
      <c r="I1903" s="7"/>
      <c r="J1903" s="39"/>
      <c r="L1903" s="16" t="str">
        <f t="shared" ref="L1903:L1911" si="1029">IF(AND(B1903&gt;=awal,B1903&lt;=akhir,B1903&lt;&gt;""),1,IF(AND(B1903&lt;&gt;"",B1903&lt;awal),2,""))</f>
        <v/>
      </c>
      <c r="M1903" s="16" t="str">
        <f t="shared" ref="M1903:M1911" si="1030">IF(B1903="","",TEXT(B1903,"mmmm"))</f>
        <v/>
      </c>
      <c r="N1903" s="16" t="str">
        <f t="shared" ref="N1903:N1911" si="1031">IF(AND(L1903=1,H1903=bb_akun),"Awe",IF(AND(L1903=1,I1903=bb_akun),"Awe",""))</f>
        <v/>
      </c>
      <c r="O1903" s="16" t="str">
        <f>IF(N1903="","",COUNTIF($N$8:N1903,N1903))</f>
        <v/>
      </c>
      <c r="P1903" s="34" t="str">
        <f t="shared" ref="P1903:P1911" si="1032">IFERROR(IF(OR(INDEX(akun_type,MATCH(H1903,akun_kb,0))="Kas",INDEX(akun_type,MATCH(H1903,akun_kb,0))="Bank"),"In"&amp;INDEX(akun_type,MATCH(I1903,akun_kb,0)),IF(OR(INDEX(akun_type,MATCH(I1903,akun_kb,0))="Kas",INDEX(akun_type,MATCH(I1903,akun_kb,0))="Bank"),"out"&amp;INDEX(akun_type,MATCH(H1903,akun_kb,0)),"")),"")</f>
        <v/>
      </c>
      <c r="Q1903" s="34" t="str">
        <f t="shared" ref="Q1903:Q1911" si="1033">IFERROR(IF(OR(INDEX(akun_type,MATCH(H1903,akun_kb,0))="Kas",INDEX(akun_type,MATCH(H1903,akun_kb,0))="Bank"),"in"&amp;TEXT(B1903,"mmmm")&amp;INDEX(akun_type,MATCH(I1903,akun_kb,0)),IF(OR(INDEX(akun_type,MATCH(I1903,akun_kb,0))="Kas",INDEX(akun_type,MATCH(I1903,akun_kb,0))="Bank"),"out"&amp;TEXT(B1903,"mmmm")&amp;INDEX(akun_type,MATCH(H1903,akun_kb,0)),"")),"")</f>
        <v/>
      </c>
      <c r="R1903" s="34" t="str">
        <f t="shared" ref="R1903:R1911" si="1034">IFERROR(INDEX(akun_type,MATCH(H1903,akun_kb,0)),"")</f>
        <v/>
      </c>
      <c r="S1903" s="34" t="str">
        <f t="shared" ref="S1903:S1911" si="1035">IFERROR(INDEX(akun_type,MATCH(I1903,akun_kb,0)),"")</f>
        <v/>
      </c>
      <c r="T1903" s="34" t="str">
        <f t="shared" ref="T1903:T1911" si="1036">IF(AND(L1903=1,OR(R1903="Akun Piutang",R1903="akun hutang",S1903="akun piutang",S1903="akun hutang")),E1903,"")</f>
        <v/>
      </c>
      <c r="U1903" s="34" t="str">
        <f>IF(AND(L1903=1,bp_kode=T1903,T1903&lt;&gt;""),COUNTIF($T$8:T1903,T1903),"")</f>
        <v/>
      </c>
      <c r="V1903" s="34" t="str">
        <f t="shared" ref="V1903:V1911" si="1037">IF(OR(R1903="Pendapatan",R1903="Pendapatan Lainnya",R1903="Beban",R1903="Harga Pokok Penjualan",R1903="Beban Lainnya"),"db"&amp;F1903,IF(OR(S1903="Pendapatan",S1903="Pendapatan Lainnya",S1903="Beban",S1903="Harga Pokok Penjualan",S1903="Beban Lainnya"),"kr"&amp;F1903,""))</f>
        <v/>
      </c>
      <c r="W1903" s="34" t="str">
        <f t="shared" ref="W1903:W1911" si="1038">IF(OR(R1903="Pendapatan",R1903="Pendapatan Lainnya",R1903="Beban",R1903="Harga Pokok Penjualan",R1903="Beban Lainnya"),"db"&amp;G1903,IF(OR(S1903="Pendapatan",S1903="Pendapatan Lainnya",S1903="Beban",S1903="Harga Pokok Penjualan",S1903="Beban Lainnya"),"kr"&amp;G1903,""))</f>
        <v/>
      </c>
      <c r="X1903" s="34" t="str">
        <f>IF(B1903="","",COUNTIF($C$8:C1903,C1903)&amp;C1903)</f>
        <v/>
      </c>
    </row>
    <row r="1904" spans="2:24" ht="23.1" customHeight="1">
      <c r="B1904" s="31"/>
      <c r="C1904" s="9"/>
      <c r="D1904" s="9"/>
      <c r="E1904" s="7"/>
      <c r="F1904" s="7"/>
      <c r="G1904" s="7"/>
      <c r="H1904" s="7"/>
      <c r="I1904" s="7"/>
      <c r="J1904" s="39"/>
      <c r="L1904" s="16" t="str">
        <f t="shared" si="1029"/>
        <v/>
      </c>
      <c r="M1904" s="16" t="str">
        <f t="shared" si="1030"/>
        <v/>
      </c>
      <c r="N1904" s="16" t="str">
        <f t="shared" si="1031"/>
        <v/>
      </c>
      <c r="O1904" s="16" t="str">
        <f>IF(N1904="","",COUNTIF($N$8:N1904,N1904))</f>
        <v/>
      </c>
      <c r="P1904" s="34" t="str">
        <f t="shared" si="1032"/>
        <v/>
      </c>
      <c r="Q1904" s="34" t="str">
        <f t="shared" si="1033"/>
        <v/>
      </c>
      <c r="R1904" s="34" t="str">
        <f t="shared" si="1034"/>
        <v/>
      </c>
      <c r="S1904" s="34" t="str">
        <f t="shared" si="1035"/>
        <v/>
      </c>
      <c r="T1904" s="34" t="str">
        <f t="shared" si="1036"/>
        <v/>
      </c>
      <c r="U1904" s="34" t="str">
        <f>IF(AND(L1904=1,bp_kode=T1904,T1904&lt;&gt;""),COUNTIF($T$8:T1904,T1904),"")</f>
        <v/>
      </c>
      <c r="V1904" s="34" t="str">
        <f t="shared" si="1037"/>
        <v/>
      </c>
      <c r="W1904" s="34" t="str">
        <f t="shared" si="1038"/>
        <v/>
      </c>
      <c r="X1904" s="34" t="str">
        <f>IF(B1904="","",COUNTIF($C$8:C1904,C1904)&amp;C1904)</f>
        <v/>
      </c>
    </row>
    <row r="1905" spans="2:24" ht="23.1" customHeight="1">
      <c r="B1905" s="31"/>
      <c r="C1905" s="9"/>
      <c r="D1905" s="9"/>
      <c r="E1905" s="7"/>
      <c r="F1905" s="7"/>
      <c r="G1905" s="7"/>
      <c r="H1905" s="7"/>
      <c r="I1905" s="7"/>
      <c r="J1905" s="39"/>
      <c r="L1905" s="16" t="str">
        <f t="shared" si="1029"/>
        <v/>
      </c>
      <c r="M1905" s="16" t="str">
        <f t="shared" si="1030"/>
        <v/>
      </c>
      <c r="N1905" s="16" t="str">
        <f t="shared" si="1031"/>
        <v/>
      </c>
      <c r="O1905" s="16" t="str">
        <f>IF(N1905="","",COUNTIF($N$8:N1905,N1905))</f>
        <v/>
      </c>
      <c r="P1905" s="34" t="str">
        <f t="shared" si="1032"/>
        <v/>
      </c>
      <c r="Q1905" s="34" t="str">
        <f t="shared" si="1033"/>
        <v/>
      </c>
      <c r="R1905" s="34" t="str">
        <f t="shared" si="1034"/>
        <v/>
      </c>
      <c r="S1905" s="34" t="str">
        <f t="shared" si="1035"/>
        <v/>
      </c>
      <c r="T1905" s="34" t="str">
        <f t="shared" si="1036"/>
        <v/>
      </c>
      <c r="U1905" s="34" t="str">
        <f>IF(AND(L1905=1,bp_kode=T1905,T1905&lt;&gt;""),COUNTIF($T$8:T1905,T1905),"")</f>
        <v/>
      </c>
      <c r="V1905" s="34" t="str">
        <f t="shared" si="1037"/>
        <v/>
      </c>
      <c r="W1905" s="34" t="str">
        <f t="shared" si="1038"/>
        <v/>
      </c>
      <c r="X1905" s="34" t="str">
        <f>IF(B1905="","",COUNTIF($C$8:C1905,C1905)&amp;C1905)</f>
        <v/>
      </c>
    </row>
    <row r="1906" spans="2:24" ht="23.1" customHeight="1">
      <c r="B1906" s="31"/>
      <c r="C1906" s="9"/>
      <c r="D1906" s="9"/>
      <c r="E1906" s="7"/>
      <c r="F1906" s="7"/>
      <c r="G1906" s="7"/>
      <c r="H1906" s="7"/>
      <c r="I1906" s="7"/>
      <c r="J1906" s="39"/>
      <c r="L1906" s="16" t="str">
        <f t="shared" si="1029"/>
        <v/>
      </c>
      <c r="M1906" s="16" t="str">
        <f t="shared" si="1030"/>
        <v/>
      </c>
      <c r="N1906" s="16" t="str">
        <f t="shared" si="1031"/>
        <v/>
      </c>
      <c r="O1906" s="16" t="str">
        <f>IF(N1906="","",COUNTIF($N$8:N1906,N1906))</f>
        <v/>
      </c>
      <c r="P1906" s="34" t="str">
        <f t="shared" si="1032"/>
        <v/>
      </c>
      <c r="Q1906" s="34" t="str">
        <f t="shared" si="1033"/>
        <v/>
      </c>
      <c r="R1906" s="34" t="str">
        <f t="shared" si="1034"/>
        <v/>
      </c>
      <c r="S1906" s="34" t="str">
        <f t="shared" si="1035"/>
        <v/>
      </c>
      <c r="T1906" s="34" t="str">
        <f t="shared" si="1036"/>
        <v/>
      </c>
      <c r="U1906" s="34" t="str">
        <f>IF(AND(L1906=1,bp_kode=T1906,T1906&lt;&gt;""),COUNTIF($T$8:T1906,T1906),"")</f>
        <v/>
      </c>
      <c r="V1906" s="34" t="str">
        <f t="shared" si="1037"/>
        <v/>
      </c>
      <c r="W1906" s="34" t="str">
        <f t="shared" si="1038"/>
        <v/>
      </c>
      <c r="X1906" s="34" t="str">
        <f>IF(B1906="","",COUNTIF($C$8:C1906,C1906)&amp;C1906)</f>
        <v/>
      </c>
    </row>
    <row r="1907" spans="2:24" ht="23.1" customHeight="1">
      <c r="B1907" s="31"/>
      <c r="C1907" s="9"/>
      <c r="D1907" s="9"/>
      <c r="E1907" s="7"/>
      <c r="F1907" s="7"/>
      <c r="G1907" s="7"/>
      <c r="H1907" s="7"/>
      <c r="I1907" s="7"/>
      <c r="J1907" s="39"/>
      <c r="L1907" s="16" t="str">
        <f t="shared" si="1029"/>
        <v/>
      </c>
      <c r="M1907" s="16" t="str">
        <f t="shared" si="1030"/>
        <v/>
      </c>
      <c r="N1907" s="16" t="str">
        <f t="shared" si="1031"/>
        <v/>
      </c>
      <c r="O1907" s="16" t="str">
        <f>IF(N1907="","",COUNTIF($N$8:N1907,N1907))</f>
        <v/>
      </c>
      <c r="P1907" s="34" t="str">
        <f t="shared" si="1032"/>
        <v/>
      </c>
      <c r="Q1907" s="34" t="str">
        <f t="shared" si="1033"/>
        <v/>
      </c>
      <c r="R1907" s="34" t="str">
        <f t="shared" si="1034"/>
        <v/>
      </c>
      <c r="S1907" s="34" t="str">
        <f t="shared" si="1035"/>
        <v/>
      </c>
      <c r="T1907" s="34" t="str">
        <f t="shared" si="1036"/>
        <v/>
      </c>
      <c r="U1907" s="34" t="str">
        <f>IF(AND(L1907=1,bp_kode=T1907,T1907&lt;&gt;""),COUNTIF($T$8:T1907,T1907),"")</f>
        <v/>
      </c>
      <c r="V1907" s="34" t="str">
        <f t="shared" si="1037"/>
        <v/>
      </c>
      <c r="W1907" s="34" t="str">
        <f t="shared" si="1038"/>
        <v/>
      </c>
      <c r="X1907" s="34" t="str">
        <f>IF(B1907="","",COUNTIF($C$8:C1907,C1907)&amp;C1907)</f>
        <v/>
      </c>
    </row>
    <row r="1908" spans="2:24" ht="23.1" customHeight="1">
      <c r="B1908" s="31"/>
      <c r="C1908" s="9"/>
      <c r="D1908" s="9"/>
      <c r="E1908" s="7"/>
      <c r="F1908" s="7"/>
      <c r="G1908" s="7"/>
      <c r="H1908" s="7"/>
      <c r="I1908" s="7"/>
      <c r="J1908" s="39"/>
      <c r="L1908" s="16" t="str">
        <f t="shared" si="1029"/>
        <v/>
      </c>
      <c r="M1908" s="16" t="str">
        <f t="shared" si="1030"/>
        <v/>
      </c>
      <c r="N1908" s="16" t="str">
        <f t="shared" si="1031"/>
        <v/>
      </c>
      <c r="O1908" s="16" t="str">
        <f>IF(N1908="","",COUNTIF($N$8:N1908,N1908))</f>
        <v/>
      </c>
      <c r="P1908" s="34" t="str">
        <f t="shared" si="1032"/>
        <v/>
      </c>
      <c r="Q1908" s="34" t="str">
        <f t="shared" si="1033"/>
        <v/>
      </c>
      <c r="R1908" s="34" t="str">
        <f t="shared" si="1034"/>
        <v/>
      </c>
      <c r="S1908" s="34" t="str">
        <f t="shared" si="1035"/>
        <v/>
      </c>
      <c r="T1908" s="34" t="str">
        <f t="shared" si="1036"/>
        <v/>
      </c>
      <c r="U1908" s="34" t="str">
        <f>IF(AND(L1908=1,bp_kode=T1908,T1908&lt;&gt;""),COUNTIF($T$8:T1908,T1908),"")</f>
        <v/>
      </c>
      <c r="V1908" s="34" t="str">
        <f t="shared" si="1037"/>
        <v/>
      </c>
      <c r="W1908" s="34" t="str">
        <f t="shared" si="1038"/>
        <v/>
      </c>
      <c r="X1908" s="34" t="str">
        <f>IF(B1908="","",COUNTIF($C$8:C1908,C1908)&amp;C1908)</f>
        <v/>
      </c>
    </row>
    <row r="1909" spans="2:24" ht="23.1" customHeight="1">
      <c r="B1909" s="31"/>
      <c r="C1909" s="9"/>
      <c r="D1909" s="9"/>
      <c r="E1909" s="7"/>
      <c r="F1909" s="7"/>
      <c r="G1909" s="7"/>
      <c r="H1909" s="7"/>
      <c r="I1909" s="7"/>
      <c r="J1909" s="39"/>
      <c r="L1909" s="16" t="str">
        <f t="shared" si="1029"/>
        <v/>
      </c>
      <c r="M1909" s="16" t="str">
        <f t="shared" si="1030"/>
        <v/>
      </c>
      <c r="N1909" s="16" t="str">
        <f t="shared" si="1031"/>
        <v/>
      </c>
      <c r="O1909" s="16" t="str">
        <f>IF(N1909="","",COUNTIF($N$8:N1909,N1909))</f>
        <v/>
      </c>
      <c r="P1909" s="34" t="str">
        <f t="shared" si="1032"/>
        <v/>
      </c>
      <c r="Q1909" s="34" t="str">
        <f t="shared" si="1033"/>
        <v/>
      </c>
      <c r="R1909" s="34" t="str">
        <f t="shared" si="1034"/>
        <v/>
      </c>
      <c r="S1909" s="34" t="str">
        <f t="shared" si="1035"/>
        <v/>
      </c>
      <c r="T1909" s="34" t="str">
        <f t="shared" si="1036"/>
        <v/>
      </c>
      <c r="U1909" s="34" t="str">
        <f>IF(AND(L1909=1,bp_kode=T1909,T1909&lt;&gt;""),COUNTIF($T$8:T1909,T1909),"")</f>
        <v/>
      </c>
      <c r="V1909" s="34" t="str">
        <f t="shared" si="1037"/>
        <v/>
      </c>
      <c r="W1909" s="34" t="str">
        <f t="shared" si="1038"/>
        <v/>
      </c>
      <c r="X1909" s="34" t="str">
        <f>IF(B1909="","",COUNTIF($C$8:C1909,C1909)&amp;C1909)</f>
        <v/>
      </c>
    </row>
    <row r="1910" spans="2:24" ht="23.1" customHeight="1">
      <c r="B1910" s="31"/>
      <c r="C1910" s="9"/>
      <c r="D1910" s="9"/>
      <c r="E1910" s="7"/>
      <c r="F1910" s="7"/>
      <c r="G1910" s="7"/>
      <c r="H1910" s="7"/>
      <c r="I1910" s="7"/>
      <c r="J1910" s="39"/>
      <c r="L1910" s="16" t="str">
        <f t="shared" si="1029"/>
        <v/>
      </c>
      <c r="M1910" s="16" t="str">
        <f t="shared" si="1030"/>
        <v/>
      </c>
      <c r="N1910" s="16" t="str">
        <f t="shared" si="1031"/>
        <v/>
      </c>
      <c r="O1910" s="16" t="str">
        <f>IF(N1910="","",COUNTIF($N$8:N1910,N1910))</f>
        <v/>
      </c>
      <c r="P1910" s="34" t="str">
        <f t="shared" si="1032"/>
        <v/>
      </c>
      <c r="Q1910" s="34" t="str">
        <f t="shared" si="1033"/>
        <v/>
      </c>
      <c r="R1910" s="34" t="str">
        <f t="shared" si="1034"/>
        <v/>
      </c>
      <c r="S1910" s="34" t="str">
        <f t="shared" si="1035"/>
        <v/>
      </c>
      <c r="T1910" s="34" t="str">
        <f t="shared" si="1036"/>
        <v/>
      </c>
      <c r="U1910" s="34" t="str">
        <f>IF(AND(L1910=1,bp_kode=T1910,T1910&lt;&gt;""),COUNTIF($T$8:T1910,T1910),"")</f>
        <v/>
      </c>
      <c r="V1910" s="34" t="str">
        <f t="shared" si="1037"/>
        <v/>
      </c>
      <c r="W1910" s="34" t="str">
        <f t="shared" si="1038"/>
        <v/>
      </c>
      <c r="X1910" s="34" t="str">
        <f>IF(B1910="","",COUNTIF($C$8:C1910,C1910)&amp;C1910)</f>
        <v/>
      </c>
    </row>
    <row r="1911" spans="2:24" ht="23.1" customHeight="1">
      <c r="B1911" s="31"/>
      <c r="C1911" s="9"/>
      <c r="D1911" s="9"/>
      <c r="E1911" s="7"/>
      <c r="F1911" s="7"/>
      <c r="G1911" s="7"/>
      <c r="H1911" s="7"/>
      <c r="I1911" s="7"/>
      <c r="J1911" s="39"/>
      <c r="L1911" s="16" t="str">
        <f t="shared" si="1029"/>
        <v/>
      </c>
      <c r="M1911" s="16" t="str">
        <f t="shared" si="1030"/>
        <v/>
      </c>
      <c r="N1911" s="16" t="str">
        <f t="shared" si="1031"/>
        <v/>
      </c>
      <c r="O1911" s="16" t="str">
        <f>IF(N1911="","",COUNTIF($N$8:N1911,N1911))</f>
        <v/>
      </c>
      <c r="P1911" s="34" t="str">
        <f t="shared" si="1032"/>
        <v/>
      </c>
      <c r="Q1911" s="34" t="str">
        <f t="shared" si="1033"/>
        <v/>
      </c>
      <c r="R1911" s="34" t="str">
        <f t="shared" si="1034"/>
        <v/>
      </c>
      <c r="S1911" s="34" t="str">
        <f t="shared" si="1035"/>
        <v/>
      </c>
      <c r="T1911" s="34" t="str">
        <f t="shared" si="1036"/>
        <v/>
      </c>
      <c r="U1911" s="34" t="str">
        <f>IF(AND(L1911=1,bp_kode=T1911,T1911&lt;&gt;""),COUNTIF($T$8:T1911,T1911),"")</f>
        <v/>
      </c>
      <c r="V1911" s="34" t="str">
        <f t="shared" si="1037"/>
        <v/>
      </c>
      <c r="W1911" s="34" t="str">
        <f t="shared" si="1038"/>
        <v/>
      </c>
      <c r="X1911" s="34" t="str">
        <f>IF(B1911="","",COUNTIF($C$8:C1911,C1911)&amp;C1911)</f>
        <v/>
      </c>
    </row>
    <row r="1912" spans="2:24" ht="23.1" customHeight="1">
      <c r="B1912" s="31"/>
      <c r="C1912" s="9"/>
      <c r="D1912" s="9"/>
      <c r="E1912" s="7"/>
      <c r="F1912" s="7"/>
      <c r="G1912" s="7"/>
      <c r="H1912" s="7"/>
      <c r="I1912" s="7"/>
      <c r="J1912" s="39"/>
      <c r="L1912" s="16" t="str">
        <f t="shared" ref="L1912:L1953" si="1039">IF(AND(B1912&gt;=awal,B1912&lt;=akhir,B1912&lt;&gt;""),1,IF(AND(B1912&lt;&gt;"",B1912&lt;awal),2,""))</f>
        <v/>
      </c>
      <c r="M1912" s="16" t="str">
        <f t="shared" ref="M1912:M1953" si="1040">IF(B1912="","",TEXT(B1912,"mmmm"))</f>
        <v/>
      </c>
      <c r="N1912" s="16" t="str">
        <f t="shared" ref="N1912:N1953" si="1041">IF(AND(L1912=1,H1912=bb_akun),"Awe",IF(AND(L1912=1,I1912=bb_akun),"Awe",""))</f>
        <v/>
      </c>
      <c r="O1912" s="16" t="str">
        <f>IF(N1912="","",COUNTIF($N$8:N1912,N1912))</f>
        <v/>
      </c>
      <c r="P1912" s="34" t="str">
        <f t="shared" ref="P1912:P1953" si="1042">IFERROR(IF(OR(INDEX(akun_type,MATCH(H1912,akun_kb,0))="Kas",INDEX(akun_type,MATCH(H1912,akun_kb,0))="Bank"),"In"&amp;INDEX(akun_type,MATCH(I1912,akun_kb,0)),IF(OR(INDEX(akun_type,MATCH(I1912,akun_kb,0))="Kas",INDEX(akun_type,MATCH(I1912,akun_kb,0))="Bank"),"out"&amp;INDEX(akun_type,MATCH(H1912,akun_kb,0)),"")),"")</f>
        <v/>
      </c>
      <c r="Q1912" s="34" t="str">
        <f t="shared" ref="Q1912:Q1953" si="1043">IFERROR(IF(OR(INDEX(akun_type,MATCH(H1912,akun_kb,0))="Kas",INDEX(akun_type,MATCH(H1912,akun_kb,0))="Bank"),"in"&amp;TEXT(B1912,"mmmm")&amp;INDEX(akun_type,MATCH(I1912,akun_kb,0)),IF(OR(INDEX(akun_type,MATCH(I1912,akun_kb,0))="Kas",INDEX(akun_type,MATCH(I1912,akun_kb,0))="Bank"),"out"&amp;TEXT(B1912,"mmmm")&amp;INDEX(akun_type,MATCH(H1912,akun_kb,0)),"")),"")</f>
        <v/>
      </c>
      <c r="R1912" s="34" t="str">
        <f t="shared" ref="R1912:R1953" si="1044">IFERROR(INDEX(akun_type,MATCH(H1912,akun_kb,0)),"")</f>
        <v/>
      </c>
      <c r="S1912" s="34" t="str">
        <f t="shared" ref="S1912:S1953" si="1045">IFERROR(INDEX(akun_type,MATCH(I1912,akun_kb,0)),"")</f>
        <v/>
      </c>
      <c r="T1912" s="34" t="str">
        <f t="shared" ref="T1912:T1953" si="1046">IF(AND(L1912=1,OR(R1912="Akun Piutang",R1912="akun hutang",S1912="akun piutang",S1912="akun hutang")),E1912,"")</f>
        <v/>
      </c>
      <c r="U1912" s="34" t="str">
        <f>IF(AND(L1912=1,bp_kode=T1912,T1912&lt;&gt;""),COUNTIF($T$8:T1912,T1912),"")</f>
        <v/>
      </c>
      <c r="V1912" s="34" t="str">
        <f t="shared" ref="V1912:V1953" si="1047">IF(OR(R1912="Pendapatan",R1912="Pendapatan Lainnya",R1912="Beban",R1912="Harga Pokok Penjualan",R1912="Beban Lainnya"),"db"&amp;F1912,IF(OR(S1912="Pendapatan",S1912="Pendapatan Lainnya",S1912="Beban",S1912="Harga Pokok Penjualan",S1912="Beban Lainnya"),"kr"&amp;F1912,""))</f>
        <v/>
      </c>
      <c r="W1912" s="34" t="str">
        <f t="shared" ref="W1912:W1953" si="1048">IF(OR(R1912="Pendapatan",R1912="Pendapatan Lainnya",R1912="Beban",R1912="Harga Pokok Penjualan",R1912="Beban Lainnya"),"db"&amp;G1912,IF(OR(S1912="Pendapatan",S1912="Pendapatan Lainnya",S1912="Beban",S1912="Harga Pokok Penjualan",S1912="Beban Lainnya"),"kr"&amp;G1912,""))</f>
        <v/>
      </c>
      <c r="X1912" s="34" t="str">
        <f>IF(B1912="","",COUNTIF($C$8:C1912,C1912)&amp;C1912)</f>
        <v/>
      </c>
    </row>
    <row r="1913" spans="2:24" ht="23.1" customHeight="1">
      <c r="B1913" s="31"/>
      <c r="C1913" s="9"/>
      <c r="D1913" s="9"/>
      <c r="E1913" s="7"/>
      <c r="F1913" s="7"/>
      <c r="G1913" s="7"/>
      <c r="H1913" s="7"/>
      <c r="I1913" s="7"/>
      <c r="J1913" s="39"/>
      <c r="L1913" s="16" t="str">
        <f t="shared" si="1039"/>
        <v/>
      </c>
      <c r="M1913" s="16" t="str">
        <f t="shared" si="1040"/>
        <v/>
      </c>
      <c r="N1913" s="16" t="str">
        <f t="shared" si="1041"/>
        <v/>
      </c>
      <c r="O1913" s="16" t="str">
        <f>IF(N1913="","",COUNTIF($N$8:N1913,N1913))</f>
        <v/>
      </c>
      <c r="P1913" s="34" t="str">
        <f t="shared" si="1042"/>
        <v/>
      </c>
      <c r="Q1913" s="34" t="str">
        <f t="shared" si="1043"/>
        <v/>
      </c>
      <c r="R1913" s="34" t="str">
        <f t="shared" si="1044"/>
        <v/>
      </c>
      <c r="S1913" s="34" t="str">
        <f t="shared" si="1045"/>
        <v/>
      </c>
      <c r="T1913" s="34" t="str">
        <f t="shared" si="1046"/>
        <v/>
      </c>
      <c r="U1913" s="34" t="str">
        <f>IF(AND(L1913=1,bp_kode=T1913,T1913&lt;&gt;""),COUNTIF($T$8:T1913,T1913),"")</f>
        <v/>
      </c>
      <c r="V1913" s="34" t="str">
        <f t="shared" si="1047"/>
        <v/>
      </c>
      <c r="W1913" s="34" t="str">
        <f t="shared" si="1048"/>
        <v/>
      </c>
      <c r="X1913" s="34" t="str">
        <f>IF(B1913="","",COUNTIF($C$8:C1913,C1913)&amp;C1913)</f>
        <v/>
      </c>
    </row>
    <row r="1914" spans="2:24" ht="23.1" customHeight="1">
      <c r="B1914" s="31"/>
      <c r="C1914" s="9"/>
      <c r="D1914" s="9"/>
      <c r="E1914" s="7"/>
      <c r="F1914" s="7"/>
      <c r="G1914" s="7"/>
      <c r="H1914" s="7"/>
      <c r="I1914" s="7"/>
      <c r="J1914" s="39"/>
      <c r="L1914" s="16" t="str">
        <f t="shared" si="1039"/>
        <v/>
      </c>
      <c r="M1914" s="16" t="str">
        <f t="shared" si="1040"/>
        <v/>
      </c>
      <c r="N1914" s="16" t="str">
        <f t="shared" si="1041"/>
        <v/>
      </c>
      <c r="O1914" s="16" t="str">
        <f>IF(N1914="","",COUNTIF($N$8:N1914,N1914))</f>
        <v/>
      </c>
      <c r="P1914" s="34" t="str">
        <f t="shared" si="1042"/>
        <v/>
      </c>
      <c r="Q1914" s="34" t="str">
        <f t="shared" si="1043"/>
        <v/>
      </c>
      <c r="R1914" s="34" t="str">
        <f t="shared" si="1044"/>
        <v/>
      </c>
      <c r="S1914" s="34" t="str">
        <f t="shared" si="1045"/>
        <v/>
      </c>
      <c r="T1914" s="34" t="str">
        <f t="shared" si="1046"/>
        <v/>
      </c>
      <c r="U1914" s="34" t="str">
        <f>IF(AND(L1914=1,bp_kode=T1914,T1914&lt;&gt;""),COUNTIF($T$8:T1914,T1914),"")</f>
        <v/>
      </c>
      <c r="V1914" s="34" t="str">
        <f t="shared" si="1047"/>
        <v/>
      </c>
      <c r="W1914" s="34" t="str">
        <f t="shared" si="1048"/>
        <v/>
      </c>
      <c r="X1914" s="34" t="str">
        <f>IF(B1914="","",COUNTIF($C$8:C1914,C1914)&amp;C1914)</f>
        <v/>
      </c>
    </row>
    <row r="1915" spans="2:24" ht="23.1" customHeight="1">
      <c r="B1915" s="31"/>
      <c r="C1915" s="9"/>
      <c r="D1915" s="9"/>
      <c r="E1915" s="7"/>
      <c r="F1915" s="7"/>
      <c r="G1915" s="7"/>
      <c r="H1915" s="7"/>
      <c r="I1915" s="7"/>
      <c r="J1915" s="39"/>
      <c r="L1915" s="16" t="str">
        <f t="shared" si="1039"/>
        <v/>
      </c>
      <c r="M1915" s="16" t="str">
        <f t="shared" si="1040"/>
        <v/>
      </c>
      <c r="N1915" s="16" t="str">
        <f t="shared" si="1041"/>
        <v/>
      </c>
      <c r="O1915" s="16" t="str">
        <f>IF(N1915="","",COUNTIF($N$8:N1915,N1915))</f>
        <v/>
      </c>
      <c r="P1915" s="34" t="str">
        <f t="shared" si="1042"/>
        <v/>
      </c>
      <c r="Q1915" s="34" t="str">
        <f t="shared" si="1043"/>
        <v/>
      </c>
      <c r="R1915" s="34" t="str">
        <f t="shared" si="1044"/>
        <v/>
      </c>
      <c r="S1915" s="34" t="str">
        <f t="shared" si="1045"/>
        <v/>
      </c>
      <c r="T1915" s="34" t="str">
        <f t="shared" si="1046"/>
        <v/>
      </c>
      <c r="U1915" s="34" t="str">
        <f>IF(AND(L1915=1,bp_kode=T1915,T1915&lt;&gt;""),COUNTIF($T$8:T1915,T1915),"")</f>
        <v/>
      </c>
      <c r="V1915" s="34" t="str">
        <f t="shared" si="1047"/>
        <v/>
      </c>
      <c r="W1915" s="34" t="str">
        <f t="shared" si="1048"/>
        <v/>
      </c>
      <c r="X1915" s="34" t="str">
        <f>IF(B1915="","",COUNTIF($C$8:C1915,C1915)&amp;C1915)</f>
        <v/>
      </c>
    </row>
    <row r="1916" spans="2:24" ht="23.1" customHeight="1">
      <c r="B1916" s="31"/>
      <c r="C1916" s="9"/>
      <c r="D1916" s="9"/>
      <c r="E1916" s="7"/>
      <c r="F1916" s="7"/>
      <c r="G1916" s="7"/>
      <c r="H1916" s="7"/>
      <c r="I1916" s="7"/>
      <c r="J1916" s="39"/>
      <c r="L1916" s="16" t="str">
        <f t="shared" si="1039"/>
        <v/>
      </c>
      <c r="M1916" s="16" t="str">
        <f t="shared" si="1040"/>
        <v/>
      </c>
      <c r="N1916" s="16" t="str">
        <f t="shared" si="1041"/>
        <v/>
      </c>
      <c r="O1916" s="16" t="str">
        <f>IF(N1916="","",COUNTIF($N$8:N1916,N1916))</f>
        <v/>
      </c>
      <c r="P1916" s="34" t="str">
        <f t="shared" si="1042"/>
        <v/>
      </c>
      <c r="Q1916" s="34" t="str">
        <f t="shared" si="1043"/>
        <v/>
      </c>
      <c r="R1916" s="34" t="str">
        <f t="shared" si="1044"/>
        <v/>
      </c>
      <c r="S1916" s="34" t="str">
        <f t="shared" si="1045"/>
        <v/>
      </c>
      <c r="T1916" s="34" t="str">
        <f t="shared" si="1046"/>
        <v/>
      </c>
      <c r="U1916" s="34" t="str">
        <f>IF(AND(L1916=1,bp_kode=T1916,T1916&lt;&gt;""),COUNTIF($T$8:T1916,T1916),"")</f>
        <v/>
      </c>
      <c r="V1916" s="34" t="str">
        <f t="shared" si="1047"/>
        <v/>
      </c>
      <c r="W1916" s="34" t="str">
        <f t="shared" si="1048"/>
        <v/>
      </c>
      <c r="X1916" s="34" t="str">
        <f>IF(B1916="","",COUNTIF($C$8:C1916,C1916)&amp;C1916)</f>
        <v/>
      </c>
    </row>
    <row r="1917" spans="2:24" ht="23.1" customHeight="1">
      <c r="B1917" s="31"/>
      <c r="C1917" s="9"/>
      <c r="D1917" s="9"/>
      <c r="E1917" s="7"/>
      <c r="F1917" s="7"/>
      <c r="G1917" s="7"/>
      <c r="H1917" s="7"/>
      <c r="I1917" s="7"/>
      <c r="J1917" s="39"/>
      <c r="L1917" s="16" t="str">
        <f t="shared" si="1039"/>
        <v/>
      </c>
      <c r="M1917" s="16" t="str">
        <f t="shared" si="1040"/>
        <v/>
      </c>
      <c r="N1917" s="16" t="str">
        <f t="shared" si="1041"/>
        <v/>
      </c>
      <c r="O1917" s="16" t="str">
        <f>IF(N1917="","",COUNTIF($N$8:N1917,N1917))</f>
        <v/>
      </c>
      <c r="P1917" s="34" t="str">
        <f t="shared" si="1042"/>
        <v/>
      </c>
      <c r="Q1917" s="34" t="str">
        <f t="shared" si="1043"/>
        <v/>
      </c>
      <c r="R1917" s="34" t="str">
        <f t="shared" si="1044"/>
        <v/>
      </c>
      <c r="S1917" s="34" t="str">
        <f t="shared" si="1045"/>
        <v/>
      </c>
      <c r="T1917" s="34" t="str">
        <f t="shared" si="1046"/>
        <v/>
      </c>
      <c r="U1917" s="34" t="str">
        <f>IF(AND(L1917=1,bp_kode=T1917,T1917&lt;&gt;""),COUNTIF($T$8:T1917,T1917),"")</f>
        <v/>
      </c>
      <c r="V1917" s="34" t="str">
        <f t="shared" si="1047"/>
        <v/>
      </c>
      <c r="W1917" s="34" t="str">
        <f t="shared" si="1048"/>
        <v/>
      </c>
      <c r="X1917" s="34" t="str">
        <f>IF(B1917="","",COUNTIF($C$8:C1917,C1917)&amp;C1917)</f>
        <v/>
      </c>
    </row>
    <row r="1918" spans="2:24" ht="23.1" customHeight="1">
      <c r="B1918" s="31"/>
      <c r="C1918" s="9"/>
      <c r="D1918" s="9"/>
      <c r="E1918" s="7"/>
      <c r="F1918" s="7"/>
      <c r="G1918" s="7"/>
      <c r="H1918" s="7"/>
      <c r="I1918" s="7"/>
      <c r="J1918" s="39"/>
      <c r="L1918" s="16" t="str">
        <f t="shared" si="1039"/>
        <v/>
      </c>
      <c r="M1918" s="16" t="str">
        <f t="shared" si="1040"/>
        <v/>
      </c>
      <c r="N1918" s="16" t="str">
        <f t="shared" si="1041"/>
        <v/>
      </c>
      <c r="O1918" s="16" t="str">
        <f>IF(N1918="","",COUNTIF($N$8:N1918,N1918))</f>
        <v/>
      </c>
      <c r="P1918" s="34" t="str">
        <f t="shared" si="1042"/>
        <v/>
      </c>
      <c r="Q1918" s="34" t="str">
        <f t="shared" si="1043"/>
        <v/>
      </c>
      <c r="R1918" s="34" t="str">
        <f t="shared" si="1044"/>
        <v/>
      </c>
      <c r="S1918" s="34" t="str">
        <f t="shared" si="1045"/>
        <v/>
      </c>
      <c r="T1918" s="34" t="str">
        <f t="shared" si="1046"/>
        <v/>
      </c>
      <c r="U1918" s="34" t="str">
        <f>IF(AND(L1918=1,bp_kode=T1918,T1918&lt;&gt;""),COUNTIF($T$8:T1918,T1918),"")</f>
        <v/>
      </c>
      <c r="V1918" s="34" t="str">
        <f t="shared" si="1047"/>
        <v/>
      </c>
      <c r="W1918" s="34" t="str">
        <f t="shared" si="1048"/>
        <v/>
      </c>
      <c r="X1918" s="34" t="str">
        <f>IF(B1918="","",COUNTIF($C$8:C1918,C1918)&amp;C1918)</f>
        <v/>
      </c>
    </row>
    <row r="1919" spans="2:24" ht="23.1" customHeight="1">
      <c r="B1919" s="31"/>
      <c r="C1919" s="9"/>
      <c r="D1919" s="9"/>
      <c r="E1919" s="7"/>
      <c r="F1919" s="7"/>
      <c r="G1919" s="7"/>
      <c r="H1919" s="7"/>
      <c r="I1919" s="7"/>
      <c r="J1919" s="39"/>
      <c r="L1919" s="16" t="str">
        <f t="shared" si="1039"/>
        <v/>
      </c>
      <c r="M1919" s="16" t="str">
        <f t="shared" si="1040"/>
        <v/>
      </c>
      <c r="N1919" s="16" t="str">
        <f t="shared" si="1041"/>
        <v/>
      </c>
      <c r="O1919" s="16" t="str">
        <f>IF(N1919="","",COUNTIF($N$8:N1919,N1919))</f>
        <v/>
      </c>
      <c r="P1919" s="34" t="str">
        <f t="shared" si="1042"/>
        <v/>
      </c>
      <c r="Q1919" s="34" t="str">
        <f t="shared" si="1043"/>
        <v/>
      </c>
      <c r="R1919" s="34" t="str">
        <f t="shared" si="1044"/>
        <v/>
      </c>
      <c r="S1919" s="34" t="str">
        <f t="shared" si="1045"/>
        <v/>
      </c>
      <c r="T1919" s="34" t="str">
        <f t="shared" si="1046"/>
        <v/>
      </c>
      <c r="U1919" s="34" t="str">
        <f>IF(AND(L1919=1,bp_kode=T1919,T1919&lt;&gt;""),COUNTIF($T$8:T1919,T1919),"")</f>
        <v/>
      </c>
      <c r="V1919" s="34" t="str">
        <f t="shared" si="1047"/>
        <v/>
      </c>
      <c r="W1919" s="34" t="str">
        <f t="shared" si="1048"/>
        <v/>
      </c>
      <c r="X1919" s="34" t="str">
        <f>IF(B1919="","",COUNTIF($C$8:C1919,C1919)&amp;C1919)</f>
        <v/>
      </c>
    </row>
    <row r="1920" spans="2:24" ht="23.1" customHeight="1">
      <c r="B1920" s="31"/>
      <c r="C1920" s="9"/>
      <c r="D1920" s="9"/>
      <c r="E1920" s="7"/>
      <c r="F1920" s="7"/>
      <c r="G1920" s="7"/>
      <c r="H1920" s="7"/>
      <c r="I1920" s="7"/>
      <c r="J1920" s="39"/>
      <c r="L1920" s="16" t="str">
        <f t="shared" si="1039"/>
        <v/>
      </c>
      <c r="M1920" s="16" t="str">
        <f t="shared" si="1040"/>
        <v/>
      </c>
      <c r="N1920" s="16" t="str">
        <f t="shared" si="1041"/>
        <v/>
      </c>
      <c r="O1920" s="16" t="str">
        <f>IF(N1920="","",COUNTIF($N$8:N1920,N1920))</f>
        <v/>
      </c>
      <c r="P1920" s="34" t="str">
        <f t="shared" si="1042"/>
        <v/>
      </c>
      <c r="Q1920" s="34" t="str">
        <f t="shared" si="1043"/>
        <v/>
      </c>
      <c r="R1920" s="34" t="str">
        <f t="shared" si="1044"/>
        <v/>
      </c>
      <c r="S1920" s="34" t="str">
        <f t="shared" si="1045"/>
        <v/>
      </c>
      <c r="T1920" s="34" t="str">
        <f t="shared" si="1046"/>
        <v/>
      </c>
      <c r="U1920" s="34" t="str">
        <f>IF(AND(L1920=1,bp_kode=T1920,T1920&lt;&gt;""),COUNTIF($T$8:T1920,T1920),"")</f>
        <v/>
      </c>
      <c r="V1920" s="34" t="str">
        <f t="shared" si="1047"/>
        <v/>
      </c>
      <c r="W1920" s="34" t="str">
        <f t="shared" si="1048"/>
        <v/>
      </c>
      <c r="X1920" s="34" t="str">
        <f>IF(B1920="","",COUNTIF($C$8:C1920,C1920)&amp;C1920)</f>
        <v/>
      </c>
    </row>
    <row r="1921" spans="2:24" ht="23.1" customHeight="1">
      <c r="B1921" s="31"/>
      <c r="C1921" s="9"/>
      <c r="D1921" s="9"/>
      <c r="E1921" s="7"/>
      <c r="F1921" s="7"/>
      <c r="G1921" s="7"/>
      <c r="H1921" s="7"/>
      <c r="I1921" s="7"/>
      <c r="J1921" s="39"/>
      <c r="L1921" s="16" t="str">
        <f t="shared" si="1039"/>
        <v/>
      </c>
      <c r="M1921" s="16" t="str">
        <f t="shared" si="1040"/>
        <v/>
      </c>
      <c r="N1921" s="16" t="str">
        <f t="shared" si="1041"/>
        <v/>
      </c>
      <c r="O1921" s="16" t="str">
        <f>IF(N1921="","",COUNTIF($N$8:N1921,N1921))</f>
        <v/>
      </c>
      <c r="P1921" s="34" t="str">
        <f t="shared" si="1042"/>
        <v/>
      </c>
      <c r="Q1921" s="34" t="str">
        <f t="shared" si="1043"/>
        <v/>
      </c>
      <c r="R1921" s="34" t="str">
        <f t="shared" si="1044"/>
        <v/>
      </c>
      <c r="S1921" s="34" t="str">
        <f t="shared" si="1045"/>
        <v/>
      </c>
      <c r="T1921" s="34" t="str">
        <f t="shared" si="1046"/>
        <v/>
      </c>
      <c r="U1921" s="34" t="str">
        <f>IF(AND(L1921=1,bp_kode=T1921,T1921&lt;&gt;""),COUNTIF($T$8:T1921,T1921),"")</f>
        <v/>
      </c>
      <c r="V1921" s="34" t="str">
        <f t="shared" si="1047"/>
        <v/>
      </c>
      <c r="W1921" s="34" t="str">
        <f t="shared" si="1048"/>
        <v/>
      </c>
      <c r="X1921" s="34" t="str">
        <f>IF(B1921="","",COUNTIF($C$8:C1921,C1921)&amp;C1921)</f>
        <v/>
      </c>
    </row>
    <row r="1922" spans="2:24" ht="23.1" customHeight="1">
      <c r="B1922" s="31"/>
      <c r="C1922" s="9"/>
      <c r="D1922" s="9"/>
      <c r="E1922" s="7"/>
      <c r="F1922" s="7"/>
      <c r="G1922" s="7"/>
      <c r="H1922" s="7"/>
      <c r="I1922" s="7"/>
      <c r="J1922" s="39"/>
      <c r="L1922" s="16" t="str">
        <f t="shared" si="1039"/>
        <v/>
      </c>
      <c r="M1922" s="16" t="str">
        <f t="shared" si="1040"/>
        <v/>
      </c>
      <c r="N1922" s="16" t="str">
        <f t="shared" si="1041"/>
        <v/>
      </c>
      <c r="O1922" s="16" t="str">
        <f>IF(N1922="","",COUNTIF($N$8:N1922,N1922))</f>
        <v/>
      </c>
      <c r="P1922" s="34" t="str">
        <f t="shared" si="1042"/>
        <v/>
      </c>
      <c r="Q1922" s="34" t="str">
        <f t="shared" si="1043"/>
        <v/>
      </c>
      <c r="R1922" s="34" t="str">
        <f t="shared" si="1044"/>
        <v/>
      </c>
      <c r="S1922" s="34" t="str">
        <f t="shared" si="1045"/>
        <v/>
      </c>
      <c r="T1922" s="34" t="str">
        <f t="shared" si="1046"/>
        <v/>
      </c>
      <c r="U1922" s="34" t="str">
        <f>IF(AND(L1922=1,bp_kode=T1922,T1922&lt;&gt;""),COUNTIF($T$8:T1922,T1922),"")</f>
        <v/>
      </c>
      <c r="V1922" s="34" t="str">
        <f t="shared" si="1047"/>
        <v/>
      </c>
      <c r="W1922" s="34" t="str">
        <f t="shared" si="1048"/>
        <v/>
      </c>
      <c r="X1922" s="34" t="str">
        <f>IF(B1922="","",COUNTIF($C$8:C1922,C1922)&amp;C1922)</f>
        <v/>
      </c>
    </row>
    <row r="1923" spans="2:24" ht="23.1" customHeight="1">
      <c r="B1923" s="31"/>
      <c r="C1923" s="9"/>
      <c r="D1923" s="9"/>
      <c r="E1923" s="7"/>
      <c r="F1923" s="7"/>
      <c r="G1923" s="7"/>
      <c r="H1923" s="7"/>
      <c r="I1923" s="7"/>
      <c r="J1923" s="39"/>
      <c r="L1923" s="16" t="str">
        <f t="shared" si="1039"/>
        <v/>
      </c>
      <c r="M1923" s="16" t="str">
        <f t="shared" si="1040"/>
        <v/>
      </c>
      <c r="N1923" s="16" t="str">
        <f t="shared" si="1041"/>
        <v/>
      </c>
      <c r="O1923" s="16" t="str">
        <f>IF(N1923="","",COUNTIF($N$8:N1923,N1923))</f>
        <v/>
      </c>
      <c r="P1923" s="34" t="str">
        <f t="shared" si="1042"/>
        <v/>
      </c>
      <c r="Q1923" s="34" t="str">
        <f t="shared" si="1043"/>
        <v/>
      </c>
      <c r="R1923" s="34" t="str">
        <f t="shared" si="1044"/>
        <v/>
      </c>
      <c r="S1923" s="34" t="str">
        <f t="shared" si="1045"/>
        <v/>
      </c>
      <c r="T1923" s="34" t="str">
        <f t="shared" si="1046"/>
        <v/>
      </c>
      <c r="U1923" s="34" t="str">
        <f>IF(AND(L1923=1,bp_kode=T1923,T1923&lt;&gt;""),COUNTIF($T$8:T1923,T1923),"")</f>
        <v/>
      </c>
      <c r="V1923" s="34" t="str">
        <f t="shared" si="1047"/>
        <v/>
      </c>
      <c r="W1923" s="34" t="str">
        <f t="shared" si="1048"/>
        <v/>
      </c>
      <c r="X1923" s="34" t="str">
        <f>IF(B1923="","",COUNTIF($C$8:C1923,C1923)&amp;C1923)</f>
        <v/>
      </c>
    </row>
    <row r="1924" spans="2:24" ht="23.1" customHeight="1">
      <c r="B1924" s="31"/>
      <c r="C1924" s="9"/>
      <c r="D1924" s="9"/>
      <c r="E1924" s="7"/>
      <c r="F1924" s="7"/>
      <c r="G1924" s="7"/>
      <c r="H1924" s="7"/>
      <c r="I1924" s="7"/>
      <c r="J1924" s="39"/>
      <c r="L1924" s="16" t="str">
        <f t="shared" si="1039"/>
        <v/>
      </c>
      <c r="M1924" s="16" t="str">
        <f t="shared" si="1040"/>
        <v/>
      </c>
      <c r="N1924" s="16" t="str">
        <f t="shared" si="1041"/>
        <v/>
      </c>
      <c r="O1924" s="16" t="str">
        <f>IF(N1924="","",COUNTIF($N$8:N1924,N1924))</f>
        <v/>
      </c>
      <c r="P1924" s="34" t="str">
        <f t="shared" si="1042"/>
        <v/>
      </c>
      <c r="Q1924" s="34" t="str">
        <f t="shared" si="1043"/>
        <v/>
      </c>
      <c r="R1924" s="34" t="str">
        <f t="shared" si="1044"/>
        <v/>
      </c>
      <c r="S1924" s="34" t="str">
        <f t="shared" si="1045"/>
        <v/>
      </c>
      <c r="T1924" s="34" t="str">
        <f t="shared" si="1046"/>
        <v/>
      </c>
      <c r="U1924" s="34" t="str">
        <f>IF(AND(L1924=1,bp_kode=T1924,T1924&lt;&gt;""),COUNTIF($T$8:T1924,T1924),"")</f>
        <v/>
      </c>
      <c r="V1924" s="34" t="str">
        <f t="shared" si="1047"/>
        <v/>
      </c>
      <c r="W1924" s="34" t="str">
        <f t="shared" si="1048"/>
        <v/>
      </c>
      <c r="X1924" s="34" t="str">
        <f>IF(B1924="","",COUNTIF($C$8:C1924,C1924)&amp;C1924)</f>
        <v/>
      </c>
    </row>
    <row r="1925" spans="2:24" ht="23.1" customHeight="1">
      <c r="B1925" s="31"/>
      <c r="C1925" s="9"/>
      <c r="D1925" s="9"/>
      <c r="E1925" s="7"/>
      <c r="F1925" s="7"/>
      <c r="G1925" s="7"/>
      <c r="H1925" s="7"/>
      <c r="I1925" s="7"/>
      <c r="J1925" s="39"/>
      <c r="L1925" s="16" t="str">
        <f t="shared" si="1039"/>
        <v/>
      </c>
      <c r="M1925" s="16" t="str">
        <f t="shared" si="1040"/>
        <v/>
      </c>
      <c r="N1925" s="16" t="str">
        <f t="shared" si="1041"/>
        <v/>
      </c>
      <c r="O1925" s="16" t="str">
        <f>IF(N1925="","",COUNTIF($N$8:N1925,N1925))</f>
        <v/>
      </c>
      <c r="P1925" s="34" t="str">
        <f t="shared" si="1042"/>
        <v/>
      </c>
      <c r="Q1925" s="34" t="str">
        <f t="shared" si="1043"/>
        <v/>
      </c>
      <c r="R1925" s="34" t="str">
        <f t="shared" si="1044"/>
        <v/>
      </c>
      <c r="S1925" s="34" t="str">
        <f t="shared" si="1045"/>
        <v/>
      </c>
      <c r="T1925" s="34" t="str">
        <f t="shared" si="1046"/>
        <v/>
      </c>
      <c r="U1925" s="34" t="str">
        <f>IF(AND(L1925=1,bp_kode=T1925,T1925&lt;&gt;""),COUNTIF($T$8:T1925,T1925),"")</f>
        <v/>
      </c>
      <c r="V1925" s="34" t="str">
        <f t="shared" si="1047"/>
        <v/>
      </c>
      <c r="W1925" s="34" t="str">
        <f t="shared" si="1048"/>
        <v/>
      </c>
      <c r="X1925" s="34" t="str">
        <f>IF(B1925="","",COUNTIF($C$8:C1925,C1925)&amp;C1925)</f>
        <v/>
      </c>
    </row>
    <row r="1926" spans="2:24" ht="23.1" customHeight="1">
      <c r="B1926" s="31"/>
      <c r="C1926" s="9"/>
      <c r="D1926" s="9"/>
      <c r="E1926" s="7"/>
      <c r="F1926" s="7"/>
      <c r="G1926" s="7"/>
      <c r="H1926" s="7"/>
      <c r="I1926" s="7"/>
      <c r="J1926" s="39"/>
      <c r="L1926" s="16" t="str">
        <f t="shared" si="1039"/>
        <v/>
      </c>
      <c r="M1926" s="16" t="str">
        <f t="shared" si="1040"/>
        <v/>
      </c>
      <c r="N1926" s="16" t="str">
        <f t="shared" si="1041"/>
        <v/>
      </c>
      <c r="O1926" s="16" t="str">
        <f>IF(N1926="","",COUNTIF($N$8:N1926,N1926))</f>
        <v/>
      </c>
      <c r="P1926" s="34" t="str">
        <f t="shared" si="1042"/>
        <v/>
      </c>
      <c r="Q1926" s="34" t="str">
        <f t="shared" si="1043"/>
        <v/>
      </c>
      <c r="R1926" s="34" t="str">
        <f t="shared" si="1044"/>
        <v/>
      </c>
      <c r="S1926" s="34" t="str">
        <f t="shared" si="1045"/>
        <v/>
      </c>
      <c r="T1926" s="34" t="str">
        <f t="shared" si="1046"/>
        <v/>
      </c>
      <c r="U1926" s="34" t="str">
        <f>IF(AND(L1926=1,bp_kode=T1926,T1926&lt;&gt;""),COUNTIF($T$8:T1926,T1926),"")</f>
        <v/>
      </c>
      <c r="V1926" s="34" t="str">
        <f t="shared" si="1047"/>
        <v/>
      </c>
      <c r="W1926" s="34" t="str">
        <f t="shared" si="1048"/>
        <v/>
      </c>
      <c r="X1926" s="34" t="str">
        <f>IF(B1926="","",COUNTIF($C$8:C1926,C1926)&amp;C1926)</f>
        <v/>
      </c>
    </row>
    <row r="1927" spans="2:24" ht="23.1" customHeight="1">
      <c r="B1927" s="31"/>
      <c r="C1927" s="9"/>
      <c r="D1927" s="9"/>
      <c r="E1927" s="7"/>
      <c r="F1927" s="7"/>
      <c r="G1927" s="7"/>
      <c r="H1927" s="7"/>
      <c r="I1927" s="7"/>
      <c r="J1927" s="39"/>
      <c r="L1927" s="16" t="str">
        <f t="shared" si="1039"/>
        <v/>
      </c>
      <c r="M1927" s="16" t="str">
        <f t="shared" si="1040"/>
        <v/>
      </c>
      <c r="N1927" s="16" t="str">
        <f t="shared" si="1041"/>
        <v/>
      </c>
      <c r="O1927" s="16" t="str">
        <f>IF(N1927="","",COUNTIF($N$8:N1927,N1927))</f>
        <v/>
      </c>
      <c r="P1927" s="34" t="str">
        <f t="shared" si="1042"/>
        <v/>
      </c>
      <c r="Q1927" s="34" t="str">
        <f t="shared" si="1043"/>
        <v/>
      </c>
      <c r="R1927" s="34" t="str">
        <f t="shared" si="1044"/>
        <v/>
      </c>
      <c r="S1927" s="34" t="str">
        <f t="shared" si="1045"/>
        <v/>
      </c>
      <c r="T1927" s="34" t="str">
        <f t="shared" si="1046"/>
        <v/>
      </c>
      <c r="U1927" s="34" t="str">
        <f>IF(AND(L1927=1,bp_kode=T1927,T1927&lt;&gt;""),COUNTIF($T$8:T1927,T1927),"")</f>
        <v/>
      </c>
      <c r="V1927" s="34" t="str">
        <f t="shared" si="1047"/>
        <v/>
      </c>
      <c r="W1927" s="34" t="str">
        <f t="shared" si="1048"/>
        <v/>
      </c>
      <c r="X1927" s="34" t="str">
        <f>IF(B1927="","",COUNTIF($C$8:C1927,C1927)&amp;C1927)</f>
        <v/>
      </c>
    </row>
    <row r="1928" spans="2:24" ht="23.1" customHeight="1">
      <c r="B1928" s="31"/>
      <c r="C1928" s="9"/>
      <c r="D1928" s="9"/>
      <c r="E1928" s="7"/>
      <c r="F1928" s="7"/>
      <c r="G1928" s="7"/>
      <c r="H1928" s="7"/>
      <c r="I1928" s="7"/>
      <c r="J1928" s="39"/>
      <c r="L1928" s="16" t="str">
        <f t="shared" si="1039"/>
        <v/>
      </c>
      <c r="M1928" s="16" t="str">
        <f t="shared" si="1040"/>
        <v/>
      </c>
      <c r="N1928" s="16" t="str">
        <f t="shared" si="1041"/>
        <v/>
      </c>
      <c r="O1928" s="16" t="str">
        <f>IF(N1928="","",COUNTIF($N$8:N1928,N1928))</f>
        <v/>
      </c>
      <c r="P1928" s="34" t="str">
        <f t="shared" si="1042"/>
        <v/>
      </c>
      <c r="Q1928" s="34" t="str">
        <f t="shared" si="1043"/>
        <v/>
      </c>
      <c r="R1928" s="34" t="str">
        <f t="shared" si="1044"/>
        <v/>
      </c>
      <c r="S1928" s="34" t="str">
        <f t="shared" si="1045"/>
        <v/>
      </c>
      <c r="T1928" s="34" t="str">
        <f t="shared" si="1046"/>
        <v/>
      </c>
      <c r="U1928" s="34" t="str">
        <f>IF(AND(L1928=1,bp_kode=T1928,T1928&lt;&gt;""),COUNTIF($T$8:T1928,T1928),"")</f>
        <v/>
      </c>
      <c r="V1928" s="34" t="str">
        <f t="shared" si="1047"/>
        <v/>
      </c>
      <c r="W1928" s="34" t="str">
        <f t="shared" si="1048"/>
        <v/>
      </c>
      <c r="X1928" s="34" t="str">
        <f>IF(B1928="","",COUNTIF($C$8:C1928,C1928)&amp;C1928)</f>
        <v/>
      </c>
    </row>
    <row r="1929" spans="2:24" ht="23.1" customHeight="1">
      <c r="B1929" s="31"/>
      <c r="C1929" s="9"/>
      <c r="D1929" s="9"/>
      <c r="E1929" s="7"/>
      <c r="F1929" s="7"/>
      <c r="G1929" s="7"/>
      <c r="H1929" s="7"/>
      <c r="I1929" s="7"/>
      <c r="J1929" s="39"/>
      <c r="L1929" s="16" t="str">
        <f t="shared" si="1039"/>
        <v/>
      </c>
      <c r="M1929" s="16" t="str">
        <f t="shared" si="1040"/>
        <v/>
      </c>
      <c r="N1929" s="16" t="str">
        <f t="shared" si="1041"/>
        <v/>
      </c>
      <c r="O1929" s="16" t="str">
        <f>IF(N1929="","",COUNTIF($N$8:N1929,N1929))</f>
        <v/>
      </c>
      <c r="P1929" s="34" t="str">
        <f t="shared" si="1042"/>
        <v/>
      </c>
      <c r="Q1929" s="34" t="str">
        <f t="shared" si="1043"/>
        <v/>
      </c>
      <c r="R1929" s="34" t="str">
        <f t="shared" si="1044"/>
        <v/>
      </c>
      <c r="S1929" s="34" t="str">
        <f t="shared" si="1045"/>
        <v/>
      </c>
      <c r="T1929" s="34" t="str">
        <f t="shared" si="1046"/>
        <v/>
      </c>
      <c r="U1929" s="34" t="str">
        <f>IF(AND(L1929=1,bp_kode=T1929,T1929&lt;&gt;""),COUNTIF($T$8:T1929,T1929),"")</f>
        <v/>
      </c>
      <c r="V1929" s="34" t="str">
        <f t="shared" si="1047"/>
        <v/>
      </c>
      <c r="W1929" s="34" t="str">
        <f t="shared" si="1048"/>
        <v/>
      </c>
      <c r="X1929" s="34" t="str">
        <f>IF(B1929="","",COUNTIF($C$8:C1929,C1929)&amp;C1929)</f>
        <v/>
      </c>
    </row>
    <row r="1930" spans="2:24" ht="23.1" customHeight="1">
      <c r="B1930" s="31"/>
      <c r="C1930" s="9"/>
      <c r="D1930" s="9"/>
      <c r="E1930" s="7"/>
      <c r="F1930" s="7"/>
      <c r="G1930" s="7"/>
      <c r="H1930" s="7"/>
      <c r="I1930" s="7"/>
      <c r="J1930" s="39"/>
      <c r="L1930" s="16" t="str">
        <f t="shared" si="1039"/>
        <v/>
      </c>
      <c r="M1930" s="16" t="str">
        <f t="shared" si="1040"/>
        <v/>
      </c>
      <c r="N1930" s="16" t="str">
        <f t="shared" si="1041"/>
        <v/>
      </c>
      <c r="O1930" s="16" t="str">
        <f>IF(N1930="","",COUNTIF($N$8:N1930,N1930))</f>
        <v/>
      </c>
      <c r="P1930" s="34" t="str">
        <f t="shared" si="1042"/>
        <v/>
      </c>
      <c r="Q1930" s="34" t="str">
        <f t="shared" si="1043"/>
        <v/>
      </c>
      <c r="R1930" s="34" t="str">
        <f t="shared" si="1044"/>
        <v/>
      </c>
      <c r="S1930" s="34" t="str">
        <f t="shared" si="1045"/>
        <v/>
      </c>
      <c r="T1930" s="34" t="str">
        <f t="shared" si="1046"/>
        <v/>
      </c>
      <c r="U1930" s="34" t="str">
        <f>IF(AND(L1930=1,bp_kode=T1930,T1930&lt;&gt;""),COUNTIF($T$8:T1930,T1930),"")</f>
        <v/>
      </c>
      <c r="V1930" s="34" t="str">
        <f t="shared" si="1047"/>
        <v/>
      </c>
      <c r="W1930" s="34" t="str">
        <f t="shared" si="1048"/>
        <v/>
      </c>
      <c r="X1930" s="34" t="str">
        <f>IF(B1930="","",COUNTIF($C$8:C1930,C1930)&amp;C1930)</f>
        <v/>
      </c>
    </row>
    <row r="1931" spans="2:24" ht="23.1" customHeight="1">
      <c r="B1931" s="31"/>
      <c r="C1931" s="9"/>
      <c r="D1931" s="9"/>
      <c r="E1931" s="7"/>
      <c r="F1931" s="7"/>
      <c r="G1931" s="7"/>
      <c r="H1931" s="7"/>
      <c r="I1931" s="7"/>
      <c r="J1931" s="39"/>
      <c r="L1931" s="16" t="str">
        <f t="shared" si="1039"/>
        <v/>
      </c>
      <c r="M1931" s="16" t="str">
        <f t="shared" si="1040"/>
        <v/>
      </c>
      <c r="N1931" s="16" t="str">
        <f t="shared" si="1041"/>
        <v/>
      </c>
      <c r="O1931" s="16" t="str">
        <f>IF(N1931="","",COUNTIF($N$8:N1931,N1931))</f>
        <v/>
      </c>
      <c r="P1931" s="34" t="str">
        <f t="shared" si="1042"/>
        <v/>
      </c>
      <c r="Q1931" s="34" t="str">
        <f t="shared" si="1043"/>
        <v/>
      </c>
      <c r="R1931" s="34" t="str">
        <f t="shared" si="1044"/>
        <v/>
      </c>
      <c r="S1931" s="34" t="str">
        <f t="shared" si="1045"/>
        <v/>
      </c>
      <c r="T1931" s="34" t="str">
        <f t="shared" si="1046"/>
        <v/>
      </c>
      <c r="U1931" s="34" t="str">
        <f>IF(AND(L1931=1,bp_kode=T1931,T1931&lt;&gt;""),COUNTIF($T$8:T1931,T1931),"")</f>
        <v/>
      </c>
      <c r="V1931" s="34" t="str">
        <f t="shared" si="1047"/>
        <v/>
      </c>
      <c r="W1931" s="34" t="str">
        <f t="shared" si="1048"/>
        <v/>
      </c>
      <c r="X1931" s="34" t="str">
        <f>IF(B1931="","",COUNTIF($C$8:C1931,C1931)&amp;C1931)</f>
        <v/>
      </c>
    </row>
    <row r="1932" spans="2:24" ht="23.1" customHeight="1">
      <c r="B1932" s="31"/>
      <c r="C1932" s="9"/>
      <c r="D1932" s="9"/>
      <c r="E1932" s="7"/>
      <c r="F1932" s="7"/>
      <c r="G1932" s="7"/>
      <c r="H1932" s="7"/>
      <c r="I1932" s="7"/>
      <c r="J1932" s="39"/>
      <c r="L1932" s="16" t="str">
        <f t="shared" si="1039"/>
        <v/>
      </c>
      <c r="M1932" s="16" t="str">
        <f t="shared" si="1040"/>
        <v/>
      </c>
      <c r="N1932" s="16" t="str">
        <f t="shared" si="1041"/>
        <v/>
      </c>
      <c r="O1932" s="16" t="str">
        <f>IF(N1932="","",COUNTIF($N$8:N1932,N1932))</f>
        <v/>
      </c>
      <c r="P1932" s="34" t="str">
        <f t="shared" si="1042"/>
        <v/>
      </c>
      <c r="Q1932" s="34" t="str">
        <f t="shared" si="1043"/>
        <v/>
      </c>
      <c r="R1932" s="34" t="str">
        <f t="shared" si="1044"/>
        <v/>
      </c>
      <c r="S1932" s="34" t="str">
        <f t="shared" si="1045"/>
        <v/>
      </c>
      <c r="T1932" s="34" t="str">
        <f t="shared" si="1046"/>
        <v/>
      </c>
      <c r="U1932" s="34" t="str">
        <f>IF(AND(L1932=1,bp_kode=T1932,T1932&lt;&gt;""),COUNTIF($T$8:T1932,T1932),"")</f>
        <v/>
      </c>
      <c r="V1932" s="34" t="str">
        <f t="shared" si="1047"/>
        <v/>
      </c>
      <c r="W1932" s="34" t="str">
        <f t="shared" si="1048"/>
        <v/>
      </c>
      <c r="X1932" s="34" t="str">
        <f>IF(B1932="","",COUNTIF($C$8:C1932,C1932)&amp;C1932)</f>
        <v/>
      </c>
    </row>
    <row r="1933" spans="2:24" ht="23.1" customHeight="1">
      <c r="B1933" s="31"/>
      <c r="C1933" s="9"/>
      <c r="D1933" s="9"/>
      <c r="E1933" s="7"/>
      <c r="F1933" s="7"/>
      <c r="G1933" s="7"/>
      <c r="H1933" s="7"/>
      <c r="I1933" s="7"/>
      <c r="J1933" s="39"/>
      <c r="L1933" s="16" t="str">
        <f t="shared" si="1039"/>
        <v/>
      </c>
      <c r="M1933" s="16" t="str">
        <f t="shared" si="1040"/>
        <v/>
      </c>
      <c r="N1933" s="16" t="str">
        <f t="shared" si="1041"/>
        <v/>
      </c>
      <c r="O1933" s="16" t="str">
        <f>IF(N1933="","",COUNTIF($N$8:N1933,N1933))</f>
        <v/>
      </c>
      <c r="P1933" s="34" t="str">
        <f t="shared" si="1042"/>
        <v/>
      </c>
      <c r="Q1933" s="34" t="str">
        <f t="shared" si="1043"/>
        <v/>
      </c>
      <c r="R1933" s="34" t="str">
        <f t="shared" si="1044"/>
        <v/>
      </c>
      <c r="S1933" s="34" t="str">
        <f t="shared" si="1045"/>
        <v/>
      </c>
      <c r="T1933" s="34" t="str">
        <f t="shared" si="1046"/>
        <v/>
      </c>
      <c r="U1933" s="34" t="str">
        <f>IF(AND(L1933=1,bp_kode=T1933,T1933&lt;&gt;""),COUNTIF($T$8:T1933,T1933),"")</f>
        <v/>
      </c>
      <c r="V1933" s="34" t="str">
        <f t="shared" si="1047"/>
        <v/>
      </c>
      <c r="W1933" s="34" t="str">
        <f t="shared" si="1048"/>
        <v/>
      </c>
      <c r="X1933" s="34" t="str">
        <f>IF(B1933="","",COUNTIF($C$8:C1933,C1933)&amp;C1933)</f>
        <v/>
      </c>
    </row>
    <row r="1934" spans="2:24" ht="23.1" customHeight="1">
      <c r="B1934" s="31"/>
      <c r="C1934" s="9"/>
      <c r="D1934" s="9"/>
      <c r="E1934" s="7"/>
      <c r="F1934" s="7"/>
      <c r="G1934" s="7"/>
      <c r="H1934" s="7"/>
      <c r="I1934" s="7"/>
      <c r="J1934" s="39"/>
      <c r="L1934" s="16" t="str">
        <f t="shared" si="1039"/>
        <v/>
      </c>
      <c r="M1934" s="16" t="str">
        <f t="shared" si="1040"/>
        <v/>
      </c>
      <c r="N1934" s="16" t="str">
        <f t="shared" si="1041"/>
        <v/>
      </c>
      <c r="O1934" s="16" t="str">
        <f>IF(N1934="","",COUNTIF($N$8:N1934,N1934))</f>
        <v/>
      </c>
      <c r="P1934" s="34" t="str">
        <f t="shared" si="1042"/>
        <v/>
      </c>
      <c r="Q1934" s="34" t="str">
        <f t="shared" si="1043"/>
        <v/>
      </c>
      <c r="R1934" s="34" t="str">
        <f t="shared" si="1044"/>
        <v/>
      </c>
      <c r="S1934" s="34" t="str">
        <f t="shared" si="1045"/>
        <v/>
      </c>
      <c r="T1934" s="34" t="str">
        <f t="shared" si="1046"/>
        <v/>
      </c>
      <c r="U1934" s="34" t="str">
        <f>IF(AND(L1934=1,bp_kode=T1934,T1934&lt;&gt;""),COUNTIF($T$8:T1934,T1934),"")</f>
        <v/>
      </c>
      <c r="V1934" s="34" t="str">
        <f t="shared" si="1047"/>
        <v/>
      </c>
      <c r="W1934" s="34" t="str">
        <f t="shared" si="1048"/>
        <v/>
      </c>
      <c r="X1934" s="34" t="str">
        <f>IF(B1934="","",COUNTIF($C$8:C1934,C1934)&amp;C1934)</f>
        <v/>
      </c>
    </row>
    <row r="1935" spans="2:24" ht="23.1" customHeight="1">
      <c r="B1935" s="31"/>
      <c r="C1935" s="9"/>
      <c r="D1935" s="9"/>
      <c r="E1935" s="7"/>
      <c r="F1935" s="7"/>
      <c r="G1935" s="7"/>
      <c r="H1935" s="7"/>
      <c r="I1935" s="7"/>
      <c r="J1935" s="39"/>
      <c r="L1935" s="16" t="str">
        <f t="shared" si="1039"/>
        <v/>
      </c>
      <c r="M1935" s="16" t="str">
        <f t="shared" si="1040"/>
        <v/>
      </c>
      <c r="N1935" s="16" t="str">
        <f t="shared" si="1041"/>
        <v/>
      </c>
      <c r="O1935" s="16" t="str">
        <f>IF(N1935="","",COUNTIF($N$8:N1935,N1935))</f>
        <v/>
      </c>
      <c r="P1935" s="34" t="str">
        <f t="shared" si="1042"/>
        <v/>
      </c>
      <c r="Q1935" s="34" t="str">
        <f t="shared" si="1043"/>
        <v/>
      </c>
      <c r="R1935" s="34" t="str">
        <f t="shared" si="1044"/>
        <v/>
      </c>
      <c r="S1935" s="34" t="str">
        <f t="shared" si="1045"/>
        <v/>
      </c>
      <c r="T1935" s="34" t="str">
        <f t="shared" si="1046"/>
        <v/>
      </c>
      <c r="U1935" s="34" t="str">
        <f>IF(AND(L1935=1,bp_kode=T1935,T1935&lt;&gt;""),COUNTIF($T$8:T1935,T1935),"")</f>
        <v/>
      </c>
      <c r="V1935" s="34" t="str">
        <f t="shared" si="1047"/>
        <v/>
      </c>
      <c r="W1935" s="34" t="str">
        <f t="shared" si="1048"/>
        <v/>
      </c>
      <c r="X1935" s="34" t="str">
        <f>IF(B1935="","",COUNTIF($C$8:C1935,C1935)&amp;C1935)</f>
        <v/>
      </c>
    </row>
    <row r="1936" spans="2:24" ht="23.1" customHeight="1">
      <c r="B1936" s="31"/>
      <c r="C1936" s="9"/>
      <c r="D1936" s="9"/>
      <c r="E1936" s="7"/>
      <c r="F1936" s="7"/>
      <c r="G1936" s="7"/>
      <c r="H1936" s="7"/>
      <c r="I1936" s="7"/>
      <c r="J1936" s="39"/>
      <c r="L1936" s="16" t="str">
        <f t="shared" si="1039"/>
        <v/>
      </c>
      <c r="M1936" s="16" t="str">
        <f t="shared" si="1040"/>
        <v/>
      </c>
      <c r="N1936" s="16" t="str">
        <f t="shared" si="1041"/>
        <v/>
      </c>
      <c r="O1936" s="16" t="str">
        <f>IF(N1936="","",COUNTIF($N$8:N1936,N1936))</f>
        <v/>
      </c>
      <c r="P1936" s="34" t="str">
        <f t="shared" si="1042"/>
        <v/>
      </c>
      <c r="Q1936" s="34" t="str">
        <f t="shared" si="1043"/>
        <v/>
      </c>
      <c r="R1936" s="34" t="str">
        <f t="shared" si="1044"/>
        <v/>
      </c>
      <c r="S1936" s="34" t="str">
        <f t="shared" si="1045"/>
        <v/>
      </c>
      <c r="T1936" s="34" t="str">
        <f t="shared" si="1046"/>
        <v/>
      </c>
      <c r="U1936" s="34" t="str">
        <f>IF(AND(L1936=1,bp_kode=T1936,T1936&lt;&gt;""),COUNTIF($T$8:T1936,T1936),"")</f>
        <v/>
      </c>
      <c r="V1936" s="34" t="str">
        <f t="shared" si="1047"/>
        <v/>
      </c>
      <c r="W1936" s="34" t="str">
        <f t="shared" si="1048"/>
        <v/>
      </c>
      <c r="X1936" s="34" t="str">
        <f>IF(B1936="","",COUNTIF($C$8:C1936,C1936)&amp;C1936)</f>
        <v/>
      </c>
    </row>
    <row r="1937" spans="2:24" ht="23.1" customHeight="1">
      <c r="B1937" s="31"/>
      <c r="C1937" s="9"/>
      <c r="D1937" s="9"/>
      <c r="E1937" s="7"/>
      <c r="F1937" s="7"/>
      <c r="G1937" s="7"/>
      <c r="H1937" s="7"/>
      <c r="I1937" s="7"/>
      <c r="J1937" s="39"/>
      <c r="L1937" s="16" t="str">
        <f t="shared" si="1039"/>
        <v/>
      </c>
      <c r="M1937" s="16" t="str">
        <f t="shared" si="1040"/>
        <v/>
      </c>
      <c r="N1937" s="16" t="str">
        <f t="shared" si="1041"/>
        <v/>
      </c>
      <c r="O1937" s="16" t="str">
        <f>IF(N1937="","",COUNTIF($N$8:N1937,N1937))</f>
        <v/>
      </c>
      <c r="P1937" s="34" t="str">
        <f t="shared" si="1042"/>
        <v/>
      </c>
      <c r="Q1937" s="34" t="str">
        <f t="shared" si="1043"/>
        <v/>
      </c>
      <c r="R1937" s="34" t="str">
        <f t="shared" si="1044"/>
        <v/>
      </c>
      <c r="S1937" s="34" t="str">
        <f t="shared" si="1045"/>
        <v/>
      </c>
      <c r="T1937" s="34" t="str">
        <f t="shared" si="1046"/>
        <v/>
      </c>
      <c r="U1937" s="34" t="str">
        <f>IF(AND(L1937=1,bp_kode=T1937,T1937&lt;&gt;""),COUNTIF($T$8:T1937,T1937),"")</f>
        <v/>
      </c>
      <c r="V1937" s="34" t="str">
        <f t="shared" si="1047"/>
        <v/>
      </c>
      <c r="W1937" s="34" t="str">
        <f t="shared" si="1048"/>
        <v/>
      </c>
      <c r="X1937" s="34" t="str">
        <f>IF(B1937="","",COUNTIF($C$8:C1937,C1937)&amp;C1937)</f>
        <v/>
      </c>
    </row>
    <row r="1938" spans="2:24" ht="23.1" customHeight="1">
      <c r="B1938" s="31"/>
      <c r="C1938" s="9"/>
      <c r="D1938" s="9"/>
      <c r="E1938" s="7"/>
      <c r="F1938" s="7"/>
      <c r="G1938" s="7"/>
      <c r="H1938" s="7"/>
      <c r="I1938" s="7"/>
      <c r="J1938" s="39"/>
      <c r="L1938" s="16" t="str">
        <f t="shared" si="1039"/>
        <v/>
      </c>
      <c r="M1938" s="16" t="str">
        <f t="shared" si="1040"/>
        <v/>
      </c>
      <c r="N1938" s="16" t="str">
        <f t="shared" si="1041"/>
        <v/>
      </c>
      <c r="O1938" s="16" t="str">
        <f>IF(N1938="","",COUNTIF($N$8:N1938,N1938))</f>
        <v/>
      </c>
      <c r="P1938" s="34" t="str">
        <f t="shared" si="1042"/>
        <v/>
      </c>
      <c r="Q1938" s="34" t="str">
        <f t="shared" si="1043"/>
        <v/>
      </c>
      <c r="R1938" s="34" t="str">
        <f t="shared" si="1044"/>
        <v/>
      </c>
      <c r="S1938" s="34" t="str">
        <f t="shared" si="1045"/>
        <v/>
      </c>
      <c r="T1938" s="34" t="str">
        <f t="shared" si="1046"/>
        <v/>
      </c>
      <c r="U1938" s="34" t="str">
        <f>IF(AND(L1938=1,bp_kode=T1938,T1938&lt;&gt;""),COUNTIF($T$8:T1938,T1938),"")</f>
        <v/>
      </c>
      <c r="V1938" s="34" t="str">
        <f t="shared" si="1047"/>
        <v/>
      </c>
      <c r="W1938" s="34" t="str">
        <f t="shared" si="1048"/>
        <v/>
      </c>
      <c r="X1938" s="34" t="str">
        <f>IF(B1938="","",COUNTIF($C$8:C1938,C1938)&amp;C1938)</f>
        <v/>
      </c>
    </row>
    <row r="1939" spans="2:24" ht="23.1" customHeight="1">
      <c r="B1939" s="31"/>
      <c r="C1939" s="9"/>
      <c r="D1939" s="9"/>
      <c r="E1939" s="7"/>
      <c r="F1939" s="7"/>
      <c r="G1939" s="7"/>
      <c r="H1939" s="7"/>
      <c r="I1939" s="7"/>
      <c r="J1939" s="39"/>
      <c r="L1939" s="16" t="str">
        <f t="shared" si="1039"/>
        <v/>
      </c>
      <c r="M1939" s="16" t="str">
        <f t="shared" si="1040"/>
        <v/>
      </c>
      <c r="N1939" s="16" t="str">
        <f t="shared" si="1041"/>
        <v/>
      </c>
      <c r="O1939" s="16" t="str">
        <f>IF(N1939="","",COUNTIF($N$8:N1939,N1939))</f>
        <v/>
      </c>
      <c r="P1939" s="34" t="str">
        <f t="shared" si="1042"/>
        <v/>
      </c>
      <c r="Q1939" s="34" t="str">
        <f t="shared" si="1043"/>
        <v/>
      </c>
      <c r="R1939" s="34" t="str">
        <f t="shared" si="1044"/>
        <v/>
      </c>
      <c r="S1939" s="34" t="str">
        <f t="shared" si="1045"/>
        <v/>
      </c>
      <c r="T1939" s="34" t="str">
        <f t="shared" si="1046"/>
        <v/>
      </c>
      <c r="U1939" s="34" t="str">
        <f>IF(AND(L1939=1,bp_kode=T1939,T1939&lt;&gt;""),COUNTIF($T$8:T1939,T1939),"")</f>
        <v/>
      </c>
      <c r="V1939" s="34" t="str">
        <f t="shared" si="1047"/>
        <v/>
      </c>
      <c r="W1939" s="34" t="str">
        <f t="shared" si="1048"/>
        <v/>
      </c>
      <c r="X1939" s="34" t="str">
        <f>IF(B1939="","",COUNTIF($C$8:C1939,C1939)&amp;C1939)</f>
        <v/>
      </c>
    </row>
    <row r="1940" spans="2:24" ht="23.1" customHeight="1">
      <c r="B1940" s="31"/>
      <c r="C1940" s="9"/>
      <c r="D1940" s="9"/>
      <c r="E1940" s="7"/>
      <c r="F1940" s="7"/>
      <c r="G1940" s="7"/>
      <c r="H1940" s="7"/>
      <c r="I1940" s="7"/>
      <c r="J1940" s="39"/>
      <c r="L1940" s="16" t="str">
        <f t="shared" si="1039"/>
        <v/>
      </c>
      <c r="M1940" s="16" t="str">
        <f t="shared" si="1040"/>
        <v/>
      </c>
      <c r="N1940" s="16" t="str">
        <f t="shared" si="1041"/>
        <v/>
      </c>
      <c r="O1940" s="16" t="str">
        <f>IF(N1940="","",COUNTIF($N$8:N1940,N1940))</f>
        <v/>
      </c>
      <c r="P1940" s="34" t="str">
        <f t="shared" si="1042"/>
        <v/>
      </c>
      <c r="Q1940" s="34" t="str">
        <f t="shared" si="1043"/>
        <v/>
      </c>
      <c r="R1940" s="34" t="str">
        <f t="shared" si="1044"/>
        <v/>
      </c>
      <c r="S1940" s="34" t="str">
        <f t="shared" si="1045"/>
        <v/>
      </c>
      <c r="T1940" s="34" t="str">
        <f t="shared" si="1046"/>
        <v/>
      </c>
      <c r="U1940" s="34" t="str">
        <f>IF(AND(L1940=1,bp_kode=T1940,T1940&lt;&gt;""),COUNTIF($T$8:T1940,T1940),"")</f>
        <v/>
      </c>
      <c r="V1940" s="34" t="str">
        <f t="shared" si="1047"/>
        <v/>
      </c>
      <c r="W1940" s="34" t="str">
        <f t="shared" si="1048"/>
        <v/>
      </c>
      <c r="X1940" s="34" t="str">
        <f>IF(B1940="","",COUNTIF($C$8:C1940,C1940)&amp;C1940)</f>
        <v/>
      </c>
    </row>
    <row r="1941" spans="2:24" ht="23.1" customHeight="1">
      <c r="B1941" s="31"/>
      <c r="C1941" s="9"/>
      <c r="D1941" s="9"/>
      <c r="E1941" s="7"/>
      <c r="F1941" s="7"/>
      <c r="G1941" s="7"/>
      <c r="H1941" s="7"/>
      <c r="I1941" s="7"/>
      <c r="J1941" s="39"/>
      <c r="L1941" s="16" t="str">
        <f t="shared" si="1039"/>
        <v/>
      </c>
      <c r="M1941" s="16" t="str">
        <f t="shared" si="1040"/>
        <v/>
      </c>
      <c r="N1941" s="16" t="str">
        <f t="shared" si="1041"/>
        <v/>
      </c>
      <c r="O1941" s="16" t="str">
        <f>IF(N1941="","",COUNTIF($N$8:N1941,N1941))</f>
        <v/>
      </c>
      <c r="P1941" s="34" t="str">
        <f t="shared" si="1042"/>
        <v/>
      </c>
      <c r="Q1941" s="34" t="str">
        <f t="shared" si="1043"/>
        <v/>
      </c>
      <c r="R1941" s="34" t="str">
        <f t="shared" si="1044"/>
        <v/>
      </c>
      <c r="S1941" s="34" t="str">
        <f t="shared" si="1045"/>
        <v/>
      </c>
      <c r="T1941" s="34" t="str">
        <f t="shared" si="1046"/>
        <v/>
      </c>
      <c r="U1941" s="34" t="str">
        <f>IF(AND(L1941=1,bp_kode=T1941,T1941&lt;&gt;""),COUNTIF($T$8:T1941,T1941),"")</f>
        <v/>
      </c>
      <c r="V1941" s="34" t="str">
        <f t="shared" si="1047"/>
        <v/>
      </c>
      <c r="W1941" s="34" t="str">
        <f t="shared" si="1048"/>
        <v/>
      </c>
      <c r="X1941" s="34" t="str">
        <f>IF(B1941="","",COUNTIF($C$8:C1941,C1941)&amp;C1941)</f>
        <v/>
      </c>
    </row>
    <row r="1942" spans="2:24" ht="23.1" customHeight="1">
      <c r="B1942" s="31"/>
      <c r="C1942" s="9"/>
      <c r="D1942" s="9"/>
      <c r="E1942" s="7"/>
      <c r="F1942" s="7"/>
      <c r="G1942" s="7"/>
      <c r="H1942" s="7"/>
      <c r="I1942" s="7"/>
      <c r="J1942" s="39"/>
      <c r="L1942" s="16" t="str">
        <f t="shared" si="1039"/>
        <v/>
      </c>
      <c r="M1942" s="16" t="str">
        <f t="shared" si="1040"/>
        <v/>
      </c>
      <c r="N1942" s="16" t="str">
        <f t="shared" si="1041"/>
        <v/>
      </c>
      <c r="O1942" s="16" t="str">
        <f>IF(N1942="","",COUNTIF($N$8:N1942,N1942))</f>
        <v/>
      </c>
      <c r="P1942" s="34" t="str">
        <f t="shared" si="1042"/>
        <v/>
      </c>
      <c r="Q1942" s="34" t="str">
        <f t="shared" si="1043"/>
        <v/>
      </c>
      <c r="R1942" s="34" t="str">
        <f t="shared" si="1044"/>
        <v/>
      </c>
      <c r="S1942" s="34" t="str">
        <f t="shared" si="1045"/>
        <v/>
      </c>
      <c r="T1942" s="34" t="str">
        <f t="shared" si="1046"/>
        <v/>
      </c>
      <c r="U1942" s="34" t="str">
        <f>IF(AND(L1942=1,bp_kode=T1942,T1942&lt;&gt;""),COUNTIF($T$8:T1942,T1942),"")</f>
        <v/>
      </c>
      <c r="V1942" s="34" t="str">
        <f t="shared" si="1047"/>
        <v/>
      </c>
      <c r="W1942" s="34" t="str">
        <f t="shared" si="1048"/>
        <v/>
      </c>
      <c r="X1942" s="34" t="str">
        <f>IF(B1942="","",COUNTIF($C$8:C1942,C1942)&amp;C1942)</f>
        <v/>
      </c>
    </row>
    <row r="1943" spans="2:24" ht="23.1" customHeight="1">
      <c r="B1943" s="31"/>
      <c r="C1943" s="9"/>
      <c r="D1943" s="9"/>
      <c r="E1943" s="7"/>
      <c r="F1943" s="7"/>
      <c r="G1943" s="7"/>
      <c r="H1943" s="7"/>
      <c r="I1943" s="7"/>
      <c r="J1943" s="39"/>
      <c r="L1943" s="16" t="str">
        <f t="shared" si="1039"/>
        <v/>
      </c>
      <c r="M1943" s="16" t="str">
        <f t="shared" si="1040"/>
        <v/>
      </c>
      <c r="N1943" s="16" t="str">
        <f t="shared" si="1041"/>
        <v/>
      </c>
      <c r="O1943" s="16" t="str">
        <f>IF(N1943="","",COUNTIF($N$8:N1943,N1943))</f>
        <v/>
      </c>
      <c r="P1943" s="34" t="str">
        <f t="shared" si="1042"/>
        <v/>
      </c>
      <c r="Q1943" s="34" t="str">
        <f t="shared" si="1043"/>
        <v/>
      </c>
      <c r="R1943" s="34" t="str">
        <f t="shared" si="1044"/>
        <v/>
      </c>
      <c r="S1943" s="34" t="str">
        <f t="shared" si="1045"/>
        <v/>
      </c>
      <c r="T1943" s="34" t="str">
        <f t="shared" si="1046"/>
        <v/>
      </c>
      <c r="U1943" s="34" t="str">
        <f>IF(AND(L1943=1,bp_kode=T1943,T1943&lt;&gt;""),COUNTIF($T$8:T1943,T1943),"")</f>
        <v/>
      </c>
      <c r="V1943" s="34" t="str">
        <f t="shared" si="1047"/>
        <v/>
      </c>
      <c r="W1943" s="34" t="str">
        <f t="shared" si="1048"/>
        <v/>
      </c>
      <c r="X1943" s="34" t="str">
        <f>IF(B1943="","",COUNTIF($C$8:C1943,C1943)&amp;C1943)</f>
        <v/>
      </c>
    </row>
    <row r="1944" spans="2:24" ht="23.1" customHeight="1">
      <c r="B1944" s="31"/>
      <c r="C1944" s="9"/>
      <c r="D1944" s="9"/>
      <c r="E1944" s="7"/>
      <c r="F1944" s="7"/>
      <c r="G1944" s="7"/>
      <c r="H1944" s="7"/>
      <c r="I1944" s="7"/>
      <c r="J1944" s="39"/>
      <c r="L1944" s="16" t="str">
        <f t="shared" si="1039"/>
        <v/>
      </c>
      <c r="M1944" s="16" t="str">
        <f t="shared" si="1040"/>
        <v/>
      </c>
      <c r="N1944" s="16" t="str">
        <f t="shared" si="1041"/>
        <v/>
      </c>
      <c r="O1944" s="16" t="str">
        <f>IF(N1944="","",COUNTIF($N$8:N1944,N1944))</f>
        <v/>
      </c>
      <c r="P1944" s="34" t="str">
        <f t="shared" si="1042"/>
        <v/>
      </c>
      <c r="Q1944" s="34" t="str">
        <f t="shared" si="1043"/>
        <v/>
      </c>
      <c r="R1944" s="34" t="str">
        <f t="shared" si="1044"/>
        <v/>
      </c>
      <c r="S1944" s="34" t="str">
        <f t="shared" si="1045"/>
        <v/>
      </c>
      <c r="T1944" s="34" t="str">
        <f t="shared" si="1046"/>
        <v/>
      </c>
      <c r="U1944" s="34" t="str">
        <f>IF(AND(L1944=1,bp_kode=T1944,T1944&lt;&gt;""),COUNTIF($T$8:T1944,T1944),"")</f>
        <v/>
      </c>
      <c r="V1944" s="34" t="str">
        <f t="shared" si="1047"/>
        <v/>
      </c>
      <c r="W1944" s="34" t="str">
        <f t="shared" si="1048"/>
        <v/>
      </c>
      <c r="X1944" s="34" t="str">
        <f>IF(B1944="","",COUNTIF($C$8:C1944,C1944)&amp;C1944)</f>
        <v/>
      </c>
    </row>
    <row r="1945" spans="2:24" ht="23.1" customHeight="1">
      <c r="B1945" s="31"/>
      <c r="C1945" s="9"/>
      <c r="D1945" s="9"/>
      <c r="E1945" s="7"/>
      <c r="F1945" s="7"/>
      <c r="G1945" s="7"/>
      <c r="H1945" s="7"/>
      <c r="I1945" s="7"/>
      <c r="J1945" s="39"/>
      <c r="L1945" s="16" t="str">
        <f t="shared" si="1039"/>
        <v/>
      </c>
      <c r="M1945" s="16" t="str">
        <f t="shared" si="1040"/>
        <v/>
      </c>
      <c r="N1945" s="16" t="str">
        <f t="shared" si="1041"/>
        <v/>
      </c>
      <c r="O1945" s="16" t="str">
        <f>IF(N1945="","",COUNTIF($N$8:N1945,N1945))</f>
        <v/>
      </c>
      <c r="P1945" s="34" t="str">
        <f t="shared" si="1042"/>
        <v/>
      </c>
      <c r="Q1945" s="34" t="str">
        <f t="shared" si="1043"/>
        <v/>
      </c>
      <c r="R1945" s="34" t="str">
        <f t="shared" si="1044"/>
        <v/>
      </c>
      <c r="S1945" s="34" t="str">
        <f t="shared" si="1045"/>
        <v/>
      </c>
      <c r="T1945" s="34" t="str">
        <f t="shared" si="1046"/>
        <v/>
      </c>
      <c r="U1945" s="34" t="str">
        <f>IF(AND(L1945=1,bp_kode=T1945,T1945&lt;&gt;""),COUNTIF($T$8:T1945,T1945),"")</f>
        <v/>
      </c>
      <c r="V1945" s="34" t="str">
        <f t="shared" si="1047"/>
        <v/>
      </c>
      <c r="W1945" s="34" t="str">
        <f t="shared" si="1048"/>
        <v/>
      </c>
      <c r="X1945" s="34" t="str">
        <f>IF(B1945="","",COUNTIF($C$8:C1945,C1945)&amp;C1945)</f>
        <v/>
      </c>
    </row>
    <row r="1946" spans="2:24" ht="23.1" customHeight="1">
      <c r="B1946" s="31"/>
      <c r="C1946" s="9"/>
      <c r="D1946" s="9"/>
      <c r="E1946" s="7"/>
      <c r="F1946" s="7"/>
      <c r="G1946" s="7"/>
      <c r="H1946" s="7"/>
      <c r="I1946" s="7"/>
      <c r="J1946" s="39"/>
      <c r="L1946" s="16" t="str">
        <f t="shared" si="1039"/>
        <v/>
      </c>
      <c r="M1946" s="16" t="str">
        <f t="shared" si="1040"/>
        <v/>
      </c>
      <c r="N1946" s="16" t="str">
        <f t="shared" si="1041"/>
        <v/>
      </c>
      <c r="O1946" s="16" t="str">
        <f>IF(N1946="","",COUNTIF($N$8:N1946,N1946))</f>
        <v/>
      </c>
      <c r="P1946" s="34" t="str">
        <f t="shared" si="1042"/>
        <v/>
      </c>
      <c r="Q1946" s="34" t="str">
        <f t="shared" si="1043"/>
        <v/>
      </c>
      <c r="R1946" s="34" t="str">
        <f t="shared" si="1044"/>
        <v/>
      </c>
      <c r="S1946" s="34" t="str">
        <f t="shared" si="1045"/>
        <v/>
      </c>
      <c r="T1946" s="34" t="str">
        <f t="shared" si="1046"/>
        <v/>
      </c>
      <c r="U1946" s="34" t="str">
        <f>IF(AND(L1946=1,bp_kode=T1946,T1946&lt;&gt;""),COUNTIF($T$8:T1946,T1946),"")</f>
        <v/>
      </c>
      <c r="V1946" s="34" t="str">
        <f t="shared" si="1047"/>
        <v/>
      </c>
      <c r="W1946" s="34" t="str">
        <f t="shared" si="1048"/>
        <v/>
      </c>
      <c r="X1946" s="34" t="str">
        <f>IF(B1946="","",COUNTIF($C$8:C1946,C1946)&amp;C1946)</f>
        <v/>
      </c>
    </row>
    <row r="1947" spans="2:24" ht="23.1" customHeight="1">
      <c r="B1947" s="31"/>
      <c r="C1947" s="9"/>
      <c r="D1947" s="9"/>
      <c r="E1947" s="7"/>
      <c r="F1947" s="7"/>
      <c r="G1947" s="7"/>
      <c r="H1947" s="7"/>
      <c r="I1947" s="7"/>
      <c r="J1947" s="39"/>
      <c r="L1947" s="16" t="str">
        <f t="shared" si="1039"/>
        <v/>
      </c>
      <c r="M1947" s="16" t="str">
        <f t="shared" si="1040"/>
        <v/>
      </c>
      <c r="N1947" s="16" t="str">
        <f t="shared" si="1041"/>
        <v/>
      </c>
      <c r="O1947" s="16" t="str">
        <f>IF(N1947="","",COUNTIF($N$8:N1947,N1947))</f>
        <v/>
      </c>
      <c r="P1947" s="34" t="str">
        <f t="shared" si="1042"/>
        <v/>
      </c>
      <c r="Q1947" s="34" t="str">
        <f t="shared" si="1043"/>
        <v/>
      </c>
      <c r="R1947" s="34" t="str">
        <f t="shared" si="1044"/>
        <v/>
      </c>
      <c r="S1947" s="34" t="str">
        <f t="shared" si="1045"/>
        <v/>
      </c>
      <c r="T1947" s="34" t="str">
        <f t="shared" si="1046"/>
        <v/>
      </c>
      <c r="U1947" s="34" t="str">
        <f>IF(AND(L1947=1,bp_kode=T1947,T1947&lt;&gt;""),COUNTIF($T$8:T1947,T1947),"")</f>
        <v/>
      </c>
      <c r="V1947" s="34" t="str">
        <f t="shared" si="1047"/>
        <v/>
      </c>
      <c r="W1947" s="34" t="str">
        <f t="shared" si="1048"/>
        <v/>
      </c>
      <c r="X1947" s="34" t="str">
        <f>IF(B1947="","",COUNTIF($C$8:C1947,C1947)&amp;C1947)</f>
        <v/>
      </c>
    </row>
    <row r="1948" spans="2:24" ht="23.1" customHeight="1">
      <c r="B1948" s="31"/>
      <c r="C1948" s="9"/>
      <c r="D1948" s="9"/>
      <c r="E1948" s="7"/>
      <c r="F1948" s="7"/>
      <c r="G1948" s="7"/>
      <c r="H1948" s="7"/>
      <c r="I1948" s="7"/>
      <c r="J1948" s="39"/>
      <c r="L1948" s="16" t="str">
        <f t="shared" si="1039"/>
        <v/>
      </c>
      <c r="M1948" s="16" t="str">
        <f t="shared" si="1040"/>
        <v/>
      </c>
      <c r="N1948" s="16" t="str">
        <f t="shared" si="1041"/>
        <v/>
      </c>
      <c r="O1948" s="16" t="str">
        <f>IF(N1948="","",COUNTIF($N$8:N1948,N1948))</f>
        <v/>
      </c>
      <c r="P1948" s="34" t="str">
        <f t="shared" si="1042"/>
        <v/>
      </c>
      <c r="Q1948" s="34" t="str">
        <f t="shared" si="1043"/>
        <v/>
      </c>
      <c r="R1948" s="34" t="str">
        <f t="shared" si="1044"/>
        <v/>
      </c>
      <c r="S1948" s="34" t="str">
        <f t="shared" si="1045"/>
        <v/>
      </c>
      <c r="T1948" s="34" t="str">
        <f t="shared" si="1046"/>
        <v/>
      </c>
      <c r="U1948" s="34" t="str">
        <f>IF(AND(L1948=1,bp_kode=T1948,T1948&lt;&gt;""),COUNTIF($T$8:T1948,T1948),"")</f>
        <v/>
      </c>
      <c r="V1948" s="34" t="str">
        <f t="shared" si="1047"/>
        <v/>
      </c>
      <c r="W1948" s="34" t="str">
        <f t="shared" si="1048"/>
        <v/>
      </c>
      <c r="X1948" s="34" t="str">
        <f>IF(B1948="","",COUNTIF($C$8:C1948,C1948)&amp;C1948)</f>
        <v/>
      </c>
    </row>
    <row r="1949" spans="2:24" ht="23.1" customHeight="1">
      <c r="B1949" s="31"/>
      <c r="C1949" s="9"/>
      <c r="D1949" s="9"/>
      <c r="E1949" s="7"/>
      <c r="F1949" s="7"/>
      <c r="G1949" s="7"/>
      <c r="H1949" s="7"/>
      <c r="I1949" s="7"/>
      <c r="J1949" s="39"/>
      <c r="L1949" s="16" t="str">
        <f t="shared" si="1039"/>
        <v/>
      </c>
      <c r="M1949" s="16" t="str">
        <f t="shared" si="1040"/>
        <v/>
      </c>
      <c r="N1949" s="16" t="str">
        <f t="shared" si="1041"/>
        <v/>
      </c>
      <c r="O1949" s="16" t="str">
        <f>IF(N1949="","",COUNTIF($N$8:N1949,N1949))</f>
        <v/>
      </c>
      <c r="P1949" s="34" t="str">
        <f t="shared" si="1042"/>
        <v/>
      </c>
      <c r="Q1949" s="34" t="str">
        <f t="shared" si="1043"/>
        <v/>
      </c>
      <c r="R1949" s="34" t="str">
        <f t="shared" si="1044"/>
        <v/>
      </c>
      <c r="S1949" s="34" t="str">
        <f t="shared" si="1045"/>
        <v/>
      </c>
      <c r="T1949" s="34" t="str">
        <f t="shared" si="1046"/>
        <v/>
      </c>
      <c r="U1949" s="34" t="str">
        <f>IF(AND(L1949=1,bp_kode=T1949,T1949&lt;&gt;""),COUNTIF($T$8:T1949,T1949),"")</f>
        <v/>
      </c>
      <c r="V1949" s="34" t="str">
        <f t="shared" si="1047"/>
        <v/>
      </c>
      <c r="W1949" s="34" t="str">
        <f t="shared" si="1048"/>
        <v/>
      </c>
      <c r="X1949" s="34" t="str">
        <f>IF(B1949="","",COUNTIF($C$8:C1949,C1949)&amp;C1949)</f>
        <v/>
      </c>
    </row>
    <row r="1950" spans="2:24" ht="23.1" customHeight="1">
      <c r="B1950" s="31"/>
      <c r="C1950" s="9"/>
      <c r="D1950" s="9"/>
      <c r="E1950" s="7"/>
      <c r="F1950" s="7"/>
      <c r="G1950" s="7"/>
      <c r="H1950" s="7"/>
      <c r="I1950" s="7"/>
      <c r="J1950" s="39"/>
      <c r="L1950" s="16" t="str">
        <f t="shared" si="1039"/>
        <v/>
      </c>
      <c r="M1950" s="16" t="str">
        <f t="shared" si="1040"/>
        <v/>
      </c>
      <c r="N1950" s="16" t="str">
        <f t="shared" si="1041"/>
        <v/>
      </c>
      <c r="O1950" s="16" t="str">
        <f>IF(N1950="","",COUNTIF($N$8:N1950,N1950))</f>
        <v/>
      </c>
      <c r="P1950" s="34" t="str">
        <f t="shared" si="1042"/>
        <v/>
      </c>
      <c r="Q1950" s="34" t="str">
        <f t="shared" si="1043"/>
        <v/>
      </c>
      <c r="R1950" s="34" t="str">
        <f t="shared" si="1044"/>
        <v/>
      </c>
      <c r="S1950" s="34" t="str">
        <f t="shared" si="1045"/>
        <v/>
      </c>
      <c r="T1950" s="34" t="str">
        <f t="shared" si="1046"/>
        <v/>
      </c>
      <c r="U1950" s="34" t="str">
        <f>IF(AND(L1950=1,bp_kode=T1950,T1950&lt;&gt;""),COUNTIF($T$8:T1950,T1950),"")</f>
        <v/>
      </c>
      <c r="V1950" s="34" t="str">
        <f t="shared" si="1047"/>
        <v/>
      </c>
      <c r="W1950" s="34" t="str">
        <f t="shared" si="1048"/>
        <v/>
      </c>
      <c r="X1950" s="34" t="str">
        <f>IF(B1950="","",COUNTIF($C$8:C1950,C1950)&amp;C1950)</f>
        <v/>
      </c>
    </row>
    <row r="1951" spans="2:24" ht="23.1" customHeight="1">
      <c r="B1951" s="31"/>
      <c r="C1951" s="9"/>
      <c r="D1951" s="9"/>
      <c r="E1951" s="7"/>
      <c r="F1951" s="7"/>
      <c r="G1951" s="7"/>
      <c r="H1951" s="7"/>
      <c r="I1951" s="7"/>
      <c r="J1951" s="39"/>
      <c r="L1951" s="16" t="str">
        <f t="shared" si="1039"/>
        <v/>
      </c>
      <c r="M1951" s="16" t="str">
        <f t="shared" si="1040"/>
        <v/>
      </c>
      <c r="N1951" s="16" t="str">
        <f t="shared" si="1041"/>
        <v/>
      </c>
      <c r="O1951" s="16" t="str">
        <f>IF(N1951="","",COUNTIF($N$8:N1951,N1951))</f>
        <v/>
      </c>
      <c r="P1951" s="34" t="str">
        <f t="shared" si="1042"/>
        <v/>
      </c>
      <c r="Q1951" s="34" t="str">
        <f t="shared" si="1043"/>
        <v/>
      </c>
      <c r="R1951" s="34" t="str">
        <f t="shared" si="1044"/>
        <v/>
      </c>
      <c r="S1951" s="34" t="str">
        <f t="shared" si="1045"/>
        <v/>
      </c>
      <c r="T1951" s="34" t="str">
        <f t="shared" si="1046"/>
        <v/>
      </c>
      <c r="U1951" s="34" t="str">
        <f>IF(AND(L1951=1,bp_kode=T1951,T1951&lt;&gt;""),COUNTIF($T$8:T1951,T1951),"")</f>
        <v/>
      </c>
      <c r="V1951" s="34" t="str">
        <f t="shared" si="1047"/>
        <v/>
      </c>
      <c r="W1951" s="34" t="str">
        <f t="shared" si="1048"/>
        <v/>
      </c>
      <c r="X1951" s="34" t="str">
        <f>IF(B1951="","",COUNTIF($C$8:C1951,C1951)&amp;C1951)</f>
        <v/>
      </c>
    </row>
    <row r="1952" spans="2:24" ht="23.1" customHeight="1">
      <c r="B1952" s="31"/>
      <c r="C1952" s="9"/>
      <c r="D1952" s="9"/>
      <c r="E1952" s="7"/>
      <c r="F1952" s="7"/>
      <c r="G1952" s="7"/>
      <c r="H1952" s="7"/>
      <c r="I1952" s="7"/>
      <c r="J1952" s="39"/>
      <c r="L1952" s="16" t="str">
        <f t="shared" si="1039"/>
        <v/>
      </c>
      <c r="M1952" s="16" t="str">
        <f t="shared" si="1040"/>
        <v/>
      </c>
      <c r="N1952" s="16" t="str">
        <f t="shared" si="1041"/>
        <v/>
      </c>
      <c r="O1952" s="16" t="str">
        <f>IF(N1952="","",COUNTIF($N$8:N1952,N1952))</f>
        <v/>
      </c>
      <c r="P1952" s="34" t="str">
        <f t="shared" si="1042"/>
        <v/>
      </c>
      <c r="Q1952" s="34" t="str">
        <f t="shared" si="1043"/>
        <v/>
      </c>
      <c r="R1952" s="34" t="str">
        <f t="shared" si="1044"/>
        <v/>
      </c>
      <c r="S1952" s="34" t="str">
        <f t="shared" si="1045"/>
        <v/>
      </c>
      <c r="T1952" s="34" t="str">
        <f t="shared" si="1046"/>
        <v/>
      </c>
      <c r="U1952" s="34" t="str">
        <f>IF(AND(L1952=1,bp_kode=T1952,T1952&lt;&gt;""),COUNTIF($T$8:T1952,T1952),"")</f>
        <v/>
      </c>
      <c r="V1952" s="34" t="str">
        <f t="shared" si="1047"/>
        <v/>
      </c>
      <c r="W1952" s="34" t="str">
        <f t="shared" si="1048"/>
        <v/>
      </c>
      <c r="X1952" s="34" t="str">
        <f>IF(B1952="","",COUNTIF($C$8:C1952,C1952)&amp;C1952)</f>
        <v/>
      </c>
    </row>
    <row r="1953" spans="2:24" ht="23.1" customHeight="1">
      <c r="B1953" s="31"/>
      <c r="C1953" s="9"/>
      <c r="D1953" s="9"/>
      <c r="E1953" s="7"/>
      <c r="F1953" s="7"/>
      <c r="G1953" s="7"/>
      <c r="H1953" s="7"/>
      <c r="I1953" s="7"/>
      <c r="J1953" s="39"/>
      <c r="L1953" s="16" t="str">
        <f t="shared" si="1039"/>
        <v/>
      </c>
      <c r="M1953" s="16" t="str">
        <f t="shared" si="1040"/>
        <v/>
      </c>
      <c r="N1953" s="16" t="str">
        <f t="shared" si="1041"/>
        <v/>
      </c>
      <c r="O1953" s="16" t="str">
        <f>IF(N1953="","",COUNTIF($N$8:N1953,N1953))</f>
        <v/>
      </c>
      <c r="P1953" s="34" t="str">
        <f t="shared" si="1042"/>
        <v/>
      </c>
      <c r="Q1953" s="34" t="str">
        <f t="shared" si="1043"/>
        <v/>
      </c>
      <c r="R1953" s="34" t="str">
        <f t="shared" si="1044"/>
        <v/>
      </c>
      <c r="S1953" s="34" t="str">
        <f t="shared" si="1045"/>
        <v/>
      </c>
      <c r="T1953" s="34" t="str">
        <f t="shared" si="1046"/>
        <v/>
      </c>
      <c r="U1953" s="34" t="str">
        <f>IF(AND(L1953=1,bp_kode=T1953,T1953&lt;&gt;""),COUNTIF($T$8:T1953,T1953),"")</f>
        <v/>
      </c>
      <c r="V1953" s="34" t="str">
        <f t="shared" si="1047"/>
        <v/>
      </c>
      <c r="W1953" s="34" t="str">
        <f t="shared" si="1048"/>
        <v/>
      </c>
      <c r="X1953" s="34" t="str">
        <f>IF(B1953="","",COUNTIF($C$8:C1953,C1953)&amp;C1953)</f>
        <v/>
      </c>
    </row>
    <row r="1954" spans="2:24" ht="23.1" customHeight="1">
      <c r="B1954" s="31"/>
      <c r="C1954" s="9"/>
      <c r="D1954" s="9"/>
      <c r="E1954" s="7"/>
      <c r="F1954" s="7"/>
      <c r="G1954" s="7"/>
      <c r="H1954" s="7"/>
      <c r="I1954" s="7"/>
      <c r="J1954" s="39"/>
      <c r="L1954" s="16" t="str">
        <f t="shared" ref="L1954:L2008" si="1049">IF(AND(B1954&gt;=awal,B1954&lt;=akhir,B1954&lt;&gt;""),1,IF(AND(B1954&lt;&gt;"",B1954&lt;awal),2,""))</f>
        <v/>
      </c>
      <c r="M1954" s="16" t="str">
        <f t="shared" ref="M1954:M2008" si="1050">IF(B1954="","",TEXT(B1954,"mmmm"))</f>
        <v/>
      </c>
      <c r="N1954" s="16" t="str">
        <f t="shared" ref="N1954:N2008" si="1051">IF(AND(L1954=1,H1954=bb_akun),"Awe",IF(AND(L1954=1,I1954=bb_akun),"Awe",""))</f>
        <v/>
      </c>
      <c r="O1954" s="16" t="str">
        <f>IF(N1954="","",COUNTIF($N$8:N1954,N1954))</f>
        <v/>
      </c>
      <c r="P1954" s="34" t="str">
        <f t="shared" ref="P1954:P2008" si="1052">IFERROR(IF(OR(INDEX(akun_type,MATCH(H1954,akun_kb,0))="Kas",INDEX(akun_type,MATCH(H1954,akun_kb,0))="Bank"),"In"&amp;INDEX(akun_type,MATCH(I1954,akun_kb,0)),IF(OR(INDEX(akun_type,MATCH(I1954,akun_kb,0))="Kas",INDEX(akun_type,MATCH(I1954,akun_kb,0))="Bank"),"out"&amp;INDEX(akun_type,MATCH(H1954,akun_kb,0)),"")),"")</f>
        <v/>
      </c>
      <c r="Q1954" s="34" t="str">
        <f t="shared" ref="Q1954:Q2008" si="1053">IFERROR(IF(OR(INDEX(akun_type,MATCH(H1954,akun_kb,0))="Kas",INDEX(akun_type,MATCH(H1954,akun_kb,0))="Bank"),"in"&amp;TEXT(B1954,"mmmm")&amp;INDEX(akun_type,MATCH(I1954,akun_kb,0)),IF(OR(INDEX(akun_type,MATCH(I1954,akun_kb,0))="Kas",INDEX(akun_type,MATCH(I1954,akun_kb,0))="Bank"),"out"&amp;TEXT(B1954,"mmmm")&amp;INDEX(akun_type,MATCH(H1954,akun_kb,0)),"")),"")</f>
        <v/>
      </c>
      <c r="R1954" s="34" t="str">
        <f t="shared" ref="R1954:R2008" si="1054">IFERROR(INDEX(akun_type,MATCH(H1954,akun_kb,0)),"")</f>
        <v/>
      </c>
      <c r="S1954" s="34" t="str">
        <f t="shared" ref="S1954:S2008" si="1055">IFERROR(INDEX(akun_type,MATCH(I1954,akun_kb,0)),"")</f>
        <v/>
      </c>
      <c r="T1954" s="34" t="str">
        <f t="shared" ref="T1954:T2008" si="1056">IF(AND(L1954=1,OR(R1954="Akun Piutang",R1954="akun hutang",S1954="akun piutang",S1954="akun hutang")),E1954,"")</f>
        <v/>
      </c>
      <c r="U1954" s="34" t="str">
        <f>IF(AND(L1954=1,bp_kode=T1954,T1954&lt;&gt;""),COUNTIF($T$8:T1954,T1954),"")</f>
        <v/>
      </c>
      <c r="V1954" s="34" t="str">
        <f t="shared" ref="V1954:V2008" si="1057">IF(OR(R1954="Pendapatan",R1954="Pendapatan Lainnya",R1954="Beban",R1954="Harga Pokok Penjualan",R1954="Beban Lainnya"),"db"&amp;F1954,IF(OR(S1954="Pendapatan",S1954="Pendapatan Lainnya",S1954="Beban",S1954="Harga Pokok Penjualan",S1954="Beban Lainnya"),"kr"&amp;F1954,""))</f>
        <v/>
      </c>
      <c r="W1954" s="34" t="str">
        <f t="shared" ref="W1954:W2008" si="1058">IF(OR(R1954="Pendapatan",R1954="Pendapatan Lainnya",R1954="Beban",R1954="Harga Pokok Penjualan",R1954="Beban Lainnya"),"db"&amp;G1954,IF(OR(S1954="Pendapatan",S1954="Pendapatan Lainnya",S1954="Beban",S1954="Harga Pokok Penjualan",S1954="Beban Lainnya"),"kr"&amp;G1954,""))</f>
        <v/>
      </c>
      <c r="X1954" s="34" t="str">
        <f>IF(B1954="","",COUNTIF($C$8:C1954,C1954)&amp;C1954)</f>
        <v/>
      </c>
    </row>
    <row r="1955" spans="2:24" ht="23.1" customHeight="1">
      <c r="B1955" s="31"/>
      <c r="C1955" s="9"/>
      <c r="D1955" s="9"/>
      <c r="E1955" s="7"/>
      <c r="F1955" s="7"/>
      <c r="G1955" s="7"/>
      <c r="H1955" s="7"/>
      <c r="I1955" s="7"/>
      <c r="J1955" s="39"/>
      <c r="L1955" s="16" t="str">
        <f t="shared" si="1049"/>
        <v/>
      </c>
      <c r="M1955" s="16" t="str">
        <f t="shared" si="1050"/>
        <v/>
      </c>
      <c r="N1955" s="16" t="str">
        <f t="shared" si="1051"/>
        <v/>
      </c>
      <c r="O1955" s="16" t="str">
        <f>IF(N1955="","",COUNTIF($N$8:N1955,N1955))</f>
        <v/>
      </c>
      <c r="P1955" s="34" t="str">
        <f t="shared" si="1052"/>
        <v/>
      </c>
      <c r="Q1955" s="34" t="str">
        <f t="shared" si="1053"/>
        <v/>
      </c>
      <c r="R1955" s="34" t="str">
        <f t="shared" si="1054"/>
        <v/>
      </c>
      <c r="S1955" s="34" t="str">
        <f t="shared" si="1055"/>
        <v/>
      </c>
      <c r="T1955" s="34" t="str">
        <f t="shared" si="1056"/>
        <v/>
      </c>
      <c r="U1955" s="34" t="str">
        <f>IF(AND(L1955=1,bp_kode=T1955,T1955&lt;&gt;""),COUNTIF($T$8:T1955,T1955),"")</f>
        <v/>
      </c>
      <c r="V1955" s="34" t="str">
        <f t="shared" si="1057"/>
        <v/>
      </c>
      <c r="W1955" s="34" t="str">
        <f t="shared" si="1058"/>
        <v/>
      </c>
      <c r="X1955" s="34" t="str">
        <f>IF(B1955="","",COUNTIF($C$8:C1955,C1955)&amp;C1955)</f>
        <v/>
      </c>
    </row>
    <row r="1956" spans="2:24" ht="23.1" customHeight="1">
      <c r="B1956" s="31"/>
      <c r="C1956" s="9"/>
      <c r="D1956" s="9"/>
      <c r="E1956" s="7"/>
      <c r="F1956" s="7"/>
      <c r="G1956" s="7"/>
      <c r="H1956" s="7"/>
      <c r="I1956" s="7"/>
      <c r="J1956" s="39"/>
      <c r="L1956" s="16" t="str">
        <f t="shared" si="1049"/>
        <v/>
      </c>
      <c r="M1956" s="16" t="str">
        <f t="shared" si="1050"/>
        <v/>
      </c>
      <c r="N1956" s="16" t="str">
        <f t="shared" si="1051"/>
        <v/>
      </c>
      <c r="O1956" s="16" t="str">
        <f>IF(N1956="","",COUNTIF($N$8:N1956,N1956))</f>
        <v/>
      </c>
      <c r="P1956" s="34" t="str">
        <f t="shared" si="1052"/>
        <v/>
      </c>
      <c r="Q1956" s="34" t="str">
        <f t="shared" si="1053"/>
        <v/>
      </c>
      <c r="R1956" s="34" t="str">
        <f t="shared" si="1054"/>
        <v/>
      </c>
      <c r="S1956" s="34" t="str">
        <f t="shared" si="1055"/>
        <v/>
      </c>
      <c r="T1956" s="34" t="str">
        <f t="shared" si="1056"/>
        <v/>
      </c>
      <c r="U1956" s="34" t="str">
        <f>IF(AND(L1956=1,bp_kode=T1956,T1956&lt;&gt;""),COUNTIF($T$8:T1956,T1956),"")</f>
        <v/>
      </c>
      <c r="V1956" s="34" t="str">
        <f t="shared" si="1057"/>
        <v/>
      </c>
      <c r="W1956" s="34" t="str">
        <f t="shared" si="1058"/>
        <v/>
      </c>
      <c r="X1956" s="34" t="str">
        <f>IF(B1956="","",COUNTIF($C$8:C1956,C1956)&amp;C1956)</f>
        <v/>
      </c>
    </row>
    <row r="1957" spans="2:24" ht="23.1" customHeight="1">
      <c r="B1957" s="31"/>
      <c r="C1957" s="9"/>
      <c r="D1957" s="9"/>
      <c r="E1957" s="7"/>
      <c r="F1957" s="7"/>
      <c r="G1957" s="7"/>
      <c r="H1957" s="7"/>
      <c r="I1957" s="7"/>
      <c r="J1957" s="39"/>
      <c r="L1957" s="16" t="str">
        <f t="shared" si="1049"/>
        <v/>
      </c>
      <c r="M1957" s="16" t="str">
        <f t="shared" si="1050"/>
        <v/>
      </c>
      <c r="N1957" s="16" t="str">
        <f t="shared" si="1051"/>
        <v/>
      </c>
      <c r="O1957" s="16" t="str">
        <f>IF(N1957="","",COUNTIF($N$8:N1957,N1957))</f>
        <v/>
      </c>
      <c r="P1957" s="34" t="str">
        <f t="shared" si="1052"/>
        <v/>
      </c>
      <c r="Q1957" s="34" t="str">
        <f t="shared" si="1053"/>
        <v/>
      </c>
      <c r="R1957" s="34" t="str">
        <f t="shared" si="1054"/>
        <v/>
      </c>
      <c r="S1957" s="34" t="str">
        <f t="shared" si="1055"/>
        <v/>
      </c>
      <c r="T1957" s="34" t="str">
        <f t="shared" si="1056"/>
        <v/>
      </c>
      <c r="U1957" s="34" t="str">
        <f>IF(AND(L1957=1,bp_kode=T1957,T1957&lt;&gt;""),COUNTIF($T$8:T1957,T1957),"")</f>
        <v/>
      </c>
      <c r="V1957" s="34" t="str">
        <f t="shared" si="1057"/>
        <v/>
      </c>
      <c r="W1957" s="34" t="str">
        <f t="shared" si="1058"/>
        <v/>
      </c>
      <c r="X1957" s="34" t="str">
        <f>IF(B1957="","",COUNTIF($C$8:C1957,C1957)&amp;C1957)</f>
        <v/>
      </c>
    </row>
    <row r="1958" spans="2:24" ht="23.1" customHeight="1">
      <c r="B1958" s="31"/>
      <c r="C1958" s="9"/>
      <c r="D1958" s="9"/>
      <c r="E1958" s="7"/>
      <c r="F1958" s="7"/>
      <c r="G1958" s="7"/>
      <c r="H1958" s="7"/>
      <c r="I1958" s="7"/>
      <c r="J1958" s="39"/>
      <c r="L1958" s="16" t="str">
        <f t="shared" si="1049"/>
        <v/>
      </c>
      <c r="M1958" s="16" t="str">
        <f t="shared" si="1050"/>
        <v/>
      </c>
      <c r="N1958" s="16" t="str">
        <f t="shared" si="1051"/>
        <v/>
      </c>
      <c r="O1958" s="16" t="str">
        <f>IF(N1958="","",COUNTIF($N$8:N1958,N1958))</f>
        <v/>
      </c>
      <c r="P1958" s="34" t="str">
        <f t="shared" si="1052"/>
        <v/>
      </c>
      <c r="Q1958" s="34" t="str">
        <f t="shared" si="1053"/>
        <v/>
      </c>
      <c r="R1958" s="34" t="str">
        <f t="shared" si="1054"/>
        <v/>
      </c>
      <c r="S1958" s="34" t="str">
        <f t="shared" si="1055"/>
        <v/>
      </c>
      <c r="T1958" s="34" t="str">
        <f t="shared" si="1056"/>
        <v/>
      </c>
      <c r="U1958" s="34" t="str">
        <f>IF(AND(L1958=1,bp_kode=T1958,T1958&lt;&gt;""),COUNTIF($T$8:T1958,T1958),"")</f>
        <v/>
      </c>
      <c r="V1958" s="34" t="str">
        <f t="shared" si="1057"/>
        <v/>
      </c>
      <c r="W1958" s="34" t="str">
        <f t="shared" si="1058"/>
        <v/>
      </c>
      <c r="X1958" s="34" t="str">
        <f>IF(B1958="","",COUNTIF($C$8:C1958,C1958)&amp;C1958)</f>
        <v/>
      </c>
    </row>
    <row r="1959" spans="2:24" ht="23.1" customHeight="1">
      <c r="B1959" s="31"/>
      <c r="C1959" s="9"/>
      <c r="D1959" s="9"/>
      <c r="E1959" s="7"/>
      <c r="F1959" s="7"/>
      <c r="G1959" s="7"/>
      <c r="H1959" s="7"/>
      <c r="I1959" s="7"/>
      <c r="J1959" s="39"/>
      <c r="L1959" s="16" t="str">
        <f t="shared" si="1049"/>
        <v/>
      </c>
      <c r="M1959" s="16" t="str">
        <f t="shared" si="1050"/>
        <v/>
      </c>
      <c r="N1959" s="16" t="str">
        <f t="shared" si="1051"/>
        <v/>
      </c>
      <c r="O1959" s="16" t="str">
        <f>IF(N1959="","",COUNTIF($N$8:N1959,N1959))</f>
        <v/>
      </c>
      <c r="P1959" s="34" t="str">
        <f t="shared" si="1052"/>
        <v/>
      </c>
      <c r="Q1959" s="34" t="str">
        <f t="shared" si="1053"/>
        <v/>
      </c>
      <c r="R1959" s="34" t="str">
        <f t="shared" si="1054"/>
        <v/>
      </c>
      <c r="S1959" s="34" t="str">
        <f t="shared" si="1055"/>
        <v/>
      </c>
      <c r="T1959" s="34" t="str">
        <f t="shared" si="1056"/>
        <v/>
      </c>
      <c r="U1959" s="34" t="str">
        <f>IF(AND(L1959=1,bp_kode=T1959,T1959&lt;&gt;""),COUNTIF($T$8:T1959,T1959),"")</f>
        <v/>
      </c>
      <c r="V1959" s="34" t="str">
        <f t="shared" si="1057"/>
        <v/>
      </c>
      <c r="W1959" s="34" t="str">
        <f t="shared" si="1058"/>
        <v/>
      </c>
      <c r="X1959" s="34" t="str">
        <f>IF(B1959="","",COUNTIF($C$8:C1959,C1959)&amp;C1959)</f>
        <v/>
      </c>
    </row>
    <row r="1960" spans="2:24" ht="23.1" customHeight="1">
      <c r="B1960" s="31"/>
      <c r="C1960" s="9"/>
      <c r="D1960" s="9"/>
      <c r="E1960" s="7"/>
      <c r="F1960" s="7"/>
      <c r="G1960" s="7"/>
      <c r="H1960" s="7"/>
      <c r="I1960" s="7"/>
      <c r="J1960" s="39"/>
      <c r="L1960" s="16" t="str">
        <f t="shared" si="1049"/>
        <v/>
      </c>
      <c r="M1960" s="16" t="str">
        <f t="shared" si="1050"/>
        <v/>
      </c>
      <c r="N1960" s="16" t="str">
        <f t="shared" si="1051"/>
        <v/>
      </c>
      <c r="O1960" s="16" t="str">
        <f>IF(N1960="","",COUNTIF($N$8:N1960,N1960))</f>
        <v/>
      </c>
      <c r="P1960" s="34" t="str">
        <f t="shared" si="1052"/>
        <v/>
      </c>
      <c r="Q1960" s="34" t="str">
        <f t="shared" si="1053"/>
        <v/>
      </c>
      <c r="R1960" s="34" t="str">
        <f t="shared" si="1054"/>
        <v/>
      </c>
      <c r="S1960" s="34" t="str">
        <f t="shared" si="1055"/>
        <v/>
      </c>
      <c r="T1960" s="34" t="str">
        <f t="shared" si="1056"/>
        <v/>
      </c>
      <c r="U1960" s="34" t="str">
        <f>IF(AND(L1960=1,bp_kode=T1960,T1960&lt;&gt;""),COUNTIF($T$8:T1960,T1960),"")</f>
        <v/>
      </c>
      <c r="V1960" s="34" t="str">
        <f t="shared" si="1057"/>
        <v/>
      </c>
      <c r="W1960" s="34" t="str">
        <f t="shared" si="1058"/>
        <v/>
      </c>
      <c r="X1960" s="34" t="str">
        <f>IF(B1960="","",COUNTIF($C$8:C1960,C1960)&amp;C1960)</f>
        <v/>
      </c>
    </row>
    <row r="1961" spans="2:24" ht="23.1" customHeight="1">
      <c r="B1961" s="31"/>
      <c r="C1961" s="9"/>
      <c r="D1961" s="9"/>
      <c r="E1961" s="7"/>
      <c r="F1961" s="7"/>
      <c r="G1961" s="7"/>
      <c r="H1961" s="7"/>
      <c r="I1961" s="7"/>
      <c r="J1961" s="39"/>
      <c r="L1961" s="16" t="str">
        <f t="shared" si="1049"/>
        <v/>
      </c>
      <c r="M1961" s="16" t="str">
        <f t="shared" si="1050"/>
        <v/>
      </c>
      <c r="N1961" s="16" t="str">
        <f t="shared" si="1051"/>
        <v/>
      </c>
      <c r="O1961" s="16" t="str">
        <f>IF(N1961="","",COUNTIF($N$8:N1961,N1961))</f>
        <v/>
      </c>
      <c r="P1961" s="34" t="str">
        <f t="shared" si="1052"/>
        <v/>
      </c>
      <c r="Q1961" s="34" t="str">
        <f t="shared" si="1053"/>
        <v/>
      </c>
      <c r="R1961" s="34" t="str">
        <f t="shared" si="1054"/>
        <v/>
      </c>
      <c r="S1961" s="34" t="str">
        <f t="shared" si="1055"/>
        <v/>
      </c>
      <c r="T1961" s="34" t="str">
        <f t="shared" si="1056"/>
        <v/>
      </c>
      <c r="U1961" s="34" t="str">
        <f>IF(AND(L1961=1,bp_kode=T1961,T1961&lt;&gt;""),COUNTIF($T$8:T1961,T1961),"")</f>
        <v/>
      </c>
      <c r="V1961" s="34" t="str">
        <f t="shared" si="1057"/>
        <v/>
      </c>
      <c r="W1961" s="34" t="str">
        <f t="shared" si="1058"/>
        <v/>
      </c>
      <c r="X1961" s="34" t="str">
        <f>IF(B1961="","",COUNTIF($C$8:C1961,C1961)&amp;C1961)</f>
        <v/>
      </c>
    </row>
    <row r="1962" spans="2:24" ht="23.1" customHeight="1">
      <c r="B1962" s="31"/>
      <c r="C1962" s="9"/>
      <c r="D1962" s="9"/>
      <c r="E1962" s="7"/>
      <c r="F1962" s="7"/>
      <c r="G1962" s="7"/>
      <c r="H1962" s="7"/>
      <c r="I1962" s="7"/>
      <c r="J1962" s="39"/>
      <c r="L1962" s="16" t="str">
        <f t="shared" si="1049"/>
        <v/>
      </c>
      <c r="M1962" s="16" t="str">
        <f t="shared" si="1050"/>
        <v/>
      </c>
      <c r="N1962" s="16" t="str">
        <f t="shared" si="1051"/>
        <v/>
      </c>
      <c r="O1962" s="16" t="str">
        <f>IF(N1962="","",COUNTIF($N$8:N1962,N1962))</f>
        <v/>
      </c>
      <c r="P1962" s="34" t="str">
        <f t="shared" si="1052"/>
        <v/>
      </c>
      <c r="Q1962" s="34" t="str">
        <f t="shared" si="1053"/>
        <v/>
      </c>
      <c r="R1962" s="34" t="str">
        <f t="shared" si="1054"/>
        <v/>
      </c>
      <c r="S1962" s="34" t="str">
        <f t="shared" si="1055"/>
        <v/>
      </c>
      <c r="T1962" s="34" t="str">
        <f t="shared" si="1056"/>
        <v/>
      </c>
      <c r="U1962" s="34" t="str">
        <f>IF(AND(L1962=1,bp_kode=T1962,T1962&lt;&gt;""),COUNTIF($T$8:T1962,T1962),"")</f>
        <v/>
      </c>
      <c r="V1962" s="34" t="str">
        <f t="shared" si="1057"/>
        <v/>
      </c>
      <c r="W1962" s="34" t="str">
        <f t="shared" si="1058"/>
        <v/>
      </c>
      <c r="X1962" s="34" t="str">
        <f>IF(B1962="","",COUNTIF($C$8:C1962,C1962)&amp;C1962)</f>
        <v/>
      </c>
    </row>
    <row r="1963" spans="2:24" ht="23.1" customHeight="1">
      <c r="B1963" s="31"/>
      <c r="C1963" s="9"/>
      <c r="D1963" s="9"/>
      <c r="E1963" s="7"/>
      <c r="F1963" s="7"/>
      <c r="G1963" s="7"/>
      <c r="H1963" s="7"/>
      <c r="I1963" s="7"/>
      <c r="J1963" s="39"/>
      <c r="L1963" s="16" t="str">
        <f t="shared" si="1049"/>
        <v/>
      </c>
      <c r="M1963" s="16" t="str">
        <f t="shared" si="1050"/>
        <v/>
      </c>
      <c r="N1963" s="16" t="str">
        <f t="shared" si="1051"/>
        <v/>
      </c>
      <c r="O1963" s="16" t="str">
        <f>IF(N1963="","",COUNTIF($N$8:N1963,N1963))</f>
        <v/>
      </c>
      <c r="P1963" s="34" t="str">
        <f t="shared" si="1052"/>
        <v/>
      </c>
      <c r="Q1963" s="34" t="str">
        <f t="shared" si="1053"/>
        <v/>
      </c>
      <c r="R1963" s="34" t="str">
        <f t="shared" si="1054"/>
        <v/>
      </c>
      <c r="S1963" s="34" t="str">
        <f t="shared" si="1055"/>
        <v/>
      </c>
      <c r="T1963" s="34" t="str">
        <f t="shared" si="1056"/>
        <v/>
      </c>
      <c r="U1963" s="34" t="str">
        <f>IF(AND(L1963=1,bp_kode=T1963,T1963&lt;&gt;""),COUNTIF($T$8:T1963,T1963),"")</f>
        <v/>
      </c>
      <c r="V1963" s="34" t="str">
        <f t="shared" si="1057"/>
        <v/>
      </c>
      <c r="W1963" s="34" t="str">
        <f t="shared" si="1058"/>
        <v/>
      </c>
      <c r="X1963" s="34" t="str">
        <f>IF(B1963="","",COUNTIF($C$8:C1963,C1963)&amp;C1963)</f>
        <v/>
      </c>
    </row>
    <row r="1964" spans="2:24" ht="23.1" customHeight="1">
      <c r="B1964" s="31"/>
      <c r="C1964" s="9"/>
      <c r="D1964" s="9"/>
      <c r="E1964" s="7"/>
      <c r="F1964" s="7"/>
      <c r="G1964" s="7"/>
      <c r="H1964" s="7"/>
      <c r="I1964" s="7"/>
      <c r="J1964" s="39"/>
      <c r="L1964" s="16" t="str">
        <f t="shared" si="1049"/>
        <v/>
      </c>
      <c r="M1964" s="16" t="str">
        <f t="shared" si="1050"/>
        <v/>
      </c>
      <c r="N1964" s="16" t="str">
        <f t="shared" si="1051"/>
        <v/>
      </c>
      <c r="O1964" s="16" t="str">
        <f>IF(N1964="","",COUNTIF($N$8:N1964,N1964))</f>
        <v/>
      </c>
      <c r="P1964" s="34" t="str">
        <f t="shared" si="1052"/>
        <v/>
      </c>
      <c r="Q1964" s="34" t="str">
        <f t="shared" si="1053"/>
        <v/>
      </c>
      <c r="R1964" s="34" t="str">
        <f t="shared" si="1054"/>
        <v/>
      </c>
      <c r="S1964" s="34" t="str">
        <f t="shared" si="1055"/>
        <v/>
      </c>
      <c r="T1964" s="34" t="str">
        <f t="shared" si="1056"/>
        <v/>
      </c>
      <c r="U1964" s="34" t="str">
        <f>IF(AND(L1964=1,bp_kode=T1964,T1964&lt;&gt;""),COUNTIF($T$8:T1964,T1964),"")</f>
        <v/>
      </c>
      <c r="V1964" s="34" t="str">
        <f t="shared" si="1057"/>
        <v/>
      </c>
      <c r="W1964" s="34" t="str">
        <f t="shared" si="1058"/>
        <v/>
      </c>
      <c r="X1964" s="34" t="str">
        <f>IF(B1964="","",COUNTIF($C$8:C1964,C1964)&amp;C1964)</f>
        <v/>
      </c>
    </row>
    <row r="1965" spans="2:24" ht="23.1" customHeight="1">
      <c r="B1965" s="31"/>
      <c r="C1965" s="9"/>
      <c r="D1965" s="9"/>
      <c r="E1965" s="7"/>
      <c r="F1965" s="7"/>
      <c r="G1965" s="7"/>
      <c r="H1965" s="7"/>
      <c r="I1965" s="7"/>
      <c r="J1965" s="39"/>
      <c r="L1965" s="16" t="str">
        <f t="shared" si="1049"/>
        <v/>
      </c>
      <c r="M1965" s="16" t="str">
        <f t="shared" si="1050"/>
        <v/>
      </c>
      <c r="N1965" s="16" t="str">
        <f t="shared" si="1051"/>
        <v/>
      </c>
      <c r="O1965" s="16" t="str">
        <f>IF(N1965="","",COUNTIF($N$8:N1965,N1965))</f>
        <v/>
      </c>
      <c r="P1965" s="34" t="str">
        <f t="shared" si="1052"/>
        <v/>
      </c>
      <c r="Q1965" s="34" t="str">
        <f t="shared" si="1053"/>
        <v/>
      </c>
      <c r="R1965" s="34" t="str">
        <f t="shared" si="1054"/>
        <v/>
      </c>
      <c r="S1965" s="34" t="str">
        <f t="shared" si="1055"/>
        <v/>
      </c>
      <c r="T1965" s="34" t="str">
        <f t="shared" si="1056"/>
        <v/>
      </c>
      <c r="U1965" s="34" t="str">
        <f>IF(AND(L1965=1,bp_kode=T1965,T1965&lt;&gt;""),COUNTIF($T$8:T1965,T1965),"")</f>
        <v/>
      </c>
      <c r="V1965" s="34" t="str">
        <f t="shared" si="1057"/>
        <v/>
      </c>
      <c r="W1965" s="34" t="str">
        <f t="shared" si="1058"/>
        <v/>
      </c>
      <c r="X1965" s="34" t="str">
        <f>IF(B1965="","",COUNTIF($C$8:C1965,C1965)&amp;C1965)</f>
        <v/>
      </c>
    </row>
    <row r="1966" spans="2:24" ht="23.1" customHeight="1">
      <c r="B1966" s="31"/>
      <c r="C1966" s="9"/>
      <c r="D1966" s="9"/>
      <c r="E1966" s="7"/>
      <c r="F1966" s="7"/>
      <c r="G1966" s="7"/>
      <c r="H1966" s="7"/>
      <c r="I1966" s="7"/>
      <c r="J1966" s="39"/>
      <c r="L1966" s="16" t="str">
        <f t="shared" si="1049"/>
        <v/>
      </c>
      <c r="M1966" s="16" t="str">
        <f t="shared" si="1050"/>
        <v/>
      </c>
      <c r="N1966" s="16" t="str">
        <f t="shared" si="1051"/>
        <v/>
      </c>
      <c r="O1966" s="16" t="str">
        <f>IF(N1966="","",COUNTIF($N$8:N1966,N1966))</f>
        <v/>
      </c>
      <c r="P1966" s="34" t="str">
        <f t="shared" si="1052"/>
        <v/>
      </c>
      <c r="Q1966" s="34" t="str">
        <f t="shared" si="1053"/>
        <v/>
      </c>
      <c r="R1966" s="34" t="str">
        <f t="shared" si="1054"/>
        <v/>
      </c>
      <c r="S1966" s="34" t="str">
        <f t="shared" si="1055"/>
        <v/>
      </c>
      <c r="T1966" s="34" t="str">
        <f t="shared" si="1056"/>
        <v/>
      </c>
      <c r="U1966" s="34" t="str">
        <f>IF(AND(L1966=1,bp_kode=T1966,T1966&lt;&gt;""),COUNTIF($T$8:T1966,T1966),"")</f>
        <v/>
      </c>
      <c r="V1966" s="34" t="str">
        <f t="shared" si="1057"/>
        <v/>
      </c>
      <c r="W1966" s="34" t="str">
        <f t="shared" si="1058"/>
        <v/>
      </c>
      <c r="X1966" s="34" t="str">
        <f>IF(B1966="","",COUNTIF($C$8:C1966,C1966)&amp;C1966)</f>
        <v/>
      </c>
    </row>
    <row r="1967" spans="2:24" ht="23.1" customHeight="1">
      <c r="B1967" s="31"/>
      <c r="C1967" s="9"/>
      <c r="D1967" s="9"/>
      <c r="E1967" s="7"/>
      <c r="F1967" s="7"/>
      <c r="G1967" s="7"/>
      <c r="H1967" s="7"/>
      <c r="I1967" s="7"/>
      <c r="J1967" s="39"/>
      <c r="L1967" s="16" t="str">
        <f t="shared" si="1049"/>
        <v/>
      </c>
      <c r="M1967" s="16" t="str">
        <f t="shared" si="1050"/>
        <v/>
      </c>
      <c r="N1967" s="16" t="str">
        <f t="shared" si="1051"/>
        <v/>
      </c>
      <c r="O1967" s="16" t="str">
        <f>IF(N1967="","",COUNTIF($N$8:N1967,N1967))</f>
        <v/>
      </c>
      <c r="P1967" s="34" t="str">
        <f t="shared" si="1052"/>
        <v/>
      </c>
      <c r="Q1967" s="34" t="str">
        <f t="shared" si="1053"/>
        <v/>
      </c>
      <c r="R1967" s="34" t="str">
        <f t="shared" si="1054"/>
        <v/>
      </c>
      <c r="S1967" s="34" t="str">
        <f t="shared" si="1055"/>
        <v/>
      </c>
      <c r="T1967" s="34" t="str">
        <f t="shared" si="1056"/>
        <v/>
      </c>
      <c r="U1967" s="34" t="str">
        <f>IF(AND(L1967=1,bp_kode=T1967,T1967&lt;&gt;""),COUNTIF($T$8:T1967,T1967),"")</f>
        <v/>
      </c>
      <c r="V1967" s="34" t="str">
        <f t="shared" si="1057"/>
        <v/>
      </c>
      <c r="W1967" s="34" t="str">
        <f t="shared" si="1058"/>
        <v/>
      </c>
      <c r="X1967" s="34" t="str">
        <f>IF(B1967="","",COUNTIF($C$8:C1967,C1967)&amp;C1967)</f>
        <v/>
      </c>
    </row>
    <row r="1968" spans="2:24" ht="23.1" customHeight="1">
      <c r="B1968" s="31"/>
      <c r="C1968" s="9"/>
      <c r="D1968" s="9"/>
      <c r="E1968" s="7"/>
      <c r="F1968" s="7"/>
      <c r="G1968" s="7"/>
      <c r="H1968" s="7"/>
      <c r="I1968" s="7"/>
      <c r="J1968" s="39"/>
      <c r="L1968" s="16" t="str">
        <f t="shared" si="1049"/>
        <v/>
      </c>
      <c r="M1968" s="16" t="str">
        <f t="shared" si="1050"/>
        <v/>
      </c>
      <c r="N1968" s="16" t="str">
        <f t="shared" si="1051"/>
        <v/>
      </c>
      <c r="O1968" s="16" t="str">
        <f>IF(N1968="","",COUNTIF($N$8:N1968,N1968))</f>
        <v/>
      </c>
      <c r="P1968" s="34" t="str">
        <f t="shared" si="1052"/>
        <v/>
      </c>
      <c r="Q1968" s="34" t="str">
        <f t="shared" si="1053"/>
        <v/>
      </c>
      <c r="R1968" s="34" t="str">
        <f t="shared" si="1054"/>
        <v/>
      </c>
      <c r="S1968" s="34" t="str">
        <f t="shared" si="1055"/>
        <v/>
      </c>
      <c r="T1968" s="34" t="str">
        <f t="shared" si="1056"/>
        <v/>
      </c>
      <c r="U1968" s="34" t="str">
        <f>IF(AND(L1968=1,bp_kode=T1968,T1968&lt;&gt;""),COUNTIF($T$8:T1968,T1968),"")</f>
        <v/>
      </c>
      <c r="V1968" s="34" t="str">
        <f t="shared" si="1057"/>
        <v/>
      </c>
      <c r="W1968" s="34" t="str">
        <f t="shared" si="1058"/>
        <v/>
      </c>
      <c r="X1968" s="34" t="str">
        <f>IF(B1968="","",COUNTIF($C$8:C1968,C1968)&amp;C1968)</f>
        <v/>
      </c>
    </row>
    <row r="1969" spans="2:24" ht="23.1" customHeight="1">
      <c r="B1969" s="31"/>
      <c r="C1969" s="9"/>
      <c r="D1969" s="9"/>
      <c r="E1969" s="7"/>
      <c r="F1969" s="7"/>
      <c r="G1969" s="7"/>
      <c r="H1969" s="7"/>
      <c r="I1969" s="7"/>
      <c r="J1969" s="39"/>
      <c r="L1969" s="16" t="str">
        <f t="shared" si="1049"/>
        <v/>
      </c>
      <c r="M1969" s="16" t="str">
        <f t="shared" si="1050"/>
        <v/>
      </c>
      <c r="N1969" s="16" t="str">
        <f t="shared" si="1051"/>
        <v/>
      </c>
      <c r="O1969" s="16" t="str">
        <f>IF(N1969="","",COUNTIF($N$8:N1969,N1969))</f>
        <v/>
      </c>
      <c r="P1969" s="34" t="str">
        <f t="shared" si="1052"/>
        <v/>
      </c>
      <c r="Q1969" s="34" t="str">
        <f t="shared" si="1053"/>
        <v/>
      </c>
      <c r="R1969" s="34" t="str">
        <f t="shared" si="1054"/>
        <v/>
      </c>
      <c r="S1969" s="34" t="str">
        <f t="shared" si="1055"/>
        <v/>
      </c>
      <c r="T1969" s="34" t="str">
        <f t="shared" si="1056"/>
        <v/>
      </c>
      <c r="U1969" s="34" t="str">
        <f>IF(AND(L1969=1,bp_kode=T1969,T1969&lt;&gt;""),COUNTIF($T$8:T1969,T1969),"")</f>
        <v/>
      </c>
      <c r="V1969" s="34" t="str">
        <f t="shared" si="1057"/>
        <v/>
      </c>
      <c r="W1969" s="34" t="str">
        <f t="shared" si="1058"/>
        <v/>
      </c>
      <c r="X1969" s="34" t="str">
        <f>IF(B1969="","",COUNTIF($C$8:C1969,C1969)&amp;C1969)</f>
        <v/>
      </c>
    </row>
    <row r="1970" spans="2:24" ht="23.1" customHeight="1">
      <c r="B1970" s="31"/>
      <c r="C1970" s="9"/>
      <c r="D1970" s="9"/>
      <c r="E1970" s="7"/>
      <c r="F1970" s="7"/>
      <c r="G1970" s="7"/>
      <c r="H1970" s="7"/>
      <c r="I1970" s="7"/>
      <c r="J1970" s="39"/>
      <c r="L1970" s="16" t="str">
        <f t="shared" si="1049"/>
        <v/>
      </c>
      <c r="M1970" s="16" t="str">
        <f t="shared" si="1050"/>
        <v/>
      </c>
      <c r="N1970" s="16" t="str">
        <f t="shared" si="1051"/>
        <v/>
      </c>
      <c r="O1970" s="16" t="str">
        <f>IF(N1970="","",COUNTIF($N$8:N1970,N1970))</f>
        <v/>
      </c>
      <c r="P1970" s="34" t="str">
        <f t="shared" si="1052"/>
        <v/>
      </c>
      <c r="Q1970" s="34" t="str">
        <f t="shared" si="1053"/>
        <v/>
      </c>
      <c r="R1970" s="34" t="str">
        <f t="shared" si="1054"/>
        <v/>
      </c>
      <c r="S1970" s="34" t="str">
        <f t="shared" si="1055"/>
        <v/>
      </c>
      <c r="T1970" s="34" t="str">
        <f t="shared" si="1056"/>
        <v/>
      </c>
      <c r="U1970" s="34" t="str">
        <f>IF(AND(L1970=1,bp_kode=T1970,T1970&lt;&gt;""),COUNTIF($T$8:T1970,T1970),"")</f>
        <v/>
      </c>
      <c r="V1970" s="34" t="str">
        <f t="shared" si="1057"/>
        <v/>
      </c>
      <c r="W1970" s="34" t="str">
        <f t="shared" si="1058"/>
        <v/>
      </c>
      <c r="X1970" s="34" t="str">
        <f>IF(B1970="","",COUNTIF($C$8:C1970,C1970)&amp;C1970)</f>
        <v/>
      </c>
    </row>
    <row r="1971" spans="2:24" ht="23.1" customHeight="1">
      <c r="B1971" s="31"/>
      <c r="C1971" s="9"/>
      <c r="D1971" s="9"/>
      <c r="E1971" s="7"/>
      <c r="F1971" s="7"/>
      <c r="G1971" s="7"/>
      <c r="H1971" s="7"/>
      <c r="I1971" s="7"/>
      <c r="J1971" s="39"/>
      <c r="L1971" s="16" t="str">
        <f t="shared" si="1049"/>
        <v/>
      </c>
      <c r="M1971" s="16" t="str">
        <f t="shared" si="1050"/>
        <v/>
      </c>
      <c r="N1971" s="16" t="str">
        <f t="shared" si="1051"/>
        <v/>
      </c>
      <c r="O1971" s="16" t="str">
        <f>IF(N1971="","",COUNTIF($N$8:N1971,N1971))</f>
        <v/>
      </c>
      <c r="P1971" s="34" t="str">
        <f t="shared" si="1052"/>
        <v/>
      </c>
      <c r="Q1971" s="34" t="str">
        <f t="shared" si="1053"/>
        <v/>
      </c>
      <c r="R1971" s="34" t="str">
        <f t="shared" si="1054"/>
        <v/>
      </c>
      <c r="S1971" s="34" t="str">
        <f t="shared" si="1055"/>
        <v/>
      </c>
      <c r="T1971" s="34" t="str">
        <f t="shared" si="1056"/>
        <v/>
      </c>
      <c r="U1971" s="34" t="str">
        <f>IF(AND(L1971=1,bp_kode=T1971,T1971&lt;&gt;""),COUNTIF($T$8:T1971,T1971),"")</f>
        <v/>
      </c>
      <c r="V1971" s="34" t="str">
        <f t="shared" si="1057"/>
        <v/>
      </c>
      <c r="W1971" s="34" t="str">
        <f t="shared" si="1058"/>
        <v/>
      </c>
      <c r="X1971" s="34" t="str">
        <f>IF(B1971="","",COUNTIF($C$8:C1971,C1971)&amp;C1971)</f>
        <v/>
      </c>
    </row>
    <row r="1972" spans="2:24" ht="23.1" customHeight="1">
      <c r="B1972" s="31"/>
      <c r="C1972" s="9"/>
      <c r="D1972" s="9"/>
      <c r="E1972" s="7"/>
      <c r="F1972" s="7"/>
      <c r="G1972" s="7"/>
      <c r="H1972" s="7"/>
      <c r="I1972" s="7"/>
      <c r="J1972" s="39"/>
      <c r="L1972" s="16" t="str">
        <f t="shared" si="1049"/>
        <v/>
      </c>
      <c r="M1972" s="16" t="str">
        <f t="shared" si="1050"/>
        <v/>
      </c>
      <c r="N1972" s="16" t="str">
        <f t="shared" si="1051"/>
        <v/>
      </c>
      <c r="O1972" s="16" t="str">
        <f>IF(N1972="","",COUNTIF($N$8:N1972,N1972))</f>
        <v/>
      </c>
      <c r="P1972" s="34" t="str">
        <f t="shared" si="1052"/>
        <v/>
      </c>
      <c r="Q1972" s="34" t="str">
        <f t="shared" si="1053"/>
        <v/>
      </c>
      <c r="R1972" s="34" t="str">
        <f t="shared" si="1054"/>
        <v/>
      </c>
      <c r="S1972" s="34" t="str">
        <f t="shared" si="1055"/>
        <v/>
      </c>
      <c r="T1972" s="34" t="str">
        <f t="shared" si="1056"/>
        <v/>
      </c>
      <c r="U1972" s="34" t="str">
        <f>IF(AND(L1972=1,bp_kode=T1972,T1972&lt;&gt;""),COUNTIF($T$8:T1972,T1972),"")</f>
        <v/>
      </c>
      <c r="V1972" s="34" t="str">
        <f t="shared" si="1057"/>
        <v/>
      </c>
      <c r="W1972" s="34" t="str">
        <f t="shared" si="1058"/>
        <v/>
      </c>
      <c r="X1972" s="34" t="str">
        <f>IF(B1972="","",COUNTIF($C$8:C1972,C1972)&amp;C1972)</f>
        <v/>
      </c>
    </row>
    <row r="1973" spans="2:24" ht="23.1" customHeight="1">
      <c r="B1973" s="31"/>
      <c r="C1973" s="9"/>
      <c r="D1973" s="9"/>
      <c r="E1973" s="7"/>
      <c r="F1973" s="7"/>
      <c r="G1973" s="7"/>
      <c r="H1973" s="7"/>
      <c r="I1973" s="7"/>
      <c r="J1973" s="39"/>
      <c r="L1973" s="16" t="str">
        <f t="shared" si="1049"/>
        <v/>
      </c>
      <c r="M1973" s="16" t="str">
        <f t="shared" si="1050"/>
        <v/>
      </c>
      <c r="N1973" s="16" t="str">
        <f t="shared" si="1051"/>
        <v/>
      </c>
      <c r="O1973" s="16" t="str">
        <f>IF(N1973="","",COUNTIF($N$8:N1973,N1973))</f>
        <v/>
      </c>
      <c r="P1973" s="34" t="str">
        <f t="shared" si="1052"/>
        <v/>
      </c>
      <c r="Q1973" s="34" t="str">
        <f t="shared" si="1053"/>
        <v/>
      </c>
      <c r="R1973" s="34" t="str">
        <f t="shared" si="1054"/>
        <v/>
      </c>
      <c r="S1973" s="34" t="str">
        <f t="shared" si="1055"/>
        <v/>
      </c>
      <c r="T1973" s="34" t="str">
        <f t="shared" si="1056"/>
        <v/>
      </c>
      <c r="U1973" s="34" t="str">
        <f>IF(AND(L1973=1,bp_kode=T1973,T1973&lt;&gt;""),COUNTIF($T$8:T1973,T1973),"")</f>
        <v/>
      </c>
      <c r="V1973" s="34" t="str">
        <f t="shared" si="1057"/>
        <v/>
      </c>
      <c r="W1973" s="34" t="str">
        <f t="shared" si="1058"/>
        <v/>
      </c>
      <c r="X1973" s="34" t="str">
        <f>IF(B1973="","",COUNTIF($C$8:C1973,C1973)&amp;C1973)</f>
        <v/>
      </c>
    </row>
    <row r="1974" spans="2:24" ht="23.1" customHeight="1">
      <c r="B1974" s="31"/>
      <c r="C1974" s="9"/>
      <c r="D1974" s="9"/>
      <c r="E1974" s="7"/>
      <c r="F1974" s="7"/>
      <c r="G1974" s="7"/>
      <c r="H1974" s="7"/>
      <c r="I1974" s="7"/>
      <c r="J1974" s="39"/>
      <c r="L1974" s="16" t="str">
        <f t="shared" si="1049"/>
        <v/>
      </c>
      <c r="M1974" s="16" t="str">
        <f t="shared" si="1050"/>
        <v/>
      </c>
      <c r="N1974" s="16" t="str">
        <f t="shared" si="1051"/>
        <v/>
      </c>
      <c r="O1974" s="16" t="str">
        <f>IF(N1974="","",COUNTIF($N$8:N1974,N1974))</f>
        <v/>
      </c>
      <c r="P1974" s="34" t="str">
        <f t="shared" si="1052"/>
        <v/>
      </c>
      <c r="Q1974" s="34" t="str">
        <f t="shared" si="1053"/>
        <v/>
      </c>
      <c r="R1974" s="34" t="str">
        <f t="shared" si="1054"/>
        <v/>
      </c>
      <c r="S1974" s="34" t="str">
        <f t="shared" si="1055"/>
        <v/>
      </c>
      <c r="T1974" s="34" t="str">
        <f t="shared" si="1056"/>
        <v/>
      </c>
      <c r="U1974" s="34" t="str">
        <f>IF(AND(L1974=1,bp_kode=T1974,T1974&lt;&gt;""),COUNTIF($T$8:T1974,T1974),"")</f>
        <v/>
      </c>
      <c r="V1974" s="34" t="str">
        <f t="shared" si="1057"/>
        <v/>
      </c>
      <c r="W1974" s="34" t="str">
        <f t="shared" si="1058"/>
        <v/>
      </c>
      <c r="X1974" s="34" t="str">
        <f>IF(B1974="","",COUNTIF($C$8:C1974,C1974)&amp;C1974)</f>
        <v/>
      </c>
    </row>
    <row r="1975" spans="2:24" ht="23.1" customHeight="1">
      <c r="B1975" s="31"/>
      <c r="C1975" s="9"/>
      <c r="D1975" s="9"/>
      <c r="E1975" s="7"/>
      <c r="F1975" s="7"/>
      <c r="G1975" s="7"/>
      <c r="H1975" s="7"/>
      <c r="I1975" s="7"/>
      <c r="J1975" s="39"/>
      <c r="L1975" s="16" t="str">
        <f t="shared" si="1049"/>
        <v/>
      </c>
      <c r="M1975" s="16" t="str">
        <f t="shared" si="1050"/>
        <v/>
      </c>
      <c r="N1975" s="16" t="str">
        <f t="shared" si="1051"/>
        <v/>
      </c>
      <c r="O1975" s="16" t="str">
        <f>IF(N1975="","",COUNTIF($N$8:N1975,N1975))</f>
        <v/>
      </c>
      <c r="P1975" s="34" t="str">
        <f t="shared" si="1052"/>
        <v/>
      </c>
      <c r="Q1975" s="34" t="str">
        <f t="shared" si="1053"/>
        <v/>
      </c>
      <c r="R1975" s="34" t="str">
        <f t="shared" si="1054"/>
        <v/>
      </c>
      <c r="S1975" s="34" t="str">
        <f t="shared" si="1055"/>
        <v/>
      </c>
      <c r="T1975" s="34" t="str">
        <f t="shared" si="1056"/>
        <v/>
      </c>
      <c r="U1975" s="34" t="str">
        <f>IF(AND(L1975=1,bp_kode=T1975,T1975&lt;&gt;""),COUNTIF($T$8:T1975,T1975),"")</f>
        <v/>
      </c>
      <c r="V1975" s="34" t="str">
        <f t="shared" si="1057"/>
        <v/>
      </c>
      <c r="W1975" s="34" t="str">
        <f t="shared" si="1058"/>
        <v/>
      </c>
      <c r="X1975" s="34" t="str">
        <f>IF(B1975="","",COUNTIF($C$8:C1975,C1975)&amp;C1975)</f>
        <v/>
      </c>
    </row>
    <row r="1976" spans="2:24" ht="23.1" customHeight="1">
      <c r="B1976" s="31"/>
      <c r="C1976" s="9"/>
      <c r="D1976" s="9"/>
      <c r="E1976" s="7"/>
      <c r="F1976" s="7"/>
      <c r="G1976" s="7"/>
      <c r="H1976" s="7"/>
      <c r="I1976" s="7"/>
      <c r="J1976" s="39"/>
      <c r="L1976" s="16" t="str">
        <f t="shared" si="1049"/>
        <v/>
      </c>
      <c r="M1976" s="16" t="str">
        <f t="shared" si="1050"/>
        <v/>
      </c>
      <c r="N1976" s="16" t="str">
        <f t="shared" si="1051"/>
        <v/>
      </c>
      <c r="O1976" s="16" t="str">
        <f>IF(N1976="","",COUNTIF($N$8:N1976,N1976))</f>
        <v/>
      </c>
      <c r="P1976" s="34" t="str">
        <f t="shared" si="1052"/>
        <v/>
      </c>
      <c r="Q1976" s="34" t="str">
        <f t="shared" si="1053"/>
        <v/>
      </c>
      <c r="R1976" s="34" t="str">
        <f t="shared" si="1054"/>
        <v/>
      </c>
      <c r="S1976" s="34" t="str">
        <f t="shared" si="1055"/>
        <v/>
      </c>
      <c r="T1976" s="34" t="str">
        <f t="shared" si="1056"/>
        <v/>
      </c>
      <c r="U1976" s="34" t="str">
        <f>IF(AND(L1976=1,bp_kode=T1976,T1976&lt;&gt;""),COUNTIF($T$8:T1976,T1976),"")</f>
        <v/>
      </c>
      <c r="V1976" s="34" t="str">
        <f t="shared" si="1057"/>
        <v/>
      </c>
      <c r="W1976" s="34" t="str">
        <f t="shared" si="1058"/>
        <v/>
      </c>
      <c r="X1976" s="34" t="str">
        <f>IF(B1976="","",COUNTIF($C$8:C1976,C1976)&amp;C1976)</f>
        <v/>
      </c>
    </row>
    <row r="1977" spans="2:24" ht="23.1" customHeight="1">
      <c r="B1977" s="31"/>
      <c r="C1977" s="9"/>
      <c r="D1977" s="9"/>
      <c r="E1977" s="7"/>
      <c r="F1977" s="7"/>
      <c r="G1977" s="7"/>
      <c r="H1977" s="7"/>
      <c r="I1977" s="7"/>
      <c r="J1977" s="39"/>
      <c r="L1977" s="16" t="str">
        <f t="shared" si="1049"/>
        <v/>
      </c>
      <c r="M1977" s="16" t="str">
        <f t="shared" si="1050"/>
        <v/>
      </c>
      <c r="N1977" s="16" t="str">
        <f t="shared" si="1051"/>
        <v/>
      </c>
      <c r="O1977" s="16" t="str">
        <f>IF(N1977="","",COUNTIF($N$8:N1977,N1977))</f>
        <v/>
      </c>
      <c r="P1977" s="34" t="str">
        <f t="shared" si="1052"/>
        <v/>
      </c>
      <c r="Q1977" s="34" t="str">
        <f t="shared" si="1053"/>
        <v/>
      </c>
      <c r="R1977" s="34" t="str">
        <f t="shared" si="1054"/>
        <v/>
      </c>
      <c r="S1977" s="34" t="str">
        <f t="shared" si="1055"/>
        <v/>
      </c>
      <c r="T1977" s="34" t="str">
        <f t="shared" si="1056"/>
        <v/>
      </c>
      <c r="U1977" s="34" t="str">
        <f>IF(AND(L1977=1,bp_kode=T1977,T1977&lt;&gt;""),COUNTIF($T$8:T1977,T1977),"")</f>
        <v/>
      </c>
      <c r="V1977" s="34" t="str">
        <f t="shared" si="1057"/>
        <v/>
      </c>
      <c r="W1977" s="34" t="str">
        <f t="shared" si="1058"/>
        <v/>
      </c>
      <c r="X1977" s="34" t="str">
        <f>IF(B1977="","",COUNTIF($C$8:C1977,C1977)&amp;C1977)</f>
        <v/>
      </c>
    </row>
    <row r="1978" spans="2:24" ht="23.1" customHeight="1">
      <c r="B1978" s="31"/>
      <c r="C1978" s="9"/>
      <c r="D1978" s="9"/>
      <c r="E1978" s="7"/>
      <c r="F1978" s="7"/>
      <c r="G1978" s="7"/>
      <c r="H1978" s="7"/>
      <c r="I1978" s="7"/>
      <c r="J1978" s="39"/>
      <c r="L1978" s="16" t="str">
        <f t="shared" si="1049"/>
        <v/>
      </c>
      <c r="M1978" s="16" t="str">
        <f t="shared" si="1050"/>
        <v/>
      </c>
      <c r="N1978" s="16" t="str">
        <f t="shared" si="1051"/>
        <v/>
      </c>
      <c r="O1978" s="16" t="str">
        <f>IF(N1978="","",COUNTIF($N$8:N1978,N1978))</f>
        <v/>
      </c>
      <c r="P1978" s="34" t="str">
        <f t="shared" si="1052"/>
        <v/>
      </c>
      <c r="Q1978" s="34" t="str">
        <f t="shared" si="1053"/>
        <v/>
      </c>
      <c r="R1978" s="34" t="str">
        <f t="shared" si="1054"/>
        <v/>
      </c>
      <c r="S1978" s="34" t="str">
        <f t="shared" si="1055"/>
        <v/>
      </c>
      <c r="T1978" s="34" t="str">
        <f t="shared" si="1056"/>
        <v/>
      </c>
      <c r="U1978" s="34" t="str">
        <f>IF(AND(L1978=1,bp_kode=T1978,T1978&lt;&gt;""),COUNTIF($T$8:T1978,T1978),"")</f>
        <v/>
      </c>
      <c r="V1978" s="34" t="str">
        <f t="shared" si="1057"/>
        <v/>
      </c>
      <c r="W1978" s="34" t="str">
        <f t="shared" si="1058"/>
        <v/>
      </c>
      <c r="X1978" s="34" t="str">
        <f>IF(B1978="","",COUNTIF($C$8:C1978,C1978)&amp;C1978)</f>
        <v/>
      </c>
    </row>
    <row r="1979" spans="2:24" ht="23.1" customHeight="1">
      <c r="B1979" s="31"/>
      <c r="C1979" s="9"/>
      <c r="D1979" s="9"/>
      <c r="E1979" s="7"/>
      <c r="F1979" s="7"/>
      <c r="G1979" s="7"/>
      <c r="H1979" s="7"/>
      <c r="I1979" s="7"/>
      <c r="J1979" s="39"/>
      <c r="L1979" s="16" t="str">
        <f t="shared" si="1049"/>
        <v/>
      </c>
      <c r="M1979" s="16" t="str">
        <f t="shared" si="1050"/>
        <v/>
      </c>
      <c r="N1979" s="16" t="str">
        <f t="shared" si="1051"/>
        <v/>
      </c>
      <c r="O1979" s="16" t="str">
        <f>IF(N1979="","",COUNTIF($N$8:N1979,N1979))</f>
        <v/>
      </c>
      <c r="P1979" s="34" t="str">
        <f t="shared" si="1052"/>
        <v/>
      </c>
      <c r="Q1979" s="34" t="str">
        <f t="shared" si="1053"/>
        <v/>
      </c>
      <c r="R1979" s="34" t="str">
        <f t="shared" si="1054"/>
        <v/>
      </c>
      <c r="S1979" s="34" t="str">
        <f t="shared" si="1055"/>
        <v/>
      </c>
      <c r="T1979" s="34" t="str">
        <f t="shared" si="1056"/>
        <v/>
      </c>
      <c r="U1979" s="34" t="str">
        <f>IF(AND(L1979=1,bp_kode=T1979,T1979&lt;&gt;""),COUNTIF($T$8:T1979,T1979),"")</f>
        <v/>
      </c>
      <c r="V1979" s="34" t="str">
        <f t="shared" si="1057"/>
        <v/>
      </c>
      <c r="W1979" s="34" t="str">
        <f t="shared" si="1058"/>
        <v/>
      </c>
      <c r="X1979" s="34" t="str">
        <f>IF(B1979="","",COUNTIF($C$8:C1979,C1979)&amp;C1979)</f>
        <v/>
      </c>
    </row>
    <row r="1980" spans="2:24" ht="23.1" customHeight="1">
      <c r="B1980" s="31"/>
      <c r="C1980" s="9"/>
      <c r="D1980" s="9"/>
      <c r="E1980" s="7"/>
      <c r="F1980" s="7"/>
      <c r="G1980" s="7"/>
      <c r="H1980" s="7"/>
      <c r="I1980" s="7"/>
      <c r="J1980" s="39"/>
      <c r="L1980" s="16" t="str">
        <f t="shared" si="1049"/>
        <v/>
      </c>
      <c r="M1980" s="16" t="str">
        <f t="shared" si="1050"/>
        <v/>
      </c>
      <c r="N1980" s="16" t="str">
        <f t="shared" si="1051"/>
        <v/>
      </c>
      <c r="O1980" s="16" t="str">
        <f>IF(N1980="","",COUNTIF($N$8:N1980,N1980))</f>
        <v/>
      </c>
      <c r="P1980" s="34" t="str">
        <f t="shared" si="1052"/>
        <v/>
      </c>
      <c r="Q1980" s="34" t="str">
        <f t="shared" si="1053"/>
        <v/>
      </c>
      <c r="R1980" s="34" t="str">
        <f t="shared" si="1054"/>
        <v/>
      </c>
      <c r="S1980" s="34" t="str">
        <f t="shared" si="1055"/>
        <v/>
      </c>
      <c r="T1980" s="34" t="str">
        <f t="shared" si="1056"/>
        <v/>
      </c>
      <c r="U1980" s="34" t="str">
        <f>IF(AND(L1980=1,bp_kode=T1980,T1980&lt;&gt;""),COUNTIF($T$8:T1980,T1980),"")</f>
        <v/>
      </c>
      <c r="V1980" s="34" t="str">
        <f t="shared" si="1057"/>
        <v/>
      </c>
      <c r="W1980" s="34" t="str">
        <f t="shared" si="1058"/>
        <v/>
      </c>
      <c r="X1980" s="34" t="str">
        <f>IF(B1980="","",COUNTIF($C$8:C1980,C1980)&amp;C1980)</f>
        <v/>
      </c>
    </row>
    <row r="1981" spans="2:24" ht="23.1" customHeight="1">
      <c r="B1981" s="31"/>
      <c r="C1981" s="9"/>
      <c r="D1981" s="9"/>
      <c r="E1981" s="7"/>
      <c r="F1981" s="7"/>
      <c r="G1981" s="7"/>
      <c r="H1981" s="7"/>
      <c r="I1981" s="7"/>
      <c r="J1981" s="39"/>
      <c r="L1981" s="16" t="str">
        <f t="shared" si="1049"/>
        <v/>
      </c>
      <c r="M1981" s="16" t="str">
        <f t="shared" si="1050"/>
        <v/>
      </c>
      <c r="N1981" s="16" t="str">
        <f t="shared" si="1051"/>
        <v/>
      </c>
      <c r="O1981" s="16" t="str">
        <f>IF(N1981="","",COUNTIF($N$8:N1981,N1981))</f>
        <v/>
      </c>
      <c r="P1981" s="34" t="str">
        <f t="shared" si="1052"/>
        <v/>
      </c>
      <c r="Q1981" s="34" t="str">
        <f t="shared" si="1053"/>
        <v/>
      </c>
      <c r="R1981" s="34" t="str">
        <f t="shared" si="1054"/>
        <v/>
      </c>
      <c r="S1981" s="34" t="str">
        <f t="shared" si="1055"/>
        <v/>
      </c>
      <c r="T1981" s="34" t="str">
        <f t="shared" si="1056"/>
        <v/>
      </c>
      <c r="U1981" s="34" t="str">
        <f>IF(AND(L1981=1,bp_kode=T1981,T1981&lt;&gt;""),COUNTIF($T$8:T1981,T1981),"")</f>
        <v/>
      </c>
      <c r="V1981" s="34" t="str">
        <f t="shared" si="1057"/>
        <v/>
      </c>
      <c r="W1981" s="34" t="str">
        <f t="shared" si="1058"/>
        <v/>
      </c>
      <c r="X1981" s="34" t="str">
        <f>IF(B1981="","",COUNTIF($C$8:C1981,C1981)&amp;C1981)</f>
        <v/>
      </c>
    </row>
    <row r="1982" spans="2:24" ht="23.1" customHeight="1">
      <c r="B1982" s="31"/>
      <c r="C1982" s="9"/>
      <c r="D1982" s="9"/>
      <c r="E1982" s="7"/>
      <c r="F1982" s="7"/>
      <c r="G1982" s="7"/>
      <c r="H1982" s="7"/>
      <c r="I1982" s="7"/>
      <c r="J1982" s="39"/>
      <c r="L1982" s="16" t="str">
        <f t="shared" si="1049"/>
        <v/>
      </c>
      <c r="M1982" s="16" t="str">
        <f t="shared" si="1050"/>
        <v/>
      </c>
      <c r="N1982" s="16" t="str">
        <f t="shared" si="1051"/>
        <v/>
      </c>
      <c r="O1982" s="16" t="str">
        <f>IF(N1982="","",COUNTIF($N$8:N1982,N1982))</f>
        <v/>
      </c>
      <c r="P1982" s="34" t="str">
        <f t="shared" si="1052"/>
        <v/>
      </c>
      <c r="Q1982" s="34" t="str">
        <f t="shared" si="1053"/>
        <v/>
      </c>
      <c r="R1982" s="34" t="str">
        <f t="shared" si="1054"/>
        <v/>
      </c>
      <c r="S1982" s="34" t="str">
        <f t="shared" si="1055"/>
        <v/>
      </c>
      <c r="T1982" s="34" t="str">
        <f t="shared" si="1056"/>
        <v/>
      </c>
      <c r="U1982" s="34" t="str">
        <f>IF(AND(L1982=1,bp_kode=T1982,T1982&lt;&gt;""),COUNTIF($T$8:T1982,T1982),"")</f>
        <v/>
      </c>
      <c r="V1982" s="34" t="str">
        <f t="shared" si="1057"/>
        <v/>
      </c>
      <c r="W1982" s="34" t="str">
        <f t="shared" si="1058"/>
        <v/>
      </c>
      <c r="X1982" s="34" t="str">
        <f>IF(B1982="","",COUNTIF($C$8:C1982,C1982)&amp;C1982)</f>
        <v/>
      </c>
    </row>
    <row r="1983" spans="2:24" ht="23.1" customHeight="1">
      <c r="B1983" s="31"/>
      <c r="C1983" s="9"/>
      <c r="D1983" s="9"/>
      <c r="E1983" s="7"/>
      <c r="F1983" s="7"/>
      <c r="G1983" s="7"/>
      <c r="H1983" s="7"/>
      <c r="I1983" s="7"/>
      <c r="J1983" s="39"/>
      <c r="L1983" s="16" t="str">
        <f t="shared" si="1049"/>
        <v/>
      </c>
      <c r="M1983" s="16" t="str">
        <f t="shared" si="1050"/>
        <v/>
      </c>
      <c r="N1983" s="16" t="str">
        <f t="shared" si="1051"/>
        <v/>
      </c>
      <c r="O1983" s="16" t="str">
        <f>IF(N1983="","",COUNTIF($N$8:N1983,N1983))</f>
        <v/>
      </c>
      <c r="P1983" s="34" t="str">
        <f t="shared" si="1052"/>
        <v/>
      </c>
      <c r="Q1983" s="34" t="str">
        <f t="shared" si="1053"/>
        <v/>
      </c>
      <c r="R1983" s="34" t="str">
        <f t="shared" si="1054"/>
        <v/>
      </c>
      <c r="S1983" s="34" t="str">
        <f t="shared" si="1055"/>
        <v/>
      </c>
      <c r="T1983" s="34" t="str">
        <f t="shared" si="1056"/>
        <v/>
      </c>
      <c r="U1983" s="34" t="str">
        <f>IF(AND(L1983=1,bp_kode=T1983,T1983&lt;&gt;""),COUNTIF($T$8:T1983,T1983),"")</f>
        <v/>
      </c>
      <c r="V1983" s="34" t="str">
        <f t="shared" si="1057"/>
        <v/>
      </c>
      <c r="W1983" s="34" t="str">
        <f t="shared" si="1058"/>
        <v/>
      </c>
      <c r="X1983" s="34" t="str">
        <f>IF(B1983="","",COUNTIF($C$8:C1983,C1983)&amp;C1983)</f>
        <v/>
      </c>
    </row>
    <row r="1984" spans="2:24" ht="23.1" customHeight="1">
      <c r="B1984" s="31"/>
      <c r="C1984" s="9"/>
      <c r="D1984" s="9"/>
      <c r="E1984" s="7"/>
      <c r="F1984" s="7"/>
      <c r="G1984" s="7"/>
      <c r="H1984" s="7"/>
      <c r="I1984" s="7"/>
      <c r="J1984" s="39"/>
      <c r="L1984" s="16" t="str">
        <f t="shared" si="1049"/>
        <v/>
      </c>
      <c r="M1984" s="16" t="str">
        <f t="shared" si="1050"/>
        <v/>
      </c>
      <c r="N1984" s="16" t="str">
        <f t="shared" si="1051"/>
        <v/>
      </c>
      <c r="O1984" s="16" t="str">
        <f>IF(N1984="","",COUNTIF($N$8:N1984,N1984))</f>
        <v/>
      </c>
      <c r="P1984" s="34" t="str">
        <f t="shared" si="1052"/>
        <v/>
      </c>
      <c r="Q1984" s="34" t="str">
        <f t="shared" si="1053"/>
        <v/>
      </c>
      <c r="R1984" s="34" t="str">
        <f t="shared" si="1054"/>
        <v/>
      </c>
      <c r="S1984" s="34" t="str">
        <f t="shared" si="1055"/>
        <v/>
      </c>
      <c r="T1984" s="34" t="str">
        <f t="shared" si="1056"/>
        <v/>
      </c>
      <c r="U1984" s="34" t="str">
        <f>IF(AND(L1984=1,bp_kode=T1984,T1984&lt;&gt;""),COUNTIF($T$8:T1984,T1984),"")</f>
        <v/>
      </c>
      <c r="V1984" s="34" t="str">
        <f t="shared" si="1057"/>
        <v/>
      </c>
      <c r="W1984" s="34" t="str">
        <f t="shared" si="1058"/>
        <v/>
      </c>
      <c r="X1984" s="34" t="str">
        <f>IF(B1984="","",COUNTIF($C$8:C1984,C1984)&amp;C1984)</f>
        <v/>
      </c>
    </row>
    <row r="1985" spans="2:24" ht="23.1" customHeight="1">
      <c r="B1985" s="31"/>
      <c r="C1985" s="9"/>
      <c r="D1985" s="9"/>
      <c r="E1985" s="7"/>
      <c r="F1985" s="7"/>
      <c r="G1985" s="7"/>
      <c r="H1985" s="7"/>
      <c r="I1985" s="7"/>
      <c r="J1985" s="39"/>
      <c r="L1985" s="16" t="str">
        <f t="shared" si="1049"/>
        <v/>
      </c>
      <c r="M1985" s="16" t="str">
        <f t="shared" si="1050"/>
        <v/>
      </c>
      <c r="N1985" s="16" t="str">
        <f t="shared" si="1051"/>
        <v/>
      </c>
      <c r="O1985" s="16" t="str">
        <f>IF(N1985="","",COUNTIF($N$8:N1985,N1985))</f>
        <v/>
      </c>
      <c r="P1985" s="34" t="str">
        <f t="shared" si="1052"/>
        <v/>
      </c>
      <c r="Q1985" s="34" t="str">
        <f t="shared" si="1053"/>
        <v/>
      </c>
      <c r="R1985" s="34" t="str">
        <f t="shared" si="1054"/>
        <v/>
      </c>
      <c r="S1985" s="34" t="str">
        <f t="shared" si="1055"/>
        <v/>
      </c>
      <c r="T1985" s="34" t="str">
        <f t="shared" si="1056"/>
        <v/>
      </c>
      <c r="U1985" s="34" t="str">
        <f>IF(AND(L1985=1,bp_kode=T1985,T1985&lt;&gt;""),COUNTIF($T$8:T1985,T1985),"")</f>
        <v/>
      </c>
      <c r="V1985" s="34" t="str">
        <f t="shared" si="1057"/>
        <v/>
      </c>
      <c r="W1985" s="34" t="str">
        <f t="shared" si="1058"/>
        <v/>
      </c>
      <c r="X1985" s="34" t="str">
        <f>IF(B1985="","",COUNTIF($C$8:C1985,C1985)&amp;C1985)</f>
        <v/>
      </c>
    </row>
    <row r="1986" spans="2:24" ht="23.1" customHeight="1">
      <c r="B1986" s="31"/>
      <c r="C1986" s="9"/>
      <c r="D1986" s="9"/>
      <c r="E1986" s="7"/>
      <c r="F1986" s="7"/>
      <c r="G1986" s="7"/>
      <c r="H1986" s="7"/>
      <c r="I1986" s="7"/>
      <c r="J1986" s="39"/>
      <c r="L1986" s="16" t="str">
        <f t="shared" si="1049"/>
        <v/>
      </c>
      <c r="M1986" s="16" t="str">
        <f t="shared" si="1050"/>
        <v/>
      </c>
      <c r="N1986" s="16" t="str">
        <f t="shared" si="1051"/>
        <v/>
      </c>
      <c r="O1986" s="16" t="str">
        <f>IF(N1986="","",COUNTIF($N$8:N1986,N1986))</f>
        <v/>
      </c>
      <c r="P1986" s="34" t="str">
        <f t="shared" si="1052"/>
        <v/>
      </c>
      <c r="Q1986" s="34" t="str">
        <f t="shared" si="1053"/>
        <v/>
      </c>
      <c r="R1986" s="34" t="str">
        <f t="shared" si="1054"/>
        <v/>
      </c>
      <c r="S1986" s="34" t="str">
        <f t="shared" si="1055"/>
        <v/>
      </c>
      <c r="T1986" s="34" t="str">
        <f t="shared" si="1056"/>
        <v/>
      </c>
      <c r="U1986" s="34" t="str">
        <f>IF(AND(L1986=1,bp_kode=T1986,T1986&lt;&gt;""),COUNTIF($T$8:T1986,T1986),"")</f>
        <v/>
      </c>
      <c r="V1986" s="34" t="str">
        <f t="shared" si="1057"/>
        <v/>
      </c>
      <c r="W1986" s="34" t="str">
        <f t="shared" si="1058"/>
        <v/>
      </c>
      <c r="X1986" s="34" t="str">
        <f>IF(B1986="","",COUNTIF($C$8:C1986,C1986)&amp;C1986)</f>
        <v/>
      </c>
    </row>
    <row r="1987" spans="2:24" ht="23.1" customHeight="1">
      <c r="B1987" s="31"/>
      <c r="C1987" s="9"/>
      <c r="D1987" s="9"/>
      <c r="E1987" s="7"/>
      <c r="F1987" s="7"/>
      <c r="G1987" s="7"/>
      <c r="H1987" s="7"/>
      <c r="I1987" s="7"/>
      <c r="J1987" s="39"/>
      <c r="L1987" s="16" t="str">
        <f t="shared" si="1049"/>
        <v/>
      </c>
      <c r="M1987" s="16" t="str">
        <f t="shared" si="1050"/>
        <v/>
      </c>
      <c r="N1987" s="16" t="str">
        <f t="shared" si="1051"/>
        <v/>
      </c>
      <c r="O1987" s="16" t="str">
        <f>IF(N1987="","",COUNTIF($N$8:N1987,N1987))</f>
        <v/>
      </c>
      <c r="P1987" s="34" t="str">
        <f t="shared" si="1052"/>
        <v/>
      </c>
      <c r="Q1987" s="34" t="str">
        <f t="shared" si="1053"/>
        <v/>
      </c>
      <c r="R1987" s="34" t="str">
        <f t="shared" si="1054"/>
        <v/>
      </c>
      <c r="S1987" s="34" t="str">
        <f t="shared" si="1055"/>
        <v/>
      </c>
      <c r="T1987" s="34" t="str">
        <f t="shared" si="1056"/>
        <v/>
      </c>
      <c r="U1987" s="34" t="str">
        <f>IF(AND(L1987=1,bp_kode=T1987,T1987&lt;&gt;""),COUNTIF($T$8:T1987,T1987),"")</f>
        <v/>
      </c>
      <c r="V1987" s="34" t="str">
        <f t="shared" si="1057"/>
        <v/>
      </c>
      <c r="W1987" s="34" t="str">
        <f t="shared" si="1058"/>
        <v/>
      </c>
      <c r="X1987" s="34" t="str">
        <f>IF(B1987="","",COUNTIF($C$8:C1987,C1987)&amp;C1987)</f>
        <v/>
      </c>
    </row>
    <row r="1988" spans="2:24" ht="23.1" customHeight="1">
      <c r="B1988" s="31"/>
      <c r="C1988" s="9"/>
      <c r="D1988" s="9"/>
      <c r="E1988" s="7"/>
      <c r="F1988" s="7"/>
      <c r="G1988" s="7"/>
      <c r="H1988" s="7"/>
      <c r="I1988" s="7"/>
      <c r="J1988" s="39"/>
      <c r="L1988" s="16" t="str">
        <f t="shared" si="1049"/>
        <v/>
      </c>
      <c r="M1988" s="16" t="str">
        <f t="shared" si="1050"/>
        <v/>
      </c>
      <c r="N1988" s="16" t="str">
        <f t="shared" si="1051"/>
        <v/>
      </c>
      <c r="O1988" s="16" t="str">
        <f>IF(N1988="","",COUNTIF($N$8:N1988,N1988))</f>
        <v/>
      </c>
      <c r="P1988" s="34" t="str">
        <f t="shared" si="1052"/>
        <v/>
      </c>
      <c r="Q1988" s="34" t="str">
        <f t="shared" si="1053"/>
        <v/>
      </c>
      <c r="R1988" s="34" t="str">
        <f t="shared" si="1054"/>
        <v/>
      </c>
      <c r="S1988" s="34" t="str">
        <f t="shared" si="1055"/>
        <v/>
      </c>
      <c r="T1988" s="34" t="str">
        <f t="shared" si="1056"/>
        <v/>
      </c>
      <c r="U1988" s="34" t="str">
        <f>IF(AND(L1988=1,bp_kode=T1988,T1988&lt;&gt;""),COUNTIF($T$8:T1988,T1988),"")</f>
        <v/>
      </c>
      <c r="V1988" s="34" t="str">
        <f t="shared" si="1057"/>
        <v/>
      </c>
      <c r="W1988" s="34" t="str">
        <f t="shared" si="1058"/>
        <v/>
      </c>
      <c r="X1988" s="34" t="str">
        <f>IF(B1988="","",COUNTIF($C$8:C1988,C1988)&amp;C1988)</f>
        <v/>
      </c>
    </row>
    <row r="1989" spans="2:24" ht="23.1" customHeight="1">
      <c r="B1989" s="31"/>
      <c r="C1989" s="9"/>
      <c r="D1989" s="9"/>
      <c r="E1989" s="7"/>
      <c r="F1989" s="7"/>
      <c r="G1989" s="7"/>
      <c r="H1989" s="7"/>
      <c r="I1989" s="7"/>
      <c r="J1989" s="39"/>
      <c r="L1989" s="16" t="str">
        <f t="shared" si="1049"/>
        <v/>
      </c>
      <c r="M1989" s="16" t="str">
        <f t="shared" si="1050"/>
        <v/>
      </c>
      <c r="N1989" s="16" t="str">
        <f t="shared" si="1051"/>
        <v/>
      </c>
      <c r="O1989" s="16" t="str">
        <f>IF(N1989="","",COUNTIF($N$8:N1989,N1989))</f>
        <v/>
      </c>
      <c r="P1989" s="34" t="str">
        <f t="shared" si="1052"/>
        <v/>
      </c>
      <c r="Q1989" s="34" t="str">
        <f t="shared" si="1053"/>
        <v/>
      </c>
      <c r="R1989" s="34" t="str">
        <f t="shared" si="1054"/>
        <v/>
      </c>
      <c r="S1989" s="34" t="str">
        <f t="shared" si="1055"/>
        <v/>
      </c>
      <c r="T1989" s="34" t="str">
        <f t="shared" si="1056"/>
        <v/>
      </c>
      <c r="U1989" s="34" t="str">
        <f>IF(AND(L1989=1,bp_kode=T1989,T1989&lt;&gt;""),COUNTIF($T$8:T1989,T1989),"")</f>
        <v/>
      </c>
      <c r="V1989" s="34" t="str">
        <f t="shared" si="1057"/>
        <v/>
      </c>
      <c r="W1989" s="34" t="str">
        <f t="shared" si="1058"/>
        <v/>
      </c>
      <c r="X1989" s="34" t="str">
        <f>IF(B1989="","",COUNTIF($C$8:C1989,C1989)&amp;C1989)</f>
        <v/>
      </c>
    </row>
    <row r="1990" spans="2:24" ht="23.1" customHeight="1">
      <c r="B1990" s="31"/>
      <c r="C1990" s="9"/>
      <c r="D1990" s="9"/>
      <c r="E1990" s="7"/>
      <c r="F1990" s="7"/>
      <c r="G1990" s="7"/>
      <c r="H1990" s="7"/>
      <c r="I1990" s="7"/>
      <c r="J1990" s="39"/>
      <c r="L1990" s="16" t="str">
        <f t="shared" si="1049"/>
        <v/>
      </c>
      <c r="M1990" s="16" t="str">
        <f t="shared" si="1050"/>
        <v/>
      </c>
      <c r="N1990" s="16" t="str">
        <f t="shared" si="1051"/>
        <v/>
      </c>
      <c r="O1990" s="16" t="str">
        <f>IF(N1990="","",COUNTIF($N$8:N1990,N1990))</f>
        <v/>
      </c>
      <c r="P1990" s="34" t="str">
        <f t="shared" si="1052"/>
        <v/>
      </c>
      <c r="Q1990" s="34" t="str">
        <f t="shared" si="1053"/>
        <v/>
      </c>
      <c r="R1990" s="34" t="str">
        <f t="shared" si="1054"/>
        <v/>
      </c>
      <c r="S1990" s="34" t="str">
        <f t="shared" si="1055"/>
        <v/>
      </c>
      <c r="T1990" s="34" t="str">
        <f t="shared" si="1056"/>
        <v/>
      </c>
      <c r="U1990" s="34" t="str">
        <f>IF(AND(L1990=1,bp_kode=T1990,T1990&lt;&gt;""),COUNTIF($T$8:T1990,T1990),"")</f>
        <v/>
      </c>
      <c r="V1990" s="34" t="str">
        <f t="shared" si="1057"/>
        <v/>
      </c>
      <c r="W1990" s="34" t="str">
        <f t="shared" si="1058"/>
        <v/>
      </c>
      <c r="X1990" s="34" t="str">
        <f>IF(B1990="","",COUNTIF($C$8:C1990,C1990)&amp;C1990)</f>
        <v/>
      </c>
    </row>
    <row r="1991" spans="2:24" ht="23.1" customHeight="1">
      <c r="B1991" s="31"/>
      <c r="C1991" s="9"/>
      <c r="D1991" s="9"/>
      <c r="E1991" s="7"/>
      <c r="F1991" s="7"/>
      <c r="G1991" s="7"/>
      <c r="H1991" s="7"/>
      <c r="I1991" s="7"/>
      <c r="J1991" s="39"/>
      <c r="L1991" s="16" t="str">
        <f t="shared" si="1049"/>
        <v/>
      </c>
      <c r="M1991" s="16" t="str">
        <f t="shared" si="1050"/>
        <v/>
      </c>
      <c r="N1991" s="16" t="str">
        <f t="shared" si="1051"/>
        <v/>
      </c>
      <c r="O1991" s="16" t="str">
        <f>IF(N1991="","",COUNTIF($N$8:N1991,N1991))</f>
        <v/>
      </c>
      <c r="P1991" s="34" t="str">
        <f t="shared" si="1052"/>
        <v/>
      </c>
      <c r="Q1991" s="34" t="str">
        <f t="shared" si="1053"/>
        <v/>
      </c>
      <c r="R1991" s="34" t="str">
        <f t="shared" si="1054"/>
        <v/>
      </c>
      <c r="S1991" s="34" t="str">
        <f t="shared" si="1055"/>
        <v/>
      </c>
      <c r="T1991" s="34" t="str">
        <f t="shared" si="1056"/>
        <v/>
      </c>
      <c r="U1991" s="34" t="str">
        <f>IF(AND(L1991=1,bp_kode=T1991,T1991&lt;&gt;""),COUNTIF($T$8:T1991,T1991),"")</f>
        <v/>
      </c>
      <c r="V1991" s="34" t="str">
        <f t="shared" si="1057"/>
        <v/>
      </c>
      <c r="W1991" s="34" t="str">
        <f t="shared" si="1058"/>
        <v/>
      </c>
      <c r="X1991" s="34" t="str">
        <f>IF(B1991="","",COUNTIF($C$8:C1991,C1991)&amp;C1991)</f>
        <v/>
      </c>
    </row>
    <row r="1992" spans="2:24" ht="23.1" customHeight="1">
      <c r="B1992" s="31"/>
      <c r="C1992" s="9"/>
      <c r="D1992" s="9"/>
      <c r="E1992" s="7"/>
      <c r="F1992" s="7"/>
      <c r="G1992" s="7"/>
      <c r="H1992" s="7"/>
      <c r="I1992" s="7"/>
      <c r="J1992" s="39"/>
      <c r="L1992" s="16" t="str">
        <f t="shared" si="1049"/>
        <v/>
      </c>
      <c r="M1992" s="16" t="str">
        <f t="shared" si="1050"/>
        <v/>
      </c>
      <c r="N1992" s="16" t="str">
        <f t="shared" si="1051"/>
        <v/>
      </c>
      <c r="O1992" s="16" t="str">
        <f>IF(N1992="","",COUNTIF($N$8:N1992,N1992))</f>
        <v/>
      </c>
      <c r="P1992" s="34" t="str">
        <f t="shared" si="1052"/>
        <v/>
      </c>
      <c r="Q1992" s="34" t="str">
        <f t="shared" si="1053"/>
        <v/>
      </c>
      <c r="R1992" s="34" t="str">
        <f t="shared" si="1054"/>
        <v/>
      </c>
      <c r="S1992" s="34" t="str">
        <f t="shared" si="1055"/>
        <v/>
      </c>
      <c r="T1992" s="34" t="str">
        <f t="shared" si="1056"/>
        <v/>
      </c>
      <c r="U1992" s="34" t="str">
        <f>IF(AND(L1992=1,bp_kode=T1992,T1992&lt;&gt;""),COUNTIF($T$8:T1992,T1992),"")</f>
        <v/>
      </c>
      <c r="V1992" s="34" t="str">
        <f t="shared" si="1057"/>
        <v/>
      </c>
      <c r="W1992" s="34" t="str">
        <f t="shared" si="1058"/>
        <v/>
      </c>
      <c r="X1992" s="34" t="str">
        <f>IF(B1992="","",COUNTIF($C$8:C1992,C1992)&amp;C1992)</f>
        <v/>
      </c>
    </row>
    <row r="1993" spans="2:24" ht="23.1" customHeight="1">
      <c r="B1993" s="31"/>
      <c r="C1993" s="9"/>
      <c r="D1993" s="9"/>
      <c r="E1993" s="7"/>
      <c r="F1993" s="7"/>
      <c r="G1993" s="7"/>
      <c r="H1993" s="7"/>
      <c r="I1993" s="7"/>
      <c r="J1993" s="39"/>
      <c r="L1993" s="16" t="str">
        <f t="shared" si="1049"/>
        <v/>
      </c>
      <c r="M1993" s="16" t="str">
        <f t="shared" si="1050"/>
        <v/>
      </c>
      <c r="N1993" s="16" t="str">
        <f t="shared" si="1051"/>
        <v/>
      </c>
      <c r="O1993" s="16" t="str">
        <f>IF(N1993="","",COUNTIF($N$8:N1993,N1993))</f>
        <v/>
      </c>
      <c r="P1993" s="34" t="str">
        <f t="shared" si="1052"/>
        <v/>
      </c>
      <c r="Q1993" s="34" t="str">
        <f t="shared" si="1053"/>
        <v/>
      </c>
      <c r="R1993" s="34" t="str">
        <f t="shared" si="1054"/>
        <v/>
      </c>
      <c r="S1993" s="34" t="str">
        <f t="shared" si="1055"/>
        <v/>
      </c>
      <c r="T1993" s="34" t="str">
        <f t="shared" si="1056"/>
        <v/>
      </c>
      <c r="U1993" s="34" t="str">
        <f>IF(AND(L1993=1,bp_kode=T1993,T1993&lt;&gt;""),COUNTIF($T$8:T1993,T1993),"")</f>
        <v/>
      </c>
      <c r="V1993" s="34" t="str">
        <f t="shared" si="1057"/>
        <v/>
      </c>
      <c r="W1993" s="34" t="str">
        <f t="shared" si="1058"/>
        <v/>
      </c>
      <c r="X1993" s="34" t="str">
        <f>IF(B1993="","",COUNTIF($C$8:C1993,C1993)&amp;C1993)</f>
        <v/>
      </c>
    </row>
    <row r="1994" spans="2:24" ht="23.1" customHeight="1">
      <c r="B1994" s="31"/>
      <c r="C1994" s="9"/>
      <c r="D1994" s="9"/>
      <c r="E1994" s="7"/>
      <c r="F1994" s="7"/>
      <c r="G1994" s="7"/>
      <c r="H1994" s="7"/>
      <c r="I1994" s="7"/>
      <c r="J1994" s="39"/>
      <c r="L1994" s="16" t="str">
        <f t="shared" si="1049"/>
        <v/>
      </c>
      <c r="M1994" s="16" t="str">
        <f t="shared" si="1050"/>
        <v/>
      </c>
      <c r="N1994" s="16" t="str">
        <f t="shared" si="1051"/>
        <v/>
      </c>
      <c r="O1994" s="16" t="str">
        <f>IF(N1994="","",COUNTIF($N$8:N1994,N1994))</f>
        <v/>
      </c>
      <c r="P1994" s="34" t="str">
        <f t="shared" si="1052"/>
        <v/>
      </c>
      <c r="Q1994" s="34" t="str">
        <f t="shared" si="1053"/>
        <v/>
      </c>
      <c r="R1994" s="34" t="str">
        <f t="shared" si="1054"/>
        <v/>
      </c>
      <c r="S1994" s="34" t="str">
        <f t="shared" si="1055"/>
        <v/>
      </c>
      <c r="T1994" s="34" t="str">
        <f t="shared" si="1056"/>
        <v/>
      </c>
      <c r="U1994" s="34" t="str">
        <f>IF(AND(L1994=1,bp_kode=T1994,T1994&lt;&gt;""),COUNTIF($T$8:T1994,T1994),"")</f>
        <v/>
      </c>
      <c r="V1994" s="34" t="str">
        <f t="shared" si="1057"/>
        <v/>
      </c>
      <c r="W1994" s="34" t="str">
        <f t="shared" si="1058"/>
        <v/>
      </c>
      <c r="X1994" s="34" t="str">
        <f>IF(B1994="","",COUNTIF($C$8:C1994,C1994)&amp;C1994)</f>
        <v/>
      </c>
    </row>
    <row r="1995" spans="2:24" ht="23.1" customHeight="1">
      <c r="B1995" s="31"/>
      <c r="C1995" s="9"/>
      <c r="D1995" s="9"/>
      <c r="E1995" s="7"/>
      <c r="F1995" s="7"/>
      <c r="G1995" s="7"/>
      <c r="H1995" s="7"/>
      <c r="I1995" s="7"/>
      <c r="J1995" s="39"/>
      <c r="L1995" s="16" t="str">
        <f t="shared" si="1049"/>
        <v/>
      </c>
      <c r="M1995" s="16" t="str">
        <f t="shared" si="1050"/>
        <v/>
      </c>
      <c r="N1995" s="16" t="str">
        <f t="shared" si="1051"/>
        <v/>
      </c>
      <c r="O1995" s="16" t="str">
        <f>IF(N1995="","",COUNTIF($N$8:N1995,N1995))</f>
        <v/>
      </c>
      <c r="P1995" s="34" t="str">
        <f t="shared" si="1052"/>
        <v/>
      </c>
      <c r="Q1995" s="34" t="str">
        <f t="shared" si="1053"/>
        <v/>
      </c>
      <c r="R1995" s="34" t="str">
        <f t="shared" si="1054"/>
        <v/>
      </c>
      <c r="S1995" s="34" t="str">
        <f t="shared" si="1055"/>
        <v/>
      </c>
      <c r="T1995" s="34" t="str">
        <f t="shared" si="1056"/>
        <v/>
      </c>
      <c r="U1995" s="34" t="str">
        <f>IF(AND(L1995=1,bp_kode=T1995,T1995&lt;&gt;""),COUNTIF($T$8:T1995,T1995),"")</f>
        <v/>
      </c>
      <c r="V1995" s="34" t="str">
        <f t="shared" si="1057"/>
        <v/>
      </c>
      <c r="W1995" s="34" t="str">
        <f t="shared" si="1058"/>
        <v/>
      </c>
      <c r="X1995" s="34" t="str">
        <f>IF(B1995="","",COUNTIF($C$8:C1995,C1995)&amp;C1995)</f>
        <v/>
      </c>
    </row>
    <row r="1996" spans="2:24" ht="23.1" customHeight="1">
      <c r="B1996" s="31"/>
      <c r="C1996" s="9"/>
      <c r="D1996" s="9"/>
      <c r="E1996" s="7"/>
      <c r="F1996" s="7"/>
      <c r="G1996" s="7"/>
      <c r="H1996" s="7"/>
      <c r="I1996" s="7"/>
      <c r="J1996" s="39"/>
      <c r="L1996" s="16" t="str">
        <f t="shared" si="1049"/>
        <v/>
      </c>
      <c r="M1996" s="16" t="str">
        <f t="shared" si="1050"/>
        <v/>
      </c>
      <c r="N1996" s="16" t="str">
        <f t="shared" si="1051"/>
        <v/>
      </c>
      <c r="O1996" s="16" t="str">
        <f>IF(N1996="","",COUNTIF($N$8:N1996,N1996))</f>
        <v/>
      </c>
      <c r="P1996" s="34" t="str">
        <f t="shared" si="1052"/>
        <v/>
      </c>
      <c r="Q1996" s="34" t="str">
        <f t="shared" si="1053"/>
        <v/>
      </c>
      <c r="R1996" s="34" t="str">
        <f t="shared" si="1054"/>
        <v/>
      </c>
      <c r="S1996" s="34" t="str">
        <f t="shared" si="1055"/>
        <v/>
      </c>
      <c r="T1996" s="34" t="str">
        <f t="shared" si="1056"/>
        <v/>
      </c>
      <c r="U1996" s="34" t="str">
        <f>IF(AND(L1996=1,bp_kode=T1996,T1996&lt;&gt;""),COUNTIF($T$8:T1996,T1996),"")</f>
        <v/>
      </c>
      <c r="V1996" s="34" t="str">
        <f t="shared" si="1057"/>
        <v/>
      </c>
      <c r="W1996" s="34" t="str">
        <f t="shared" si="1058"/>
        <v/>
      </c>
      <c r="X1996" s="34" t="str">
        <f>IF(B1996="","",COUNTIF($C$8:C1996,C1996)&amp;C1996)</f>
        <v/>
      </c>
    </row>
    <row r="1997" spans="2:24" ht="23.1" customHeight="1">
      <c r="B1997" s="31"/>
      <c r="C1997" s="9"/>
      <c r="D1997" s="9"/>
      <c r="E1997" s="7"/>
      <c r="F1997" s="7"/>
      <c r="G1997" s="7"/>
      <c r="H1997" s="7"/>
      <c r="I1997" s="7"/>
      <c r="J1997" s="39"/>
      <c r="L1997" s="16" t="str">
        <f t="shared" si="1049"/>
        <v/>
      </c>
      <c r="M1997" s="16" t="str">
        <f t="shared" si="1050"/>
        <v/>
      </c>
      <c r="N1997" s="16" t="str">
        <f t="shared" si="1051"/>
        <v/>
      </c>
      <c r="O1997" s="16" t="str">
        <f>IF(N1997="","",COUNTIF($N$8:N1997,N1997))</f>
        <v/>
      </c>
      <c r="P1997" s="34" t="str">
        <f t="shared" si="1052"/>
        <v/>
      </c>
      <c r="Q1997" s="34" t="str">
        <f t="shared" si="1053"/>
        <v/>
      </c>
      <c r="R1997" s="34" t="str">
        <f t="shared" si="1054"/>
        <v/>
      </c>
      <c r="S1997" s="34" t="str">
        <f t="shared" si="1055"/>
        <v/>
      </c>
      <c r="T1997" s="34" t="str">
        <f t="shared" si="1056"/>
        <v/>
      </c>
      <c r="U1997" s="34" t="str">
        <f>IF(AND(L1997=1,bp_kode=T1997,T1997&lt;&gt;""),COUNTIF($T$8:T1997,T1997),"")</f>
        <v/>
      </c>
      <c r="V1997" s="34" t="str">
        <f t="shared" si="1057"/>
        <v/>
      </c>
      <c r="W1997" s="34" t="str">
        <f t="shared" si="1058"/>
        <v/>
      </c>
      <c r="X1997" s="34" t="str">
        <f>IF(B1997="","",COUNTIF($C$8:C1997,C1997)&amp;C1997)</f>
        <v/>
      </c>
    </row>
    <row r="1998" spans="2:24" ht="23.1" customHeight="1">
      <c r="B1998" s="31"/>
      <c r="C1998" s="9"/>
      <c r="D1998" s="9"/>
      <c r="E1998" s="7"/>
      <c r="F1998" s="7"/>
      <c r="G1998" s="7"/>
      <c r="H1998" s="7"/>
      <c r="I1998" s="7"/>
      <c r="J1998" s="39"/>
      <c r="L1998" s="16" t="str">
        <f t="shared" si="1049"/>
        <v/>
      </c>
      <c r="M1998" s="16" t="str">
        <f t="shared" si="1050"/>
        <v/>
      </c>
      <c r="N1998" s="16" t="str">
        <f t="shared" si="1051"/>
        <v/>
      </c>
      <c r="O1998" s="16" t="str">
        <f>IF(N1998="","",COUNTIF($N$8:N1998,N1998))</f>
        <v/>
      </c>
      <c r="P1998" s="34" t="str">
        <f t="shared" si="1052"/>
        <v/>
      </c>
      <c r="Q1998" s="34" t="str">
        <f t="shared" si="1053"/>
        <v/>
      </c>
      <c r="R1998" s="34" t="str">
        <f t="shared" si="1054"/>
        <v/>
      </c>
      <c r="S1998" s="34" t="str">
        <f t="shared" si="1055"/>
        <v/>
      </c>
      <c r="T1998" s="34" t="str">
        <f t="shared" si="1056"/>
        <v/>
      </c>
      <c r="U1998" s="34" t="str">
        <f>IF(AND(L1998=1,bp_kode=T1998,T1998&lt;&gt;""),COUNTIF($T$8:T1998,T1998),"")</f>
        <v/>
      </c>
      <c r="V1998" s="34" t="str">
        <f t="shared" si="1057"/>
        <v/>
      </c>
      <c r="W1998" s="34" t="str">
        <f t="shared" si="1058"/>
        <v/>
      </c>
      <c r="X1998" s="34" t="str">
        <f>IF(B1998="","",COUNTIF($C$8:C1998,C1998)&amp;C1998)</f>
        <v/>
      </c>
    </row>
    <row r="1999" spans="2:24" ht="23.1" customHeight="1">
      <c r="B1999" s="31"/>
      <c r="C1999" s="9"/>
      <c r="D1999" s="9"/>
      <c r="E1999" s="7"/>
      <c r="F1999" s="7"/>
      <c r="G1999" s="7"/>
      <c r="H1999" s="7"/>
      <c r="I1999" s="7"/>
      <c r="J1999" s="39"/>
      <c r="L1999" s="16" t="str">
        <f t="shared" si="1049"/>
        <v/>
      </c>
      <c r="M1999" s="16" t="str">
        <f t="shared" si="1050"/>
        <v/>
      </c>
      <c r="N1999" s="16" t="str">
        <f t="shared" si="1051"/>
        <v/>
      </c>
      <c r="O1999" s="16" t="str">
        <f>IF(N1999="","",COUNTIF($N$8:N1999,N1999))</f>
        <v/>
      </c>
      <c r="P1999" s="34" t="str">
        <f t="shared" si="1052"/>
        <v/>
      </c>
      <c r="Q1999" s="34" t="str">
        <f t="shared" si="1053"/>
        <v/>
      </c>
      <c r="R1999" s="34" t="str">
        <f t="shared" si="1054"/>
        <v/>
      </c>
      <c r="S1999" s="34" t="str">
        <f t="shared" si="1055"/>
        <v/>
      </c>
      <c r="T1999" s="34" t="str">
        <f t="shared" si="1056"/>
        <v/>
      </c>
      <c r="U1999" s="34" t="str">
        <f>IF(AND(L1999=1,bp_kode=T1999,T1999&lt;&gt;""),COUNTIF($T$8:T1999,T1999),"")</f>
        <v/>
      </c>
      <c r="V1999" s="34" t="str">
        <f t="shared" si="1057"/>
        <v/>
      </c>
      <c r="W1999" s="34" t="str">
        <f t="shared" si="1058"/>
        <v/>
      </c>
      <c r="X1999" s="34" t="str">
        <f>IF(B1999="","",COUNTIF($C$8:C1999,C1999)&amp;C1999)</f>
        <v/>
      </c>
    </row>
    <row r="2000" spans="2:24" ht="23.1" customHeight="1">
      <c r="B2000" s="31"/>
      <c r="C2000" s="9"/>
      <c r="D2000" s="9"/>
      <c r="E2000" s="7"/>
      <c r="F2000" s="7"/>
      <c r="G2000" s="7"/>
      <c r="H2000" s="7"/>
      <c r="I2000" s="7"/>
      <c r="J2000" s="39"/>
      <c r="L2000" s="16" t="str">
        <f t="shared" si="1049"/>
        <v/>
      </c>
      <c r="M2000" s="16" t="str">
        <f t="shared" si="1050"/>
        <v/>
      </c>
      <c r="N2000" s="16" t="str">
        <f t="shared" si="1051"/>
        <v/>
      </c>
      <c r="O2000" s="16" t="str">
        <f>IF(N2000="","",COUNTIF($N$8:N2000,N2000))</f>
        <v/>
      </c>
      <c r="P2000" s="34" t="str">
        <f t="shared" si="1052"/>
        <v/>
      </c>
      <c r="Q2000" s="34" t="str">
        <f t="shared" si="1053"/>
        <v/>
      </c>
      <c r="R2000" s="34" t="str">
        <f t="shared" si="1054"/>
        <v/>
      </c>
      <c r="S2000" s="34" t="str">
        <f t="shared" si="1055"/>
        <v/>
      </c>
      <c r="T2000" s="34" t="str">
        <f t="shared" si="1056"/>
        <v/>
      </c>
      <c r="U2000" s="34" t="str">
        <f>IF(AND(L2000=1,bp_kode=T2000,T2000&lt;&gt;""),COUNTIF($T$8:T2000,T2000),"")</f>
        <v/>
      </c>
      <c r="V2000" s="34" t="str">
        <f t="shared" si="1057"/>
        <v/>
      </c>
      <c r="W2000" s="34" t="str">
        <f t="shared" si="1058"/>
        <v/>
      </c>
      <c r="X2000" s="34" t="str">
        <f>IF(B2000="","",COUNTIF($C$8:C2000,C2000)&amp;C2000)</f>
        <v/>
      </c>
    </row>
    <row r="2001" spans="2:24" ht="23.1" customHeight="1">
      <c r="B2001" s="31"/>
      <c r="C2001" s="9"/>
      <c r="D2001" s="9"/>
      <c r="E2001" s="7"/>
      <c r="F2001" s="7"/>
      <c r="G2001" s="7"/>
      <c r="H2001" s="7"/>
      <c r="I2001" s="7"/>
      <c r="J2001" s="39"/>
      <c r="L2001" s="16" t="str">
        <f t="shared" si="1049"/>
        <v/>
      </c>
      <c r="M2001" s="16" t="str">
        <f t="shared" si="1050"/>
        <v/>
      </c>
      <c r="N2001" s="16" t="str">
        <f t="shared" si="1051"/>
        <v/>
      </c>
      <c r="O2001" s="16" t="str">
        <f>IF(N2001="","",COUNTIF($N$8:N2001,N2001))</f>
        <v/>
      </c>
      <c r="P2001" s="34" t="str">
        <f t="shared" si="1052"/>
        <v/>
      </c>
      <c r="Q2001" s="34" t="str">
        <f t="shared" si="1053"/>
        <v/>
      </c>
      <c r="R2001" s="34" t="str">
        <f t="shared" si="1054"/>
        <v/>
      </c>
      <c r="S2001" s="34" t="str">
        <f t="shared" si="1055"/>
        <v/>
      </c>
      <c r="T2001" s="34" t="str">
        <f t="shared" si="1056"/>
        <v/>
      </c>
      <c r="U2001" s="34" t="str">
        <f>IF(AND(L2001=1,bp_kode=T2001,T2001&lt;&gt;""),COUNTIF($T$8:T2001,T2001),"")</f>
        <v/>
      </c>
      <c r="V2001" s="34" t="str">
        <f t="shared" si="1057"/>
        <v/>
      </c>
      <c r="W2001" s="34" t="str">
        <f t="shared" si="1058"/>
        <v/>
      </c>
      <c r="X2001" s="34" t="str">
        <f>IF(B2001="","",COUNTIF($C$8:C2001,C2001)&amp;C2001)</f>
        <v/>
      </c>
    </row>
    <row r="2002" spans="2:24" ht="23.1" customHeight="1">
      <c r="B2002" s="31"/>
      <c r="C2002" s="9"/>
      <c r="D2002" s="9"/>
      <c r="E2002" s="7"/>
      <c r="F2002" s="7"/>
      <c r="G2002" s="7"/>
      <c r="H2002" s="7"/>
      <c r="I2002" s="7"/>
      <c r="J2002" s="39"/>
      <c r="L2002" s="16" t="str">
        <f t="shared" si="1049"/>
        <v/>
      </c>
      <c r="M2002" s="16" t="str">
        <f t="shared" si="1050"/>
        <v/>
      </c>
      <c r="N2002" s="16" t="str">
        <f t="shared" si="1051"/>
        <v/>
      </c>
      <c r="O2002" s="16" t="str">
        <f>IF(N2002="","",COUNTIF($N$8:N2002,N2002))</f>
        <v/>
      </c>
      <c r="P2002" s="34" t="str">
        <f t="shared" si="1052"/>
        <v/>
      </c>
      <c r="Q2002" s="34" t="str">
        <f t="shared" si="1053"/>
        <v/>
      </c>
      <c r="R2002" s="34" t="str">
        <f t="shared" si="1054"/>
        <v/>
      </c>
      <c r="S2002" s="34" t="str">
        <f t="shared" si="1055"/>
        <v/>
      </c>
      <c r="T2002" s="34" t="str">
        <f t="shared" si="1056"/>
        <v/>
      </c>
      <c r="U2002" s="34" t="str">
        <f>IF(AND(L2002=1,bp_kode=T2002,T2002&lt;&gt;""),COUNTIF($T$8:T2002,T2002),"")</f>
        <v/>
      </c>
      <c r="V2002" s="34" t="str">
        <f t="shared" si="1057"/>
        <v/>
      </c>
      <c r="W2002" s="34" t="str">
        <f t="shared" si="1058"/>
        <v/>
      </c>
      <c r="X2002" s="34" t="str">
        <f>IF(B2002="","",COUNTIF($C$8:C2002,C2002)&amp;C2002)</f>
        <v/>
      </c>
    </row>
    <row r="2003" spans="2:24" ht="23.1" customHeight="1">
      <c r="B2003" s="31"/>
      <c r="C2003" s="9"/>
      <c r="D2003" s="9"/>
      <c r="E2003" s="7"/>
      <c r="F2003" s="7"/>
      <c r="G2003" s="7"/>
      <c r="H2003" s="7"/>
      <c r="I2003" s="7"/>
      <c r="J2003" s="39"/>
      <c r="L2003" s="16" t="str">
        <f t="shared" si="1049"/>
        <v/>
      </c>
      <c r="M2003" s="16" t="str">
        <f t="shared" si="1050"/>
        <v/>
      </c>
      <c r="N2003" s="16" t="str">
        <f t="shared" si="1051"/>
        <v/>
      </c>
      <c r="O2003" s="16" t="str">
        <f>IF(N2003="","",COUNTIF($N$8:N2003,N2003))</f>
        <v/>
      </c>
      <c r="P2003" s="34" t="str">
        <f t="shared" si="1052"/>
        <v/>
      </c>
      <c r="Q2003" s="34" t="str">
        <f t="shared" si="1053"/>
        <v/>
      </c>
      <c r="R2003" s="34" t="str">
        <f t="shared" si="1054"/>
        <v/>
      </c>
      <c r="S2003" s="34" t="str">
        <f t="shared" si="1055"/>
        <v/>
      </c>
      <c r="T2003" s="34" t="str">
        <f t="shared" si="1056"/>
        <v/>
      </c>
      <c r="U2003" s="34" t="str">
        <f>IF(AND(L2003=1,bp_kode=T2003,T2003&lt;&gt;""),COUNTIF($T$8:T2003,T2003),"")</f>
        <v/>
      </c>
      <c r="V2003" s="34" t="str">
        <f t="shared" si="1057"/>
        <v/>
      </c>
      <c r="W2003" s="34" t="str">
        <f t="shared" si="1058"/>
        <v/>
      </c>
      <c r="X2003" s="34" t="str">
        <f>IF(B2003="","",COUNTIF($C$8:C2003,C2003)&amp;C2003)</f>
        <v/>
      </c>
    </row>
    <row r="2004" spans="2:24" ht="23.1" customHeight="1">
      <c r="B2004" s="31"/>
      <c r="C2004" s="9"/>
      <c r="D2004" s="9"/>
      <c r="E2004" s="7"/>
      <c r="F2004" s="7"/>
      <c r="G2004" s="7"/>
      <c r="H2004" s="7"/>
      <c r="I2004" s="7"/>
      <c r="J2004" s="39"/>
      <c r="L2004" s="16" t="str">
        <f t="shared" si="1049"/>
        <v/>
      </c>
      <c r="M2004" s="16" t="str">
        <f t="shared" si="1050"/>
        <v/>
      </c>
      <c r="N2004" s="16" t="str">
        <f t="shared" si="1051"/>
        <v/>
      </c>
      <c r="O2004" s="16" t="str">
        <f>IF(N2004="","",COUNTIF($N$8:N2004,N2004))</f>
        <v/>
      </c>
      <c r="P2004" s="34" t="str">
        <f t="shared" si="1052"/>
        <v/>
      </c>
      <c r="Q2004" s="34" t="str">
        <f t="shared" si="1053"/>
        <v/>
      </c>
      <c r="R2004" s="34" t="str">
        <f t="shared" si="1054"/>
        <v/>
      </c>
      <c r="S2004" s="34" t="str">
        <f t="shared" si="1055"/>
        <v/>
      </c>
      <c r="T2004" s="34" t="str">
        <f t="shared" si="1056"/>
        <v/>
      </c>
      <c r="U2004" s="34" t="str">
        <f>IF(AND(L2004=1,bp_kode=T2004,T2004&lt;&gt;""),COUNTIF($T$8:T2004,T2004),"")</f>
        <v/>
      </c>
      <c r="V2004" s="34" t="str">
        <f t="shared" si="1057"/>
        <v/>
      </c>
      <c r="W2004" s="34" t="str">
        <f t="shared" si="1058"/>
        <v/>
      </c>
      <c r="X2004" s="34" t="str">
        <f>IF(B2004="","",COUNTIF($C$8:C2004,C2004)&amp;C2004)</f>
        <v/>
      </c>
    </row>
    <row r="2005" spans="2:24" ht="23.1" customHeight="1">
      <c r="B2005" s="31"/>
      <c r="C2005" s="9"/>
      <c r="D2005" s="9"/>
      <c r="E2005" s="7"/>
      <c r="F2005" s="7"/>
      <c r="G2005" s="7"/>
      <c r="H2005" s="7"/>
      <c r="I2005" s="7"/>
      <c r="J2005" s="39"/>
      <c r="L2005" s="16" t="str">
        <f t="shared" si="1049"/>
        <v/>
      </c>
      <c r="M2005" s="16" t="str">
        <f t="shared" si="1050"/>
        <v/>
      </c>
      <c r="N2005" s="16" t="str">
        <f t="shared" si="1051"/>
        <v/>
      </c>
      <c r="O2005" s="16" t="str">
        <f>IF(N2005="","",COUNTIF($N$8:N2005,N2005))</f>
        <v/>
      </c>
      <c r="P2005" s="34" t="str">
        <f t="shared" si="1052"/>
        <v/>
      </c>
      <c r="Q2005" s="34" t="str">
        <f t="shared" si="1053"/>
        <v/>
      </c>
      <c r="R2005" s="34" t="str">
        <f t="shared" si="1054"/>
        <v/>
      </c>
      <c r="S2005" s="34" t="str">
        <f t="shared" si="1055"/>
        <v/>
      </c>
      <c r="T2005" s="34" t="str">
        <f t="shared" si="1056"/>
        <v/>
      </c>
      <c r="U2005" s="34" t="str">
        <f>IF(AND(L2005=1,bp_kode=T2005,T2005&lt;&gt;""),COUNTIF($T$8:T2005,T2005),"")</f>
        <v/>
      </c>
      <c r="V2005" s="34" t="str">
        <f t="shared" si="1057"/>
        <v/>
      </c>
      <c r="W2005" s="34" t="str">
        <f t="shared" si="1058"/>
        <v/>
      </c>
      <c r="X2005" s="34" t="str">
        <f>IF(B2005="","",COUNTIF($C$8:C2005,C2005)&amp;C2005)</f>
        <v/>
      </c>
    </row>
    <row r="2006" spans="2:24" ht="23.1" customHeight="1">
      <c r="B2006" s="31"/>
      <c r="C2006" s="9"/>
      <c r="D2006" s="9"/>
      <c r="E2006" s="7"/>
      <c r="F2006" s="7"/>
      <c r="G2006" s="7"/>
      <c r="H2006" s="7"/>
      <c r="I2006" s="7"/>
      <c r="J2006" s="39"/>
      <c r="L2006" s="16" t="str">
        <f t="shared" si="1049"/>
        <v/>
      </c>
      <c r="M2006" s="16" t="str">
        <f t="shared" si="1050"/>
        <v/>
      </c>
      <c r="N2006" s="16" t="str">
        <f t="shared" si="1051"/>
        <v/>
      </c>
      <c r="O2006" s="16" t="str">
        <f>IF(N2006="","",COUNTIF($N$8:N2006,N2006))</f>
        <v/>
      </c>
      <c r="P2006" s="34" t="str">
        <f t="shared" si="1052"/>
        <v/>
      </c>
      <c r="Q2006" s="34" t="str">
        <f t="shared" si="1053"/>
        <v/>
      </c>
      <c r="R2006" s="34" t="str">
        <f t="shared" si="1054"/>
        <v/>
      </c>
      <c r="S2006" s="34" t="str">
        <f t="shared" si="1055"/>
        <v/>
      </c>
      <c r="T2006" s="34" t="str">
        <f t="shared" si="1056"/>
        <v/>
      </c>
      <c r="U2006" s="34" t="str">
        <f>IF(AND(L2006=1,bp_kode=T2006,T2006&lt;&gt;""),COUNTIF($T$8:T2006,T2006),"")</f>
        <v/>
      </c>
      <c r="V2006" s="34" t="str">
        <f t="shared" si="1057"/>
        <v/>
      </c>
      <c r="W2006" s="34" t="str">
        <f t="shared" si="1058"/>
        <v/>
      </c>
      <c r="X2006" s="34" t="str">
        <f>IF(B2006="","",COUNTIF($C$8:C2006,C2006)&amp;C2006)</f>
        <v/>
      </c>
    </row>
    <row r="2007" spans="2:24" ht="23.1" customHeight="1">
      <c r="B2007" s="31"/>
      <c r="C2007" s="9"/>
      <c r="D2007" s="9"/>
      <c r="E2007" s="7"/>
      <c r="F2007" s="7"/>
      <c r="G2007" s="7"/>
      <c r="H2007" s="7"/>
      <c r="I2007" s="7"/>
      <c r="J2007" s="39"/>
      <c r="L2007" s="16" t="str">
        <f t="shared" si="1049"/>
        <v/>
      </c>
      <c r="M2007" s="16" t="str">
        <f t="shared" si="1050"/>
        <v/>
      </c>
      <c r="N2007" s="16" t="str">
        <f t="shared" si="1051"/>
        <v/>
      </c>
      <c r="O2007" s="16" t="str">
        <f>IF(N2007="","",COUNTIF($N$8:N2007,N2007))</f>
        <v/>
      </c>
      <c r="P2007" s="34" t="str">
        <f t="shared" si="1052"/>
        <v/>
      </c>
      <c r="Q2007" s="34" t="str">
        <f t="shared" si="1053"/>
        <v/>
      </c>
      <c r="R2007" s="34" t="str">
        <f t="shared" si="1054"/>
        <v/>
      </c>
      <c r="S2007" s="34" t="str">
        <f t="shared" si="1055"/>
        <v/>
      </c>
      <c r="T2007" s="34" t="str">
        <f t="shared" si="1056"/>
        <v/>
      </c>
      <c r="U2007" s="34" t="str">
        <f>IF(AND(L2007=1,bp_kode=T2007,T2007&lt;&gt;""),COUNTIF($T$8:T2007,T2007),"")</f>
        <v/>
      </c>
      <c r="V2007" s="34" t="str">
        <f t="shared" si="1057"/>
        <v/>
      </c>
      <c r="W2007" s="34" t="str">
        <f t="shared" si="1058"/>
        <v/>
      </c>
      <c r="X2007" s="34" t="str">
        <f>IF(B2007="","",COUNTIF($C$8:C2007,C2007)&amp;C2007)</f>
        <v/>
      </c>
    </row>
    <row r="2008" spans="2:24" ht="23.1" customHeight="1">
      <c r="B2008" s="31"/>
      <c r="C2008" s="9"/>
      <c r="D2008" s="9"/>
      <c r="E2008" s="7"/>
      <c r="F2008" s="7"/>
      <c r="G2008" s="7"/>
      <c r="H2008" s="7"/>
      <c r="I2008" s="7"/>
      <c r="J2008" s="39"/>
      <c r="L2008" s="16" t="str">
        <f t="shared" si="1049"/>
        <v/>
      </c>
      <c r="M2008" s="16" t="str">
        <f t="shared" si="1050"/>
        <v/>
      </c>
      <c r="N2008" s="16" t="str">
        <f t="shared" si="1051"/>
        <v/>
      </c>
      <c r="O2008" s="16" t="str">
        <f>IF(N2008="","",COUNTIF($N$8:N2008,N2008))</f>
        <v/>
      </c>
      <c r="P2008" s="34" t="str">
        <f t="shared" si="1052"/>
        <v/>
      </c>
      <c r="Q2008" s="34" t="str">
        <f t="shared" si="1053"/>
        <v/>
      </c>
      <c r="R2008" s="34" t="str">
        <f t="shared" si="1054"/>
        <v/>
      </c>
      <c r="S2008" s="34" t="str">
        <f t="shared" si="1055"/>
        <v/>
      </c>
      <c r="T2008" s="34" t="str">
        <f t="shared" si="1056"/>
        <v/>
      </c>
      <c r="U2008" s="34" t="str">
        <f>IF(AND(L2008=1,bp_kode=T2008,T2008&lt;&gt;""),COUNTIF($T$8:T2008,T2008),"")</f>
        <v/>
      </c>
      <c r="V2008" s="34" t="str">
        <f t="shared" si="1057"/>
        <v/>
      </c>
      <c r="W2008" s="34" t="str">
        <f t="shared" si="1058"/>
        <v/>
      </c>
      <c r="X2008" s="34" t="str">
        <f>IF(B2008="","",COUNTIF($C$8:C2008,C2008)&amp;C2008)</f>
        <v/>
      </c>
    </row>
    <row r="2009" spans="2:24" ht="23.1" customHeight="1">
      <c r="B2009" s="31"/>
      <c r="C2009" s="9"/>
      <c r="D2009" s="9"/>
      <c r="E2009" s="7"/>
      <c r="F2009" s="7"/>
      <c r="G2009" s="7"/>
      <c r="H2009" s="7"/>
      <c r="I2009" s="7"/>
      <c r="J2009" s="39"/>
      <c r="L2009" s="16" t="str">
        <f t="shared" ref="L2009:L2048" si="1059">IF(AND(B2009&gt;=awal,B2009&lt;=akhir,B2009&lt;&gt;""),1,IF(AND(B2009&lt;&gt;"",B2009&lt;awal),2,""))</f>
        <v/>
      </c>
      <c r="M2009" s="16" t="str">
        <f t="shared" ref="M2009:M2048" si="1060">IF(B2009="","",TEXT(B2009,"mmmm"))</f>
        <v/>
      </c>
      <c r="N2009" s="16" t="str">
        <f t="shared" ref="N2009:N2048" si="1061">IF(AND(L2009=1,H2009=bb_akun),"Awe",IF(AND(L2009=1,I2009=bb_akun),"Awe",""))</f>
        <v/>
      </c>
      <c r="O2009" s="16" t="str">
        <f>IF(N2009="","",COUNTIF($N$8:N2009,N2009))</f>
        <v/>
      </c>
      <c r="P2009" s="34" t="str">
        <f t="shared" ref="P2009:P2048" si="1062">IFERROR(IF(OR(INDEX(akun_type,MATCH(H2009,akun_kb,0))="Kas",INDEX(akun_type,MATCH(H2009,akun_kb,0))="Bank"),"In"&amp;INDEX(akun_type,MATCH(I2009,akun_kb,0)),IF(OR(INDEX(akun_type,MATCH(I2009,akun_kb,0))="Kas",INDEX(akun_type,MATCH(I2009,akun_kb,0))="Bank"),"out"&amp;INDEX(akun_type,MATCH(H2009,akun_kb,0)),"")),"")</f>
        <v/>
      </c>
      <c r="Q2009" s="34" t="str">
        <f t="shared" ref="Q2009:Q2048" si="1063">IFERROR(IF(OR(INDEX(akun_type,MATCH(H2009,akun_kb,0))="Kas",INDEX(akun_type,MATCH(H2009,akun_kb,0))="Bank"),"in"&amp;TEXT(B2009,"mmmm")&amp;INDEX(akun_type,MATCH(I2009,akun_kb,0)),IF(OR(INDEX(akun_type,MATCH(I2009,akun_kb,0))="Kas",INDEX(akun_type,MATCH(I2009,akun_kb,0))="Bank"),"out"&amp;TEXT(B2009,"mmmm")&amp;INDEX(akun_type,MATCH(H2009,akun_kb,0)),"")),"")</f>
        <v/>
      </c>
      <c r="R2009" s="34" t="str">
        <f t="shared" ref="R2009:R2048" si="1064">IFERROR(INDEX(akun_type,MATCH(H2009,akun_kb,0)),"")</f>
        <v/>
      </c>
      <c r="S2009" s="34" t="str">
        <f t="shared" ref="S2009:S2048" si="1065">IFERROR(INDEX(akun_type,MATCH(I2009,akun_kb,0)),"")</f>
        <v/>
      </c>
      <c r="T2009" s="34" t="str">
        <f t="shared" ref="T2009:T2048" si="1066">IF(AND(L2009=1,OR(R2009="Akun Piutang",R2009="akun hutang",S2009="akun piutang",S2009="akun hutang")),E2009,"")</f>
        <v/>
      </c>
      <c r="U2009" s="34" t="str">
        <f>IF(AND(L2009=1,bp_kode=T2009,T2009&lt;&gt;""),COUNTIF($T$8:T2009,T2009),"")</f>
        <v/>
      </c>
      <c r="V2009" s="34" t="str">
        <f t="shared" ref="V2009:V2048" si="1067">IF(OR(R2009="Pendapatan",R2009="Pendapatan Lainnya",R2009="Beban",R2009="Harga Pokok Penjualan",R2009="Beban Lainnya"),"db"&amp;F2009,IF(OR(S2009="Pendapatan",S2009="Pendapatan Lainnya",S2009="Beban",S2009="Harga Pokok Penjualan",S2009="Beban Lainnya"),"kr"&amp;F2009,""))</f>
        <v/>
      </c>
      <c r="W2009" s="34" t="str">
        <f t="shared" ref="W2009:W2048" si="1068">IF(OR(R2009="Pendapatan",R2009="Pendapatan Lainnya",R2009="Beban",R2009="Harga Pokok Penjualan",R2009="Beban Lainnya"),"db"&amp;G2009,IF(OR(S2009="Pendapatan",S2009="Pendapatan Lainnya",S2009="Beban",S2009="Harga Pokok Penjualan",S2009="Beban Lainnya"),"kr"&amp;G2009,""))</f>
        <v/>
      </c>
      <c r="X2009" s="34" t="str">
        <f>IF(B2009="","",COUNTIF($C$8:C2009,C2009)&amp;C2009)</f>
        <v/>
      </c>
    </row>
    <row r="2010" spans="2:24" ht="23.1" customHeight="1">
      <c r="B2010" s="31"/>
      <c r="C2010" s="9"/>
      <c r="D2010" s="9"/>
      <c r="E2010" s="7"/>
      <c r="F2010" s="7"/>
      <c r="G2010" s="7"/>
      <c r="H2010" s="7"/>
      <c r="I2010" s="7"/>
      <c r="J2010" s="39"/>
      <c r="L2010" s="16" t="str">
        <f t="shared" si="1059"/>
        <v/>
      </c>
      <c r="M2010" s="16" t="str">
        <f t="shared" si="1060"/>
        <v/>
      </c>
      <c r="N2010" s="16" t="str">
        <f t="shared" si="1061"/>
        <v/>
      </c>
      <c r="O2010" s="16" t="str">
        <f>IF(N2010="","",COUNTIF($N$8:N2010,N2010))</f>
        <v/>
      </c>
      <c r="P2010" s="34" t="str">
        <f t="shared" si="1062"/>
        <v/>
      </c>
      <c r="Q2010" s="34" t="str">
        <f t="shared" si="1063"/>
        <v/>
      </c>
      <c r="R2010" s="34" t="str">
        <f t="shared" si="1064"/>
        <v/>
      </c>
      <c r="S2010" s="34" t="str">
        <f t="shared" si="1065"/>
        <v/>
      </c>
      <c r="T2010" s="34" t="str">
        <f t="shared" si="1066"/>
        <v/>
      </c>
      <c r="U2010" s="34" t="str">
        <f>IF(AND(L2010=1,bp_kode=T2010,T2010&lt;&gt;""),COUNTIF($T$8:T2010,T2010),"")</f>
        <v/>
      </c>
      <c r="V2010" s="34" t="str">
        <f t="shared" si="1067"/>
        <v/>
      </c>
      <c r="W2010" s="34" t="str">
        <f t="shared" si="1068"/>
        <v/>
      </c>
      <c r="X2010" s="34" t="str">
        <f>IF(B2010="","",COUNTIF($C$8:C2010,C2010)&amp;C2010)</f>
        <v/>
      </c>
    </row>
    <row r="2011" spans="2:24" ht="23.1" customHeight="1">
      <c r="B2011" s="31"/>
      <c r="C2011" s="9"/>
      <c r="D2011" s="9"/>
      <c r="E2011" s="7"/>
      <c r="F2011" s="7"/>
      <c r="G2011" s="7"/>
      <c r="H2011" s="7"/>
      <c r="I2011" s="7"/>
      <c r="J2011" s="39"/>
      <c r="L2011" s="16" t="str">
        <f t="shared" si="1059"/>
        <v/>
      </c>
      <c r="M2011" s="16" t="str">
        <f t="shared" si="1060"/>
        <v/>
      </c>
      <c r="N2011" s="16" t="str">
        <f t="shared" si="1061"/>
        <v/>
      </c>
      <c r="O2011" s="16" t="str">
        <f>IF(N2011="","",COUNTIF($N$8:N2011,N2011))</f>
        <v/>
      </c>
      <c r="P2011" s="34" t="str">
        <f t="shared" si="1062"/>
        <v/>
      </c>
      <c r="Q2011" s="34" t="str">
        <f t="shared" si="1063"/>
        <v/>
      </c>
      <c r="R2011" s="34" t="str">
        <f t="shared" si="1064"/>
        <v/>
      </c>
      <c r="S2011" s="34" t="str">
        <f t="shared" si="1065"/>
        <v/>
      </c>
      <c r="T2011" s="34" t="str">
        <f t="shared" si="1066"/>
        <v/>
      </c>
      <c r="U2011" s="34" t="str">
        <f>IF(AND(L2011=1,bp_kode=T2011,T2011&lt;&gt;""),COUNTIF($T$8:T2011,T2011),"")</f>
        <v/>
      </c>
      <c r="V2011" s="34" t="str">
        <f t="shared" si="1067"/>
        <v/>
      </c>
      <c r="W2011" s="34" t="str">
        <f t="shared" si="1068"/>
        <v/>
      </c>
      <c r="X2011" s="34" t="str">
        <f>IF(B2011="","",COUNTIF($C$8:C2011,C2011)&amp;C2011)</f>
        <v/>
      </c>
    </row>
    <row r="2012" spans="2:24" ht="23.1" customHeight="1">
      <c r="B2012" s="31"/>
      <c r="C2012" s="9"/>
      <c r="D2012" s="9"/>
      <c r="E2012" s="7"/>
      <c r="F2012" s="7"/>
      <c r="G2012" s="7"/>
      <c r="H2012" s="7"/>
      <c r="I2012" s="7"/>
      <c r="J2012" s="39"/>
      <c r="L2012" s="16" t="str">
        <f t="shared" si="1059"/>
        <v/>
      </c>
      <c r="M2012" s="16" t="str">
        <f t="shared" si="1060"/>
        <v/>
      </c>
      <c r="N2012" s="16" t="str">
        <f t="shared" si="1061"/>
        <v/>
      </c>
      <c r="O2012" s="16" t="str">
        <f>IF(N2012="","",COUNTIF($N$8:N2012,N2012))</f>
        <v/>
      </c>
      <c r="P2012" s="34" t="str">
        <f t="shared" si="1062"/>
        <v/>
      </c>
      <c r="Q2012" s="34" t="str">
        <f t="shared" si="1063"/>
        <v/>
      </c>
      <c r="R2012" s="34" t="str">
        <f t="shared" si="1064"/>
        <v/>
      </c>
      <c r="S2012" s="34" t="str">
        <f t="shared" si="1065"/>
        <v/>
      </c>
      <c r="T2012" s="34" t="str">
        <f t="shared" si="1066"/>
        <v/>
      </c>
      <c r="U2012" s="34" t="str">
        <f>IF(AND(L2012=1,bp_kode=T2012,T2012&lt;&gt;""),COUNTIF($T$8:T2012,T2012),"")</f>
        <v/>
      </c>
      <c r="V2012" s="34" t="str">
        <f t="shared" si="1067"/>
        <v/>
      </c>
      <c r="W2012" s="34" t="str">
        <f t="shared" si="1068"/>
        <v/>
      </c>
      <c r="X2012" s="34" t="str">
        <f>IF(B2012="","",COUNTIF($C$8:C2012,C2012)&amp;C2012)</f>
        <v/>
      </c>
    </row>
    <row r="2013" spans="2:24" ht="23.1" customHeight="1">
      <c r="B2013" s="31"/>
      <c r="C2013" s="9"/>
      <c r="D2013" s="9"/>
      <c r="E2013" s="7"/>
      <c r="F2013" s="7"/>
      <c r="G2013" s="7"/>
      <c r="H2013" s="7"/>
      <c r="I2013" s="7"/>
      <c r="J2013" s="39"/>
      <c r="L2013" s="16" t="str">
        <f t="shared" si="1059"/>
        <v/>
      </c>
      <c r="M2013" s="16" t="str">
        <f t="shared" si="1060"/>
        <v/>
      </c>
      <c r="N2013" s="16" t="str">
        <f t="shared" si="1061"/>
        <v/>
      </c>
      <c r="O2013" s="16" t="str">
        <f>IF(N2013="","",COUNTIF($N$8:N2013,N2013))</f>
        <v/>
      </c>
      <c r="P2013" s="34" t="str">
        <f t="shared" si="1062"/>
        <v/>
      </c>
      <c r="Q2013" s="34" t="str">
        <f t="shared" si="1063"/>
        <v/>
      </c>
      <c r="R2013" s="34" t="str">
        <f t="shared" si="1064"/>
        <v/>
      </c>
      <c r="S2013" s="34" t="str">
        <f t="shared" si="1065"/>
        <v/>
      </c>
      <c r="T2013" s="34" t="str">
        <f t="shared" si="1066"/>
        <v/>
      </c>
      <c r="U2013" s="34" t="str">
        <f>IF(AND(L2013=1,bp_kode=T2013,T2013&lt;&gt;""),COUNTIF($T$8:T2013,T2013),"")</f>
        <v/>
      </c>
      <c r="V2013" s="34" t="str">
        <f t="shared" si="1067"/>
        <v/>
      </c>
      <c r="W2013" s="34" t="str">
        <f t="shared" si="1068"/>
        <v/>
      </c>
      <c r="X2013" s="34" t="str">
        <f>IF(B2013="","",COUNTIF($C$8:C2013,C2013)&amp;C2013)</f>
        <v/>
      </c>
    </row>
    <row r="2014" spans="2:24" ht="23.1" customHeight="1">
      <c r="B2014" s="31"/>
      <c r="C2014" s="9"/>
      <c r="D2014" s="9"/>
      <c r="E2014" s="7"/>
      <c r="F2014" s="7"/>
      <c r="G2014" s="7"/>
      <c r="H2014" s="7"/>
      <c r="I2014" s="7"/>
      <c r="J2014" s="39"/>
      <c r="L2014" s="16" t="str">
        <f t="shared" si="1059"/>
        <v/>
      </c>
      <c r="M2014" s="16" t="str">
        <f t="shared" si="1060"/>
        <v/>
      </c>
      <c r="N2014" s="16" t="str">
        <f t="shared" si="1061"/>
        <v/>
      </c>
      <c r="O2014" s="16" t="str">
        <f>IF(N2014="","",COUNTIF($N$8:N2014,N2014))</f>
        <v/>
      </c>
      <c r="P2014" s="34" t="str">
        <f t="shared" si="1062"/>
        <v/>
      </c>
      <c r="Q2014" s="34" t="str">
        <f t="shared" si="1063"/>
        <v/>
      </c>
      <c r="R2014" s="34" t="str">
        <f t="shared" si="1064"/>
        <v/>
      </c>
      <c r="S2014" s="34" t="str">
        <f t="shared" si="1065"/>
        <v/>
      </c>
      <c r="T2014" s="34" t="str">
        <f t="shared" si="1066"/>
        <v/>
      </c>
      <c r="U2014" s="34" t="str">
        <f>IF(AND(L2014=1,bp_kode=T2014,T2014&lt;&gt;""),COUNTIF($T$8:T2014,T2014),"")</f>
        <v/>
      </c>
      <c r="V2014" s="34" t="str">
        <f t="shared" si="1067"/>
        <v/>
      </c>
      <c r="W2014" s="34" t="str">
        <f t="shared" si="1068"/>
        <v/>
      </c>
      <c r="X2014" s="34" t="str">
        <f>IF(B2014="","",COUNTIF($C$8:C2014,C2014)&amp;C2014)</f>
        <v/>
      </c>
    </row>
    <row r="2015" spans="2:24" ht="23.1" customHeight="1">
      <c r="B2015" s="31"/>
      <c r="C2015" s="9"/>
      <c r="D2015" s="9"/>
      <c r="E2015" s="7"/>
      <c r="F2015" s="7"/>
      <c r="G2015" s="7"/>
      <c r="H2015" s="7"/>
      <c r="I2015" s="7"/>
      <c r="J2015" s="39"/>
      <c r="L2015" s="16" t="str">
        <f t="shared" si="1059"/>
        <v/>
      </c>
      <c r="M2015" s="16" t="str">
        <f t="shared" si="1060"/>
        <v/>
      </c>
      <c r="N2015" s="16" t="str">
        <f t="shared" si="1061"/>
        <v/>
      </c>
      <c r="O2015" s="16" t="str">
        <f>IF(N2015="","",COUNTIF($N$8:N2015,N2015))</f>
        <v/>
      </c>
      <c r="P2015" s="34" t="str">
        <f t="shared" si="1062"/>
        <v/>
      </c>
      <c r="Q2015" s="34" t="str">
        <f t="shared" si="1063"/>
        <v/>
      </c>
      <c r="R2015" s="34" t="str">
        <f t="shared" si="1064"/>
        <v/>
      </c>
      <c r="S2015" s="34" t="str">
        <f t="shared" si="1065"/>
        <v/>
      </c>
      <c r="T2015" s="34" t="str">
        <f t="shared" si="1066"/>
        <v/>
      </c>
      <c r="U2015" s="34" t="str">
        <f>IF(AND(L2015=1,bp_kode=T2015,T2015&lt;&gt;""),COUNTIF($T$8:T2015,T2015),"")</f>
        <v/>
      </c>
      <c r="V2015" s="34" t="str">
        <f t="shared" si="1067"/>
        <v/>
      </c>
      <c r="W2015" s="34" t="str">
        <f t="shared" si="1068"/>
        <v/>
      </c>
      <c r="X2015" s="34" t="str">
        <f>IF(B2015="","",COUNTIF($C$8:C2015,C2015)&amp;C2015)</f>
        <v/>
      </c>
    </row>
    <row r="2016" spans="2:24" ht="23.1" customHeight="1">
      <c r="B2016" s="31"/>
      <c r="C2016" s="9"/>
      <c r="D2016" s="9"/>
      <c r="E2016" s="7"/>
      <c r="F2016" s="7"/>
      <c r="G2016" s="7"/>
      <c r="H2016" s="7"/>
      <c r="I2016" s="7"/>
      <c r="J2016" s="39"/>
      <c r="L2016" s="16" t="str">
        <f t="shared" si="1059"/>
        <v/>
      </c>
      <c r="M2016" s="16" t="str">
        <f t="shared" si="1060"/>
        <v/>
      </c>
      <c r="N2016" s="16" t="str">
        <f t="shared" si="1061"/>
        <v/>
      </c>
      <c r="O2016" s="16" t="str">
        <f>IF(N2016="","",COUNTIF($N$8:N2016,N2016))</f>
        <v/>
      </c>
      <c r="P2016" s="34" t="str">
        <f t="shared" si="1062"/>
        <v/>
      </c>
      <c r="Q2016" s="34" t="str">
        <f t="shared" si="1063"/>
        <v/>
      </c>
      <c r="R2016" s="34" t="str">
        <f t="shared" si="1064"/>
        <v/>
      </c>
      <c r="S2016" s="34" t="str">
        <f t="shared" si="1065"/>
        <v/>
      </c>
      <c r="T2016" s="34" t="str">
        <f t="shared" si="1066"/>
        <v/>
      </c>
      <c r="U2016" s="34" t="str">
        <f>IF(AND(L2016=1,bp_kode=T2016,T2016&lt;&gt;""),COUNTIF($T$8:T2016,T2016),"")</f>
        <v/>
      </c>
      <c r="V2016" s="34" t="str">
        <f t="shared" si="1067"/>
        <v/>
      </c>
      <c r="W2016" s="34" t="str">
        <f t="shared" si="1068"/>
        <v/>
      </c>
      <c r="X2016" s="34" t="str">
        <f>IF(B2016="","",COUNTIF($C$8:C2016,C2016)&amp;C2016)</f>
        <v/>
      </c>
    </row>
    <row r="2017" spans="2:24" ht="23.1" customHeight="1">
      <c r="B2017" s="31"/>
      <c r="C2017" s="9"/>
      <c r="D2017" s="9"/>
      <c r="E2017" s="7"/>
      <c r="F2017" s="7"/>
      <c r="G2017" s="7"/>
      <c r="H2017" s="7"/>
      <c r="I2017" s="7"/>
      <c r="J2017" s="39"/>
      <c r="L2017" s="16" t="str">
        <f t="shared" si="1059"/>
        <v/>
      </c>
      <c r="M2017" s="16" t="str">
        <f t="shared" si="1060"/>
        <v/>
      </c>
      <c r="N2017" s="16" t="str">
        <f t="shared" si="1061"/>
        <v/>
      </c>
      <c r="O2017" s="16" t="str">
        <f>IF(N2017="","",COUNTIF($N$8:N2017,N2017))</f>
        <v/>
      </c>
      <c r="P2017" s="34" t="str">
        <f t="shared" si="1062"/>
        <v/>
      </c>
      <c r="Q2017" s="34" t="str">
        <f t="shared" si="1063"/>
        <v/>
      </c>
      <c r="R2017" s="34" t="str">
        <f t="shared" si="1064"/>
        <v/>
      </c>
      <c r="S2017" s="34" t="str">
        <f t="shared" si="1065"/>
        <v/>
      </c>
      <c r="T2017" s="34" t="str">
        <f t="shared" si="1066"/>
        <v/>
      </c>
      <c r="U2017" s="34" t="str">
        <f>IF(AND(L2017=1,bp_kode=T2017,T2017&lt;&gt;""),COUNTIF($T$8:T2017,T2017),"")</f>
        <v/>
      </c>
      <c r="V2017" s="34" t="str">
        <f t="shared" si="1067"/>
        <v/>
      </c>
      <c r="W2017" s="34" t="str">
        <f t="shared" si="1068"/>
        <v/>
      </c>
      <c r="X2017" s="34" t="str">
        <f>IF(B2017="","",COUNTIF($C$8:C2017,C2017)&amp;C2017)</f>
        <v/>
      </c>
    </row>
    <row r="2018" spans="2:24" ht="23.1" customHeight="1">
      <c r="B2018" s="31"/>
      <c r="C2018" s="9"/>
      <c r="D2018" s="9"/>
      <c r="E2018" s="7"/>
      <c r="F2018" s="7"/>
      <c r="G2018" s="7"/>
      <c r="H2018" s="7"/>
      <c r="I2018" s="7"/>
      <c r="J2018" s="39"/>
      <c r="L2018" s="16" t="str">
        <f t="shared" si="1059"/>
        <v/>
      </c>
      <c r="M2018" s="16" t="str">
        <f t="shared" si="1060"/>
        <v/>
      </c>
      <c r="N2018" s="16" t="str">
        <f t="shared" si="1061"/>
        <v/>
      </c>
      <c r="O2018" s="16" t="str">
        <f>IF(N2018="","",COUNTIF($N$8:N2018,N2018))</f>
        <v/>
      </c>
      <c r="P2018" s="34" t="str">
        <f t="shared" si="1062"/>
        <v/>
      </c>
      <c r="Q2018" s="34" t="str">
        <f t="shared" si="1063"/>
        <v/>
      </c>
      <c r="R2018" s="34" t="str">
        <f t="shared" si="1064"/>
        <v/>
      </c>
      <c r="S2018" s="34" t="str">
        <f t="shared" si="1065"/>
        <v/>
      </c>
      <c r="T2018" s="34" t="str">
        <f t="shared" si="1066"/>
        <v/>
      </c>
      <c r="U2018" s="34" t="str">
        <f>IF(AND(L2018=1,bp_kode=T2018,T2018&lt;&gt;""),COUNTIF($T$8:T2018,T2018),"")</f>
        <v/>
      </c>
      <c r="V2018" s="34" t="str">
        <f t="shared" si="1067"/>
        <v/>
      </c>
      <c r="W2018" s="34" t="str">
        <f t="shared" si="1068"/>
        <v/>
      </c>
      <c r="X2018" s="34" t="str">
        <f>IF(B2018="","",COUNTIF($C$8:C2018,C2018)&amp;C2018)</f>
        <v/>
      </c>
    </row>
    <row r="2019" spans="2:24" ht="23.1" customHeight="1">
      <c r="B2019" s="31"/>
      <c r="C2019" s="9"/>
      <c r="D2019" s="9"/>
      <c r="E2019" s="7"/>
      <c r="F2019" s="7"/>
      <c r="G2019" s="7"/>
      <c r="H2019" s="7"/>
      <c r="I2019" s="7"/>
      <c r="J2019" s="39"/>
      <c r="L2019" s="16" t="str">
        <f t="shared" si="1059"/>
        <v/>
      </c>
      <c r="M2019" s="16" t="str">
        <f t="shared" si="1060"/>
        <v/>
      </c>
      <c r="N2019" s="16" t="str">
        <f t="shared" si="1061"/>
        <v/>
      </c>
      <c r="O2019" s="16" t="str">
        <f>IF(N2019="","",COUNTIF($N$8:N2019,N2019))</f>
        <v/>
      </c>
      <c r="P2019" s="34" t="str">
        <f t="shared" si="1062"/>
        <v/>
      </c>
      <c r="Q2019" s="34" t="str">
        <f t="shared" si="1063"/>
        <v/>
      </c>
      <c r="R2019" s="34" t="str">
        <f t="shared" si="1064"/>
        <v/>
      </c>
      <c r="S2019" s="34" t="str">
        <f t="shared" si="1065"/>
        <v/>
      </c>
      <c r="T2019" s="34" t="str">
        <f t="shared" si="1066"/>
        <v/>
      </c>
      <c r="U2019" s="34" t="str">
        <f>IF(AND(L2019=1,bp_kode=T2019,T2019&lt;&gt;""),COUNTIF($T$8:T2019,T2019),"")</f>
        <v/>
      </c>
      <c r="V2019" s="34" t="str">
        <f t="shared" si="1067"/>
        <v/>
      </c>
      <c r="W2019" s="34" t="str">
        <f t="shared" si="1068"/>
        <v/>
      </c>
      <c r="X2019" s="34" t="str">
        <f>IF(B2019="","",COUNTIF($C$8:C2019,C2019)&amp;C2019)</f>
        <v/>
      </c>
    </row>
    <row r="2020" spans="2:24" ht="23.1" customHeight="1">
      <c r="B2020" s="31"/>
      <c r="C2020" s="9"/>
      <c r="D2020" s="9"/>
      <c r="E2020" s="7"/>
      <c r="F2020" s="7"/>
      <c r="G2020" s="7"/>
      <c r="H2020" s="7"/>
      <c r="I2020" s="7"/>
      <c r="J2020" s="39"/>
      <c r="L2020" s="16" t="str">
        <f t="shared" si="1059"/>
        <v/>
      </c>
      <c r="M2020" s="16" t="str">
        <f t="shared" si="1060"/>
        <v/>
      </c>
      <c r="N2020" s="16" t="str">
        <f t="shared" si="1061"/>
        <v/>
      </c>
      <c r="O2020" s="16" t="str">
        <f>IF(N2020="","",COUNTIF($N$8:N2020,N2020))</f>
        <v/>
      </c>
      <c r="P2020" s="34" t="str">
        <f t="shared" si="1062"/>
        <v/>
      </c>
      <c r="Q2020" s="34" t="str">
        <f t="shared" si="1063"/>
        <v/>
      </c>
      <c r="R2020" s="34" t="str">
        <f t="shared" si="1064"/>
        <v/>
      </c>
      <c r="S2020" s="34" t="str">
        <f t="shared" si="1065"/>
        <v/>
      </c>
      <c r="T2020" s="34" t="str">
        <f t="shared" si="1066"/>
        <v/>
      </c>
      <c r="U2020" s="34" t="str">
        <f>IF(AND(L2020=1,bp_kode=T2020,T2020&lt;&gt;""),COUNTIF($T$8:T2020,T2020),"")</f>
        <v/>
      </c>
      <c r="V2020" s="34" t="str">
        <f t="shared" si="1067"/>
        <v/>
      </c>
      <c r="W2020" s="34" t="str">
        <f t="shared" si="1068"/>
        <v/>
      </c>
      <c r="X2020" s="34" t="str">
        <f>IF(B2020="","",COUNTIF($C$8:C2020,C2020)&amp;C2020)</f>
        <v/>
      </c>
    </row>
    <row r="2021" spans="2:24" ht="23.1" customHeight="1">
      <c r="B2021" s="31"/>
      <c r="C2021" s="9"/>
      <c r="D2021" s="9"/>
      <c r="E2021" s="7"/>
      <c r="F2021" s="7"/>
      <c r="G2021" s="7"/>
      <c r="H2021" s="7"/>
      <c r="I2021" s="7"/>
      <c r="J2021" s="39"/>
      <c r="L2021" s="16" t="str">
        <f t="shared" si="1059"/>
        <v/>
      </c>
      <c r="M2021" s="16" t="str">
        <f t="shared" si="1060"/>
        <v/>
      </c>
      <c r="N2021" s="16" t="str">
        <f t="shared" si="1061"/>
        <v/>
      </c>
      <c r="O2021" s="16" t="str">
        <f>IF(N2021="","",COUNTIF($N$8:N2021,N2021))</f>
        <v/>
      </c>
      <c r="P2021" s="34" t="str">
        <f t="shared" si="1062"/>
        <v/>
      </c>
      <c r="Q2021" s="34" t="str">
        <f t="shared" si="1063"/>
        <v/>
      </c>
      <c r="R2021" s="34" t="str">
        <f t="shared" si="1064"/>
        <v/>
      </c>
      <c r="S2021" s="34" t="str">
        <f t="shared" si="1065"/>
        <v/>
      </c>
      <c r="T2021" s="34" t="str">
        <f t="shared" si="1066"/>
        <v/>
      </c>
      <c r="U2021" s="34" t="str">
        <f>IF(AND(L2021=1,bp_kode=T2021,T2021&lt;&gt;""),COUNTIF($T$8:T2021,T2021),"")</f>
        <v/>
      </c>
      <c r="V2021" s="34" t="str">
        <f t="shared" si="1067"/>
        <v/>
      </c>
      <c r="W2021" s="34" t="str">
        <f t="shared" si="1068"/>
        <v/>
      </c>
      <c r="X2021" s="34" t="str">
        <f>IF(B2021="","",COUNTIF($C$8:C2021,C2021)&amp;C2021)</f>
        <v/>
      </c>
    </row>
    <row r="2022" spans="2:24" ht="23.1" customHeight="1">
      <c r="B2022" s="31"/>
      <c r="C2022" s="9"/>
      <c r="D2022" s="9"/>
      <c r="E2022" s="7"/>
      <c r="F2022" s="7"/>
      <c r="G2022" s="7"/>
      <c r="H2022" s="7"/>
      <c r="I2022" s="7"/>
      <c r="J2022" s="39"/>
      <c r="L2022" s="16" t="str">
        <f t="shared" si="1059"/>
        <v/>
      </c>
      <c r="M2022" s="16" t="str">
        <f t="shared" si="1060"/>
        <v/>
      </c>
      <c r="N2022" s="16" t="str">
        <f t="shared" si="1061"/>
        <v/>
      </c>
      <c r="O2022" s="16" t="str">
        <f>IF(N2022="","",COUNTIF($N$8:N2022,N2022))</f>
        <v/>
      </c>
      <c r="P2022" s="34" t="str">
        <f t="shared" si="1062"/>
        <v/>
      </c>
      <c r="Q2022" s="34" t="str">
        <f t="shared" si="1063"/>
        <v/>
      </c>
      <c r="R2022" s="34" t="str">
        <f t="shared" si="1064"/>
        <v/>
      </c>
      <c r="S2022" s="34" t="str">
        <f t="shared" si="1065"/>
        <v/>
      </c>
      <c r="T2022" s="34" t="str">
        <f t="shared" si="1066"/>
        <v/>
      </c>
      <c r="U2022" s="34" t="str">
        <f>IF(AND(L2022=1,bp_kode=T2022,T2022&lt;&gt;""),COUNTIF($T$8:T2022,T2022),"")</f>
        <v/>
      </c>
      <c r="V2022" s="34" t="str">
        <f t="shared" si="1067"/>
        <v/>
      </c>
      <c r="W2022" s="34" t="str">
        <f t="shared" si="1068"/>
        <v/>
      </c>
      <c r="X2022" s="34" t="str">
        <f>IF(B2022="","",COUNTIF($C$8:C2022,C2022)&amp;C2022)</f>
        <v/>
      </c>
    </row>
    <row r="2023" spans="2:24" ht="23.1" customHeight="1">
      <c r="B2023" s="31"/>
      <c r="C2023" s="9"/>
      <c r="D2023" s="9"/>
      <c r="E2023" s="7"/>
      <c r="F2023" s="7"/>
      <c r="G2023" s="7"/>
      <c r="H2023" s="7"/>
      <c r="I2023" s="7"/>
      <c r="J2023" s="39"/>
      <c r="L2023" s="16" t="str">
        <f t="shared" si="1059"/>
        <v/>
      </c>
      <c r="M2023" s="16" t="str">
        <f t="shared" si="1060"/>
        <v/>
      </c>
      <c r="N2023" s="16" t="str">
        <f t="shared" si="1061"/>
        <v/>
      </c>
      <c r="O2023" s="16" t="str">
        <f>IF(N2023="","",COUNTIF($N$8:N2023,N2023))</f>
        <v/>
      </c>
      <c r="P2023" s="34" t="str">
        <f t="shared" si="1062"/>
        <v/>
      </c>
      <c r="Q2023" s="34" t="str">
        <f t="shared" si="1063"/>
        <v/>
      </c>
      <c r="R2023" s="34" t="str">
        <f t="shared" si="1064"/>
        <v/>
      </c>
      <c r="S2023" s="34" t="str">
        <f t="shared" si="1065"/>
        <v/>
      </c>
      <c r="T2023" s="34" t="str">
        <f t="shared" si="1066"/>
        <v/>
      </c>
      <c r="U2023" s="34" t="str">
        <f>IF(AND(L2023=1,bp_kode=T2023,T2023&lt;&gt;""),COUNTIF($T$8:T2023,T2023),"")</f>
        <v/>
      </c>
      <c r="V2023" s="34" t="str">
        <f t="shared" si="1067"/>
        <v/>
      </c>
      <c r="W2023" s="34" t="str">
        <f t="shared" si="1068"/>
        <v/>
      </c>
      <c r="X2023" s="34" t="str">
        <f>IF(B2023="","",COUNTIF($C$8:C2023,C2023)&amp;C2023)</f>
        <v/>
      </c>
    </row>
    <row r="2024" spans="2:24" ht="23.1" customHeight="1">
      <c r="B2024" s="31"/>
      <c r="C2024" s="9"/>
      <c r="D2024" s="9"/>
      <c r="E2024" s="7"/>
      <c r="F2024" s="7"/>
      <c r="G2024" s="7"/>
      <c r="H2024" s="7"/>
      <c r="I2024" s="7"/>
      <c r="J2024" s="39"/>
      <c r="L2024" s="16" t="str">
        <f t="shared" si="1059"/>
        <v/>
      </c>
      <c r="M2024" s="16" t="str">
        <f t="shared" si="1060"/>
        <v/>
      </c>
      <c r="N2024" s="16" t="str">
        <f t="shared" si="1061"/>
        <v/>
      </c>
      <c r="O2024" s="16" t="str">
        <f>IF(N2024="","",COUNTIF($N$8:N2024,N2024))</f>
        <v/>
      </c>
      <c r="P2024" s="34" t="str">
        <f t="shared" si="1062"/>
        <v/>
      </c>
      <c r="Q2024" s="34" t="str">
        <f t="shared" si="1063"/>
        <v/>
      </c>
      <c r="R2024" s="34" t="str">
        <f t="shared" si="1064"/>
        <v/>
      </c>
      <c r="S2024" s="34" t="str">
        <f t="shared" si="1065"/>
        <v/>
      </c>
      <c r="T2024" s="34" t="str">
        <f t="shared" si="1066"/>
        <v/>
      </c>
      <c r="U2024" s="34" t="str">
        <f>IF(AND(L2024=1,bp_kode=T2024,T2024&lt;&gt;""),COUNTIF($T$8:T2024,T2024),"")</f>
        <v/>
      </c>
      <c r="V2024" s="34" t="str">
        <f t="shared" si="1067"/>
        <v/>
      </c>
      <c r="W2024" s="34" t="str">
        <f t="shared" si="1068"/>
        <v/>
      </c>
      <c r="X2024" s="34" t="str">
        <f>IF(B2024="","",COUNTIF($C$8:C2024,C2024)&amp;C2024)</f>
        <v/>
      </c>
    </row>
    <row r="2025" spans="2:24" ht="23.1" customHeight="1">
      <c r="B2025" s="31"/>
      <c r="C2025" s="9"/>
      <c r="D2025" s="9"/>
      <c r="E2025" s="7"/>
      <c r="F2025" s="7"/>
      <c r="G2025" s="7"/>
      <c r="H2025" s="7"/>
      <c r="I2025" s="7"/>
      <c r="J2025" s="39"/>
      <c r="L2025" s="16" t="str">
        <f t="shared" si="1059"/>
        <v/>
      </c>
      <c r="M2025" s="16" t="str">
        <f t="shared" si="1060"/>
        <v/>
      </c>
      <c r="N2025" s="16" t="str">
        <f t="shared" si="1061"/>
        <v/>
      </c>
      <c r="O2025" s="16" t="str">
        <f>IF(N2025="","",COUNTIF($N$8:N2025,N2025))</f>
        <v/>
      </c>
      <c r="P2025" s="34" t="str">
        <f t="shared" si="1062"/>
        <v/>
      </c>
      <c r="Q2025" s="34" t="str">
        <f t="shared" si="1063"/>
        <v/>
      </c>
      <c r="R2025" s="34" t="str">
        <f t="shared" si="1064"/>
        <v/>
      </c>
      <c r="S2025" s="34" t="str">
        <f t="shared" si="1065"/>
        <v/>
      </c>
      <c r="T2025" s="34" t="str">
        <f t="shared" si="1066"/>
        <v/>
      </c>
      <c r="U2025" s="34" t="str">
        <f>IF(AND(L2025=1,bp_kode=T2025,T2025&lt;&gt;""),COUNTIF($T$8:T2025,T2025),"")</f>
        <v/>
      </c>
      <c r="V2025" s="34" t="str">
        <f t="shared" si="1067"/>
        <v/>
      </c>
      <c r="W2025" s="34" t="str">
        <f t="shared" si="1068"/>
        <v/>
      </c>
      <c r="X2025" s="34" t="str">
        <f>IF(B2025="","",COUNTIF($C$8:C2025,C2025)&amp;C2025)</f>
        <v/>
      </c>
    </row>
    <row r="2026" spans="2:24" ht="23.1" customHeight="1">
      <c r="B2026" s="31"/>
      <c r="C2026" s="9"/>
      <c r="D2026" s="9"/>
      <c r="E2026" s="7"/>
      <c r="F2026" s="7"/>
      <c r="G2026" s="7"/>
      <c r="H2026" s="7"/>
      <c r="I2026" s="7"/>
      <c r="J2026" s="39"/>
      <c r="L2026" s="16" t="str">
        <f t="shared" si="1059"/>
        <v/>
      </c>
      <c r="M2026" s="16" t="str">
        <f t="shared" si="1060"/>
        <v/>
      </c>
      <c r="N2026" s="16" t="str">
        <f t="shared" si="1061"/>
        <v/>
      </c>
      <c r="O2026" s="16" t="str">
        <f>IF(N2026="","",COUNTIF($N$8:N2026,N2026))</f>
        <v/>
      </c>
      <c r="P2026" s="34" t="str">
        <f t="shared" si="1062"/>
        <v/>
      </c>
      <c r="Q2026" s="34" t="str">
        <f t="shared" si="1063"/>
        <v/>
      </c>
      <c r="R2026" s="34" t="str">
        <f t="shared" si="1064"/>
        <v/>
      </c>
      <c r="S2026" s="34" t="str">
        <f t="shared" si="1065"/>
        <v/>
      </c>
      <c r="T2026" s="34" t="str">
        <f t="shared" si="1066"/>
        <v/>
      </c>
      <c r="U2026" s="34" t="str">
        <f>IF(AND(L2026=1,bp_kode=T2026,T2026&lt;&gt;""),COUNTIF($T$8:T2026,T2026),"")</f>
        <v/>
      </c>
      <c r="V2026" s="34" t="str">
        <f t="shared" si="1067"/>
        <v/>
      </c>
      <c r="W2026" s="34" t="str">
        <f t="shared" si="1068"/>
        <v/>
      </c>
      <c r="X2026" s="34" t="str">
        <f>IF(B2026="","",COUNTIF($C$8:C2026,C2026)&amp;C2026)</f>
        <v/>
      </c>
    </row>
    <row r="2027" spans="2:24" ht="23.1" customHeight="1">
      <c r="B2027" s="31"/>
      <c r="C2027" s="9"/>
      <c r="D2027" s="9"/>
      <c r="E2027" s="7"/>
      <c r="F2027" s="7"/>
      <c r="G2027" s="7"/>
      <c r="H2027" s="7"/>
      <c r="I2027" s="7"/>
      <c r="J2027" s="39"/>
      <c r="L2027" s="16" t="str">
        <f t="shared" si="1059"/>
        <v/>
      </c>
      <c r="M2027" s="16" t="str">
        <f t="shared" si="1060"/>
        <v/>
      </c>
      <c r="N2027" s="16" t="str">
        <f t="shared" si="1061"/>
        <v/>
      </c>
      <c r="O2027" s="16" t="str">
        <f>IF(N2027="","",COUNTIF($N$8:N2027,N2027))</f>
        <v/>
      </c>
      <c r="P2027" s="34" t="str">
        <f t="shared" si="1062"/>
        <v/>
      </c>
      <c r="Q2027" s="34" t="str">
        <f t="shared" si="1063"/>
        <v/>
      </c>
      <c r="R2027" s="34" t="str">
        <f t="shared" si="1064"/>
        <v/>
      </c>
      <c r="S2027" s="34" t="str">
        <f t="shared" si="1065"/>
        <v/>
      </c>
      <c r="T2027" s="34" t="str">
        <f t="shared" si="1066"/>
        <v/>
      </c>
      <c r="U2027" s="34" t="str">
        <f>IF(AND(L2027=1,bp_kode=T2027,T2027&lt;&gt;""),COUNTIF($T$8:T2027,T2027),"")</f>
        <v/>
      </c>
      <c r="V2027" s="34" t="str">
        <f t="shared" si="1067"/>
        <v/>
      </c>
      <c r="W2027" s="34" t="str">
        <f t="shared" si="1068"/>
        <v/>
      </c>
      <c r="X2027" s="34" t="str">
        <f>IF(B2027="","",COUNTIF($C$8:C2027,C2027)&amp;C2027)</f>
        <v/>
      </c>
    </row>
    <row r="2028" spans="2:24" ht="23.1" customHeight="1">
      <c r="B2028" s="31"/>
      <c r="C2028" s="9"/>
      <c r="D2028" s="9"/>
      <c r="E2028" s="7"/>
      <c r="F2028" s="7"/>
      <c r="G2028" s="7"/>
      <c r="H2028" s="7"/>
      <c r="I2028" s="7"/>
      <c r="J2028" s="39"/>
      <c r="L2028" s="16" t="str">
        <f t="shared" si="1059"/>
        <v/>
      </c>
      <c r="M2028" s="16" t="str">
        <f t="shared" si="1060"/>
        <v/>
      </c>
      <c r="N2028" s="16" t="str">
        <f t="shared" si="1061"/>
        <v/>
      </c>
      <c r="O2028" s="16" t="str">
        <f>IF(N2028="","",COUNTIF($N$8:N2028,N2028))</f>
        <v/>
      </c>
      <c r="P2028" s="34" t="str">
        <f t="shared" si="1062"/>
        <v/>
      </c>
      <c r="Q2028" s="34" t="str">
        <f t="shared" si="1063"/>
        <v/>
      </c>
      <c r="R2028" s="34" t="str">
        <f t="shared" si="1064"/>
        <v/>
      </c>
      <c r="S2028" s="34" t="str">
        <f t="shared" si="1065"/>
        <v/>
      </c>
      <c r="T2028" s="34" t="str">
        <f t="shared" si="1066"/>
        <v/>
      </c>
      <c r="U2028" s="34" t="str">
        <f>IF(AND(L2028=1,bp_kode=T2028,T2028&lt;&gt;""),COUNTIF($T$8:T2028,T2028),"")</f>
        <v/>
      </c>
      <c r="V2028" s="34" t="str">
        <f t="shared" si="1067"/>
        <v/>
      </c>
      <c r="W2028" s="34" t="str">
        <f t="shared" si="1068"/>
        <v/>
      </c>
      <c r="X2028" s="34" t="str">
        <f>IF(B2028="","",COUNTIF($C$8:C2028,C2028)&amp;C2028)</f>
        <v/>
      </c>
    </row>
    <row r="2029" spans="2:24" ht="23.1" customHeight="1">
      <c r="B2029" s="31"/>
      <c r="C2029" s="9"/>
      <c r="D2029" s="9"/>
      <c r="E2029" s="7"/>
      <c r="F2029" s="7"/>
      <c r="G2029" s="7"/>
      <c r="H2029" s="7"/>
      <c r="I2029" s="7"/>
      <c r="J2029" s="39"/>
      <c r="L2029" s="16" t="str">
        <f t="shared" si="1059"/>
        <v/>
      </c>
      <c r="M2029" s="16" t="str">
        <f t="shared" si="1060"/>
        <v/>
      </c>
      <c r="N2029" s="16" t="str">
        <f t="shared" si="1061"/>
        <v/>
      </c>
      <c r="O2029" s="16" t="str">
        <f>IF(N2029="","",COUNTIF($N$8:N2029,N2029))</f>
        <v/>
      </c>
      <c r="P2029" s="34" t="str">
        <f t="shared" si="1062"/>
        <v/>
      </c>
      <c r="Q2029" s="34" t="str">
        <f t="shared" si="1063"/>
        <v/>
      </c>
      <c r="R2029" s="34" t="str">
        <f t="shared" si="1064"/>
        <v/>
      </c>
      <c r="S2029" s="34" t="str">
        <f t="shared" si="1065"/>
        <v/>
      </c>
      <c r="T2029" s="34" t="str">
        <f t="shared" si="1066"/>
        <v/>
      </c>
      <c r="U2029" s="34" t="str">
        <f>IF(AND(L2029=1,bp_kode=T2029,T2029&lt;&gt;""),COUNTIF($T$8:T2029,T2029),"")</f>
        <v/>
      </c>
      <c r="V2029" s="34" t="str">
        <f t="shared" si="1067"/>
        <v/>
      </c>
      <c r="W2029" s="34" t="str">
        <f t="shared" si="1068"/>
        <v/>
      </c>
      <c r="X2029" s="34" t="str">
        <f>IF(B2029="","",COUNTIF($C$8:C2029,C2029)&amp;C2029)</f>
        <v/>
      </c>
    </row>
    <row r="2030" spans="2:24" ht="23.1" customHeight="1">
      <c r="B2030" s="31"/>
      <c r="C2030" s="9"/>
      <c r="D2030" s="9"/>
      <c r="E2030" s="7"/>
      <c r="F2030" s="7"/>
      <c r="G2030" s="7"/>
      <c r="H2030" s="7"/>
      <c r="I2030" s="7"/>
      <c r="J2030" s="39"/>
      <c r="L2030" s="16" t="str">
        <f t="shared" si="1059"/>
        <v/>
      </c>
      <c r="M2030" s="16" t="str">
        <f t="shared" si="1060"/>
        <v/>
      </c>
      <c r="N2030" s="16" t="str">
        <f t="shared" si="1061"/>
        <v/>
      </c>
      <c r="O2030" s="16" t="str">
        <f>IF(N2030="","",COUNTIF($N$8:N2030,N2030))</f>
        <v/>
      </c>
      <c r="P2030" s="34" t="str">
        <f t="shared" si="1062"/>
        <v/>
      </c>
      <c r="Q2030" s="34" t="str">
        <f t="shared" si="1063"/>
        <v/>
      </c>
      <c r="R2030" s="34" t="str">
        <f t="shared" si="1064"/>
        <v/>
      </c>
      <c r="S2030" s="34" t="str">
        <f t="shared" si="1065"/>
        <v/>
      </c>
      <c r="T2030" s="34" t="str">
        <f t="shared" si="1066"/>
        <v/>
      </c>
      <c r="U2030" s="34" t="str">
        <f>IF(AND(L2030=1,bp_kode=T2030,T2030&lt;&gt;""),COUNTIF($T$8:T2030,T2030),"")</f>
        <v/>
      </c>
      <c r="V2030" s="34" t="str">
        <f t="shared" si="1067"/>
        <v/>
      </c>
      <c r="W2030" s="34" t="str">
        <f t="shared" si="1068"/>
        <v/>
      </c>
      <c r="X2030" s="34" t="str">
        <f>IF(B2030="","",COUNTIF($C$8:C2030,C2030)&amp;C2030)</f>
        <v/>
      </c>
    </row>
    <row r="2031" spans="2:24" ht="23.1" customHeight="1">
      <c r="B2031" s="31"/>
      <c r="C2031" s="9"/>
      <c r="D2031" s="9"/>
      <c r="E2031" s="7"/>
      <c r="F2031" s="7"/>
      <c r="G2031" s="7"/>
      <c r="H2031" s="7"/>
      <c r="I2031" s="7"/>
      <c r="J2031" s="39"/>
      <c r="L2031" s="16" t="str">
        <f t="shared" si="1059"/>
        <v/>
      </c>
      <c r="M2031" s="16" t="str">
        <f t="shared" si="1060"/>
        <v/>
      </c>
      <c r="N2031" s="16" t="str">
        <f t="shared" si="1061"/>
        <v/>
      </c>
      <c r="O2031" s="16" t="str">
        <f>IF(N2031="","",COUNTIF($N$8:N2031,N2031))</f>
        <v/>
      </c>
      <c r="P2031" s="34" t="str">
        <f t="shared" si="1062"/>
        <v/>
      </c>
      <c r="Q2031" s="34" t="str">
        <f t="shared" si="1063"/>
        <v/>
      </c>
      <c r="R2031" s="34" t="str">
        <f t="shared" si="1064"/>
        <v/>
      </c>
      <c r="S2031" s="34" t="str">
        <f t="shared" si="1065"/>
        <v/>
      </c>
      <c r="T2031" s="34" t="str">
        <f t="shared" si="1066"/>
        <v/>
      </c>
      <c r="U2031" s="34" t="str">
        <f>IF(AND(L2031=1,bp_kode=T2031,T2031&lt;&gt;""),COUNTIF($T$8:T2031,T2031),"")</f>
        <v/>
      </c>
      <c r="V2031" s="34" t="str">
        <f t="shared" si="1067"/>
        <v/>
      </c>
      <c r="W2031" s="34" t="str">
        <f t="shared" si="1068"/>
        <v/>
      </c>
      <c r="X2031" s="34" t="str">
        <f>IF(B2031="","",COUNTIF($C$8:C2031,C2031)&amp;C2031)</f>
        <v/>
      </c>
    </row>
    <row r="2032" spans="2:24" ht="23.1" customHeight="1">
      <c r="B2032" s="31"/>
      <c r="C2032" s="9"/>
      <c r="D2032" s="9"/>
      <c r="E2032" s="7"/>
      <c r="F2032" s="7"/>
      <c r="G2032" s="7"/>
      <c r="H2032" s="7"/>
      <c r="I2032" s="7"/>
      <c r="J2032" s="39"/>
      <c r="L2032" s="16" t="str">
        <f t="shared" si="1059"/>
        <v/>
      </c>
      <c r="M2032" s="16" t="str">
        <f t="shared" si="1060"/>
        <v/>
      </c>
      <c r="N2032" s="16" t="str">
        <f t="shared" si="1061"/>
        <v/>
      </c>
      <c r="O2032" s="16" t="str">
        <f>IF(N2032="","",COUNTIF($N$8:N2032,N2032))</f>
        <v/>
      </c>
      <c r="P2032" s="34" t="str">
        <f t="shared" si="1062"/>
        <v/>
      </c>
      <c r="Q2032" s="34" t="str">
        <f t="shared" si="1063"/>
        <v/>
      </c>
      <c r="R2032" s="34" t="str">
        <f t="shared" si="1064"/>
        <v/>
      </c>
      <c r="S2032" s="34" t="str">
        <f t="shared" si="1065"/>
        <v/>
      </c>
      <c r="T2032" s="34" t="str">
        <f t="shared" si="1066"/>
        <v/>
      </c>
      <c r="U2032" s="34" t="str">
        <f>IF(AND(L2032=1,bp_kode=T2032,T2032&lt;&gt;""),COUNTIF($T$8:T2032,T2032),"")</f>
        <v/>
      </c>
      <c r="V2032" s="34" t="str">
        <f t="shared" si="1067"/>
        <v/>
      </c>
      <c r="W2032" s="34" t="str">
        <f t="shared" si="1068"/>
        <v/>
      </c>
      <c r="X2032" s="34" t="str">
        <f>IF(B2032="","",COUNTIF($C$8:C2032,C2032)&amp;C2032)</f>
        <v/>
      </c>
    </row>
    <row r="2033" spans="2:24" ht="23.1" customHeight="1">
      <c r="B2033" s="31"/>
      <c r="C2033" s="9"/>
      <c r="D2033" s="9"/>
      <c r="E2033" s="7"/>
      <c r="F2033" s="7"/>
      <c r="G2033" s="7"/>
      <c r="H2033" s="7"/>
      <c r="I2033" s="7"/>
      <c r="J2033" s="39"/>
      <c r="L2033" s="16" t="str">
        <f t="shared" si="1059"/>
        <v/>
      </c>
      <c r="M2033" s="16" t="str">
        <f t="shared" si="1060"/>
        <v/>
      </c>
      <c r="N2033" s="16" t="str">
        <f t="shared" si="1061"/>
        <v/>
      </c>
      <c r="O2033" s="16" t="str">
        <f>IF(N2033="","",COUNTIF($N$8:N2033,N2033))</f>
        <v/>
      </c>
      <c r="P2033" s="34" t="str">
        <f t="shared" si="1062"/>
        <v/>
      </c>
      <c r="Q2033" s="34" t="str">
        <f t="shared" si="1063"/>
        <v/>
      </c>
      <c r="R2033" s="34" t="str">
        <f t="shared" si="1064"/>
        <v/>
      </c>
      <c r="S2033" s="34" t="str">
        <f t="shared" si="1065"/>
        <v/>
      </c>
      <c r="T2033" s="34" t="str">
        <f t="shared" si="1066"/>
        <v/>
      </c>
      <c r="U2033" s="34" t="str">
        <f>IF(AND(L2033=1,bp_kode=T2033,T2033&lt;&gt;""),COUNTIF($T$8:T2033,T2033),"")</f>
        <v/>
      </c>
      <c r="V2033" s="34" t="str">
        <f t="shared" si="1067"/>
        <v/>
      </c>
      <c r="W2033" s="34" t="str">
        <f t="shared" si="1068"/>
        <v/>
      </c>
      <c r="X2033" s="34" t="str">
        <f>IF(B2033="","",COUNTIF($C$8:C2033,C2033)&amp;C2033)</f>
        <v/>
      </c>
    </row>
    <row r="2034" spans="2:24" ht="23.1" customHeight="1">
      <c r="B2034" s="31"/>
      <c r="C2034" s="9"/>
      <c r="D2034" s="9"/>
      <c r="E2034" s="7"/>
      <c r="F2034" s="7"/>
      <c r="G2034" s="7"/>
      <c r="H2034" s="7"/>
      <c r="I2034" s="7"/>
      <c r="J2034" s="39"/>
      <c r="L2034" s="16" t="str">
        <f t="shared" si="1059"/>
        <v/>
      </c>
      <c r="M2034" s="16" t="str">
        <f t="shared" si="1060"/>
        <v/>
      </c>
      <c r="N2034" s="16" t="str">
        <f t="shared" si="1061"/>
        <v/>
      </c>
      <c r="O2034" s="16" t="str">
        <f>IF(N2034="","",COUNTIF($N$8:N2034,N2034))</f>
        <v/>
      </c>
      <c r="P2034" s="34" t="str">
        <f t="shared" si="1062"/>
        <v/>
      </c>
      <c r="Q2034" s="34" t="str">
        <f t="shared" si="1063"/>
        <v/>
      </c>
      <c r="R2034" s="34" t="str">
        <f t="shared" si="1064"/>
        <v/>
      </c>
      <c r="S2034" s="34" t="str">
        <f t="shared" si="1065"/>
        <v/>
      </c>
      <c r="T2034" s="34" t="str">
        <f t="shared" si="1066"/>
        <v/>
      </c>
      <c r="U2034" s="34" t="str">
        <f>IF(AND(L2034=1,bp_kode=T2034,T2034&lt;&gt;""),COUNTIF($T$8:T2034,T2034),"")</f>
        <v/>
      </c>
      <c r="V2034" s="34" t="str">
        <f t="shared" si="1067"/>
        <v/>
      </c>
      <c r="W2034" s="34" t="str">
        <f t="shared" si="1068"/>
        <v/>
      </c>
      <c r="X2034" s="34" t="str">
        <f>IF(B2034="","",COUNTIF($C$8:C2034,C2034)&amp;C2034)</f>
        <v/>
      </c>
    </row>
    <row r="2035" spans="2:24" ht="23.1" customHeight="1">
      <c r="B2035" s="31"/>
      <c r="C2035" s="9"/>
      <c r="D2035" s="9"/>
      <c r="E2035" s="7"/>
      <c r="F2035" s="7"/>
      <c r="G2035" s="7"/>
      <c r="H2035" s="7"/>
      <c r="I2035" s="7"/>
      <c r="J2035" s="39"/>
      <c r="L2035" s="16" t="str">
        <f t="shared" si="1059"/>
        <v/>
      </c>
      <c r="M2035" s="16" t="str">
        <f t="shared" si="1060"/>
        <v/>
      </c>
      <c r="N2035" s="16" t="str">
        <f t="shared" si="1061"/>
        <v/>
      </c>
      <c r="O2035" s="16" t="str">
        <f>IF(N2035="","",COUNTIF($N$8:N2035,N2035))</f>
        <v/>
      </c>
      <c r="P2035" s="34" t="str">
        <f t="shared" si="1062"/>
        <v/>
      </c>
      <c r="Q2035" s="34" t="str">
        <f t="shared" si="1063"/>
        <v/>
      </c>
      <c r="R2035" s="34" t="str">
        <f t="shared" si="1064"/>
        <v/>
      </c>
      <c r="S2035" s="34" t="str">
        <f t="shared" si="1065"/>
        <v/>
      </c>
      <c r="T2035" s="34" t="str">
        <f t="shared" si="1066"/>
        <v/>
      </c>
      <c r="U2035" s="34" t="str">
        <f>IF(AND(L2035=1,bp_kode=T2035,T2035&lt;&gt;""),COUNTIF($T$8:T2035,T2035),"")</f>
        <v/>
      </c>
      <c r="V2035" s="34" t="str">
        <f t="shared" si="1067"/>
        <v/>
      </c>
      <c r="W2035" s="34" t="str">
        <f t="shared" si="1068"/>
        <v/>
      </c>
      <c r="X2035" s="34" t="str">
        <f>IF(B2035="","",COUNTIF($C$8:C2035,C2035)&amp;C2035)</f>
        <v/>
      </c>
    </row>
    <row r="2036" spans="2:24" ht="23.1" customHeight="1">
      <c r="B2036" s="31"/>
      <c r="C2036" s="9"/>
      <c r="D2036" s="9"/>
      <c r="E2036" s="7"/>
      <c r="F2036" s="7"/>
      <c r="G2036" s="7"/>
      <c r="H2036" s="7"/>
      <c r="I2036" s="7"/>
      <c r="J2036" s="39"/>
      <c r="L2036" s="16" t="str">
        <f t="shared" si="1059"/>
        <v/>
      </c>
      <c r="M2036" s="16" t="str">
        <f t="shared" si="1060"/>
        <v/>
      </c>
      <c r="N2036" s="16" t="str">
        <f t="shared" si="1061"/>
        <v/>
      </c>
      <c r="O2036" s="16" t="str">
        <f>IF(N2036="","",COUNTIF($N$8:N2036,N2036))</f>
        <v/>
      </c>
      <c r="P2036" s="34" t="str">
        <f t="shared" si="1062"/>
        <v/>
      </c>
      <c r="Q2036" s="34" t="str">
        <f t="shared" si="1063"/>
        <v/>
      </c>
      <c r="R2036" s="34" t="str">
        <f t="shared" si="1064"/>
        <v/>
      </c>
      <c r="S2036" s="34" t="str">
        <f t="shared" si="1065"/>
        <v/>
      </c>
      <c r="T2036" s="34" t="str">
        <f t="shared" si="1066"/>
        <v/>
      </c>
      <c r="U2036" s="34" t="str">
        <f>IF(AND(L2036=1,bp_kode=T2036,T2036&lt;&gt;""),COUNTIF($T$8:T2036,T2036),"")</f>
        <v/>
      </c>
      <c r="V2036" s="34" t="str">
        <f t="shared" si="1067"/>
        <v/>
      </c>
      <c r="W2036" s="34" t="str">
        <f t="shared" si="1068"/>
        <v/>
      </c>
      <c r="X2036" s="34" t="str">
        <f>IF(B2036="","",COUNTIF($C$8:C2036,C2036)&amp;C2036)</f>
        <v/>
      </c>
    </row>
    <row r="2037" spans="2:24" ht="23.1" customHeight="1">
      <c r="B2037" s="31"/>
      <c r="C2037" s="9"/>
      <c r="D2037" s="9"/>
      <c r="E2037" s="7"/>
      <c r="F2037" s="7"/>
      <c r="G2037" s="7"/>
      <c r="H2037" s="7"/>
      <c r="I2037" s="7"/>
      <c r="J2037" s="39"/>
      <c r="L2037" s="16" t="str">
        <f t="shared" si="1059"/>
        <v/>
      </c>
      <c r="M2037" s="16" t="str">
        <f t="shared" si="1060"/>
        <v/>
      </c>
      <c r="N2037" s="16" t="str">
        <f t="shared" si="1061"/>
        <v/>
      </c>
      <c r="O2037" s="16" t="str">
        <f>IF(N2037="","",COUNTIF($N$8:N2037,N2037))</f>
        <v/>
      </c>
      <c r="P2037" s="34" t="str">
        <f t="shared" si="1062"/>
        <v/>
      </c>
      <c r="Q2037" s="34" t="str">
        <f t="shared" si="1063"/>
        <v/>
      </c>
      <c r="R2037" s="34" t="str">
        <f t="shared" si="1064"/>
        <v/>
      </c>
      <c r="S2037" s="34" t="str">
        <f t="shared" si="1065"/>
        <v/>
      </c>
      <c r="T2037" s="34" t="str">
        <f t="shared" si="1066"/>
        <v/>
      </c>
      <c r="U2037" s="34" t="str">
        <f>IF(AND(L2037=1,bp_kode=T2037,T2037&lt;&gt;""),COUNTIF($T$8:T2037,T2037),"")</f>
        <v/>
      </c>
      <c r="V2037" s="34" t="str">
        <f t="shared" si="1067"/>
        <v/>
      </c>
      <c r="W2037" s="34" t="str">
        <f t="shared" si="1068"/>
        <v/>
      </c>
      <c r="X2037" s="34" t="str">
        <f>IF(B2037="","",COUNTIF($C$8:C2037,C2037)&amp;C2037)</f>
        <v/>
      </c>
    </row>
    <row r="2038" spans="2:24" ht="23.1" customHeight="1">
      <c r="B2038" s="31"/>
      <c r="C2038" s="9"/>
      <c r="D2038" s="9"/>
      <c r="E2038" s="7"/>
      <c r="F2038" s="7"/>
      <c r="G2038" s="7"/>
      <c r="H2038" s="7"/>
      <c r="I2038" s="7"/>
      <c r="J2038" s="39"/>
      <c r="L2038" s="16" t="str">
        <f t="shared" si="1059"/>
        <v/>
      </c>
      <c r="M2038" s="16" t="str">
        <f t="shared" si="1060"/>
        <v/>
      </c>
      <c r="N2038" s="16" t="str">
        <f t="shared" si="1061"/>
        <v/>
      </c>
      <c r="O2038" s="16" t="str">
        <f>IF(N2038="","",COUNTIF($N$8:N2038,N2038))</f>
        <v/>
      </c>
      <c r="P2038" s="34" t="str">
        <f t="shared" si="1062"/>
        <v/>
      </c>
      <c r="Q2038" s="34" t="str">
        <f t="shared" si="1063"/>
        <v/>
      </c>
      <c r="R2038" s="34" t="str">
        <f t="shared" si="1064"/>
        <v/>
      </c>
      <c r="S2038" s="34" t="str">
        <f t="shared" si="1065"/>
        <v/>
      </c>
      <c r="T2038" s="34" t="str">
        <f t="shared" si="1066"/>
        <v/>
      </c>
      <c r="U2038" s="34" t="str">
        <f>IF(AND(L2038=1,bp_kode=T2038,T2038&lt;&gt;""),COUNTIF($T$8:T2038,T2038),"")</f>
        <v/>
      </c>
      <c r="V2038" s="34" t="str">
        <f t="shared" si="1067"/>
        <v/>
      </c>
      <c r="W2038" s="34" t="str">
        <f t="shared" si="1068"/>
        <v/>
      </c>
      <c r="X2038" s="34" t="str">
        <f>IF(B2038="","",COUNTIF($C$8:C2038,C2038)&amp;C2038)</f>
        <v/>
      </c>
    </row>
    <row r="2039" spans="2:24" ht="23.1" customHeight="1">
      <c r="B2039" s="31"/>
      <c r="C2039" s="9"/>
      <c r="D2039" s="9"/>
      <c r="E2039" s="7"/>
      <c r="F2039" s="7"/>
      <c r="G2039" s="7"/>
      <c r="H2039" s="7"/>
      <c r="I2039" s="7"/>
      <c r="J2039" s="39"/>
      <c r="L2039" s="16" t="str">
        <f t="shared" si="1059"/>
        <v/>
      </c>
      <c r="M2039" s="16" t="str">
        <f t="shared" si="1060"/>
        <v/>
      </c>
      <c r="N2039" s="16" t="str">
        <f t="shared" si="1061"/>
        <v/>
      </c>
      <c r="O2039" s="16" t="str">
        <f>IF(N2039="","",COUNTIF($N$8:N2039,N2039))</f>
        <v/>
      </c>
      <c r="P2039" s="34" t="str">
        <f t="shared" si="1062"/>
        <v/>
      </c>
      <c r="Q2039" s="34" t="str">
        <f t="shared" si="1063"/>
        <v/>
      </c>
      <c r="R2039" s="34" t="str">
        <f t="shared" si="1064"/>
        <v/>
      </c>
      <c r="S2039" s="34" t="str">
        <f t="shared" si="1065"/>
        <v/>
      </c>
      <c r="T2039" s="34" t="str">
        <f t="shared" si="1066"/>
        <v/>
      </c>
      <c r="U2039" s="34" t="str">
        <f>IF(AND(L2039=1,bp_kode=T2039,T2039&lt;&gt;""),COUNTIF($T$8:T2039,T2039),"")</f>
        <v/>
      </c>
      <c r="V2039" s="34" t="str">
        <f t="shared" si="1067"/>
        <v/>
      </c>
      <c r="W2039" s="34" t="str">
        <f t="shared" si="1068"/>
        <v/>
      </c>
      <c r="X2039" s="34" t="str">
        <f>IF(B2039="","",COUNTIF($C$8:C2039,C2039)&amp;C2039)</f>
        <v/>
      </c>
    </row>
    <row r="2040" spans="2:24" ht="23.1" customHeight="1">
      <c r="B2040" s="31"/>
      <c r="C2040" s="9"/>
      <c r="D2040" s="9"/>
      <c r="E2040" s="7"/>
      <c r="F2040" s="7"/>
      <c r="G2040" s="7"/>
      <c r="H2040" s="7"/>
      <c r="I2040" s="7"/>
      <c r="J2040" s="39"/>
      <c r="L2040" s="16" t="str">
        <f t="shared" si="1059"/>
        <v/>
      </c>
      <c r="M2040" s="16" t="str">
        <f t="shared" si="1060"/>
        <v/>
      </c>
      <c r="N2040" s="16" t="str">
        <f t="shared" si="1061"/>
        <v/>
      </c>
      <c r="O2040" s="16" t="str">
        <f>IF(N2040="","",COUNTIF($N$8:N2040,N2040))</f>
        <v/>
      </c>
      <c r="P2040" s="34" t="str">
        <f t="shared" si="1062"/>
        <v/>
      </c>
      <c r="Q2040" s="34" t="str">
        <f t="shared" si="1063"/>
        <v/>
      </c>
      <c r="R2040" s="34" t="str">
        <f t="shared" si="1064"/>
        <v/>
      </c>
      <c r="S2040" s="34" t="str">
        <f t="shared" si="1065"/>
        <v/>
      </c>
      <c r="T2040" s="34" t="str">
        <f t="shared" si="1066"/>
        <v/>
      </c>
      <c r="U2040" s="34" t="str">
        <f>IF(AND(L2040=1,bp_kode=T2040,T2040&lt;&gt;""),COUNTIF($T$8:T2040,T2040),"")</f>
        <v/>
      </c>
      <c r="V2040" s="34" t="str">
        <f t="shared" si="1067"/>
        <v/>
      </c>
      <c r="W2040" s="34" t="str">
        <f t="shared" si="1068"/>
        <v/>
      </c>
      <c r="X2040" s="34" t="str">
        <f>IF(B2040="","",COUNTIF($C$8:C2040,C2040)&amp;C2040)</f>
        <v/>
      </c>
    </row>
    <row r="2041" spans="2:24" ht="23.1" customHeight="1">
      <c r="B2041" s="31"/>
      <c r="C2041" s="9"/>
      <c r="D2041" s="9"/>
      <c r="E2041" s="7"/>
      <c r="F2041" s="7"/>
      <c r="G2041" s="7"/>
      <c r="H2041" s="7"/>
      <c r="I2041" s="7"/>
      <c r="J2041" s="39"/>
      <c r="L2041" s="16" t="str">
        <f t="shared" si="1059"/>
        <v/>
      </c>
      <c r="M2041" s="16" t="str">
        <f t="shared" si="1060"/>
        <v/>
      </c>
      <c r="N2041" s="16" t="str">
        <f t="shared" si="1061"/>
        <v/>
      </c>
      <c r="O2041" s="16" t="str">
        <f>IF(N2041="","",COUNTIF($N$8:N2041,N2041))</f>
        <v/>
      </c>
      <c r="P2041" s="34" t="str">
        <f t="shared" si="1062"/>
        <v/>
      </c>
      <c r="Q2041" s="34" t="str">
        <f t="shared" si="1063"/>
        <v/>
      </c>
      <c r="R2041" s="34" t="str">
        <f t="shared" si="1064"/>
        <v/>
      </c>
      <c r="S2041" s="34" t="str">
        <f t="shared" si="1065"/>
        <v/>
      </c>
      <c r="T2041" s="34" t="str">
        <f t="shared" si="1066"/>
        <v/>
      </c>
      <c r="U2041" s="34" t="str">
        <f>IF(AND(L2041=1,bp_kode=T2041,T2041&lt;&gt;""),COUNTIF($T$8:T2041,T2041),"")</f>
        <v/>
      </c>
      <c r="V2041" s="34" t="str">
        <f t="shared" si="1067"/>
        <v/>
      </c>
      <c r="W2041" s="34" t="str">
        <f t="shared" si="1068"/>
        <v/>
      </c>
      <c r="X2041" s="34" t="str">
        <f>IF(B2041="","",COUNTIF($C$8:C2041,C2041)&amp;C2041)</f>
        <v/>
      </c>
    </row>
    <row r="2042" spans="2:24" ht="23.1" customHeight="1">
      <c r="B2042" s="31"/>
      <c r="C2042" s="9"/>
      <c r="D2042" s="9"/>
      <c r="E2042" s="7"/>
      <c r="F2042" s="7"/>
      <c r="G2042" s="7"/>
      <c r="H2042" s="7"/>
      <c r="I2042" s="7"/>
      <c r="J2042" s="39"/>
      <c r="L2042" s="16" t="str">
        <f t="shared" si="1059"/>
        <v/>
      </c>
      <c r="M2042" s="16" t="str">
        <f t="shared" si="1060"/>
        <v/>
      </c>
      <c r="N2042" s="16" t="str">
        <f t="shared" si="1061"/>
        <v/>
      </c>
      <c r="O2042" s="16" t="str">
        <f>IF(N2042="","",COUNTIF($N$8:N2042,N2042))</f>
        <v/>
      </c>
      <c r="P2042" s="34" t="str">
        <f t="shared" si="1062"/>
        <v/>
      </c>
      <c r="Q2042" s="34" t="str">
        <f t="shared" si="1063"/>
        <v/>
      </c>
      <c r="R2042" s="34" t="str">
        <f t="shared" si="1064"/>
        <v/>
      </c>
      <c r="S2042" s="34" t="str">
        <f t="shared" si="1065"/>
        <v/>
      </c>
      <c r="T2042" s="34" t="str">
        <f t="shared" si="1066"/>
        <v/>
      </c>
      <c r="U2042" s="34" t="str">
        <f>IF(AND(L2042=1,bp_kode=T2042,T2042&lt;&gt;""),COUNTIF($T$8:T2042,T2042),"")</f>
        <v/>
      </c>
      <c r="V2042" s="34" t="str">
        <f t="shared" si="1067"/>
        <v/>
      </c>
      <c r="W2042" s="34" t="str">
        <f t="shared" si="1068"/>
        <v/>
      </c>
      <c r="X2042" s="34" t="str">
        <f>IF(B2042="","",COUNTIF($C$8:C2042,C2042)&amp;C2042)</f>
        <v/>
      </c>
    </row>
    <row r="2043" spans="2:24" ht="23.1" customHeight="1">
      <c r="B2043" s="31"/>
      <c r="C2043" s="9"/>
      <c r="D2043" s="9"/>
      <c r="E2043" s="7"/>
      <c r="F2043" s="7"/>
      <c r="G2043" s="7"/>
      <c r="H2043" s="7"/>
      <c r="I2043" s="7"/>
      <c r="J2043" s="39"/>
      <c r="L2043" s="16" t="str">
        <f t="shared" si="1059"/>
        <v/>
      </c>
      <c r="M2043" s="16" t="str">
        <f t="shared" si="1060"/>
        <v/>
      </c>
      <c r="N2043" s="16" t="str">
        <f t="shared" si="1061"/>
        <v/>
      </c>
      <c r="O2043" s="16" t="str">
        <f>IF(N2043="","",COUNTIF($N$8:N2043,N2043))</f>
        <v/>
      </c>
      <c r="P2043" s="34" t="str">
        <f t="shared" si="1062"/>
        <v/>
      </c>
      <c r="Q2043" s="34" t="str">
        <f t="shared" si="1063"/>
        <v/>
      </c>
      <c r="R2043" s="34" t="str">
        <f t="shared" si="1064"/>
        <v/>
      </c>
      <c r="S2043" s="34" t="str">
        <f t="shared" si="1065"/>
        <v/>
      </c>
      <c r="T2043" s="34" t="str">
        <f t="shared" si="1066"/>
        <v/>
      </c>
      <c r="U2043" s="34" t="str">
        <f>IF(AND(L2043=1,bp_kode=T2043,T2043&lt;&gt;""),COUNTIF($T$8:T2043,T2043),"")</f>
        <v/>
      </c>
      <c r="V2043" s="34" t="str">
        <f t="shared" si="1067"/>
        <v/>
      </c>
      <c r="W2043" s="34" t="str">
        <f t="shared" si="1068"/>
        <v/>
      </c>
      <c r="X2043" s="34" t="str">
        <f>IF(B2043="","",COUNTIF($C$8:C2043,C2043)&amp;C2043)</f>
        <v/>
      </c>
    </row>
    <row r="2044" spans="2:24" ht="23.1" customHeight="1">
      <c r="B2044" s="31"/>
      <c r="C2044" s="9"/>
      <c r="D2044" s="9"/>
      <c r="E2044" s="7"/>
      <c r="F2044" s="7"/>
      <c r="G2044" s="7"/>
      <c r="H2044" s="7"/>
      <c r="I2044" s="7"/>
      <c r="J2044" s="39"/>
      <c r="L2044" s="16" t="str">
        <f t="shared" si="1059"/>
        <v/>
      </c>
      <c r="M2044" s="16" t="str">
        <f t="shared" si="1060"/>
        <v/>
      </c>
      <c r="N2044" s="16" t="str">
        <f t="shared" si="1061"/>
        <v/>
      </c>
      <c r="O2044" s="16" t="str">
        <f>IF(N2044="","",COUNTIF($N$8:N2044,N2044))</f>
        <v/>
      </c>
      <c r="P2044" s="34" t="str">
        <f t="shared" si="1062"/>
        <v/>
      </c>
      <c r="Q2044" s="34" t="str">
        <f t="shared" si="1063"/>
        <v/>
      </c>
      <c r="R2044" s="34" t="str">
        <f t="shared" si="1064"/>
        <v/>
      </c>
      <c r="S2044" s="34" t="str">
        <f t="shared" si="1065"/>
        <v/>
      </c>
      <c r="T2044" s="34" t="str">
        <f t="shared" si="1066"/>
        <v/>
      </c>
      <c r="U2044" s="34" t="str">
        <f>IF(AND(L2044=1,bp_kode=T2044,T2044&lt;&gt;""),COUNTIF($T$8:T2044,T2044),"")</f>
        <v/>
      </c>
      <c r="V2044" s="34" t="str">
        <f t="shared" si="1067"/>
        <v/>
      </c>
      <c r="W2044" s="34" t="str">
        <f t="shared" si="1068"/>
        <v/>
      </c>
      <c r="X2044" s="34" t="str">
        <f>IF(B2044="","",COUNTIF($C$8:C2044,C2044)&amp;C2044)</f>
        <v/>
      </c>
    </row>
    <row r="2045" spans="2:24" ht="23.1" customHeight="1">
      <c r="B2045" s="31"/>
      <c r="C2045" s="9"/>
      <c r="D2045" s="9"/>
      <c r="E2045" s="7"/>
      <c r="F2045" s="7"/>
      <c r="G2045" s="7"/>
      <c r="H2045" s="7"/>
      <c r="I2045" s="7"/>
      <c r="J2045" s="39"/>
      <c r="L2045" s="16" t="str">
        <f t="shared" si="1059"/>
        <v/>
      </c>
      <c r="M2045" s="16" t="str">
        <f t="shared" si="1060"/>
        <v/>
      </c>
      <c r="N2045" s="16" t="str">
        <f t="shared" si="1061"/>
        <v/>
      </c>
      <c r="O2045" s="16" t="str">
        <f>IF(N2045="","",COUNTIF($N$8:N2045,N2045))</f>
        <v/>
      </c>
      <c r="P2045" s="34" t="str">
        <f t="shared" si="1062"/>
        <v/>
      </c>
      <c r="Q2045" s="34" t="str">
        <f t="shared" si="1063"/>
        <v/>
      </c>
      <c r="R2045" s="34" t="str">
        <f t="shared" si="1064"/>
        <v/>
      </c>
      <c r="S2045" s="34" t="str">
        <f t="shared" si="1065"/>
        <v/>
      </c>
      <c r="T2045" s="34" t="str">
        <f t="shared" si="1066"/>
        <v/>
      </c>
      <c r="U2045" s="34" t="str">
        <f>IF(AND(L2045=1,bp_kode=T2045,T2045&lt;&gt;""),COUNTIF($T$8:T2045,T2045),"")</f>
        <v/>
      </c>
      <c r="V2045" s="34" t="str">
        <f t="shared" si="1067"/>
        <v/>
      </c>
      <c r="W2045" s="34" t="str">
        <f t="shared" si="1068"/>
        <v/>
      </c>
      <c r="X2045" s="34" t="str">
        <f>IF(B2045="","",COUNTIF($C$8:C2045,C2045)&amp;C2045)</f>
        <v/>
      </c>
    </row>
    <row r="2046" spans="2:24" ht="23.1" customHeight="1">
      <c r="B2046" s="31"/>
      <c r="C2046" s="9"/>
      <c r="D2046" s="9"/>
      <c r="E2046" s="7"/>
      <c r="F2046" s="7"/>
      <c r="G2046" s="7"/>
      <c r="H2046" s="7"/>
      <c r="I2046" s="7"/>
      <c r="J2046" s="39"/>
      <c r="L2046" s="16" t="str">
        <f t="shared" si="1059"/>
        <v/>
      </c>
      <c r="M2046" s="16" t="str">
        <f t="shared" si="1060"/>
        <v/>
      </c>
      <c r="N2046" s="16" t="str">
        <f t="shared" si="1061"/>
        <v/>
      </c>
      <c r="O2046" s="16" t="str">
        <f>IF(N2046="","",COUNTIF($N$8:N2046,N2046))</f>
        <v/>
      </c>
      <c r="P2046" s="34" t="str">
        <f t="shared" si="1062"/>
        <v/>
      </c>
      <c r="Q2046" s="34" t="str">
        <f t="shared" si="1063"/>
        <v/>
      </c>
      <c r="R2046" s="34" t="str">
        <f t="shared" si="1064"/>
        <v/>
      </c>
      <c r="S2046" s="34" t="str">
        <f t="shared" si="1065"/>
        <v/>
      </c>
      <c r="T2046" s="34" t="str">
        <f t="shared" si="1066"/>
        <v/>
      </c>
      <c r="U2046" s="34" t="str">
        <f>IF(AND(L2046=1,bp_kode=T2046,T2046&lt;&gt;""),COUNTIF($T$8:T2046,T2046),"")</f>
        <v/>
      </c>
      <c r="V2046" s="34" t="str">
        <f t="shared" si="1067"/>
        <v/>
      </c>
      <c r="W2046" s="34" t="str">
        <f t="shared" si="1068"/>
        <v/>
      </c>
      <c r="X2046" s="34" t="str">
        <f>IF(B2046="","",COUNTIF($C$8:C2046,C2046)&amp;C2046)</f>
        <v/>
      </c>
    </row>
    <row r="2047" spans="2:24" ht="23.1" customHeight="1">
      <c r="B2047" s="31"/>
      <c r="C2047" s="9"/>
      <c r="D2047" s="9"/>
      <c r="E2047" s="7"/>
      <c r="F2047" s="7"/>
      <c r="G2047" s="7"/>
      <c r="H2047" s="7"/>
      <c r="I2047" s="7"/>
      <c r="J2047" s="39"/>
      <c r="L2047" s="16" t="str">
        <f t="shared" si="1059"/>
        <v/>
      </c>
      <c r="M2047" s="16" t="str">
        <f t="shared" si="1060"/>
        <v/>
      </c>
      <c r="N2047" s="16" t="str">
        <f t="shared" si="1061"/>
        <v/>
      </c>
      <c r="O2047" s="16" t="str">
        <f>IF(N2047="","",COUNTIF($N$8:N2047,N2047))</f>
        <v/>
      </c>
      <c r="P2047" s="34" t="str">
        <f t="shared" si="1062"/>
        <v/>
      </c>
      <c r="Q2047" s="34" t="str">
        <f t="shared" si="1063"/>
        <v/>
      </c>
      <c r="R2047" s="34" t="str">
        <f t="shared" si="1064"/>
        <v/>
      </c>
      <c r="S2047" s="34" t="str">
        <f t="shared" si="1065"/>
        <v/>
      </c>
      <c r="T2047" s="34" t="str">
        <f t="shared" si="1066"/>
        <v/>
      </c>
      <c r="U2047" s="34" t="str">
        <f>IF(AND(L2047=1,bp_kode=T2047,T2047&lt;&gt;""),COUNTIF($T$8:T2047,T2047),"")</f>
        <v/>
      </c>
      <c r="V2047" s="34" t="str">
        <f t="shared" si="1067"/>
        <v/>
      </c>
      <c r="W2047" s="34" t="str">
        <f t="shared" si="1068"/>
        <v/>
      </c>
      <c r="X2047" s="34" t="str">
        <f>IF(B2047="","",COUNTIF($C$8:C2047,C2047)&amp;C2047)</f>
        <v/>
      </c>
    </row>
    <row r="2048" spans="2:24" ht="23.1" customHeight="1">
      <c r="B2048" s="31"/>
      <c r="C2048" s="9"/>
      <c r="D2048" s="9"/>
      <c r="E2048" s="7"/>
      <c r="F2048" s="7"/>
      <c r="G2048" s="7"/>
      <c r="H2048" s="7"/>
      <c r="I2048" s="7"/>
      <c r="J2048" s="39"/>
      <c r="L2048" s="16" t="str">
        <f t="shared" si="1059"/>
        <v/>
      </c>
      <c r="M2048" s="16" t="str">
        <f t="shared" si="1060"/>
        <v/>
      </c>
      <c r="N2048" s="16" t="str">
        <f t="shared" si="1061"/>
        <v/>
      </c>
      <c r="O2048" s="16" t="str">
        <f>IF(N2048="","",COUNTIF($N$8:N2048,N2048))</f>
        <v/>
      </c>
      <c r="P2048" s="34" t="str">
        <f t="shared" si="1062"/>
        <v/>
      </c>
      <c r="Q2048" s="34" t="str">
        <f t="shared" si="1063"/>
        <v/>
      </c>
      <c r="R2048" s="34" t="str">
        <f t="shared" si="1064"/>
        <v/>
      </c>
      <c r="S2048" s="34" t="str">
        <f t="shared" si="1065"/>
        <v/>
      </c>
      <c r="T2048" s="34" t="str">
        <f t="shared" si="1066"/>
        <v/>
      </c>
      <c r="U2048" s="34" t="str">
        <f>IF(AND(L2048=1,bp_kode=T2048,T2048&lt;&gt;""),COUNTIF($T$8:T2048,T2048),"")</f>
        <v/>
      </c>
      <c r="V2048" s="34" t="str">
        <f t="shared" si="1067"/>
        <v/>
      </c>
      <c r="W2048" s="34" t="str">
        <f t="shared" si="1068"/>
        <v/>
      </c>
      <c r="X2048" s="34" t="str">
        <f>IF(B2048="","",COUNTIF($C$8:C2048,C2048)&amp;C2048)</f>
        <v/>
      </c>
    </row>
    <row r="2049" spans="2:24" ht="23.1" customHeight="1">
      <c r="B2049" s="31"/>
      <c r="C2049" s="9"/>
      <c r="D2049" s="9"/>
      <c r="E2049" s="7"/>
      <c r="F2049" s="7"/>
      <c r="G2049" s="7"/>
      <c r="H2049" s="7"/>
      <c r="I2049" s="7"/>
      <c r="J2049" s="39"/>
      <c r="L2049" s="16" t="str">
        <f t="shared" si="535"/>
        <v/>
      </c>
      <c r="M2049" s="16" t="str">
        <f t="shared" si="555"/>
        <v/>
      </c>
      <c r="N2049" s="16" t="str">
        <f t="shared" si="537"/>
        <v/>
      </c>
      <c r="O2049" s="16" t="str">
        <f>IF(N2049="","",COUNTIF($N$8:N2049,N2049))</f>
        <v/>
      </c>
      <c r="P2049" s="34" t="str">
        <f t="shared" si="538"/>
        <v/>
      </c>
      <c r="Q2049" s="34" t="str">
        <f t="shared" si="539"/>
        <v/>
      </c>
      <c r="R2049" s="34" t="str">
        <f t="shared" si="556"/>
        <v/>
      </c>
      <c r="S2049" s="34" t="str">
        <f t="shared" si="557"/>
        <v/>
      </c>
      <c r="T2049" s="34" t="str">
        <f t="shared" si="558"/>
        <v/>
      </c>
      <c r="U2049" s="34" t="str">
        <f>IF(AND(L2049=1,bp_kode=T2049,T2049&lt;&gt;""),COUNTIF($T$8:T2049,T2049),"")</f>
        <v/>
      </c>
      <c r="V2049" s="34" t="str">
        <f t="shared" si="559"/>
        <v/>
      </c>
      <c r="W2049" s="34" t="str">
        <f t="shared" si="560"/>
        <v/>
      </c>
      <c r="X2049" s="34" t="str">
        <f>IF(B2049="","",COUNTIF($C$8:C2049,C2049)&amp;C2049)</f>
        <v/>
      </c>
    </row>
    <row r="2050" spans="2:24" ht="23.1" customHeight="1">
      <c r="B2050" s="31"/>
      <c r="C2050" s="9"/>
      <c r="D2050" s="9"/>
      <c r="E2050" s="7"/>
      <c r="F2050" s="7"/>
      <c r="G2050" s="7"/>
      <c r="H2050" s="7"/>
      <c r="I2050" s="7"/>
      <c r="J2050" s="39"/>
      <c r="L2050" s="16" t="str">
        <f t="shared" si="535"/>
        <v/>
      </c>
      <c r="M2050" s="16" t="str">
        <f t="shared" si="555"/>
        <v/>
      </c>
      <c r="N2050" s="16" t="str">
        <f t="shared" si="537"/>
        <v/>
      </c>
      <c r="O2050" s="16" t="str">
        <f>IF(N2050="","",COUNTIF($N$8:N2050,N2050))</f>
        <v/>
      </c>
      <c r="P2050" s="34" t="str">
        <f t="shared" si="538"/>
        <v/>
      </c>
      <c r="Q2050" s="34" t="str">
        <f t="shared" si="539"/>
        <v/>
      </c>
      <c r="R2050" s="34" t="str">
        <f t="shared" si="556"/>
        <v/>
      </c>
      <c r="S2050" s="34" t="str">
        <f t="shared" si="557"/>
        <v/>
      </c>
      <c r="T2050" s="34" t="str">
        <f t="shared" si="558"/>
        <v/>
      </c>
      <c r="U2050" s="34" t="str">
        <f>IF(AND(L2050=1,bp_kode=T2050,T2050&lt;&gt;""),COUNTIF($T$8:T2050,T2050),"")</f>
        <v/>
      </c>
      <c r="V2050" s="34" t="str">
        <f t="shared" si="559"/>
        <v/>
      </c>
      <c r="W2050" s="34" t="str">
        <f t="shared" si="560"/>
        <v/>
      </c>
      <c r="X2050" s="34" t="str">
        <f>IF(B2050="","",COUNTIF($C$8:C2050,C2050)&amp;C2050)</f>
        <v/>
      </c>
    </row>
    <row r="2051" spans="2:24" ht="23.1" customHeight="1">
      <c r="B2051" s="31"/>
      <c r="C2051" s="9"/>
      <c r="D2051" s="9"/>
      <c r="E2051" s="7"/>
      <c r="F2051" s="7"/>
      <c r="G2051" s="7"/>
      <c r="H2051" s="7"/>
      <c r="I2051" s="7"/>
      <c r="J2051" s="39"/>
      <c r="L2051" s="16" t="str">
        <f t="shared" si="535"/>
        <v/>
      </c>
      <c r="M2051" s="16" t="str">
        <f t="shared" si="555"/>
        <v/>
      </c>
      <c r="N2051" s="16" t="str">
        <f t="shared" si="537"/>
        <v/>
      </c>
      <c r="O2051" s="16" t="str">
        <f>IF(N2051="","",COUNTIF($N$8:N2051,N2051))</f>
        <v/>
      </c>
      <c r="P2051" s="34" t="str">
        <f t="shared" si="538"/>
        <v/>
      </c>
      <c r="Q2051" s="34" t="str">
        <f t="shared" si="539"/>
        <v/>
      </c>
      <c r="R2051" s="34" t="str">
        <f t="shared" si="556"/>
        <v/>
      </c>
      <c r="S2051" s="34" t="str">
        <f t="shared" si="557"/>
        <v/>
      </c>
      <c r="T2051" s="34" t="str">
        <f t="shared" si="558"/>
        <v/>
      </c>
      <c r="U2051" s="34" t="str">
        <f>IF(AND(L2051=1,bp_kode=T2051,T2051&lt;&gt;""),COUNTIF($T$8:T2051,T2051),"")</f>
        <v/>
      </c>
      <c r="V2051" s="34" t="str">
        <f t="shared" si="559"/>
        <v/>
      </c>
      <c r="W2051" s="34" t="str">
        <f t="shared" si="560"/>
        <v/>
      </c>
      <c r="X2051" s="34" t="str">
        <f>IF(B2051="","",COUNTIF($C$8:C2051,C2051)&amp;C2051)</f>
        <v/>
      </c>
    </row>
    <row r="2052" spans="2:24" ht="23.1" customHeight="1">
      <c r="B2052" s="31"/>
      <c r="C2052" s="9"/>
      <c r="D2052" s="9"/>
      <c r="E2052" s="7"/>
      <c r="F2052" s="7"/>
      <c r="G2052" s="7"/>
      <c r="H2052" s="7"/>
      <c r="I2052" s="7"/>
      <c r="J2052" s="39"/>
      <c r="L2052" s="16" t="str">
        <f t="shared" si="535"/>
        <v/>
      </c>
      <c r="M2052" s="16" t="str">
        <f t="shared" si="555"/>
        <v/>
      </c>
      <c r="N2052" s="16" t="str">
        <f t="shared" si="537"/>
        <v/>
      </c>
      <c r="O2052" s="16" t="str">
        <f>IF(N2052="","",COUNTIF($N$8:N2052,N2052))</f>
        <v/>
      </c>
      <c r="P2052" s="34" t="str">
        <f t="shared" si="538"/>
        <v/>
      </c>
      <c r="Q2052" s="34" t="str">
        <f t="shared" si="539"/>
        <v/>
      </c>
      <c r="R2052" s="34" t="str">
        <f t="shared" si="556"/>
        <v/>
      </c>
      <c r="S2052" s="34" t="str">
        <f t="shared" si="557"/>
        <v/>
      </c>
      <c r="T2052" s="34" t="str">
        <f t="shared" si="558"/>
        <v/>
      </c>
      <c r="U2052" s="34" t="str">
        <f>IF(AND(L2052=1,bp_kode=T2052,T2052&lt;&gt;""),COUNTIF($T$8:T2052,T2052),"")</f>
        <v/>
      </c>
      <c r="V2052" s="34" t="str">
        <f t="shared" si="559"/>
        <v/>
      </c>
      <c r="W2052" s="34" t="str">
        <f t="shared" si="560"/>
        <v/>
      </c>
      <c r="X2052" s="34" t="str">
        <f>IF(B2052="","",COUNTIF($C$8:C2052,C2052)&amp;C2052)</f>
        <v/>
      </c>
    </row>
    <row r="2053" spans="2:24" ht="23.1" customHeight="1">
      <c r="B2053" s="31"/>
      <c r="C2053" s="9"/>
      <c r="D2053" s="9"/>
      <c r="E2053" s="7"/>
      <c r="F2053" s="7"/>
      <c r="G2053" s="7"/>
      <c r="H2053" s="7"/>
      <c r="I2053" s="7"/>
      <c r="J2053" s="39"/>
      <c r="L2053" s="16" t="str">
        <f t="shared" si="535"/>
        <v/>
      </c>
      <c r="M2053" s="16" t="str">
        <f t="shared" si="555"/>
        <v/>
      </c>
      <c r="N2053" s="16" t="str">
        <f t="shared" si="537"/>
        <v/>
      </c>
      <c r="O2053" s="16" t="str">
        <f>IF(N2053="","",COUNTIF($N$8:N2053,N2053))</f>
        <v/>
      </c>
      <c r="P2053" s="34" t="str">
        <f t="shared" si="538"/>
        <v/>
      </c>
      <c r="Q2053" s="34" t="str">
        <f t="shared" si="539"/>
        <v/>
      </c>
      <c r="R2053" s="34" t="str">
        <f t="shared" si="556"/>
        <v/>
      </c>
      <c r="S2053" s="34" t="str">
        <f t="shared" si="557"/>
        <v/>
      </c>
      <c r="T2053" s="34" t="str">
        <f t="shared" si="558"/>
        <v/>
      </c>
      <c r="U2053" s="34" t="str">
        <f>IF(AND(L2053=1,bp_kode=T2053,T2053&lt;&gt;""),COUNTIF($T$8:T2053,T2053),"")</f>
        <v/>
      </c>
      <c r="V2053" s="34" t="str">
        <f t="shared" si="559"/>
        <v/>
      </c>
      <c r="W2053" s="34" t="str">
        <f t="shared" si="560"/>
        <v/>
      </c>
      <c r="X2053" s="34" t="str">
        <f>IF(B2053="","",COUNTIF($C$8:C2053,C2053)&amp;C2053)</f>
        <v/>
      </c>
    </row>
    <row r="2054" spans="2:24" ht="23.1" customHeight="1">
      <c r="B2054" s="31"/>
      <c r="C2054" s="9"/>
      <c r="D2054" s="9"/>
      <c r="E2054" s="7"/>
      <c r="F2054" s="7"/>
      <c r="G2054" s="7"/>
      <c r="H2054" s="7"/>
      <c r="I2054" s="7"/>
      <c r="J2054" s="39"/>
      <c r="L2054" s="16" t="str">
        <f t="shared" si="535"/>
        <v/>
      </c>
      <c r="M2054" s="16" t="str">
        <f t="shared" si="555"/>
        <v/>
      </c>
      <c r="N2054" s="16" t="str">
        <f t="shared" si="537"/>
        <v/>
      </c>
      <c r="O2054" s="16" t="str">
        <f>IF(N2054="","",COUNTIF($N$8:N2054,N2054))</f>
        <v/>
      </c>
      <c r="P2054" s="34" t="str">
        <f t="shared" si="538"/>
        <v/>
      </c>
      <c r="Q2054" s="34" t="str">
        <f t="shared" si="539"/>
        <v/>
      </c>
      <c r="R2054" s="34" t="str">
        <f t="shared" si="556"/>
        <v/>
      </c>
      <c r="S2054" s="34" t="str">
        <f t="shared" si="557"/>
        <v/>
      </c>
      <c r="T2054" s="34" t="str">
        <f t="shared" si="558"/>
        <v/>
      </c>
      <c r="U2054" s="34" t="str">
        <f>IF(AND(L2054=1,bp_kode=T2054,T2054&lt;&gt;""),COUNTIF($T$8:T2054,T2054),"")</f>
        <v/>
      </c>
      <c r="V2054" s="34" t="str">
        <f t="shared" si="559"/>
        <v/>
      </c>
      <c r="W2054" s="34" t="str">
        <f t="shared" si="560"/>
        <v/>
      </c>
      <c r="X2054" s="34" t="str">
        <f>IF(B2054="","",COUNTIF($C$8:C2054,C2054)&amp;C2054)</f>
        <v/>
      </c>
    </row>
    <row r="2055" spans="2:24" ht="23.1" customHeight="1">
      <c r="B2055" s="31"/>
      <c r="C2055" s="9"/>
      <c r="D2055" s="9"/>
      <c r="E2055" s="7"/>
      <c r="F2055" s="7"/>
      <c r="G2055" s="7"/>
      <c r="H2055" s="7"/>
      <c r="I2055" s="7"/>
      <c r="J2055" s="39"/>
      <c r="L2055" s="16" t="str">
        <f t="shared" si="535"/>
        <v/>
      </c>
      <c r="M2055" s="16" t="str">
        <f t="shared" si="555"/>
        <v/>
      </c>
      <c r="N2055" s="16" t="str">
        <f t="shared" si="537"/>
        <v/>
      </c>
      <c r="O2055" s="16" t="str">
        <f>IF(N2055="","",COUNTIF($N$8:N2055,N2055))</f>
        <v/>
      </c>
      <c r="P2055" s="34" t="str">
        <f t="shared" si="538"/>
        <v/>
      </c>
      <c r="Q2055" s="34" t="str">
        <f t="shared" si="539"/>
        <v/>
      </c>
      <c r="R2055" s="34" t="str">
        <f t="shared" si="556"/>
        <v/>
      </c>
      <c r="S2055" s="34" t="str">
        <f t="shared" si="557"/>
        <v/>
      </c>
      <c r="T2055" s="34" t="str">
        <f t="shared" si="558"/>
        <v/>
      </c>
      <c r="U2055" s="34" t="str">
        <f>IF(AND(L2055=1,bp_kode=T2055,T2055&lt;&gt;""),COUNTIF($T$8:T2055,T2055),"")</f>
        <v/>
      </c>
      <c r="V2055" s="34" t="str">
        <f t="shared" si="559"/>
        <v/>
      </c>
      <c r="W2055" s="34" t="str">
        <f t="shared" si="560"/>
        <v/>
      </c>
      <c r="X2055" s="34" t="str">
        <f>IF(B2055="","",COUNTIF($C$8:C2055,C2055)&amp;C2055)</f>
        <v/>
      </c>
    </row>
    <row r="2056" spans="2:24" ht="23.1" customHeight="1">
      <c r="B2056" s="31"/>
      <c r="C2056" s="9"/>
      <c r="D2056" s="9"/>
      <c r="E2056" s="7"/>
      <c r="F2056" s="7"/>
      <c r="G2056" s="7"/>
      <c r="H2056" s="7"/>
      <c r="I2056" s="7"/>
      <c r="J2056" s="39"/>
      <c r="L2056" s="16" t="str">
        <f t="shared" si="535"/>
        <v/>
      </c>
      <c r="M2056" s="16" t="str">
        <f t="shared" si="555"/>
        <v/>
      </c>
      <c r="N2056" s="16" t="str">
        <f t="shared" si="537"/>
        <v/>
      </c>
      <c r="O2056" s="16" t="str">
        <f>IF(N2056="","",COUNTIF($N$8:N2056,N2056))</f>
        <v/>
      </c>
      <c r="P2056" s="34" t="str">
        <f t="shared" si="538"/>
        <v/>
      </c>
      <c r="Q2056" s="34" t="str">
        <f t="shared" si="539"/>
        <v/>
      </c>
      <c r="R2056" s="34" t="str">
        <f t="shared" si="556"/>
        <v/>
      </c>
      <c r="S2056" s="34" t="str">
        <f t="shared" si="557"/>
        <v/>
      </c>
      <c r="T2056" s="34" t="str">
        <f t="shared" si="558"/>
        <v/>
      </c>
      <c r="U2056" s="34" t="str">
        <f>IF(AND(L2056=1,bp_kode=T2056,T2056&lt;&gt;""),COUNTIF($T$8:T2056,T2056),"")</f>
        <v/>
      </c>
      <c r="V2056" s="34" t="str">
        <f t="shared" si="559"/>
        <v/>
      </c>
      <c r="W2056" s="34" t="str">
        <f t="shared" si="560"/>
        <v/>
      </c>
      <c r="X2056" s="34" t="str">
        <f>IF(B2056="","",COUNTIF($C$8:C2056,C2056)&amp;C2056)</f>
        <v/>
      </c>
    </row>
    <row r="2057" spans="2:24" ht="23.1" customHeight="1">
      <c r="B2057" s="31"/>
      <c r="C2057" s="9"/>
      <c r="D2057" s="9"/>
      <c r="E2057" s="7"/>
      <c r="F2057" s="7"/>
      <c r="G2057" s="7"/>
      <c r="H2057" s="7"/>
      <c r="I2057" s="7"/>
      <c r="J2057" s="39"/>
      <c r="L2057" s="16" t="str">
        <f t="shared" si="535"/>
        <v/>
      </c>
      <c r="M2057" s="16" t="str">
        <f t="shared" si="555"/>
        <v/>
      </c>
      <c r="N2057" s="16" t="str">
        <f t="shared" si="537"/>
        <v/>
      </c>
      <c r="O2057" s="16" t="str">
        <f>IF(N2057="","",COUNTIF($N$8:N2057,N2057))</f>
        <v/>
      </c>
      <c r="P2057" s="34" t="str">
        <f t="shared" si="538"/>
        <v/>
      </c>
      <c r="Q2057" s="34" t="str">
        <f t="shared" si="539"/>
        <v/>
      </c>
      <c r="R2057" s="34" t="str">
        <f t="shared" si="556"/>
        <v/>
      </c>
      <c r="S2057" s="34" t="str">
        <f t="shared" si="557"/>
        <v/>
      </c>
      <c r="T2057" s="34" t="str">
        <f t="shared" si="558"/>
        <v/>
      </c>
      <c r="U2057" s="34" t="str">
        <f>IF(AND(L2057=1,bp_kode=T2057,T2057&lt;&gt;""),COUNTIF($T$8:T2057,T2057),"")</f>
        <v/>
      </c>
      <c r="V2057" s="34" t="str">
        <f t="shared" si="559"/>
        <v/>
      </c>
      <c r="W2057" s="34" t="str">
        <f t="shared" si="560"/>
        <v/>
      </c>
      <c r="X2057" s="34" t="str">
        <f>IF(B2057="","",COUNTIF($C$8:C2057,C2057)&amp;C2057)</f>
        <v/>
      </c>
    </row>
    <row r="2058" spans="2:24" ht="23.1" customHeight="1">
      <c r="B2058" s="31"/>
      <c r="C2058" s="9"/>
      <c r="D2058" s="9"/>
      <c r="E2058" s="7"/>
      <c r="F2058" s="7"/>
      <c r="G2058" s="7"/>
      <c r="H2058" s="7"/>
      <c r="I2058" s="7"/>
      <c r="J2058" s="39"/>
      <c r="L2058" s="16" t="str">
        <f t="shared" si="535"/>
        <v/>
      </c>
      <c r="M2058" s="16" t="str">
        <f t="shared" si="555"/>
        <v/>
      </c>
      <c r="N2058" s="16" t="str">
        <f t="shared" si="537"/>
        <v/>
      </c>
      <c r="O2058" s="16" t="str">
        <f>IF(N2058="","",COUNTIF($N$8:N2058,N2058))</f>
        <v/>
      </c>
      <c r="P2058" s="34" t="str">
        <f t="shared" si="538"/>
        <v/>
      </c>
      <c r="Q2058" s="34" t="str">
        <f t="shared" si="539"/>
        <v/>
      </c>
      <c r="R2058" s="34" t="str">
        <f t="shared" si="556"/>
        <v/>
      </c>
      <c r="S2058" s="34" t="str">
        <f t="shared" si="557"/>
        <v/>
      </c>
      <c r="T2058" s="34" t="str">
        <f t="shared" si="558"/>
        <v/>
      </c>
      <c r="U2058" s="34" t="str">
        <f>IF(AND(L2058=1,bp_kode=T2058,T2058&lt;&gt;""),COUNTIF($T$8:T2058,T2058),"")</f>
        <v/>
      </c>
      <c r="V2058" s="34" t="str">
        <f t="shared" si="559"/>
        <v/>
      </c>
      <c r="W2058" s="34" t="str">
        <f t="shared" si="560"/>
        <v/>
      </c>
      <c r="X2058" s="34" t="str">
        <f>IF(B2058="","",COUNTIF($C$8:C2058,C2058)&amp;C2058)</f>
        <v/>
      </c>
    </row>
    <row r="2059" spans="2:24" ht="23.1" customHeight="1">
      <c r="B2059" s="31"/>
      <c r="C2059" s="9"/>
      <c r="D2059" s="9"/>
      <c r="E2059" s="7"/>
      <c r="F2059" s="7"/>
      <c r="G2059" s="7"/>
      <c r="H2059" s="7"/>
      <c r="I2059" s="7"/>
      <c r="J2059" s="39"/>
      <c r="L2059" s="16" t="str">
        <f t="shared" si="535"/>
        <v/>
      </c>
      <c r="M2059" s="16" t="str">
        <f t="shared" si="555"/>
        <v/>
      </c>
      <c r="N2059" s="16" t="str">
        <f t="shared" si="537"/>
        <v/>
      </c>
      <c r="O2059" s="16" t="str">
        <f>IF(N2059="","",COUNTIF($N$8:N2059,N2059))</f>
        <v/>
      </c>
      <c r="P2059" s="34" t="str">
        <f t="shared" si="538"/>
        <v/>
      </c>
      <c r="Q2059" s="34" t="str">
        <f t="shared" si="539"/>
        <v/>
      </c>
      <c r="R2059" s="34" t="str">
        <f t="shared" si="556"/>
        <v/>
      </c>
      <c r="S2059" s="34" t="str">
        <f t="shared" si="557"/>
        <v/>
      </c>
      <c r="T2059" s="34" t="str">
        <f t="shared" si="558"/>
        <v/>
      </c>
      <c r="U2059" s="34" t="str">
        <f>IF(AND(L2059=1,bp_kode=T2059,T2059&lt;&gt;""),COUNTIF($T$8:T2059,T2059),"")</f>
        <v/>
      </c>
      <c r="V2059" s="34" t="str">
        <f t="shared" si="559"/>
        <v/>
      </c>
      <c r="W2059" s="34" t="str">
        <f t="shared" si="560"/>
        <v/>
      </c>
      <c r="X2059" s="34" t="str">
        <f>IF(B2059="","",COUNTIF($C$8:C2059,C2059)&amp;C2059)</f>
        <v/>
      </c>
    </row>
    <row r="2060" spans="2:24" ht="23.1" customHeight="1">
      <c r="B2060" s="31"/>
      <c r="C2060" s="9"/>
      <c r="D2060" s="9"/>
      <c r="E2060" s="7"/>
      <c r="F2060" s="7"/>
      <c r="G2060" s="7"/>
      <c r="H2060" s="7"/>
      <c r="I2060" s="7"/>
      <c r="J2060" s="39"/>
      <c r="L2060" s="16" t="str">
        <f t="shared" si="535"/>
        <v/>
      </c>
      <c r="M2060" s="16" t="str">
        <f t="shared" si="555"/>
        <v/>
      </c>
      <c r="N2060" s="16" t="str">
        <f t="shared" si="537"/>
        <v/>
      </c>
      <c r="O2060" s="16" t="str">
        <f>IF(N2060="","",COUNTIF($N$8:N2060,N2060))</f>
        <v/>
      </c>
      <c r="P2060" s="34" t="str">
        <f t="shared" si="538"/>
        <v/>
      </c>
      <c r="Q2060" s="34" t="str">
        <f t="shared" si="539"/>
        <v/>
      </c>
      <c r="R2060" s="34" t="str">
        <f t="shared" si="556"/>
        <v/>
      </c>
      <c r="S2060" s="34" t="str">
        <f t="shared" si="557"/>
        <v/>
      </c>
      <c r="T2060" s="34" t="str">
        <f t="shared" si="558"/>
        <v/>
      </c>
      <c r="U2060" s="34" t="str">
        <f>IF(AND(L2060=1,bp_kode=T2060,T2060&lt;&gt;""),COUNTIF($T$8:T2060,T2060),"")</f>
        <v/>
      </c>
      <c r="V2060" s="34" t="str">
        <f t="shared" si="559"/>
        <v/>
      </c>
      <c r="W2060" s="34" t="str">
        <f t="shared" si="560"/>
        <v/>
      </c>
      <c r="X2060" s="34" t="str">
        <f>IF(B2060="","",COUNTIF($C$8:C2060,C2060)&amp;C2060)</f>
        <v/>
      </c>
    </row>
    <row r="2061" spans="2:24" ht="23.1" customHeight="1">
      <c r="B2061" s="31"/>
      <c r="C2061" s="9"/>
      <c r="D2061" s="9"/>
      <c r="E2061" s="7"/>
      <c r="F2061" s="7"/>
      <c r="G2061" s="7"/>
      <c r="H2061" s="7"/>
      <c r="I2061" s="7"/>
      <c r="J2061" s="39"/>
      <c r="L2061" s="16" t="str">
        <f t="shared" si="535"/>
        <v/>
      </c>
      <c r="M2061" s="16" t="str">
        <f t="shared" si="555"/>
        <v/>
      </c>
      <c r="N2061" s="16" t="str">
        <f t="shared" si="537"/>
        <v/>
      </c>
      <c r="O2061" s="16" t="str">
        <f>IF(N2061="","",COUNTIF($N$8:N2061,N2061))</f>
        <v/>
      </c>
      <c r="P2061" s="34" t="str">
        <f t="shared" si="538"/>
        <v/>
      </c>
      <c r="Q2061" s="34" t="str">
        <f t="shared" si="539"/>
        <v/>
      </c>
      <c r="R2061" s="34" t="str">
        <f t="shared" si="556"/>
        <v/>
      </c>
      <c r="S2061" s="34" t="str">
        <f t="shared" si="557"/>
        <v/>
      </c>
      <c r="T2061" s="34" t="str">
        <f t="shared" si="558"/>
        <v/>
      </c>
      <c r="U2061" s="34" t="str">
        <f>IF(AND(L2061=1,bp_kode=T2061,T2061&lt;&gt;""),COUNTIF($T$8:T2061,T2061),"")</f>
        <v/>
      </c>
      <c r="V2061" s="34" t="str">
        <f t="shared" si="559"/>
        <v/>
      </c>
      <c r="W2061" s="34" t="str">
        <f t="shared" si="560"/>
        <v/>
      </c>
      <c r="X2061" s="34" t="str">
        <f>IF(B2061="","",COUNTIF($C$8:C2061,C2061)&amp;C2061)</f>
        <v/>
      </c>
    </row>
    <row r="2062" spans="2:24" ht="23.1" customHeight="1">
      <c r="B2062" s="31"/>
      <c r="C2062" s="9"/>
      <c r="D2062" s="9"/>
      <c r="E2062" s="7"/>
      <c r="F2062" s="7"/>
      <c r="G2062" s="7"/>
      <c r="H2062" s="7"/>
      <c r="I2062" s="7"/>
      <c r="J2062" s="39"/>
      <c r="L2062" s="16" t="str">
        <f t="shared" si="535"/>
        <v/>
      </c>
      <c r="M2062" s="16" t="str">
        <f t="shared" si="555"/>
        <v/>
      </c>
      <c r="N2062" s="16" t="str">
        <f t="shared" si="537"/>
        <v/>
      </c>
      <c r="O2062" s="16" t="str">
        <f>IF(N2062="","",COUNTIF($N$8:N2062,N2062))</f>
        <v/>
      </c>
      <c r="P2062" s="34" t="str">
        <f t="shared" si="538"/>
        <v/>
      </c>
      <c r="Q2062" s="34" t="str">
        <f t="shared" si="539"/>
        <v/>
      </c>
      <c r="R2062" s="34" t="str">
        <f t="shared" si="556"/>
        <v/>
      </c>
      <c r="S2062" s="34" t="str">
        <f t="shared" si="557"/>
        <v/>
      </c>
      <c r="T2062" s="34" t="str">
        <f t="shared" si="558"/>
        <v/>
      </c>
      <c r="U2062" s="34" t="str">
        <f>IF(AND(L2062=1,bp_kode=T2062,T2062&lt;&gt;""),COUNTIF($T$8:T2062,T2062),"")</f>
        <v/>
      </c>
      <c r="V2062" s="34" t="str">
        <f t="shared" si="559"/>
        <v/>
      </c>
      <c r="W2062" s="34" t="str">
        <f t="shared" si="560"/>
        <v/>
      </c>
      <c r="X2062" s="34" t="str">
        <f>IF(B2062="","",COUNTIF($C$8:C2062,C2062)&amp;C2062)</f>
        <v/>
      </c>
    </row>
    <row r="2063" spans="2:24" ht="23.1" customHeight="1">
      <c r="B2063" s="31"/>
      <c r="C2063" s="9"/>
      <c r="D2063" s="9"/>
      <c r="E2063" s="7"/>
      <c r="F2063" s="7"/>
      <c r="G2063" s="7"/>
      <c r="H2063" s="7"/>
      <c r="I2063" s="7"/>
      <c r="J2063" s="39"/>
      <c r="L2063" s="16" t="str">
        <f t="shared" si="535"/>
        <v/>
      </c>
      <c r="M2063" s="16" t="str">
        <f t="shared" si="555"/>
        <v/>
      </c>
      <c r="N2063" s="16" t="str">
        <f t="shared" si="537"/>
        <v/>
      </c>
      <c r="O2063" s="16" t="str">
        <f>IF(N2063="","",COUNTIF($N$8:N2063,N2063))</f>
        <v/>
      </c>
      <c r="P2063" s="34" t="str">
        <f t="shared" si="538"/>
        <v/>
      </c>
      <c r="Q2063" s="34" t="str">
        <f t="shared" si="539"/>
        <v/>
      </c>
      <c r="R2063" s="34" t="str">
        <f t="shared" si="556"/>
        <v/>
      </c>
      <c r="S2063" s="34" t="str">
        <f t="shared" si="557"/>
        <v/>
      </c>
      <c r="T2063" s="34" t="str">
        <f t="shared" si="558"/>
        <v/>
      </c>
      <c r="U2063" s="34" t="str">
        <f>IF(AND(L2063=1,bp_kode=T2063,T2063&lt;&gt;""),COUNTIF($T$8:T2063,T2063),"")</f>
        <v/>
      </c>
      <c r="V2063" s="34" t="str">
        <f t="shared" si="559"/>
        <v/>
      </c>
      <c r="W2063" s="34" t="str">
        <f t="shared" si="560"/>
        <v/>
      </c>
      <c r="X2063" s="34" t="str">
        <f>IF(B2063="","",COUNTIF($C$8:C2063,C2063)&amp;C2063)</f>
        <v/>
      </c>
    </row>
    <row r="2064" spans="2:24" ht="23.1" customHeight="1">
      <c r="B2064" s="31"/>
      <c r="C2064" s="9"/>
      <c r="D2064" s="9"/>
      <c r="E2064" s="7"/>
      <c r="F2064" s="7"/>
      <c r="G2064" s="7"/>
      <c r="H2064" s="7"/>
      <c r="I2064" s="7"/>
      <c r="J2064" s="39"/>
      <c r="L2064" s="16" t="str">
        <f t="shared" si="535"/>
        <v/>
      </c>
      <c r="M2064" s="16" t="str">
        <f t="shared" si="555"/>
        <v/>
      </c>
      <c r="N2064" s="16" t="str">
        <f t="shared" si="537"/>
        <v/>
      </c>
      <c r="O2064" s="16" t="str">
        <f>IF(N2064="","",COUNTIF($N$8:N2064,N2064))</f>
        <v/>
      </c>
      <c r="P2064" s="34" t="str">
        <f t="shared" si="538"/>
        <v/>
      </c>
      <c r="Q2064" s="34" t="str">
        <f t="shared" si="539"/>
        <v/>
      </c>
      <c r="R2064" s="34" t="str">
        <f t="shared" si="556"/>
        <v/>
      </c>
      <c r="S2064" s="34" t="str">
        <f t="shared" si="557"/>
        <v/>
      </c>
      <c r="T2064" s="34" t="str">
        <f t="shared" si="558"/>
        <v/>
      </c>
      <c r="U2064" s="34" t="str">
        <f>IF(AND(L2064=1,bp_kode=T2064,T2064&lt;&gt;""),COUNTIF($T$8:T2064,T2064),"")</f>
        <v/>
      </c>
      <c r="V2064" s="34" t="str">
        <f t="shared" si="559"/>
        <v/>
      </c>
      <c r="W2064" s="34" t="str">
        <f t="shared" si="560"/>
        <v/>
      </c>
      <c r="X2064" s="34" t="str">
        <f>IF(B2064="","",COUNTIF($C$8:C2064,C2064)&amp;C2064)</f>
        <v/>
      </c>
    </row>
    <row r="2065" spans="2:24" ht="23.1" customHeight="1">
      <c r="B2065" s="31"/>
      <c r="C2065" s="9"/>
      <c r="D2065" s="9"/>
      <c r="E2065" s="7"/>
      <c r="F2065" s="7"/>
      <c r="G2065" s="7"/>
      <c r="H2065" s="7"/>
      <c r="I2065" s="7"/>
      <c r="J2065" s="39"/>
      <c r="L2065" s="16" t="str">
        <f t="shared" si="535"/>
        <v/>
      </c>
      <c r="M2065" s="16" t="str">
        <f t="shared" si="555"/>
        <v/>
      </c>
      <c r="N2065" s="16" t="str">
        <f t="shared" si="537"/>
        <v/>
      </c>
      <c r="O2065" s="16" t="str">
        <f>IF(N2065="","",COUNTIF($N$8:N2065,N2065))</f>
        <v/>
      </c>
      <c r="P2065" s="34" t="str">
        <f t="shared" si="538"/>
        <v/>
      </c>
      <c r="Q2065" s="34" t="str">
        <f t="shared" si="539"/>
        <v/>
      </c>
      <c r="R2065" s="34" t="str">
        <f t="shared" si="556"/>
        <v/>
      </c>
      <c r="S2065" s="34" t="str">
        <f t="shared" si="557"/>
        <v/>
      </c>
      <c r="T2065" s="34" t="str">
        <f t="shared" si="558"/>
        <v/>
      </c>
      <c r="U2065" s="34" t="str">
        <f>IF(AND(L2065=1,bp_kode=T2065,T2065&lt;&gt;""),COUNTIF($T$8:T2065,T2065),"")</f>
        <v/>
      </c>
      <c r="V2065" s="34" t="str">
        <f t="shared" si="559"/>
        <v/>
      </c>
      <c r="W2065" s="34" t="str">
        <f t="shared" si="560"/>
        <v/>
      </c>
      <c r="X2065" s="34" t="str">
        <f>IF(B2065="","",COUNTIF($C$8:C2065,C2065)&amp;C2065)</f>
        <v/>
      </c>
    </row>
    <row r="2066" spans="2:24" ht="23.1" customHeight="1">
      <c r="B2066" s="31"/>
      <c r="C2066" s="9"/>
      <c r="D2066" s="9"/>
      <c r="E2066" s="7"/>
      <c r="F2066" s="7"/>
      <c r="G2066" s="7"/>
      <c r="H2066" s="7"/>
      <c r="I2066" s="7"/>
      <c r="J2066" s="39"/>
      <c r="L2066" s="16" t="str">
        <f t="shared" si="535"/>
        <v/>
      </c>
      <c r="M2066" s="16" t="str">
        <f t="shared" si="555"/>
        <v/>
      </c>
      <c r="N2066" s="16" t="str">
        <f t="shared" si="537"/>
        <v/>
      </c>
      <c r="O2066" s="16" t="str">
        <f>IF(N2066="","",COUNTIF($N$8:N2066,N2066))</f>
        <v/>
      </c>
      <c r="P2066" s="34" t="str">
        <f t="shared" si="538"/>
        <v/>
      </c>
      <c r="Q2066" s="34" t="str">
        <f t="shared" si="539"/>
        <v/>
      </c>
      <c r="R2066" s="34" t="str">
        <f t="shared" si="556"/>
        <v/>
      </c>
      <c r="S2066" s="34" t="str">
        <f t="shared" si="557"/>
        <v/>
      </c>
      <c r="T2066" s="34" t="str">
        <f t="shared" si="558"/>
        <v/>
      </c>
      <c r="U2066" s="34" t="str">
        <f>IF(AND(L2066=1,bp_kode=T2066,T2066&lt;&gt;""),COUNTIF($T$8:T2066,T2066),"")</f>
        <v/>
      </c>
      <c r="V2066" s="34" t="str">
        <f t="shared" si="559"/>
        <v/>
      </c>
      <c r="W2066" s="34" t="str">
        <f t="shared" si="560"/>
        <v/>
      </c>
      <c r="X2066" s="34" t="str">
        <f>IF(B2066="","",COUNTIF($C$8:C2066,C2066)&amp;C2066)</f>
        <v/>
      </c>
    </row>
    <row r="2067" spans="2:24" ht="23.1" customHeight="1">
      <c r="B2067" s="31"/>
      <c r="C2067" s="9"/>
      <c r="D2067" s="9"/>
      <c r="E2067" s="7"/>
      <c r="F2067" s="7"/>
      <c r="G2067" s="7"/>
      <c r="H2067" s="7"/>
      <c r="I2067" s="7"/>
      <c r="J2067" s="39"/>
      <c r="L2067" s="16" t="str">
        <f t="shared" si="535"/>
        <v/>
      </c>
      <c r="M2067" s="16" t="str">
        <f t="shared" si="555"/>
        <v/>
      </c>
      <c r="N2067" s="16" t="str">
        <f t="shared" si="537"/>
        <v/>
      </c>
      <c r="O2067" s="16" t="str">
        <f>IF(N2067="","",COUNTIF($N$8:N2067,N2067))</f>
        <v/>
      </c>
      <c r="P2067" s="34" t="str">
        <f t="shared" si="538"/>
        <v/>
      </c>
      <c r="Q2067" s="34" t="str">
        <f t="shared" si="539"/>
        <v/>
      </c>
      <c r="R2067" s="34" t="str">
        <f t="shared" si="556"/>
        <v/>
      </c>
      <c r="S2067" s="34" t="str">
        <f t="shared" si="557"/>
        <v/>
      </c>
      <c r="T2067" s="34" t="str">
        <f t="shared" si="558"/>
        <v/>
      </c>
      <c r="U2067" s="34" t="str">
        <f>IF(AND(L2067=1,bp_kode=T2067,T2067&lt;&gt;""),COUNTIF($T$8:T2067,T2067),"")</f>
        <v/>
      </c>
      <c r="V2067" s="34" t="str">
        <f t="shared" si="559"/>
        <v/>
      </c>
      <c r="W2067" s="34" t="str">
        <f t="shared" si="560"/>
        <v/>
      </c>
      <c r="X2067" s="34" t="str">
        <f>IF(B2067="","",COUNTIF($C$8:C2067,C2067)&amp;C2067)</f>
        <v/>
      </c>
    </row>
    <row r="2068" spans="2:24" ht="23.1" customHeight="1">
      <c r="B2068" s="31"/>
      <c r="C2068" s="9"/>
      <c r="D2068" s="9"/>
      <c r="E2068" s="7"/>
      <c r="F2068" s="7"/>
      <c r="G2068" s="7"/>
      <c r="H2068" s="7"/>
      <c r="I2068" s="7"/>
      <c r="J2068" s="39"/>
      <c r="L2068" s="16" t="str">
        <f t="shared" si="535"/>
        <v/>
      </c>
      <c r="M2068" s="16" t="str">
        <f t="shared" si="555"/>
        <v/>
      </c>
      <c r="N2068" s="16" t="str">
        <f t="shared" si="537"/>
        <v/>
      </c>
      <c r="O2068" s="16" t="str">
        <f>IF(N2068="","",COUNTIF($N$8:N2068,N2068))</f>
        <v/>
      </c>
      <c r="P2068" s="34" t="str">
        <f t="shared" si="538"/>
        <v/>
      </c>
      <c r="Q2068" s="34" t="str">
        <f t="shared" si="539"/>
        <v/>
      </c>
      <c r="R2068" s="34" t="str">
        <f t="shared" si="556"/>
        <v/>
      </c>
      <c r="S2068" s="34" t="str">
        <f t="shared" si="557"/>
        <v/>
      </c>
      <c r="T2068" s="34" t="str">
        <f t="shared" si="558"/>
        <v/>
      </c>
      <c r="U2068" s="34" t="str">
        <f>IF(AND(L2068=1,bp_kode=T2068,T2068&lt;&gt;""),COUNTIF($T$8:T2068,T2068),"")</f>
        <v/>
      </c>
      <c r="V2068" s="34" t="str">
        <f t="shared" si="559"/>
        <v/>
      </c>
      <c r="W2068" s="34" t="str">
        <f t="shared" si="560"/>
        <v/>
      </c>
      <c r="X2068" s="34" t="str">
        <f>IF(B2068="","",COUNTIF($C$8:C2068,C2068)&amp;C2068)</f>
        <v/>
      </c>
    </row>
    <row r="2069" spans="2:24" ht="23.1" customHeight="1">
      <c r="B2069" s="31"/>
      <c r="C2069" s="9"/>
      <c r="D2069" s="9"/>
      <c r="E2069" s="7"/>
      <c r="F2069" s="7"/>
      <c r="G2069" s="7"/>
      <c r="H2069" s="7"/>
      <c r="I2069" s="7"/>
      <c r="J2069" s="39"/>
      <c r="L2069" s="16" t="str">
        <f t="shared" si="535"/>
        <v/>
      </c>
      <c r="M2069" s="16" t="str">
        <f t="shared" si="555"/>
        <v/>
      </c>
      <c r="N2069" s="16" t="str">
        <f t="shared" si="537"/>
        <v/>
      </c>
      <c r="O2069" s="16" t="str">
        <f>IF(N2069="","",COUNTIF($N$8:N2069,N2069))</f>
        <v/>
      </c>
      <c r="P2069" s="34" t="str">
        <f t="shared" si="538"/>
        <v/>
      </c>
      <c r="Q2069" s="34" t="str">
        <f t="shared" si="539"/>
        <v/>
      </c>
      <c r="R2069" s="34" t="str">
        <f t="shared" si="556"/>
        <v/>
      </c>
      <c r="S2069" s="34" t="str">
        <f t="shared" si="557"/>
        <v/>
      </c>
      <c r="T2069" s="34" t="str">
        <f t="shared" si="558"/>
        <v/>
      </c>
      <c r="U2069" s="34" t="str">
        <f>IF(AND(L2069=1,bp_kode=T2069,T2069&lt;&gt;""),COUNTIF($T$8:T2069,T2069),"")</f>
        <v/>
      </c>
      <c r="V2069" s="34" t="str">
        <f t="shared" si="559"/>
        <v/>
      </c>
      <c r="W2069" s="34" t="str">
        <f t="shared" si="560"/>
        <v/>
      </c>
      <c r="X2069" s="34" t="str">
        <f>IF(B2069="","",COUNTIF($C$8:C2069,C2069)&amp;C2069)</f>
        <v/>
      </c>
    </row>
    <row r="2070" spans="2:24" ht="23.1" customHeight="1">
      <c r="B2070" s="31"/>
      <c r="C2070" s="9"/>
      <c r="D2070" s="9"/>
      <c r="E2070" s="7"/>
      <c r="F2070" s="7"/>
      <c r="G2070" s="7"/>
      <c r="H2070" s="7"/>
      <c r="I2070" s="7"/>
      <c r="J2070" s="39"/>
      <c r="L2070" s="16" t="str">
        <f t="shared" si="535"/>
        <v/>
      </c>
      <c r="M2070" s="16" t="str">
        <f t="shared" si="555"/>
        <v/>
      </c>
      <c r="N2070" s="16" t="str">
        <f t="shared" si="537"/>
        <v/>
      </c>
      <c r="O2070" s="16" t="str">
        <f>IF(N2070="","",COUNTIF($N$8:N2070,N2070))</f>
        <v/>
      </c>
      <c r="P2070" s="34" t="str">
        <f t="shared" si="538"/>
        <v/>
      </c>
      <c r="Q2070" s="34" t="str">
        <f t="shared" si="539"/>
        <v/>
      </c>
      <c r="R2070" s="34" t="str">
        <f t="shared" si="556"/>
        <v/>
      </c>
      <c r="S2070" s="34" t="str">
        <f t="shared" si="557"/>
        <v/>
      </c>
      <c r="T2070" s="34" t="str">
        <f t="shared" si="558"/>
        <v/>
      </c>
      <c r="U2070" s="34" t="str">
        <f>IF(AND(L2070=1,bp_kode=T2070,T2070&lt;&gt;""),COUNTIF($T$8:T2070,T2070),"")</f>
        <v/>
      </c>
      <c r="V2070" s="34" t="str">
        <f t="shared" si="559"/>
        <v/>
      </c>
      <c r="W2070" s="34" t="str">
        <f t="shared" si="560"/>
        <v/>
      </c>
      <c r="X2070" s="34" t="str">
        <f>IF(B2070="","",COUNTIF($C$8:C2070,C2070)&amp;C2070)</f>
        <v/>
      </c>
    </row>
    <row r="2071" spans="2:24" ht="23.1" customHeight="1">
      <c r="B2071" s="31"/>
      <c r="C2071" s="9"/>
      <c r="D2071" s="9"/>
      <c r="E2071" s="7"/>
      <c r="F2071" s="7"/>
      <c r="G2071" s="7"/>
      <c r="H2071" s="7"/>
      <c r="I2071" s="7"/>
      <c r="J2071" s="39"/>
      <c r="L2071" s="16" t="str">
        <f t="shared" si="535"/>
        <v/>
      </c>
      <c r="M2071" s="16" t="str">
        <f t="shared" si="555"/>
        <v/>
      </c>
      <c r="N2071" s="16" t="str">
        <f t="shared" si="537"/>
        <v/>
      </c>
      <c r="O2071" s="16" t="str">
        <f>IF(N2071="","",COUNTIF($N$8:N2071,N2071))</f>
        <v/>
      </c>
      <c r="P2071" s="34" t="str">
        <f t="shared" si="538"/>
        <v/>
      </c>
      <c r="Q2071" s="34" t="str">
        <f t="shared" si="539"/>
        <v/>
      </c>
      <c r="R2071" s="34" t="str">
        <f t="shared" si="556"/>
        <v/>
      </c>
      <c r="S2071" s="34" t="str">
        <f t="shared" si="557"/>
        <v/>
      </c>
      <c r="T2071" s="34" t="str">
        <f t="shared" si="558"/>
        <v/>
      </c>
      <c r="U2071" s="34" t="str">
        <f>IF(AND(L2071=1,bp_kode=T2071,T2071&lt;&gt;""),COUNTIF($T$8:T2071,T2071),"")</f>
        <v/>
      </c>
      <c r="V2071" s="34" t="str">
        <f t="shared" si="559"/>
        <v/>
      </c>
      <c r="W2071" s="34" t="str">
        <f t="shared" si="560"/>
        <v/>
      </c>
      <c r="X2071" s="34" t="str">
        <f>IF(B2071="","",COUNTIF($C$8:C2071,C2071)&amp;C2071)</f>
        <v/>
      </c>
    </row>
    <row r="2072" spans="2:24" ht="23.1" customHeight="1">
      <c r="B2072" s="31"/>
      <c r="C2072" s="9"/>
      <c r="D2072" s="9"/>
      <c r="E2072" s="7"/>
      <c r="F2072" s="7"/>
      <c r="G2072" s="7"/>
      <c r="H2072" s="7"/>
      <c r="I2072" s="7"/>
      <c r="J2072" s="39"/>
      <c r="L2072" s="16" t="str">
        <f t="shared" si="535"/>
        <v/>
      </c>
      <c r="M2072" s="16" t="str">
        <f t="shared" si="555"/>
        <v/>
      </c>
      <c r="N2072" s="16" t="str">
        <f t="shared" si="537"/>
        <v/>
      </c>
      <c r="O2072" s="16" t="str">
        <f>IF(N2072="","",COUNTIF($N$8:N2072,N2072))</f>
        <v/>
      </c>
      <c r="P2072" s="34" t="str">
        <f t="shared" si="538"/>
        <v/>
      </c>
      <c r="Q2072" s="34" t="str">
        <f t="shared" si="539"/>
        <v/>
      </c>
      <c r="R2072" s="34" t="str">
        <f t="shared" si="556"/>
        <v/>
      </c>
      <c r="S2072" s="34" t="str">
        <f t="shared" si="557"/>
        <v/>
      </c>
      <c r="T2072" s="34" t="str">
        <f t="shared" si="558"/>
        <v/>
      </c>
      <c r="U2072" s="34" t="str">
        <f>IF(AND(L2072=1,bp_kode=T2072,T2072&lt;&gt;""),COUNTIF($T$8:T2072,T2072),"")</f>
        <v/>
      </c>
      <c r="V2072" s="34" t="str">
        <f t="shared" si="559"/>
        <v/>
      </c>
      <c r="W2072" s="34" t="str">
        <f t="shared" si="560"/>
        <v/>
      </c>
      <c r="X2072" s="34" t="str">
        <f>IF(B2072="","",COUNTIF($C$8:C2072,C2072)&amp;C2072)</f>
        <v/>
      </c>
    </row>
    <row r="2073" spans="2:24" ht="23.1" customHeight="1">
      <c r="B2073" s="31"/>
      <c r="C2073" s="9"/>
      <c r="D2073" s="9"/>
      <c r="E2073" s="7"/>
      <c r="F2073" s="7"/>
      <c r="G2073" s="7"/>
      <c r="H2073" s="7"/>
      <c r="I2073" s="7"/>
      <c r="J2073" s="39"/>
      <c r="L2073" s="16" t="str">
        <f t="shared" si="535"/>
        <v/>
      </c>
      <c r="M2073" s="16" t="str">
        <f t="shared" si="555"/>
        <v/>
      </c>
      <c r="N2073" s="16" t="str">
        <f t="shared" si="537"/>
        <v/>
      </c>
      <c r="O2073" s="16" t="str">
        <f>IF(N2073="","",COUNTIF($N$8:N2073,N2073))</f>
        <v/>
      </c>
      <c r="P2073" s="34" t="str">
        <f t="shared" si="538"/>
        <v/>
      </c>
      <c r="Q2073" s="34" t="str">
        <f t="shared" si="539"/>
        <v/>
      </c>
      <c r="R2073" s="34" t="str">
        <f t="shared" si="556"/>
        <v/>
      </c>
      <c r="S2073" s="34" t="str">
        <f t="shared" si="557"/>
        <v/>
      </c>
      <c r="T2073" s="34" t="str">
        <f t="shared" si="558"/>
        <v/>
      </c>
      <c r="U2073" s="34" t="str">
        <f>IF(AND(L2073=1,bp_kode=T2073,T2073&lt;&gt;""),COUNTIF($T$8:T2073,T2073),"")</f>
        <v/>
      </c>
      <c r="V2073" s="34" t="str">
        <f t="shared" si="559"/>
        <v/>
      </c>
      <c r="W2073" s="34" t="str">
        <f t="shared" si="560"/>
        <v/>
      </c>
      <c r="X2073" s="34" t="str">
        <f>IF(B2073="","",COUNTIF($C$8:C2073,C2073)&amp;C2073)</f>
        <v/>
      </c>
    </row>
    <row r="2074" spans="2:24" ht="23.1" customHeight="1">
      <c r="B2074" s="31"/>
      <c r="C2074" s="9"/>
      <c r="D2074" s="9"/>
      <c r="E2074" s="7"/>
      <c r="F2074" s="7"/>
      <c r="G2074" s="7"/>
      <c r="H2074" s="7"/>
      <c r="I2074" s="7"/>
      <c r="J2074" s="39"/>
      <c r="L2074" s="16" t="str">
        <f t="shared" si="535"/>
        <v/>
      </c>
      <c r="M2074" s="16" t="str">
        <f t="shared" si="555"/>
        <v/>
      </c>
      <c r="N2074" s="16" t="str">
        <f t="shared" si="537"/>
        <v/>
      </c>
      <c r="O2074" s="16" t="str">
        <f>IF(N2074="","",COUNTIF($N$8:N2074,N2074))</f>
        <v/>
      </c>
      <c r="P2074" s="34" t="str">
        <f t="shared" si="538"/>
        <v/>
      </c>
      <c r="Q2074" s="34" t="str">
        <f t="shared" si="539"/>
        <v/>
      </c>
      <c r="R2074" s="34" t="str">
        <f t="shared" si="556"/>
        <v/>
      </c>
      <c r="S2074" s="34" t="str">
        <f t="shared" si="557"/>
        <v/>
      </c>
      <c r="T2074" s="34" t="str">
        <f t="shared" si="558"/>
        <v/>
      </c>
      <c r="U2074" s="34" t="str">
        <f>IF(AND(L2074=1,bp_kode=T2074,T2074&lt;&gt;""),COUNTIF($T$8:T2074,T2074),"")</f>
        <v/>
      </c>
      <c r="V2074" s="34" t="str">
        <f t="shared" si="559"/>
        <v/>
      </c>
      <c r="W2074" s="34" t="str">
        <f t="shared" si="560"/>
        <v/>
      </c>
      <c r="X2074" s="34" t="str">
        <f>IF(B2074="","",COUNTIF($C$8:C2074,C2074)&amp;C2074)</f>
        <v/>
      </c>
    </row>
    <row r="2075" spans="2:24" ht="23.1" customHeight="1">
      <c r="B2075" s="31"/>
      <c r="C2075" s="9"/>
      <c r="D2075" s="9"/>
      <c r="E2075" s="7"/>
      <c r="F2075" s="7"/>
      <c r="G2075" s="7"/>
      <c r="H2075" s="7"/>
      <c r="I2075" s="7"/>
      <c r="J2075" s="39"/>
      <c r="L2075" s="16" t="str">
        <f t="shared" si="535"/>
        <v/>
      </c>
      <c r="M2075" s="16" t="str">
        <f t="shared" si="555"/>
        <v/>
      </c>
      <c r="N2075" s="16" t="str">
        <f t="shared" si="537"/>
        <v/>
      </c>
      <c r="O2075" s="16" t="str">
        <f>IF(N2075="","",COUNTIF($N$8:N2075,N2075))</f>
        <v/>
      </c>
      <c r="P2075" s="34" t="str">
        <f t="shared" si="538"/>
        <v/>
      </c>
      <c r="Q2075" s="34" t="str">
        <f t="shared" si="539"/>
        <v/>
      </c>
      <c r="R2075" s="34" t="str">
        <f t="shared" si="556"/>
        <v/>
      </c>
      <c r="S2075" s="34" t="str">
        <f t="shared" si="557"/>
        <v/>
      </c>
      <c r="T2075" s="34" t="str">
        <f t="shared" si="558"/>
        <v/>
      </c>
      <c r="U2075" s="34" t="str">
        <f>IF(AND(L2075=1,bp_kode=T2075,T2075&lt;&gt;""),COUNTIF($T$8:T2075,T2075),"")</f>
        <v/>
      </c>
      <c r="V2075" s="34" t="str">
        <f t="shared" si="559"/>
        <v/>
      </c>
      <c r="W2075" s="34" t="str">
        <f t="shared" si="560"/>
        <v/>
      </c>
      <c r="X2075" s="34" t="str">
        <f>IF(B2075="","",COUNTIF($C$8:C2075,C2075)&amp;C2075)</f>
        <v/>
      </c>
    </row>
    <row r="2076" spans="2:24" ht="23.1" customHeight="1">
      <c r="B2076" s="31"/>
      <c r="C2076" s="9"/>
      <c r="D2076" s="9"/>
      <c r="E2076" s="7"/>
      <c r="F2076" s="7"/>
      <c r="G2076" s="7"/>
      <c r="H2076" s="7"/>
      <c r="I2076" s="7"/>
      <c r="J2076" s="39"/>
      <c r="L2076" s="16" t="str">
        <f t="shared" si="535"/>
        <v/>
      </c>
      <c r="M2076" s="16" t="str">
        <f t="shared" si="555"/>
        <v/>
      </c>
      <c r="N2076" s="16" t="str">
        <f t="shared" si="537"/>
        <v/>
      </c>
      <c r="O2076" s="16" t="str">
        <f>IF(N2076="","",COUNTIF($N$8:N2076,N2076))</f>
        <v/>
      </c>
      <c r="P2076" s="34" t="str">
        <f t="shared" si="538"/>
        <v/>
      </c>
      <c r="Q2076" s="34" t="str">
        <f t="shared" si="539"/>
        <v/>
      </c>
      <c r="R2076" s="34" t="str">
        <f t="shared" si="556"/>
        <v/>
      </c>
      <c r="S2076" s="34" t="str">
        <f t="shared" si="557"/>
        <v/>
      </c>
      <c r="T2076" s="34" t="str">
        <f t="shared" si="558"/>
        <v/>
      </c>
      <c r="U2076" s="34" t="str">
        <f>IF(AND(L2076=1,bp_kode=T2076,T2076&lt;&gt;""),COUNTIF($T$8:T2076,T2076),"")</f>
        <v/>
      </c>
      <c r="V2076" s="34" t="str">
        <f t="shared" si="559"/>
        <v/>
      </c>
      <c r="W2076" s="34" t="str">
        <f t="shared" si="560"/>
        <v/>
      </c>
      <c r="X2076" s="34" t="str">
        <f>IF(B2076="","",COUNTIF($C$8:C2076,C2076)&amp;C2076)</f>
        <v/>
      </c>
    </row>
    <row r="2077" spans="2:24" ht="23.1" customHeight="1">
      <c r="B2077" s="31"/>
      <c r="C2077" s="9"/>
      <c r="D2077" s="9"/>
      <c r="E2077" s="7"/>
      <c r="F2077" s="7"/>
      <c r="G2077" s="7"/>
      <c r="H2077" s="7"/>
      <c r="I2077" s="7"/>
      <c r="J2077" s="39"/>
      <c r="L2077" s="16" t="str">
        <f t="shared" si="535"/>
        <v/>
      </c>
      <c r="M2077" s="16" t="str">
        <f t="shared" si="555"/>
        <v/>
      </c>
      <c r="N2077" s="16" t="str">
        <f t="shared" si="537"/>
        <v/>
      </c>
      <c r="O2077" s="16" t="str">
        <f>IF(N2077="","",COUNTIF($N$8:N2077,N2077))</f>
        <v/>
      </c>
      <c r="P2077" s="34" t="str">
        <f t="shared" si="538"/>
        <v/>
      </c>
      <c r="Q2077" s="34" t="str">
        <f t="shared" si="539"/>
        <v/>
      </c>
      <c r="R2077" s="34" t="str">
        <f t="shared" si="556"/>
        <v/>
      </c>
      <c r="S2077" s="34" t="str">
        <f t="shared" si="557"/>
        <v/>
      </c>
      <c r="T2077" s="34" t="str">
        <f t="shared" si="558"/>
        <v/>
      </c>
      <c r="U2077" s="34" t="str">
        <f>IF(AND(L2077=1,bp_kode=T2077,T2077&lt;&gt;""),COUNTIF($T$8:T2077,T2077),"")</f>
        <v/>
      </c>
      <c r="V2077" s="34" t="str">
        <f t="shared" si="559"/>
        <v/>
      </c>
      <c r="W2077" s="34" t="str">
        <f t="shared" si="560"/>
        <v/>
      </c>
      <c r="X2077" s="34" t="str">
        <f>IF(B2077="","",COUNTIF($C$8:C2077,C2077)&amp;C2077)</f>
        <v/>
      </c>
    </row>
    <row r="2078" spans="2:24" ht="23.1" customHeight="1">
      <c r="B2078" s="31"/>
      <c r="C2078" s="9"/>
      <c r="D2078" s="9"/>
      <c r="E2078" s="7"/>
      <c r="F2078" s="7"/>
      <c r="G2078" s="7"/>
      <c r="H2078" s="7"/>
      <c r="I2078" s="7"/>
      <c r="J2078" s="39"/>
      <c r="L2078" s="16" t="str">
        <f t="shared" si="535"/>
        <v/>
      </c>
      <c r="M2078" s="16" t="str">
        <f t="shared" si="555"/>
        <v/>
      </c>
      <c r="N2078" s="16" t="str">
        <f t="shared" si="537"/>
        <v/>
      </c>
      <c r="O2078" s="16" t="str">
        <f>IF(N2078="","",COUNTIF($N$8:N2078,N2078))</f>
        <v/>
      </c>
      <c r="P2078" s="34" t="str">
        <f t="shared" si="538"/>
        <v/>
      </c>
      <c r="Q2078" s="34" t="str">
        <f t="shared" si="539"/>
        <v/>
      </c>
      <c r="R2078" s="34" t="str">
        <f t="shared" si="556"/>
        <v/>
      </c>
      <c r="S2078" s="34" t="str">
        <f t="shared" si="557"/>
        <v/>
      </c>
      <c r="T2078" s="34" t="str">
        <f t="shared" si="558"/>
        <v/>
      </c>
      <c r="U2078" s="34" t="str">
        <f>IF(AND(L2078=1,bp_kode=T2078,T2078&lt;&gt;""),COUNTIF($T$8:T2078,T2078),"")</f>
        <v/>
      </c>
      <c r="V2078" s="34" t="str">
        <f t="shared" si="559"/>
        <v/>
      </c>
      <c r="W2078" s="34" t="str">
        <f t="shared" si="560"/>
        <v/>
      </c>
      <c r="X2078" s="34" t="str">
        <f>IF(B2078="","",COUNTIF($C$8:C2078,C2078)&amp;C2078)</f>
        <v/>
      </c>
    </row>
    <row r="2079" spans="2:24" ht="23.1" customHeight="1">
      <c r="B2079" s="31"/>
      <c r="C2079" s="9"/>
      <c r="D2079" s="9"/>
      <c r="E2079" s="7"/>
      <c r="F2079" s="7"/>
      <c r="G2079" s="7"/>
      <c r="H2079" s="7"/>
      <c r="I2079" s="7"/>
      <c r="J2079" s="39"/>
      <c r="L2079" s="16" t="str">
        <f t="shared" si="535"/>
        <v/>
      </c>
      <c r="M2079" s="16" t="str">
        <f t="shared" si="555"/>
        <v/>
      </c>
      <c r="N2079" s="16" t="str">
        <f t="shared" si="537"/>
        <v/>
      </c>
      <c r="O2079" s="16" t="str">
        <f>IF(N2079="","",COUNTIF($N$8:N2079,N2079))</f>
        <v/>
      </c>
      <c r="P2079" s="34" t="str">
        <f t="shared" si="538"/>
        <v/>
      </c>
      <c r="Q2079" s="34" t="str">
        <f t="shared" si="539"/>
        <v/>
      </c>
      <c r="R2079" s="34" t="str">
        <f t="shared" si="556"/>
        <v/>
      </c>
      <c r="S2079" s="34" t="str">
        <f t="shared" si="557"/>
        <v/>
      </c>
      <c r="T2079" s="34" t="str">
        <f t="shared" si="558"/>
        <v/>
      </c>
      <c r="U2079" s="34" t="str">
        <f>IF(AND(L2079=1,bp_kode=T2079,T2079&lt;&gt;""),COUNTIF($T$8:T2079,T2079),"")</f>
        <v/>
      </c>
      <c r="V2079" s="34" t="str">
        <f t="shared" si="559"/>
        <v/>
      </c>
      <c r="W2079" s="34" t="str">
        <f t="shared" si="560"/>
        <v/>
      </c>
      <c r="X2079" s="34" t="str">
        <f>IF(B2079="","",COUNTIF($C$8:C2079,C2079)&amp;C2079)</f>
        <v/>
      </c>
    </row>
    <row r="2080" spans="2:24" ht="23.1" customHeight="1">
      <c r="B2080" s="31"/>
      <c r="C2080" s="9"/>
      <c r="D2080" s="9"/>
      <c r="E2080" s="7"/>
      <c r="F2080" s="7"/>
      <c r="G2080" s="7"/>
      <c r="H2080" s="7"/>
      <c r="I2080" s="7"/>
      <c r="J2080" s="39"/>
      <c r="L2080" s="16" t="str">
        <f t="shared" si="535"/>
        <v/>
      </c>
      <c r="M2080" s="16" t="str">
        <f t="shared" si="555"/>
        <v/>
      </c>
      <c r="N2080" s="16" t="str">
        <f t="shared" si="537"/>
        <v/>
      </c>
      <c r="O2080" s="16" t="str">
        <f>IF(N2080="","",COUNTIF($N$8:N2080,N2080))</f>
        <v/>
      </c>
      <c r="P2080" s="34" t="str">
        <f t="shared" si="538"/>
        <v/>
      </c>
      <c r="Q2080" s="34" t="str">
        <f t="shared" si="539"/>
        <v/>
      </c>
      <c r="R2080" s="34" t="str">
        <f t="shared" si="556"/>
        <v/>
      </c>
      <c r="S2080" s="34" t="str">
        <f t="shared" si="557"/>
        <v/>
      </c>
      <c r="T2080" s="34" t="str">
        <f t="shared" si="558"/>
        <v/>
      </c>
      <c r="U2080" s="34" t="str">
        <f>IF(AND(L2080=1,bp_kode=T2080,T2080&lt;&gt;""),COUNTIF($T$8:T2080,T2080),"")</f>
        <v/>
      </c>
      <c r="V2080" s="34" t="str">
        <f t="shared" si="559"/>
        <v/>
      </c>
      <c r="W2080" s="34" t="str">
        <f t="shared" si="560"/>
        <v/>
      </c>
      <c r="X2080" s="34" t="str">
        <f>IF(B2080="","",COUNTIF($C$8:C2080,C2080)&amp;C2080)</f>
        <v/>
      </c>
    </row>
    <row r="2081" spans="2:24" ht="23.1" customHeight="1">
      <c r="B2081" s="31"/>
      <c r="C2081" s="9"/>
      <c r="D2081" s="9"/>
      <c r="E2081" s="7"/>
      <c r="F2081" s="7"/>
      <c r="G2081" s="7"/>
      <c r="H2081" s="7"/>
      <c r="I2081" s="7"/>
      <c r="J2081" s="39"/>
      <c r="L2081" s="16" t="str">
        <f t="shared" si="535"/>
        <v/>
      </c>
      <c r="M2081" s="16" t="str">
        <f t="shared" si="555"/>
        <v/>
      </c>
      <c r="N2081" s="16" t="str">
        <f t="shared" si="537"/>
        <v/>
      </c>
      <c r="O2081" s="16" t="str">
        <f>IF(N2081="","",COUNTIF($N$8:N2081,N2081))</f>
        <v/>
      </c>
      <c r="P2081" s="34" t="str">
        <f t="shared" si="538"/>
        <v/>
      </c>
      <c r="Q2081" s="34" t="str">
        <f t="shared" si="539"/>
        <v/>
      </c>
      <c r="R2081" s="34" t="str">
        <f t="shared" si="556"/>
        <v/>
      </c>
      <c r="S2081" s="34" t="str">
        <f t="shared" si="557"/>
        <v/>
      </c>
      <c r="T2081" s="34" t="str">
        <f t="shared" si="558"/>
        <v/>
      </c>
      <c r="U2081" s="34" t="str">
        <f>IF(AND(L2081=1,bp_kode=T2081,T2081&lt;&gt;""),COUNTIF($T$8:T2081,T2081),"")</f>
        <v/>
      </c>
      <c r="V2081" s="34" t="str">
        <f t="shared" si="559"/>
        <v/>
      </c>
      <c r="W2081" s="34" t="str">
        <f t="shared" si="560"/>
        <v/>
      </c>
      <c r="X2081" s="34" t="str">
        <f>IF(B2081="","",COUNTIF($C$8:C2081,C2081)&amp;C2081)</f>
        <v/>
      </c>
    </row>
    <row r="2082" spans="2:24" ht="23.1" customHeight="1">
      <c r="B2082" s="31"/>
      <c r="C2082" s="9"/>
      <c r="D2082" s="9"/>
      <c r="E2082" s="7"/>
      <c r="F2082" s="7"/>
      <c r="G2082" s="7"/>
      <c r="H2082" s="7"/>
      <c r="I2082" s="7"/>
      <c r="J2082" s="39"/>
      <c r="L2082" s="16" t="str">
        <f t="shared" si="535"/>
        <v/>
      </c>
      <c r="M2082" s="16" t="str">
        <f t="shared" si="555"/>
        <v/>
      </c>
      <c r="N2082" s="16" t="str">
        <f t="shared" si="537"/>
        <v/>
      </c>
      <c r="O2082" s="16" t="str">
        <f>IF(N2082="","",COUNTIF($N$8:N2082,N2082))</f>
        <v/>
      </c>
      <c r="P2082" s="34" t="str">
        <f t="shared" si="538"/>
        <v/>
      </c>
      <c r="Q2082" s="34" t="str">
        <f t="shared" si="539"/>
        <v/>
      </c>
      <c r="R2082" s="34" t="str">
        <f t="shared" si="556"/>
        <v/>
      </c>
      <c r="S2082" s="34" t="str">
        <f t="shared" si="557"/>
        <v/>
      </c>
      <c r="T2082" s="34" t="str">
        <f t="shared" si="558"/>
        <v/>
      </c>
      <c r="U2082" s="34" t="str">
        <f>IF(AND(L2082=1,bp_kode=T2082,T2082&lt;&gt;""),COUNTIF($T$8:T2082,T2082),"")</f>
        <v/>
      </c>
      <c r="V2082" s="34" t="str">
        <f t="shared" si="559"/>
        <v/>
      </c>
      <c r="W2082" s="34" t="str">
        <f t="shared" si="560"/>
        <v/>
      </c>
      <c r="X2082" s="34" t="str">
        <f>IF(B2082="","",COUNTIF($C$8:C2082,C2082)&amp;C2082)</f>
        <v/>
      </c>
    </row>
    <row r="2083" spans="2:24" ht="23.1" customHeight="1">
      <c r="B2083" s="31"/>
      <c r="C2083" s="9"/>
      <c r="D2083" s="9"/>
      <c r="E2083" s="7"/>
      <c r="F2083" s="7"/>
      <c r="G2083" s="7"/>
      <c r="H2083" s="7"/>
      <c r="I2083" s="7"/>
      <c r="J2083" s="39"/>
      <c r="L2083" s="16" t="str">
        <f t="shared" si="535"/>
        <v/>
      </c>
      <c r="M2083" s="16" t="str">
        <f t="shared" si="555"/>
        <v/>
      </c>
      <c r="N2083" s="16" t="str">
        <f t="shared" si="537"/>
        <v/>
      </c>
      <c r="O2083" s="16" t="str">
        <f>IF(N2083="","",COUNTIF($N$8:N2083,N2083))</f>
        <v/>
      </c>
      <c r="P2083" s="34" t="str">
        <f t="shared" si="538"/>
        <v/>
      </c>
      <c r="Q2083" s="34" t="str">
        <f t="shared" si="539"/>
        <v/>
      </c>
      <c r="R2083" s="34" t="str">
        <f t="shared" si="556"/>
        <v/>
      </c>
      <c r="S2083" s="34" t="str">
        <f t="shared" si="557"/>
        <v/>
      </c>
      <c r="T2083" s="34" t="str">
        <f t="shared" si="558"/>
        <v/>
      </c>
      <c r="U2083" s="34" t="str">
        <f>IF(AND(L2083=1,bp_kode=T2083,T2083&lt;&gt;""),COUNTIF($T$8:T2083,T2083),"")</f>
        <v/>
      </c>
      <c r="V2083" s="34" t="str">
        <f t="shared" si="559"/>
        <v/>
      </c>
      <c r="W2083" s="34" t="str">
        <f t="shared" si="560"/>
        <v/>
      </c>
      <c r="X2083" s="34" t="str">
        <f>IF(B2083="","",COUNTIF($C$8:C2083,C2083)&amp;C2083)</f>
        <v/>
      </c>
    </row>
    <row r="2084" spans="2:24" ht="23.1" customHeight="1">
      <c r="B2084" s="31"/>
      <c r="C2084" s="9"/>
      <c r="D2084" s="9"/>
      <c r="E2084" s="7"/>
      <c r="F2084" s="7"/>
      <c r="G2084" s="7"/>
      <c r="H2084" s="7"/>
      <c r="I2084" s="7"/>
      <c r="J2084" s="39"/>
      <c r="L2084" s="16" t="str">
        <f t="shared" ref="L2084:L2098" si="1069">IF(AND(B2084&gt;=awal,B2084&lt;=akhir,B2084&lt;&gt;""),1,IF(AND(B2084&lt;&gt;"",B2084&lt;awal),2,""))</f>
        <v/>
      </c>
      <c r="M2084" s="16" t="str">
        <f t="shared" si="555"/>
        <v/>
      </c>
      <c r="N2084" s="16" t="str">
        <f t="shared" ref="N2084:N2098" si="1070">IF(AND(L2084=1,H2084=bb_akun),"Awe",IF(AND(L2084=1,I2084=bb_akun),"Awe",""))</f>
        <v/>
      </c>
      <c r="O2084" s="16" t="str">
        <f>IF(N2084="","",COUNTIF($N$8:N2084,N2084))</f>
        <v/>
      </c>
      <c r="P2084" s="34" t="str">
        <f t="shared" ref="P2084:P2098" si="1071">IFERROR(IF(OR(INDEX(akun_type,MATCH(H2084,akun_kb,0))="Kas",INDEX(akun_type,MATCH(H2084,akun_kb,0))="Bank"),"In"&amp;INDEX(akun_type,MATCH(I2084,akun_kb,0)),IF(OR(INDEX(akun_type,MATCH(I2084,akun_kb,0))="Kas",INDEX(akun_type,MATCH(I2084,akun_kb,0))="Bank"),"out"&amp;INDEX(akun_type,MATCH(H2084,akun_kb,0)),"")),"")</f>
        <v/>
      </c>
      <c r="Q2084" s="34" t="str">
        <f t="shared" ref="Q2084:Q2098" si="1072">IFERROR(IF(OR(INDEX(akun_type,MATCH(H2084,akun_kb,0))="Kas",INDEX(akun_type,MATCH(H2084,akun_kb,0))="Bank"),"in"&amp;TEXT(B2084,"mmmm")&amp;INDEX(akun_type,MATCH(I2084,akun_kb,0)),IF(OR(INDEX(akun_type,MATCH(I2084,akun_kb,0))="Kas",INDEX(akun_type,MATCH(I2084,akun_kb,0))="Bank"),"out"&amp;TEXT(B2084,"mmmm")&amp;INDEX(akun_type,MATCH(H2084,akun_kb,0)),"")),"")</f>
        <v/>
      </c>
      <c r="R2084" s="34" t="str">
        <f t="shared" si="556"/>
        <v/>
      </c>
      <c r="S2084" s="34" t="str">
        <f t="shared" si="557"/>
        <v/>
      </c>
      <c r="T2084" s="34" t="str">
        <f t="shared" si="558"/>
        <v/>
      </c>
      <c r="U2084" s="34" t="str">
        <f>IF(AND(L2084=1,bp_kode=T2084,T2084&lt;&gt;""),COUNTIF($T$8:T2084,T2084),"")</f>
        <v/>
      </c>
      <c r="V2084" s="34" t="str">
        <f t="shared" si="559"/>
        <v/>
      </c>
      <c r="W2084" s="34" t="str">
        <f t="shared" si="560"/>
        <v/>
      </c>
      <c r="X2084" s="34" t="str">
        <f>IF(B2084="","",COUNTIF($C$8:C2084,C2084)&amp;C2084)</f>
        <v/>
      </c>
    </row>
    <row r="2085" spans="2:24" ht="23.1" customHeight="1">
      <c r="B2085" s="31"/>
      <c r="C2085" s="9"/>
      <c r="D2085" s="9"/>
      <c r="E2085" s="7"/>
      <c r="F2085" s="7"/>
      <c r="G2085" s="7"/>
      <c r="H2085" s="7"/>
      <c r="I2085" s="7"/>
      <c r="J2085" s="39"/>
      <c r="L2085" s="16" t="str">
        <f t="shared" si="1069"/>
        <v/>
      </c>
      <c r="M2085" s="16" t="str">
        <f t="shared" si="555"/>
        <v/>
      </c>
      <c r="N2085" s="16" t="str">
        <f t="shared" si="1070"/>
        <v/>
      </c>
      <c r="O2085" s="16" t="str">
        <f>IF(N2085="","",COUNTIF($N$8:N2085,N2085))</f>
        <v/>
      </c>
      <c r="P2085" s="34" t="str">
        <f t="shared" si="1071"/>
        <v/>
      </c>
      <c r="Q2085" s="34" t="str">
        <f t="shared" si="1072"/>
        <v/>
      </c>
      <c r="R2085" s="34" t="str">
        <f t="shared" si="556"/>
        <v/>
      </c>
      <c r="S2085" s="34" t="str">
        <f t="shared" si="557"/>
        <v/>
      </c>
      <c r="T2085" s="34" t="str">
        <f t="shared" si="558"/>
        <v/>
      </c>
      <c r="U2085" s="34" t="str">
        <f>IF(AND(L2085=1,bp_kode=T2085,T2085&lt;&gt;""),COUNTIF($T$8:T2085,T2085),"")</f>
        <v/>
      </c>
      <c r="V2085" s="34" t="str">
        <f t="shared" si="559"/>
        <v/>
      </c>
      <c r="W2085" s="34" t="str">
        <f t="shared" si="560"/>
        <v/>
      </c>
      <c r="X2085" s="34" t="str">
        <f>IF(B2085="","",COUNTIF($C$8:C2085,C2085)&amp;C2085)</f>
        <v/>
      </c>
    </row>
    <row r="2086" spans="2:24" ht="23.1" customHeight="1">
      <c r="B2086" s="31"/>
      <c r="C2086" s="9"/>
      <c r="D2086" s="9"/>
      <c r="E2086" s="7"/>
      <c r="F2086" s="7"/>
      <c r="G2086" s="7"/>
      <c r="H2086" s="7"/>
      <c r="I2086" s="7"/>
      <c r="J2086" s="39"/>
      <c r="L2086" s="16" t="str">
        <f t="shared" si="1069"/>
        <v/>
      </c>
      <c r="M2086" s="16" t="str">
        <f t="shared" si="555"/>
        <v/>
      </c>
      <c r="N2086" s="16" t="str">
        <f t="shared" si="1070"/>
        <v/>
      </c>
      <c r="O2086" s="16" t="str">
        <f>IF(N2086="","",COUNTIF($N$8:N2086,N2086))</f>
        <v/>
      </c>
      <c r="P2086" s="34" t="str">
        <f t="shared" si="1071"/>
        <v/>
      </c>
      <c r="Q2086" s="34" t="str">
        <f t="shared" si="1072"/>
        <v/>
      </c>
      <c r="R2086" s="34" t="str">
        <f t="shared" si="556"/>
        <v/>
      </c>
      <c r="S2086" s="34" t="str">
        <f t="shared" si="557"/>
        <v/>
      </c>
      <c r="T2086" s="34" t="str">
        <f t="shared" si="558"/>
        <v/>
      </c>
      <c r="U2086" s="34" t="str">
        <f>IF(AND(L2086=1,bp_kode=T2086,T2086&lt;&gt;""),COUNTIF($T$8:T2086,T2086),"")</f>
        <v/>
      </c>
      <c r="V2086" s="34" t="str">
        <f t="shared" si="559"/>
        <v/>
      </c>
      <c r="W2086" s="34" t="str">
        <f t="shared" si="560"/>
        <v/>
      </c>
      <c r="X2086" s="34" t="str">
        <f>IF(B2086="","",COUNTIF($C$8:C2086,C2086)&amp;C2086)</f>
        <v/>
      </c>
    </row>
    <row r="2087" spans="2:24" ht="23.1" customHeight="1">
      <c r="B2087" s="31"/>
      <c r="C2087" s="9"/>
      <c r="D2087" s="9"/>
      <c r="E2087" s="7"/>
      <c r="F2087" s="7"/>
      <c r="G2087" s="7"/>
      <c r="H2087" s="7"/>
      <c r="I2087" s="7"/>
      <c r="J2087" s="39"/>
      <c r="L2087" s="16" t="str">
        <f t="shared" si="1069"/>
        <v/>
      </c>
      <c r="M2087" s="16" t="str">
        <f t="shared" si="555"/>
        <v/>
      </c>
      <c r="N2087" s="16" t="str">
        <f t="shared" si="1070"/>
        <v/>
      </c>
      <c r="O2087" s="16" t="str">
        <f>IF(N2087="","",COUNTIF($N$8:N2087,N2087))</f>
        <v/>
      </c>
      <c r="P2087" s="34" t="str">
        <f t="shared" si="1071"/>
        <v/>
      </c>
      <c r="Q2087" s="34" t="str">
        <f t="shared" si="1072"/>
        <v/>
      </c>
      <c r="R2087" s="34" t="str">
        <f t="shared" si="556"/>
        <v/>
      </c>
      <c r="S2087" s="34" t="str">
        <f t="shared" si="557"/>
        <v/>
      </c>
      <c r="T2087" s="34" t="str">
        <f t="shared" si="558"/>
        <v/>
      </c>
      <c r="U2087" s="34" t="str">
        <f>IF(AND(L2087=1,bp_kode=T2087,T2087&lt;&gt;""),COUNTIF($T$8:T2087,T2087),"")</f>
        <v/>
      </c>
      <c r="V2087" s="34" t="str">
        <f t="shared" si="559"/>
        <v/>
      </c>
      <c r="W2087" s="34" t="str">
        <f t="shared" si="560"/>
        <v/>
      </c>
      <c r="X2087" s="34" t="str">
        <f>IF(B2087="","",COUNTIF($C$8:C2087,C2087)&amp;C2087)</f>
        <v/>
      </c>
    </row>
    <row r="2088" spans="2:24" ht="23.1" customHeight="1">
      <c r="B2088" s="31"/>
      <c r="C2088" s="9"/>
      <c r="D2088" s="9"/>
      <c r="E2088" s="7"/>
      <c r="F2088" s="7"/>
      <c r="G2088" s="7"/>
      <c r="H2088" s="7"/>
      <c r="I2088" s="7"/>
      <c r="J2088" s="39"/>
      <c r="L2088" s="16" t="str">
        <f t="shared" si="1069"/>
        <v/>
      </c>
      <c r="M2088" s="16" t="str">
        <f t="shared" si="555"/>
        <v/>
      </c>
      <c r="N2088" s="16" t="str">
        <f t="shared" si="1070"/>
        <v/>
      </c>
      <c r="O2088" s="16" t="str">
        <f>IF(N2088="","",COUNTIF($N$8:N2088,N2088))</f>
        <v/>
      </c>
      <c r="P2088" s="34" t="str">
        <f t="shared" si="1071"/>
        <v/>
      </c>
      <c r="Q2088" s="34" t="str">
        <f t="shared" si="1072"/>
        <v/>
      </c>
      <c r="R2088" s="34" t="str">
        <f t="shared" si="556"/>
        <v/>
      </c>
      <c r="S2088" s="34" t="str">
        <f t="shared" si="557"/>
        <v/>
      </c>
      <c r="T2088" s="34" t="str">
        <f t="shared" si="558"/>
        <v/>
      </c>
      <c r="U2088" s="34" t="str">
        <f>IF(AND(L2088=1,bp_kode=T2088,T2088&lt;&gt;""),COUNTIF($T$8:T2088,T2088),"")</f>
        <v/>
      </c>
      <c r="V2088" s="34" t="str">
        <f t="shared" si="559"/>
        <v/>
      </c>
      <c r="W2088" s="34" t="str">
        <f t="shared" si="560"/>
        <v/>
      </c>
      <c r="X2088" s="34" t="str">
        <f>IF(B2088="","",COUNTIF($C$8:C2088,C2088)&amp;C2088)</f>
        <v/>
      </c>
    </row>
    <row r="2089" spans="2:24" ht="23.1" customHeight="1">
      <c r="B2089" s="31"/>
      <c r="C2089" s="9"/>
      <c r="D2089" s="9"/>
      <c r="E2089" s="7"/>
      <c r="F2089" s="7"/>
      <c r="G2089" s="7"/>
      <c r="H2089" s="7"/>
      <c r="I2089" s="7"/>
      <c r="J2089" s="39"/>
      <c r="L2089" s="16" t="str">
        <f t="shared" si="1069"/>
        <v/>
      </c>
      <c r="M2089" s="16" t="str">
        <f t="shared" si="555"/>
        <v/>
      </c>
      <c r="N2089" s="16" t="str">
        <f t="shared" si="1070"/>
        <v/>
      </c>
      <c r="O2089" s="16" t="str">
        <f>IF(N2089="","",COUNTIF($N$8:N2089,N2089))</f>
        <v/>
      </c>
      <c r="P2089" s="34" t="str">
        <f t="shared" si="1071"/>
        <v/>
      </c>
      <c r="Q2089" s="34" t="str">
        <f t="shared" si="1072"/>
        <v/>
      </c>
      <c r="R2089" s="34" t="str">
        <f t="shared" si="556"/>
        <v/>
      </c>
      <c r="S2089" s="34" t="str">
        <f t="shared" si="557"/>
        <v/>
      </c>
      <c r="T2089" s="34" t="str">
        <f t="shared" si="558"/>
        <v/>
      </c>
      <c r="U2089" s="34" t="str">
        <f>IF(AND(L2089=1,bp_kode=T2089,T2089&lt;&gt;""),COUNTIF($T$8:T2089,T2089),"")</f>
        <v/>
      </c>
      <c r="V2089" s="34" t="str">
        <f t="shared" si="559"/>
        <v/>
      </c>
      <c r="W2089" s="34" t="str">
        <f t="shared" si="560"/>
        <v/>
      </c>
      <c r="X2089" s="34" t="str">
        <f>IF(B2089="","",COUNTIF($C$8:C2089,C2089)&amp;C2089)</f>
        <v/>
      </c>
    </row>
    <row r="2090" spans="2:24" ht="23.1" customHeight="1">
      <c r="B2090" s="31"/>
      <c r="C2090" s="9"/>
      <c r="D2090" s="9"/>
      <c r="E2090" s="7"/>
      <c r="F2090" s="7"/>
      <c r="G2090" s="7"/>
      <c r="H2090" s="7"/>
      <c r="I2090" s="7"/>
      <c r="J2090" s="39"/>
      <c r="L2090" s="16" t="str">
        <f t="shared" si="1069"/>
        <v/>
      </c>
      <c r="M2090" s="16" t="str">
        <f t="shared" si="555"/>
        <v/>
      </c>
      <c r="N2090" s="16" t="str">
        <f t="shared" si="1070"/>
        <v/>
      </c>
      <c r="O2090" s="16" t="str">
        <f>IF(N2090="","",COUNTIF($N$8:N2090,N2090))</f>
        <v/>
      </c>
      <c r="P2090" s="34" t="str">
        <f t="shared" si="1071"/>
        <v/>
      </c>
      <c r="Q2090" s="34" t="str">
        <f t="shared" si="1072"/>
        <v/>
      </c>
      <c r="R2090" s="34" t="str">
        <f t="shared" si="556"/>
        <v/>
      </c>
      <c r="S2090" s="34" t="str">
        <f t="shared" si="557"/>
        <v/>
      </c>
      <c r="T2090" s="34" t="str">
        <f t="shared" si="558"/>
        <v/>
      </c>
      <c r="U2090" s="34" t="str">
        <f>IF(AND(L2090=1,bp_kode=T2090,T2090&lt;&gt;""),COUNTIF($T$8:T2090,T2090),"")</f>
        <v/>
      </c>
      <c r="V2090" s="34" t="str">
        <f t="shared" si="559"/>
        <v/>
      </c>
      <c r="W2090" s="34" t="str">
        <f t="shared" si="560"/>
        <v/>
      </c>
      <c r="X2090" s="34" t="str">
        <f>IF(B2090="","",COUNTIF($C$8:C2090,C2090)&amp;C2090)</f>
        <v/>
      </c>
    </row>
    <row r="2091" spans="2:24" ht="23.1" customHeight="1">
      <c r="B2091" s="31"/>
      <c r="C2091" s="9"/>
      <c r="D2091" s="9"/>
      <c r="E2091" s="7"/>
      <c r="F2091" s="7"/>
      <c r="G2091" s="7"/>
      <c r="H2091" s="7"/>
      <c r="I2091" s="7"/>
      <c r="J2091" s="39"/>
      <c r="L2091" s="16" t="str">
        <f t="shared" si="1069"/>
        <v/>
      </c>
      <c r="M2091" s="16" t="str">
        <f t="shared" si="555"/>
        <v/>
      </c>
      <c r="N2091" s="16" t="str">
        <f t="shared" si="1070"/>
        <v/>
      </c>
      <c r="O2091" s="16" t="str">
        <f>IF(N2091="","",COUNTIF($N$8:N2091,N2091))</f>
        <v/>
      </c>
      <c r="P2091" s="34" t="str">
        <f t="shared" si="1071"/>
        <v/>
      </c>
      <c r="Q2091" s="34" t="str">
        <f t="shared" si="1072"/>
        <v/>
      </c>
      <c r="R2091" s="34" t="str">
        <f t="shared" si="556"/>
        <v/>
      </c>
      <c r="S2091" s="34" t="str">
        <f t="shared" si="557"/>
        <v/>
      </c>
      <c r="T2091" s="34" t="str">
        <f t="shared" si="558"/>
        <v/>
      </c>
      <c r="U2091" s="34" t="str">
        <f>IF(AND(L2091=1,bp_kode=T2091,T2091&lt;&gt;""),COUNTIF($T$8:T2091,T2091),"")</f>
        <v/>
      </c>
      <c r="V2091" s="34" t="str">
        <f t="shared" si="559"/>
        <v/>
      </c>
      <c r="W2091" s="34" t="str">
        <f t="shared" si="560"/>
        <v/>
      </c>
      <c r="X2091" s="34" t="str">
        <f>IF(B2091="","",COUNTIF($C$8:C2091,C2091)&amp;C2091)</f>
        <v/>
      </c>
    </row>
    <row r="2092" spans="2:24" ht="23.1" customHeight="1">
      <c r="B2092" s="31"/>
      <c r="C2092" s="9"/>
      <c r="D2092" s="9"/>
      <c r="E2092" s="7"/>
      <c r="F2092" s="7"/>
      <c r="G2092" s="7"/>
      <c r="H2092" s="7"/>
      <c r="I2092" s="7"/>
      <c r="J2092" s="39"/>
      <c r="L2092" s="16" t="str">
        <f t="shared" si="1069"/>
        <v/>
      </c>
      <c r="M2092" s="16" t="str">
        <f t="shared" ref="M2092:M2096" si="1073">IF(B2092="","",TEXT(B2092,"mmmm"))</f>
        <v/>
      </c>
      <c r="N2092" s="16" t="str">
        <f t="shared" si="1070"/>
        <v/>
      </c>
      <c r="O2092" s="16" t="str">
        <f>IF(N2092="","",COUNTIF($N$8:N2092,N2092))</f>
        <v/>
      </c>
      <c r="P2092" s="34" t="str">
        <f t="shared" si="1071"/>
        <v/>
      </c>
      <c r="Q2092" s="34" t="str">
        <f t="shared" si="1072"/>
        <v/>
      </c>
      <c r="R2092" s="34" t="str">
        <f t="shared" ref="R2092:R2096" si="1074">IFERROR(INDEX(akun_type,MATCH(H2092,akun_kb,0)),"")</f>
        <v/>
      </c>
      <c r="S2092" s="34" t="str">
        <f t="shared" ref="S2092:S2096" si="1075">IFERROR(INDEX(akun_type,MATCH(I2092,akun_kb,0)),"")</f>
        <v/>
      </c>
      <c r="T2092" s="34" t="str">
        <f t="shared" ref="T2092:T2096" si="1076">IF(AND(L2092=1,OR(R2092="Akun Piutang",R2092="akun hutang",S2092="akun piutang",S2092="akun hutang")),E2092,"")</f>
        <v/>
      </c>
      <c r="U2092" s="34" t="str">
        <f>IF(AND(L2092=1,bp_kode=T2092,T2092&lt;&gt;""),COUNTIF($T$8:T2092,T2092),"")</f>
        <v/>
      </c>
      <c r="V2092" s="34" t="str">
        <f t="shared" ref="V2092:V2096" si="1077">IF(OR(R2092="Pendapatan",R2092="Pendapatan Lainnya",R2092="Beban",R2092="Harga Pokok Penjualan",R2092="Beban Lainnya"),"db"&amp;F2092,IF(OR(S2092="Pendapatan",S2092="Pendapatan Lainnya",S2092="Beban",S2092="Harga Pokok Penjualan",S2092="Beban Lainnya"),"kr"&amp;F2092,""))</f>
        <v/>
      </c>
      <c r="W2092" s="34" t="str">
        <f t="shared" ref="W2092:W2096" si="1078">IF(OR(R2092="Pendapatan",R2092="Pendapatan Lainnya",R2092="Beban",R2092="Harga Pokok Penjualan",R2092="Beban Lainnya"),"db"&amp;G2092,IF(OR(S2092="Pendapatan",S2092="Pendapatan Lainnya",S2092="Beban",S2092="Harga Pokok Penjualan",S2092="Beban Lainnya"),"kr"&amp;G2092,""))</f>
        <v/>
      </c>
      <c r="X2092" s="34" t="str">
        <f>IF(B2092="","",COUNTIF($C$8:C2092,C2092)&amp;C2092)</f>
        <v/>
      </c>
    </row>
    <row r="2093" spans="2:24" ht="23.1" customHeight="1">
      <c r="B2093" s="31"/>
      <c r="C2093" s="9"/>
      <c r="D2093" s="9"/>
      <c r="E2093" s="7"/>
      <c r="F2093" s="7"/>
      <c r="G2093" s="7"/>
      <c r="H2093" s="7"/>
      <c r="I2093" s="7"/>
      <c r="J2093" s="39"/>
      <c r="L2093" s="16" t="str">
        <f t="shared" si="1069"/>
        <v/>
      </c>
      <c r="M2093" s="16" t="str">
        <f t="shared" si="1073"/>
        <v/>
      </c>
      <c r="N2093" s="16" t="str">
        <f t="shared" si="1070"/>
        <v/>
      </c>
      <c r="O2093" s="16" t="str">
        <f>IF(N2093="","",COUNTIF($N$8:N2093,N2093))</f>
        <v/>
      </c>
      <c r="P2093" s="34" t="str">
        <f t="shared" si="1071"/>
        <v/>
      </c>
      <c r="Q2093" s="34" t="str">
        <f t="shared" si="1072"/>
        <v/>
      </c>
      <c r="R2093" s="34" t="str">
        <f t="shared" si="1074"/>
        <v/>
      </c>
      <c r="S2093" s="34" t="str">
        <f t="shared" si="1075"/>
        <v/>
      </c>
      <c r="T2093" s="34" t="str">
        <f t="shared" si="1076"/>
        <v/>
      </c>
      <c r="U2093" s="34" t="str">
        <f>IF(AND(L2093=1,bp_kode=T2093,T2093&lt;&gt;""),COUNTIF($T$8:T2093,T2093),"")</f>
        <v/>
      </c>
      <c r="V2093" s="34" t="str">
        <f t="shared" si="1077"/>
        <v/>
      </c>
      <c r="W2093" s="34" t="str">
        <f t="shared" si="1078"/>
        <v/>
      </c>
      <c r="X2093" s="34" t="str">
        <f>IF(B2093="","",COUNTIF($C$8:C2093,C2093)&amp;C2093)</f>
        <v/>
      </c>
    </row>
    <row r="2094" spans="2:24" ht="23.1" customHeight="1">
      <c r="B2094" s="31"/>
      <c r="C2094" s="9"/>
      <c r="D2094" s="9"/>
      <c r="E2094" s="7"/>
      <c r="F2094" s="7"/>
      <c r="G2094" s="7"/>
      <c r="H2094" s="7"/>
      <c r="I2094" s="7"/>
      <c r="J2094" s="39"/>
      <c r="L2094" s="16" t="str">
        <f t="shared" ref="L2094:L2096" si="1079">IF(AND(B2094&gt;=awal,B2094&lt;=akhir,B2094&lt;&gt;""),1,IF(AND(B2094&lt;&gt;"",B2094&lt;awal),2,""))</f>
        <v/>
      </c>
      <c r="M2094" s="16" t="str">
        <f t="shared" si="1073"/>
        <v/>
      </c>
      <c r="N2094" s="16" t="str">
        <f t="shared" ref="N2094:N2096" si="1080">IF(AND(L2094=1,H2094=bb_akun),"Awe",IF(AND(L2094=1,I2094=bb_akun),"Awe",""))</f>
        <v/>
      </c>
      <c r="O2094" s="16" t="str">
        <f>IF(N2094="","",COUNTIF($N$8:N2094,N2094))</f>
        <v/>
      </c>
      <c r="P2094" s="34" t="str">
        <f t="shared" ref="P2094:P2096" si="1081">IFERROR(IF(OR(INDEX(akun_type,MATCH(H2094,akun_kb,0))="Kas",INDEX(akun_type,MATCH(H2094,akun_kb,0))="Bank"),"In"&amp;INDEX(akun_type,MATCH(I2094,akun_kb,0)),IF(OR(INDEX(akun_type,MATCH(I2094,akun_kb,0))="Kas",INDEX(akun_type,MATCH(I2094,akun_kb,0))="Bank"),"out"&amp;INDEX(akun_type,MATCH(H2094,akun_kb,0)),"")),"")</f>
        <v/>
      </c>
      <c r="Q2094" s="34" t="str">
        <f t="shared" ref="Q2094:Q2096" si="1082">IFERROR(IF(OR(INDEX(akun_type,MATCH(H2094,akun_kb,0))="Kas",INDEX(akun_type,MATCH(H2094,akun_kb,0))="Bank"),"in"&amp;TEXT(B2094,"mmmm")&amp;INDEX(akun_type,MATCH(I2094,akun_kb,0)),IF(OR(INDEX(akun_type,MATCH(I2094,akun_kb,0))="Kas",INDEX(akun_type,MATCH(I2094,akun_kb,0))="Bank"),"out"&amp;TEXT(B2094,"mmmm")&amp;INDEX(akun_type,MATCH(H2094,akun_kb,0)),"")),"")</f>
        <v/>
      </c>
      <c r="R2094" s="34" t="str">
        <f t="shared" si="1074"/>
        <v/>
      </c>
      <c r="S2094" s="34" t="str">
        <f t="shared" si="1075"/>
        <v/>
      </c>
      <c r="T2094" s="34" t="str">
        <f t="shared" si="1076"/>
        <v/>
      </c>
      <c r="U2094" s="34" t="str">
        <f>IF(AND(L2094=1,bp_kode=T2094,T2094&lt;&gt;""),COUNTIF($T$8:T2094,T2094),"")</f>
        <v/>
      </c>
      <c r="V2094" s="34" t="str">
        <f t="shared" si="1077"/>
        <v/>
      </c>
      <c r="W2094" s="34" t="str">
        <f t="shared" si="1078"/>
        <v/>
      </c>
      <c r="X2094" s="34" t="str">
        <f>IF(B2094="","",COUNTIF($C$8:C2094,C2094)&amp;C2094)</f>
        <v/>
      </c>
    </row>
    <row r="2095" spans="2:24" ht="23.1" customHeight="1">
      <c r="B2095" s="31"/>
      <c r="C2095" s="9"/>
      <c r="D2095" s="9"/>
      <c r="E2095" s="7"/>
      <c r="F2095" s="7"/>
      <c r="G2095" s="7"/>
      <c r="H2095" s="7"/>
      <c r="I2095" s="7"/>
      <c r="J2095" s="39"/>
      <c r="L2095" s="16" t="str">
        <f t="shared" si="1079"/>
        <v/>
      </c>
      <c r="M2095" s="16" t="str">
        <f t="shared" si="1073"/>
        <v/>
      </c>
      <c r="N2095" s="16" t="str">
        <f t="shared" si="1080"/>
        <v/>
      </c>
      <c r="O2095" s="16" t="str">
        <f>IF(N2095="","",COUNTIF($N$8:N2095,N2095))</f>
        <v/>
      </c>
      <c r="P2095" s="34" t="str">
        <f t="shared" si="1081"/>
        <v/>
      </c>
      <c r="Q2095" s="34" t="str">
        <f t="shared" si="1082"/>
        <v/>
      </c>
      <c r="R2095" s="34" t="str">
        <f t="shared" si="1074"/>
        <v/>
      </c>
      <c r="S2095" s="34" t="str">
        <f t="shared" si="1075"/>
        <v/>
      </c>
      <c r="T2095" s="34" t="str">
        <f t="shared" si="1076"/>
        <v/>
      </c>
      <c r="U2095" s="34" t="str">
        <f>IF(AND(L2095=1,bp_kode=T2095,T2095&lt;&gt;""),COUNTIF($T$8:T2095,T2095),"")</f>
        <v/>
      </c>
      <c r="V2095" s="34" t="str">
        <f t="shared" si="1077"/>
        <v/>
      </c>
      <c r="W2095" s="34" t="str">
        <f t="shared" si="1078"/>
        <v/>
      </c>
      <c r="X2095" s="34" t="str">
        <f>IF(B2095="","",COUNTIF($C$8:C2095,C2095)&amp;C2095)</f>
        <v/>
      </c>
    </row>
    <row r="2096" spans="2:24" ht="23.1" customHeight="1">
      <c r="B2096" s="31"/>
      <c r="C2096" s="9"/>
      <c r="D2096" s="9"/>
      <c r="E2096" s="7"/>
      <c r="F2096" s="7"/>
      <c r="G2096" s="7"/>
      <c r="H2096" s="7"/>
      <c r="I2096" s="7"/>
      <c r="J2096" s="39"/>
      <c r="L2096" s="16" t="str">
        <f t="shared" si="1079"/>
        <v/>
      </c>
      <c r="M2096" s="16" t="str">
        <f t="shared" si="1073"/>
        <v/>
      </c>
      <c r="N2096" s="16" t="str">
        <f t="shared" si="1080"/>
        <v/>
      </c>
      <c r="O2096" s="16" t="str">
        <f>IF(N2096="","",COUNTIF($N$8:N2096,N2096))</f>
        <v/>
      </c>
      <c r="P2096" s="34" t="str">
        <f t="shared" si="1081"/>
        <v/>
      </c>
      <c r="Q2096" s="34" t="str">
        <f t="shared" si="1082"/>
        <v/>
      </c>
      <c r="R2096" s="34" t="str">
        <f t="shared" si="1074"/>
        <v/>
      </c>
      <c r="S2096" s="34" t="str">
        <f t="shared" si="1075"/>
        <v/>
      </c>
      <c r="T2096" s="34" t="str">
        <f t="shared" si="1076"/>
        <v/>
      </c>
      <c r="U2096" s="34" t="str">
        <f>IF(AND(L2096=1,bp_kode=T2096,T2096&lt;&gt;""),COUNTIF($T$8:T2096,T2096),"")</f>
        <v/>
      </c>
      <c r="V2096" s="34" t="str">
        <f t="shared" si="1077"/>
        <v/>
      </c>
      <c r="W2096" s="34" t="str">
        <f t="shared" si="1078"/>
        <v/>
      </c>
      <c r="X2096" s="34" t="str">
        <f>IF(B2096="","",COUNTIF($C$8:C2096,C2096)&amp;C2096)</f>
        <v/>
      </c>
    </row>
    <row r="2097" spans="2:24" ht="23.1" customHeight="1">
      <c r="B2097" s="31"/>
      <c r="C2097" s="9"/>
      <c r="D2097" s="9"/>
      <c r="E2097" s="7"/>
      <c r="F2097" s="7"/>
      <c r="G2097" s="7"/>
      <c r="H2097" s="7"/>
      <c r="I2097" s="7"/>
      <c r="J2097" s="39"/>
      <c r="L2097" s="16" t="str">
        <f t="shared" si="1069"/>
        <v/>
      </c>
      <c r="M2097" s="16" t="str">
        <f t="shared" si="555"/>
        <v/>
      </c>
      <c r="N2097" s="16" t="str">
        <f t="shared" si="1070"/>
        <v/>
      </c>
      <c r="O2097" s="16" t="str">
        <f>IF(N2097="","",COUNTIF($N$8:N2097,N2097))</f>
        <v/>
      </c>
      <c r="P2097" s="34" t="str">
        <f t="shared" si="1071"/>
        <v/>
      </c>
      <c r="Q2097" s="34" t="str">
        <f t="shared" si="1072"/>
        <v/>
      </c>
      <c r="R2097" s="34" t="str">
        <f t="shared" si="556"/>
        <v/>
      </c>
      <c r="S2097" s="34" t="str">
        <f t="shared" si="557"/>
        <v/>
      </c>
      <c r="T2097" s="34" t="str">
        <f t="shared" si="558"/>
        <v/>
      </c>
      <c r="U2097" s="34" t="str">
        <f>IF(AND(L2097=1,bp_kode=T2097,T2097&lt;&gt;""),COUNTIF($T$8:T2097,T2097),"")</f>
        <v/>
      </c>
      <c r="V2097" s="34" t="str">
        <f t="shared" si="559"/>
        <v/>
      </c>
      <c r="W2097" s="34" t="str">
        <f t="shared" si="560"/>
        <v/>
      </c>
      <c r="X2097" s="34" t="str">
        <f>IF(B2097="","",COUNTIF($C$8:C2097,C2097)&amp;C2097)</f>
        <v/>
      </c>
    </row>
    <row r="2098" spans="2:24" ht="23.1" customHeight="1">
      <c r="B2098" s="31"/>
      <c r="C2098" s="9"/>
      <c r="D2098" s="9"/>
      <c r="E2098" s="7"/>
      <c r="F2098" s="7"/>
      <c r="G2098" s="7"/>
      <c r="H2098" s="7"/>
      <c r="I2098" s="7"/>
      <c r="J2098" s="39"/>
      <c r="L2098" s="16" t="str">
        <f t="shared" si="1069"/>
        <v/>
      </c>
      <c r="M2098" s="16" t="str">
        <f t="shared" si="555"/>
        <v/>
      </c>
      <c r="N2098" s="16" t="str">
        <f t="shared" si="1070"/>
        <v/>
      </c>
      <c r="O2098" s="16" t="str">
        <f>IF(N2098="","",COUNTIF($N$8:N2098,N2098))</f>
        <v/>
      </c>
      <c r="P2098" s="34" t="str">
        <f t="shared" si="1071"/>
        <v/>
      </c>
      <c r="Q2098" s="34" t="str">
        <f t="shared" si="1072"/>
        <v/>
      </c>
      <c r="R2098" s="34" t="str">
        <f t="shared" si="556"/>
        <v/>
      </c>
      <c r="S2098" s="34" t="str">
        <f t="shared" si="557"/>
        <v/>
      </c>
      <c r="T2098" s="34" t="str">
        <f t="shared" si="558"/>
        <v/>
      </c>
      <c r="U2098" s="34" t="str">
        <f>IF(AND(L2098=1,bp_kode=T2098,T2098&lt;&gt;""),COUNTIF($T$8:T2098,T2098),"")</f>
        <v/>
      </c>
      <c r="V2098" s="34" t="str">
        <f t="shared" si="559"/>
        <v/>
      </c>
      <c r="W2098" s="34" t="str">
        <f t="shared" si="560"/>
        <v/>
      </c>
      <c r="X2098" s="34" t="str">
        <f>IF(B2098="","",COUNTIF($C$8:C2098,C2098)&amp;C2098)</f>
        <v/>
      </c>
    </row>
    <row r="2099" spans="2:24" ht="23.1" customHeight="1">
      <c r="B2099" s="31"/>
      <c r="C2099" s="9"/>
      <c r="D2099" s="9"/>
      <c r="E2099" s="7"/>
      <c r="F2099" s="7"/>
      <c r="G2099" s="7"/>
      <c r="H2099" s="7"/>
      <c r="I2099" s="7"/>
      <c r="J2099" s="39"/>
      <c r="L2099" s="16" t="str">
        <f t="shared" si="535"/>
        <v/>
      </c>
      <c r="M2099" s="16" t="str">
        <f t="shared" si="536"/>
        <v/>
      </c>
      <c r="N2099" s="16" t="str">
        <f t="shared" si="537"/>
        <v/>
      </c>
      <c r="O2099" s="16" t="str">
        <f>IF(N2099="","",COUNTIF($N$8:N2099,N2099))</f>
        <v/>
      </c>
      <c r="P2099" s="34" t="str">
        <f t="shared" si="538"/>
        <v/>
      </c>
      <c r="Q2099" s="34" t="str">
        <f t="shared" si="539"/>
        <v/>
      </c>
      <c r="R2099" s="34" t="str">
        <f t="shared" si="540"/>
        <v/>
      </c>
      <c r="S2099" s="34" t="str">
        <f t="shared" si="541"/>
        <v/>
      </c>
      <c r="T2099" s="34" t="str">
        <f t="shared" si="542"/>
        <v/>
      </c>
      <c r="U2099" s="34" t="str">
        <f>IF(AND(L2099=1,bp_kode=T2099,T2099&lt;&gt;""),COUNTIF($T$8:T2099,T2099),"")</f>
        <v/>
      </c>
      <c r="V2099" s="34" t="str">
        <f t="shared" si="543"/>
        <v/>
      </c>
      <c r="W2099" s="34" t="str">
        <f t="shared" si="544"/>
        <v/>
      </c>
      <c r="X2099" s="34" t="str">
        <f>IF(B2099="","",COUNTIF($C$8:C2099,C2099)&amp;C2099)</f>
        <v/>
      </c>
    </row>
    <row r="2100" spans="2:24" ht="23.1" customHeight="1">
      <c r="B2100" s="31"/>
      <c r="C2100" s="9"/>
      <c r="D2100" s="9"/>
      <c r="E2100" s="7"/>
      <c r="F2100" s="7"/>
      <c r="G2100" s="7"/>
      <c r="H2100" s="7"/>
      <c r="I2100" s="7"/>
      <c r="J2100" s="39"/>
      <c r="L2100" s="16" t="str">
        <f t="shared" si="535"/>
        <v/>
      </c>
      <c r="M2100" s="16" t="str">
        <f t="shared" si="536"/>
        <v/>
      </c>
      <c r="N2100" s="16" t="str">
        <f t="shared" si="537"/>
        <v/>
      </c>
      <c r="O2100" s="16" t="str">
        <f>IF(N2100="","",COUNTIF($N$8:N2100,N2100))</f>
        <v/>
      </c>
      <c r="P2100" s="34" t="str">
        <f t="shared" si="538"/>
        <v/>
      </c>
      <c r="Q2100" s="34" t="str">
        <f t="shared" si="539"/>
        <v/>
      </c>
      <c r="R2100" s="34" t="str">
        <f t="shared" si="540"/>
        <v/>
      </c>
      <c r="S2100" s="34" t="str">
        <f t="shared" si="541"/>
        <v/>
      </c>
      <c r="T2100" s="34" t="str">
        <f t="shared" si="542"/>
        <v/>
      </c>
      <c r="U2100" s="34" t="str">
        <f>IF(AND(L2100=1,bp_kode=T2100,T2100&lt;&gt;""),COUNTIF($T$8:T2100,T2100),"")</f>
        <v/>
      </c>
      <c r="V2100" s="34" t="str">
        <f t="shared" si="543"/>
        <v/>
      </c>
      <c r="W2100" s="34" t="str">
        <f t="shared" si="544"/>
        <v/>
      </c>
      <c r="X2100" s="34" t="str">
        <f>IF(B2100="","",COUNTIF($C$8:C2100,C2100)&amp;C2100)</f>
        <v/>
      </c>
    </row>
    <row r="2101" spans="2:24" ht="23.1" customHeight="1">
      <c r="B2101" s="31"/>
      <c r="C2101" s="9"/>
      <c r="D2101" s="9"/>
      <c r="E2101" s="7"/>
      <c r="F2101" s="7"/>
      <c r="G2101" s="7"/>
      <c r="H2101" s="7"/>
      <c r="I2101" s="7"/>
      <c r="J2101" s="39"/>
      <c r="L2101" s="16" t="str">
        <f t="shared" si="535"/>
        <v/>
      </c>
      <c r="M2101" s="16" t="str">
        <f t="shared" si="536"/>
        <v/>
      </c>
      <c r="N2101" s="16" t="str">
        <f t="shared" si="537"/>
        <v/>
      </c>
      <c r="O2101" s="16" t="str">
        <f>IF(N2101="","",COUNTIF($N$8:N2101,N2101))</f>
        <v/>
      </c>
      <c r="P2101" s="34" t="str">
        <f t="shared" si="538"/>
        <v/>
      </c>
      <c r="Q2101" s="34" t="str">
        <f t="shared" si="539"/>
        <v/>
      </c>
      <c r="R2101" s="34" t="str">
        <f t="shared" si="540"/>
        <v/>
      </c>
      <c r="S2101" s="34" t="str">
        <f t="shared" si="541"/>
        <v/>
      </c>
      <c r="T2101" s="34" t="str">
        <f t="shared" si="542"/>
        <v/>
      </c>
      <c r="U2101" s="34" t="str">
        <f>IF(AND(L2101=1,bp_kode=T2101,T2101&lt;&gt;""),COUNTIF($T$8:T2101,T2101),"")</f>
        <v/>
      </c>
      <c r="V2101" s="34" t="str">
        <f t="shared" si="543"/>
        <v/>
      </c>
      <c r="W2101" s="34" t="str">
        <f t="shared" si="544"/>
        <v/>
      </c>
      <c r="X2101" s="34" t="str">
        <f>IF(B2101="","",COUNTIF($C$8:C2101,C2101)&amp;C2101)</f>
        <v/>
      </c>
    </row>
    <row r="2102" spans="2:24" ht="23.1" customHeight="1">
      <c r="B2102" s="31"/>
      <c r="C2102" s="9"/>
      <c r="D2102" s="9"/>
      <c r="E2102" s="7"/>
      <c r="F2102" s="7"/>
      <c r="G2102" s="7"/>
      <c r="H2102" s="7"/>
      <c r="I2102" s="7"/>
      <c r="J2102" s="39"/>
      <c r="L2102" s="16" t="str">
        <f t="shared" si="535"/>
        <v/>
      </c>
      <c r="M2102" s="16" t="str">
        <f t="shared" si="536"/>
        <v/>
      </c>
      <c r="N2102" s="16" t="str">
        <f t="shared" si="537"/>
        <v/>
      </c>
      <c r="O2102" s="16" t="str">
        <f>IF(N2102="","",COUNTIF($N$8:N2102,N2102))</f>
        <v/>
      </c>
      <c r="P2102" s="34" t="str">
        <f t="shared" si="538"/>
        <v/>
      </c>
      <c r="Q2102" s="34" t="str">
        <f t="shared" si="539"/>
        <v/>
      </c>
      <c r="R2102" s="34" t="str">
        <f t="shared" si="540"/>
        <v/>
      </c>
      <c r="S2102" s="34" t="str">
        <f t="shared" si="541"/>
        <v/>
      </c>
      <c r="T2102" s="34" t="str">
        <f t="shared" si="542"/>
        <v/>
      </c>
      <c r="U2102" s="34" t="str">
        <f>IF(AND(L2102=1,bp_kode=T2102,T2102&lt;&gt;""),COUNTIF($T$8:T2102,T2102),"")</f>
        <v/>
      </c>
      <c r="V2102" s="34" t="str">
        <f t="shared" si="543"/>
        <v/>
      </c>
      <c r="W2102" s="34" t="str">
        <f t="shared" si="544"/>
        <v/>
      </c>
      <c r="X2102" s="34" t="str">
        <f>IF(B2102="","",COUNTIF($C$8:C2102,C2102)&amp;C2102)</f>
        <v/>
      </c>
    </row>
    <row r="2103" spans="2:24" ht="23.1" customHeight="1">
      <c r="B2103" s="31"/>
      <c r="C2103" s="9"/>
      <c r="D2103" s="9"/>
      <c r="E2103" s="7"/>
      <c r="F2103" s="7"/>
      <c r="G2103" s="7"/>
      <c r="H2103" s="7"/>
      <c r="I2103" s="7"/>
      <c r="J2103" s="39"/>
      <c r="L2103" s="16" t="str">
        <f t="shared" si="535"/>
        <v/>
      </c>
      <c r="M2103" s="16" t="str">
        <f t="shared" si="536"/>
        <v/>
      </c>
      <c r="N2103" s="16" t="str">
        <f t="shared" si="537"/>
        <v/>
      </c>
      <c r="O2103" s="16" t="str">
        <f>IF(N2103="","",COUNTIF($N$8:N2103,N2103))</f>
        <v/>
      </c>
      <c r="P2103" s="34" t="str">
        <f t="shared" si="538"/>
        <v/>
      </c>
      <c r="Q2103" s="34" t="str">
        <f t="shared" si="539"/>
        <v/>
      </c>
      <c r="R2103" s="34" t="str">
        <f t="shared" si="540"/>
        <v/>
      </c>
      <c r="S2103" s="34" t="str">
        <f t="shared" si="541"/>
        <v/>
      </c>
      <c r="T2103" s="34" t="str">
        <f t="shared" si="542"/>
        <v/>
      </c>
      <c r="U2103" s="34" t="str">
        <f>IF(AND(L2103=1,bp_kode=T2103,T2103&lt;&gt;""),COUNTIF($T$8:T2103,T2103),"")</f>
        <v/>
      </c>
      <c r="V2103" s="34" t="str">
        <f t="shared" si="543"/>
        <v/>
      </c>
      <c r="W2103" s="34" t="str">
        <f t="shared" si="544"/>
        <v/>
      </c>
      <c r="X2103" s="34" t="str">
        <f>IF(B2103="","",COUNTIF($C$8:C2103,C2103)&amp;C2103)</f>
        <v/>
      </c>
    </row>
    <row r="2104" spans="2:24" ht="23.1" customHeight="1">
      <c r="B2104" s="131" t="s">
        <v>72</v>
      </c>
      <c r="C2104" s="133" t="s">
        <v>222</v>
      </c>
      <c r="D2104" s="133" t="s">
        <v>222</v>
      </c>
      <c r="E2104" s="133" t="s">
        <v>222</v>
      </c>
      <c r="F2104" s="133" t="s">
        <v>222</v>
      </c>
      <c r="G2104" s="133" t="s">
        <v>222</v>
      </c>
      <c r="H2104" s="133" t="s">
        <v>222</v>
      </c>
      <c r="I2104" s="133" t="s">
        <v>222</v>
      </c>
      <c r="J2104" s="132">
        <f>SUBTOTAL(9,J8:J2103)</f>
        <v>73027620286.230026</v>
      </c>
      <c r="L2104" s="16" t="str">
        <f t="shared" si="535"/>
        <v/>
      </c>
      <c r="M2104" s="16" t="str">
        <f t="shared" si="536"/>
        <v>Total</v>
      </c>
      <c r="N2104" s="16" t="str">
        <f t="shared" si="537"/>
        <v/>
      </c>
      <c r="O2104" s="16" t="str">
        <f>IF(N2104="","",COUNTIF($N$8:N2104,N2104))</f>
        <v/>
      </c>
      <c r="P2104" s="34" t="str">
        <f t="shared" si="538"/>
        <v/>
      </c>
      <c r="Q2104" s="34" t="str">
        <f t="shared" si="539"/>
        <v/>
      </c>
      <c r="R2104" s="34" t="str">
        <f t="shared" si="540"/>
        <v/>
      </c>
      <c r="S2104" s="34" t="str">
        <f t="shared" si="541"/>
        <v/>
      </c>
      <c r="T2104" s="34" t="str">
        <f t="shared" si="542"/>
        <v/>
      </c>
      <c r="U2104" s="34" t="str">
        <f>IF(AND(L2104=1,bp_kode=T2104,T2104&lt;&gt;""),COUNTIF($T$8:T2104,T2104),"")</f>
        <v/>
      </c>
      <c r="V2104" s="34" t="str">
        <f t="shared" si="543"/>
        <v/>
      </c>
      <c r="W2104" s="34" t="str">
        <f t="shared" si="544"/>
        <v/>
      </c>
      <c r="X2104" s="34" t="str">
        <f>IF(B2104="","",COUNTIF($C$8:C2104,C2104)&amp;C2104)</f>
        <v>1-</v>
      </c>
    </row>
  </sheetData>
  <autoFilter ref="B6:J2103" xr:uid="{F425DABC-3C7A-BA4D-BD3C-84F7D40FBDD2}"/>
  <mergeCells count="1">
    <mergeCell ref="B4:J4"/>
  </mergeCells>
  <phoneticPr fontId="7" type="noConversion"/>
  <dataValidations count="4">
    <dataValidation type="list" allowBlank="1" showInputMessage="1" showErrorMessage="1" sqref="E8:E2103" xr:uid="{A24292AA-BA50-AA46-B2F0-F1F398411E2F}">
      <formula1>val_kb</formula1>
    </dataValidation>
    <dataValidation type="list" allowBlank="1" showInputMessage="1" showErrorMessage="1" sqref="H8:I2103" xr:uid="{3A1D5CD2-21A4-4E44-805E-87BAA89C70BD}">
      <formula1>val_jurnal</formula1>
    </dataValidation>
    <dataValidation type="list" allowBlank="1" showInputMessage="1" showErrorMessage="1" sqref="F8:F2103" xr:uid="{2CB28FFE-2871-E746-81F5-1427BA502457}">
      <formula1>div_list</formula1>
    </dataValidation>
    <dataValidation type="list" allowBlank="1" showInputMessage="1" showErrorMessage="1" sqref="G8:G2103" xr:uid="{B120F189-4974-9A46-870D-9CBADE5EBA1F}">
      <formula1>prj_list</formula1>
    </dataValidation>
  </dataValidations>
  <hyperlinks>
    <hyperlink ref="B2" location="MENU!D8" display="MENU" xr:uid="{D96B3C29-AFE0-744B-8CE8-35FDA17AB881}"/>
  </hyperlinks>
  <pageMargins left="0.7" right="0.7" top="0.75" bottom="0.75" header="0.3" footer="0.3"/>
  <pageSetup paperSize="9" scale="15" fitToHeight="1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0A27-5A75-6A4C-A9CE-9220DDB6E8A1}">
  <sheetPr codeName="Sheet2">
    <pageSetUpPr fitToPage="1"/>
  </sheetPr>
  <dimension ref="B1:L276"/>
  <sheetViews>
    <sheetView showGridLines="0" tabSelected="1" zoomScaleNormal="100" workbookViewId="0">
      <pane ySplit="7" topLeftCell="A20" activePane="bottomLeft" state="frozen"/>
      <selection pane="bottomLeft" activeCell="B26" sqref="B26"/>
    </sheetView>
  </sheetViews>
  <sheetFormatPr defaultColWidth="10.875" defaultRowHeight="23.1" customHeight="1" outlineLevelCol="1"/>
  <cols>
    <col min="1" max="1" width="3.125" style="205" customWidth="1"/>
    <col min="2" max="2" width="10.875" style="206"/>
    <col min="3" max="3" width="60.625" style="206" bestFit="1" customWidth="1"/>
    <col min="4" max="4" width="25.375" style="206" bestFit="1" customWidth="1"/>
    <col min="5" max="5" width="15.5" style="207" bestFit="1" customWidth="1"/>
    <col min="6" max="6" width="18.625" style="207" customWidth="1"/>
    <col min="7" max="7" width="3.125" style="205" customWidth="1"/>
    <col min="8" max="8" width="16.625" style="206" hidden="1" customWidth="1" outlineLevel="1"/>
    <col min="9" max="10" width="7.375" style="206" hidden="1" customWidth="1" outlineLevel="1"/>
    <col min="11" max="11" width="51.5" style="205" hidden="1" customWidth="1" outlineLevel="1"/>
    <col min="12" max="12" width="12.125" style="205" bestFit="1" customWidth="1" collapsed="1"/>
    <col min="13" max="13" width="12.625" style="205" bestFit="1" customWidth="1"/>
    <col min="14" max="16384" width="10.875" style="205"/>
  </cols>
  <sheetData>
    <row r="1" spans="2:12" ht="9.9499999999999993" customHeight="1"/>
    <row r="2" spans="2:12" ht="23.1" customHeight="1" thickBot="1">
      <c r="B2" s="208" t="s">
        <v>58</v>
      </c>
      <c r="C2" s="312" t="s">
        <v>500</v>
      </c>
      <c r="D2" s="209"/>
      <c r="E2" s="210"/>
      <c r="F2" s="210"/>
    </row>
    <row r="3" spans="2:12" ht="21.95" customHeight="1"/>
    <row r="4" spans="2:12" ht="30" customHeight="1" thickBot="1">
      <c r="B4" s="406" t="s">
        <v>0</v>
      </c>
      <c r="C4" s="407"/>
      <c r="D4" s="407"/>
      <c r="E4" s="407"/>
      <c r="F4" s="408"/>
    </row>
    <row r="5" spans="2:12" ht="9" customHeight="1"/>
    <row r="6" spans="2:12" ht="23.1" customHeight="1" thickBot="1">
      <c r="B6" s="211" t="s">
        <v>3</v>
      </c>
      <c r="C6" s="211" t="s">
        <v>2</v>
      </c>
      <c r="D6" s="211" t="s">
        <v>4</v>
      </c>
      <c r="E6" s="212" t="s">
        <v>5</v>
      </c>
      <c r="F6" s="212" t="s">
        <v>6</v>
      </c>
      <c r="H6" s="213" t="s">
        <v>54</v>
      </c>
      <c r="I6" s="213" t="s">
        <v>89</v>
      </c>
      <c r="J6" s="213" t="s">
        <v>90</v>
      </c>
      <c r="K6" s="213" t="s">
        <v>91</v>
      </c>
    </row>
    <row r="7" spans="2:12" ht="23.1" customHeight="1" thickBot="1">
      <c r="B7" s="214"/>
      <c r="C7" s="309"/>
      <c r="D7" s="215" t="str">
        <f>IF(AND(E7&lt;&gt;"",E7&lt;&gt;0,E7=F7),"Balance","Not Balance")</f>
        <v>Balance</v>
      </c>
      <c r="E7" s="216">
        <f>SUM(E8:E275)</f>
        <v>14242775107</v>
      </c>
      <c r="F7" s="216">
        <f>SUM(F8:F275)</f>
        <v>14242775107</v>
      </c>
      <c r="H7" s="217"/>
      <c r="I7" s="217"/>
      <c r="J7" s="217"/>
      <c r="K7" s="217"/>
      <c r="L7" s="218"/>
    </row>
    <row r="8" spans="2:12" ht="23.1" customHeight="1">
      <c r="B8" s="219">
        <v>110000</v>
      </c>
      <c r="C8" s="219" t="s">
        <v>267</v>
      </c>
      <c r="D8" s="220"/>
      <c r="E8" s="221"/>
      <c r="F8" s="221"/>
      <c r="H8" s="222" t="str">
        <f>IF(D8="","",B8&amp;" | "&amp;C8)</f>
        <v/>
      </c>
      <c r="I8" s="222">
        <f ca="1">VALUE(IFERROR(SEARCH(INDIRECT(CELL("address")),H8),0))</f>
        <v>0</v>
      </c>
      <c r="J8" s="222" t="str">
        <f ca="1">IF(I8=0,"",COUNTIF($I$8:I8,"&gt;0"))</f>
        <v/>
      </c>
      <c r="K8" s="222" t="str">
        <f t="shared" ref="K8:K39" ca="1" si="0">IFERROR(INDEX(H:H,MATCH(ROW(I1),J:J,0)),"")</f>
        <v>110212 | BANK MANDIRI TASPEN</v>
      </c>
    </row>
    <row r="9" spans="2:12" ht="23.1" customHeight="1">
      <c r="B9" s="219">
        <v>110100</v>
      </c>
      <c r="C9" s="219" t="s">
        <v>266</v>
      </c>
      <c r="D9" s="220"/>
      <c r="E9" s="221"/>
      <c r="F9" s="221"/>
      <c r="H9" s="222" t="str">
        <f t="shared" ref="H9:H73" si="1">IF(D9="","",B9&amp;" | "&amp;C9)</f>
        <v/>
      </c>
      <c r="I9" s="222">
        <f t="shared" ref="I9:I73" ca="1" si="2">VALUE(IFERROR(SEARCH(INDIRECT(CELL("address")),H9),0))</f>
        <v>0</v>
      </c>
      <c r="J9" s="222" t="str">
        <f ca="1">IF(I9=0,"",COUNTIF($I$8:I9,"&gt;0"))</f>
        <v/>
      </c>
      <c r="K9" s="222" t="str">
        <f t="shared" ca="1" si="0"/>
        <v/>
      </c>
    </row>
    <row r="10" spans="2:12" ht="23.1" customHeight="1">
      <c r="B10" s="220">
        <v>110101</v>
      </c>
      <c r="C10" s="220" t="s">
        <v>281</v>
      </c>
      <c r="D10" s="220" t="s">
        <v>7</v>
      </c>
      <c r="E10" s="221">
        <v>27156105</v>
      </c>
      <c r="F10" s="221"/>
      <c r="H10" s="222" t="str">
        <f t="shared" si="1"/>
        <v>110101 | KAS BENDAHARA PENERIMAAN</v>
      </c>
      <c r="I10" s="222">
        <f t="shared" ca="1" si="2"/>
        <v>0</v>
      </c>
      <c r="J10" s="222" t="str">
        <f ca="1">IF(I10=0,"",COUNTIF($I$8:I10,"&gt;0"))</f>
        <v/>
      </c>
      <c r="K10" s="222" t="str">
        <f t="shared" ca="1" si="0"/>
        <v/>
      </c>
    </row>
    <row r="11" spans="2:12" ht="23.1" customHeight="1">
      <c r="B11" s="220">
        <v>110102</v>
      </c>
      <c r="C11" s="220" t="s">
        <v>282</v>
      </c>
      <c r="D11" s="220" t="s">
        <v>7</v>
      </c>
      <c r="E11" s="221">
        <v>7852676</v>
      </c>
      <c r="F11" s="221"/>
      <c r="H11" s="222" t="str">
        <f t="shared" si="1"/>
        <v>110102 | KAS BENDAHARA PENGELUARAN</v>
      </c>
      <c r="I11" s="222">
        <f t="shared" ca="1" si="2"/>
        <v>0</v>
      </c>
      <c r="J11" s="222" t="str">
        <f ca="1">IF(I11=0,"",COUNTIF($I$8:I11,"&gt;0"))</f>
        <v/>
      </c>
      <c r="K11" s="222" t="str">
        <f t="shared" ca="1" si="0"/>
        <v/>
      </c>
    </row>
    <row r="12" spans="2:12" ht="23.1" customHeight="1">
      <c r="B12" s="220">
        <v>110103</v>
      </c>
      <c r="C12" s="220" t="s">
        <v>283</v>
      </c>
      <c r="D12" s="220" t="s">
        <v>7</v>
      </c>
      <c r="E12" s="221"/>
      <c r="F12" s="221"/>
      <c r="H12" s="222" t="str">
        <f t="shared" si="1"/>
        <v>110103 | KAS DALAM PERJALANAN</v>
      </c>
      <c r="I12" s="222">
        <f t="shared" ca="1" si="2"/>
        <v>0</v>
      </c>
      <c r="J12" s="222" t="str">
        <f ca="1">IF(I12=0,"",COUNTIF($I$8:I12,"&gt;0"))</f>
        <v/>
      </c>
      <c r="K12" s="222" t="str">
        <f t="shared" ca="1" si="0"/>
        <v/>
      </c>
    </row>
    <row r="13" spans="2:12" ht="23.1" customHeight="1">
      <c r="B13" s="220">
        <v>110104</v>
      </c>
      <c r="C13" s="220" t="s">
        <v>284</v>
      </c>
      <c r="D13" s="220" t="s">
        <v>7</v>
      </c>
      <c r="E13" s="221"/>
      <c r="F13" s="221"/>
      <c r="H13" s="222" t="str">
        <f t="shared" si="1"/>
        <v>110104 | PENYETORAN KEMBALI KE KAS PD.PARKIR</v>
      </c>
      <c r="I13" s="222">
        <f t="shared" ca="1" si="2"/>
        <v>0</v>
      </c>
      <c r="J13" s="222" t="str">
        <f ca="1">IF(I13=0,"",COUNTIF($I$8:I13,"&gt;0"))</f>
        <v/>
      </c>
      <c r="K13" s="222" t="str">
        <f t="shared" ca="1" si="0"/>
        <v/>
      </c>
    </row>
    <row r="14" spans="2:12" ht="23.1" customHeight="1">
      <c r="B14" s="223">
        <v>110200</v>
      </c>
      <c r="C14" s="223" t="s">
        <v>268</v>
      </c>
      <c r="D14" s="222"/>
      <c r="E14" s="224"/>
      <c r="F14" s="224"/>
      <c r="H14" s="222" t="str">
        <f t="shared" si="1"/>
        <v/>
      </c>
      <c r="I14" s="222">
        <f t="shared" ca="1" si="2"/>
        <v>0</v>
      </c>
      <c r="J14" s="222" t="str">
        <f ca="1">IF(I14=0,"",COUNTIF($I$8:I14,"&gt;0"))</f>
        <v/>
      </c>
      <c r="K14" s="222" t="str">
        <f t="shared" ca="1" si="0"/>
        <v/>
      </c>
    </row>
    <row r="15" spans="2:12" ht="23.1" customHeight="1">
      <c r="B15" s="222">
        <v>110201</v>
      </c>
      <c r="C15" s="222" t="s">
        <v>287</v>
      </c>
      <c r="D15" s="222" t="s">
        <v>11</v>
      </c>
      <c r="E15" s="224">
        <v>815981072</v>
      </c>
      <c r="F15" s="224"/>
      <c r="H15" s="222" t="str">
        <f t="shared" si="1"/>
        <v>110201 | BANK BTN</v>
      </c>
      <c r="I15" s="222">
        <f t="shared" ca="1" si="2"/>
        <v>0</v>
      </c>
      <c r="J15" s="222" t="str">
        <f ca="1">IF(I15=0,"",COUNTIF($I$8:I15,"&gt;0"))</f>
        <v/>
      </c>
      <c r="K15" s="222" t="str">
        <f t="shared" ca="1" si="0"/>
        <v/>
      </c>
    </row>
    <row r="16" spans="2:12" ht="23.1" customHeight="1">
      <c r="B16" s="222">
        <v>110202</v>
      </c>
      <c r="C16" s="222" t="s">
        <v>288</v>
      </c>
      <c r="D16" s="222" t="s">
        <v>11</v>
      </c>
      <c r="E16" s="224"/>
      <c r="F16" s="224"/>
      <c r="H16" s="222" t="str">
        <f t="shared" si="1"/>
        <v>110202 | BANK BTN 2</v>
      </c>
      <c r="I16" s="222">
        <f t="shared" ca="1" si="2"/>
        <v>0</v>
      </c>
      <c r="J16" s="222" t="str">
        <f ca="1">IF(I16=0,"",COUNTIF($I$8:I16,"&gt;0"))</f>
        <v/>
      </c>
      <c r="K16" s="222" t="str">
        <f t="shared" ca="1" si="0"/>
        <v/>
      </c>
    </row>
    <row r="17" spans="2:11" ht="23.1" customHeight="1">
      <c r="B17" s="222">
        <v>110203</v>
      </c>
      <c r="C17" s="222" t="s">
        <v>507</v>
      </c>
      <c r="D17" s="222" t="s">
        <v>11</v>
      </c>
      <c r="E17" s="224"/>
      <c r="F17" s="224"/>
      <c r="H17" s="222" t="str">
        <f t="shared" si="1"/>
        <v>110203 | BANK MEGA SYARIAH</v>
      </c>
      <c r="I17" s="222">
        <f t="shared" ca="1" si="2"/>
        <v>0</v>
      </c>
      <c r="J17" s="222" t="str">
        <f ca="1">IF(I17=0,"",COUNTIF($I$8:I17,"&gt;0"))</f>
        <v/>
      </c>
      <c r="K17" s="222" t="str">
        <f t="shared" ca="1" si="0"/>
        <v/>
      </c>
    </row>
    <row r="18" spans="2:11" ht="23.1" customHeight="1">
      <c r="B18" s="222">
        <v>110204</v>
      </c>
      <c r="C18" s="222" t="s">
        <v>285</v>
      </c>
      <c r="D18" s="222" t="s">
        <v>11</v>
      </c>
      <c r="E18" s="224">
        <v>58615218</v>
      </c>
      <c r="F18" s="224"/>
      <c r="H18" s="222" t="str">
        <f t="shared" si="1"/>
        <v>110204 | BANK BPD SULSELBAR</v>
      </c>
      <c r="I18" s="222">
        <f t="shared" ca="1" si="2"/>
        <v>0</v>
      </c>
      <c r="J18" s="222" t="str">
        <f ca="1">IF(I18=0,"",COUNTIF($I$8:I18,"&gt;0"))</f>
        <v/>
      </c>
      <c r="K18" s="222" t="str">
        <f t="shared" ca="1" si="0"/>
        <v/>
      </c>
    </row>
    <row r="19" spans="2:11" ht="23.1" customHeight="1">
      <c r="B19" s="222">
        <v>110205</v>
      </c>
      <c r="C19" s="222" t="s">
        <v>505</v>
      </c>
      <c r="D19" s="222" t="s">
        <v>11</v>
      </c>
      <c r="E19" s="224">
        <v>419143976</v>
      </c>
      <c r="F19" s="224"/>
      <c r="H19" s="222" t="str">
        <f t="shared" si="1"/>
        <v>110205 | BANK BPD SULSELBAR 1300030000329814</v>
      </c>
      <c r="I19" s="222">
        <f t="shared" ca="1" si="2"/>
        <v>0</v>
      </c>
      <c r="J19" s="222" t="str">
        <f ca="1">IF(I19=0,"",COUNTIF($I$8:I19,"&gt;0"))</f>
        <v/>
      </c>
      <c r="K19" s="222" t="str">
        <f t="shared" ca="1" si="0"/>
        <v/>
      </c>
    </row>
    <row r="20" spans="2:11" ht="23.1" customHeight="1">
      <c r="B20" s="222">
        <v>110206</v>
      </c>
      <c r="C20" s="222" t="s">
        <v>506</v>
      </c>
      <c r="D20" s="222" t="s">
        <v>11</v>
      </c>
      <c r="E20" s="224">
        <v>3509202</v>
      </c>
      <c r="F20" s="224"/>
      <c r="H20" s="222" t="str">
        <f t="shared" si="1"/>
        <v>110206 | BANK BPD SULSELBAR 130003123456789-2</v>
      </c>
      <c r="I20" s="222">
        <f t="shared" ca="1" si="2"/>
        <v>0</v>
      </c>
      <c r="J20" s="222" t="str">
        <f ca="1">IF(I20=0,"",COUNTIF($I$8:I20,"&gt;0"))</f>
        <v/>
      </c>
      <c r="K20" s="222" t="str">
        <f t="shared" ca="1" si="0"/>
        <v/>
      </c>
    </row>
    <row r="21" spans="2:11" ht="23.1" customHeight="1">
      <c r="B21" s="222">
        <v>110207</v>
      </c>
      <c r="C21" s="222" t="s">
        <v>286</v>
      </c>
      <c r="D21" s="222" t="s">
        <v>11</v>
      </c>
      <c r="E21" s="224">
        <v>6595167</v>
      </c>
      <c r="F21" s="224"/>
      <c r="H21" s="222" t="str">
        <f t="shared" si="1"/>
        <v>110207 | BANK BRI</v>
      </c>
      <c r="I21" s="222">
        <f t="shared" ca="1" si="2"/>
        <v>0</v>
      </c>
      <c r="J21" s="222" t="str">
        <f ca="1">IF(I21=0,"",COUNTIF($I$8:I21,"&gt;0"))</f>
        <v/>
      </c>
      <c r="K21" s="222" t="str">
        <f t="shared" ca="1" si="0"/>
        <v/>
      </c>
    </row>
    <row r="22" spans="2:11" ht="23.1" customHeight="1">
      <c r="B22" s="222">
        <v>110208</v>
      </c>
      <c r="C22" s="222" t="s">
        <v>508</v>
      </c>
      <c r="D22" s="222" t="s">
        <v>11</v>
      </c>
      <c r="E22" s="224">
        <v>631511959</v>
      </c>
      <c r="F22" s="224"/>
      <c r="H22" s="222" t="str">
        <f t="shared" si="1"/>
        <v>110208 | BANK PANIN DUBAI SYARIAH - 7009001988</v>
      </c>
      <c r="I22" s="222">
        <f t="shared" ca="1" si="2"/>
        <v>0</v>
      </c>
      <c r="J22" s="222" t="str">
        <f ca="1">IF(I22=0,"",COUNTIF($I$8:I22,"&gt;0"))</f>
        <v/>
      </c>
      <c r="K22" s="222" t="str">
        <f t="shared" ca="1" si="0"/>
        <v/>
      </c>
    </row>
    <row r="23" spans="2:11" ht="23.1" customHeight="1">
      <c r="B23" s="222">
        <v>110209</v>
      </c>
      <c r="C23" s="222" t="s">
        <v>509</v>
      </c>
      <c r="D23" s="222" t="s">
        <v>11</v>
      </c>
      <c r="E23" s="224">
        <v>1189265</v>
      </c>
      <c r="F23" s="224"/>
      <c r="H23" s="222" t="str">
        <f t="shared" si="1"/>
        <v>110209 | BANK PANIN DUBAI SYARIAH - TABUNGAN</v>
      </c>
      <c r="I23" s="222">
        <f t="shared" ca="1" si="2"/>
        <v>0</v>
      </c>
      <c r="J23" s="222" t="str">
        <f ca="1">IF(I23=0,"",COUNTIF($I$8:I23,"&gt;0"))</f>
        <v/>
      </c>
      <c r="K23" s="222" t="str">
        <f t="shared" ca="1" si="0"/>
        <v/>
      </c>
    </row>
    <row r="24" spans="2:11" ht="23.1" customHeight="1">
      <c r="B24" s="222">
        <v>110210</v>
      </c>
      <c r="C24" s="222" t="s">
        <v>510</v>
      </c>
      <c r="D24" s="222" t="s">
        <v>11</v>
      </c>
      <c r="E24" s="224">
        <v>9991565</v>
      </c>
      <c r="F24" s="224"/>
      <c r="H24" s="222" t="str">
        <f t="shared" si="1"/>
        <v>110210 | BANK BJB</v>
      </c>
      <c r="I24" s="222">
        <f t="shared" ca="1" si="2"/>
        <v>0</v>
      </c>
      <c r="J24" s="222" t="str">
        <f ca="1">IF(I24=0,"",COUNTIF($I$8:I24,"&gt;0"))</f>
        <v/>
      </c>
      <c r="K24" s="222" t="str">
        <f t="shared" ca="1" si="0"/>
        <v/>
      </c>
    </row>
    <row r="25" spans="2:11" ht="23.1" customHeight="1">
      <c r="B25" s="222">
        <v>110211</v>
      </c>
      <c r="C25" s="222" t="s">
        <v>511</v>
      </c>
      <c r="D25" s="222" t="s">
        <v>11</v>
      </c>
      <c r="E25" s="224">
        <v>560003903</v>
      </c>
      <c r="F25" s="224"/>
      <c r="H25" s="222" t="str">
        <f t="shared" si="1"/>
        <v>110211 | BANK MANDIRI</v>
      </c>
      <c r="I25" s="222">
        <f t="shared" ca="1" si="2"/>
        <v>0</v>
      </c>
      <c r="J25" s="222" t="str">
        <f ca="1">IF(I25=0,"",COUNTIF($I$8:I25,"&gt;0"))</f>
        <v/>
      </c>
      <c r="K25" s="222" t="str">
        <f t="shared" ca="1" si="0"/>
        <v/>
      </c>
    </row>
    <row r="26" spans="2:11" ht="23.1" customHeight="1">
      <c r="B26" s="222">
        <v>110212</v>
      </c>
      <c r="C26" s="222" t="s">
        <v>512</v>
      </c>
      <c r="D26" s="222" t="s">
        <v>11</v>
      </c>
      <c r="E26" s="224">
        <v>73162212</v>
      </c>
      <c r="F26" s="224"/>
      <c r="H26" s="222" t="str">
        <f t="shared" si="1"/>
        <v>110212 | BANK MANDIRI TASPEN</v>
      </c>
      <c r="I26" s="222">
        <f t="shared" ca="1" si="2"/>
        <v>1</v>
      </c>
      <c r="J26" s="222">
        <f ca="1">IF(I26=0,"",COUNTIF($I$8:I26,"&gt;0"))</f>
        <v>1</v>
      </c>
      <c r="K26" s="222" t="str">
        <f t="shared" ca="1" si="0"/>
        <v/>
      </c>
    </row>
    <row r="27" spans="2:11" ht="23.1" customHeight="1">
      <c r="B27" s="222">
        <v>110213</v>
      </c>
      <c r="C27" s="222" t="s">
        <v>513</v>
      </c>
      <c r="D27" s="222" t="s">
        <v>11</v>
      </c>
      <c r="E27" s="224">
        <v>16381156</v>
      </c>
      <c r="F27" s="224"/>
      <c r="H27" s="222" t="str">
        <f t="shared" si="1"/>
        <v>110213 | BANK BNI</v>
      </c>
      <c r="I27" s="222">
        <f t="shared" ca="1" si="2"/>
        <v>0</v>
      </c>
      <c r="J27" s="222" t="str">
        <f ca="1">IF(I27=0,"",COUNTIF($I$8:I27,"&gt;0"))</f>
        <v/>
      </c>
      <c r="K27" s="222" t="str">
        <f t="shared" ca="1" si="0"/>
        <v/>
      </c>
    </row>
    <row r="28" spans="2:11" ht="23.1" customHeight="1">
      <c r="B28" s="222">
        <v>110214</v>
      </c>
      <c r="C28" s="222" t="s">
        <v>514</v>
      </c>
      <c r="D28" s="222" t="s">
        <v>11</v>
      </c>
      <c r="E28" s="224"/>
      <c r="F28" s="224"/>
      <c r="H28" s="222" t="str">
        <f t="shared" si="1"/>
        <v>110214 | BANK 1</v>
      </c>
      <c r="I28" s="222">
        <f t="shared" ca="1" si="2"/>
        <v>0</v>
      </c>
      <c r="J28" s="222" t="str">
        <f ca="1">IF(I28=0,"",COUNTIF($I$8:I28,"&gt;0"))</f>
        <v/>
      </c>
      <c r="K28" s="222" t="str">
        <f t="shared" ca="1" si="0"/>
        <v/>
      </c>
    </row>
    <row r="29" spans="2:11" ht="23.1" customHeight="1">
      <c r="B29" s="222">
        <v>110215</v>
      </c>
      <c r="C29" s="222" t="s">
        <v>515</v>
      </c>
      <c r="D29" s="222" t="s">
        <v>11</v>
      </c>
      <c r="E29" s="224"/>
      <c r="F29" s="224"/>
      <c r="H29" s="222" t="str">
        <f t="shared" si="1"/>
        <v>110215 | BANK 2</v>
      </c>
      <c r="I29" s="222">
        <f t="shared" ca="1" si="2"/>
        <v>0</v>
      </c>
      <c r="J29" s="222" t="str">
        <f ca="1">IF(I29=0,"",COUNTIF($I$8:I29,"&gt;0"))</f>
        <v/>
      </c>
      <c r="K29" s="222" t="str">
        <f t="shared" ca="1" si="0"/>
        <v/>
      </c>
    </row>
    <row r="30" spans="2:11" ht="23.1" customHeight="1">
      <c r="B30" s="223">
        <v>110300</v>
      </c>
      <c r="C30" s="223" t="s">
        <v>269</v>
      </c>
      <c r="D30" s="222"/>
      <c r="E30" s="224"/>
      <c r="F30" s="224"/>
      <c r="H30" s="222" t="str">
        <f t="shared" si="1"/>
        <v/>
      </c>
      <c r="I30" s="222">
        <f t="shared" ca="1" si="2"/>
        <v>0</v>
      </c>
      <c r="J30" s="222" t="str">
        <f ca="1">IF(I30=0,"",COUNTIF($I$8:I30,"&gt;0"))</f>
        <v/>
      </c>
      <c r="K30" s="222" t="str">
        <f t="shared" ca="1" si="0"/>
        <v/>
      </c>
    </row>
    <row r="31" spans="2:11" ht="23.1" customHeight="1">
      <c r="B31" s="222">
        <v>110301</v>
      </c>
      <c r="C31" s="222" t="s">
        <v>289</v>
      </c>
      <c r="D31" s="222" t="s">
        <v>13</v>
      </c>
      <c r="E31" s="224">
        <v>14324500</v>
      </c>
      <c r="F31" s="224"/>
      <c r="H31" s="222" t="str">
        <f t="shared" si="1"/>
        <v>110301 | PIUTANG USAHA PARKIR TEPI JALAN UMUM</v>
      </c>
      <c r="I31" s="222">
        <f t="shared" ca="1" si="2"/>
        <v>0</v>
      </c>
      <c r="J31" s="222" t="str">
        <f ca="1">IF(I31=0,"",COUNTIF($I$8:I31,"&gt;0"))</f>
        <v/>
      </c>
      <c r="K31" s="222" t="str">
        <f t="shared" ca="1" si="0"/>
        <v/>
      </c>
    </row>
    <row r="32" spans="2:11" ht="23.1" customHeight="1">
      <c r="B32" s="222">
        <v>110302</v>
      </c>
      <c r="C32" s="222" t="s">
        <v>290</v>
      </c>
      <c r="D32" s="222" t="s">
        <v>13</v>
      </c>
      <c r="E32" s="224"/>
      <c r="F32" s="224"/>
      <c r="H32" s="222" t="str">
        <f t="shared" si="1"/>
        <v>110302 | PIUTANG USAHA PARKIR INSIDENTIL</v>
      </c>
      <c r="I32" s="222">
        <f t="shared" ca="1" si="2"/>
        <v>0</v>
      </c>
      <c r="J32" s="222" t="str">
        <f ca="1">IF(I32=0,"",COUNTIF($I$8:I32,"&gt;0"))</f>
        <v/>
      </c>
      <c r="K32" s="222" t="str">
        <f t="shared" ca="1" si="0"/>
        <v/>
      </c>
    </row>
    <row r="33" spans="2:11" ht="23.1" customHeight="1">
      <c r="B33" s="222">
        <v>110303</v>
      </c>
      <c r="C33" s="222" t="s">
        <v>291</v>
      </c>
      <c r="D33" s="222" t="s">
        <v>13</v>
      </c>
      <c r="E33" s="224">
        <v>4100000</v>
      </c>
      <c r="F33" s="224"/>
      <c r="H33" s="222" t="str">
        <f t="shared" si="1"/>
        <v>110303 | PIUTANG USAHA PARKIR KOMERSIAL</v>
      </c>
      <c r="I33" s="222">
        <f t="shared" ca="1" si="2"/>
        <v>0</v>
      </c>
      <c r="J33" s="222" t="str">
        <f ca="1">IF(I33=0,"",COUNTIF($I$8:I33,"&gt;0"))</f>
        <v/>
      </c>
      <c r="K33" s="222" t="str">
        <f t="shared" ca="1" si="0"/>
        <v/>
      </c>
    </row>
    <row r="34" spans="2:11" ht="23.1" customHeight="1">
      <c r="B34" s="222">
        <v>110304</v>
      </c>
      <c r="C34" s="222" t="s">
        <v>292</v>
      </c>
      <c r="D34" s="222" t="s">
        <v>13</v>
      </c>
      <c r="E34" s="224">
        <v>239035000</v>
      </c>
      <c r="F34" s="224"/>
      <c r="H34" s="222" t="str">
        <f t="shared" si="1"/>
        <v>110304 | PIUTANG USAHA PARKIR LANGGANA BULANAN (PLB)</v>
      </c>
      <c r="I34" s="222">
        <f t="shared" ca="1" si="2"/>
        <v>0</v>
      </c>
      <c r="J34" s="222" t="str">
        <f ca="1">IF(I34=0,"",COUNTIF($I$8:I34,"&gt;0"))</f>
        <v/>
      </c>
      <c r="K34" s="222" t="str">
        <f t="shared" ca="1" si="0"/>
        <v/>
      </c>
    </row>
    <row r="35" spans="2:11" ht="23.1" customHeight="1">
      <c r="B35" s="222">
        <v>110305</v>
      </c>
      <c r="C35" s="222" t="s">
        <v>293</v>
      </c>
      <c r="D35" s="222" t="s">
        <v>13</v>
      </c>
      <c r="E35" s="224"/>
      <c r="F35" s="224"/>
      <c r="H35" s="222" t="str">
        <f t="shared" si="1"/>
        <v>110305 | PIUTANG INSIDENTIL ONLINE</v>
      </c>
      <c r="I35" s="222">
        <f t="shared" ca="1" si="2"/>
        <v>0</v>
      </c>
      <c r="J35" s="222" t="str">
        <f ca="1">IF(I35=0,"",COUNTIF($I$8:I35,"&gt;0"))</f>
        <v/>
      </c>
      <c r="K35" s="222" t="str">
        <f t="shared" ca="1" si="0"/>
        <v/>
      </c>
    </row>
    <row r="36" spans="2:11" ht="23.1" customHeight="1">
      <c r="B36" s="222">
        <v>110306</v>
      </c>
      <c r="C36" s="222" t="s">
        <v>294</v>
      </c>
      <c r="D36" s="222" t="s">
        <v>13</v>
      </c>
      <c r="E36" s="224"/>
      <c r="F36" s="224"/>
      <c r="H36" s="222" t="str">
        <f t="shared" si="1"/>
        <v>110306 | PIUTANG PARKIR KHUSUS BADAN USAHA</v>
      </c>
      <c r="I36" s="222">
        <f t="shared" ca="1" si="2"/>
        <v>0</v>
      </c>
      <c r="J36" s="222" t="str">
        <f ca="1">IF(I36=0,"",COUNTIF($I$8:I36,"&gt;0"))</f>
        <v/>
      </c>
      <c r="K36" s="222" t="str">
        <f t="shared" ca="1" si="0"/>
        <v/>
      </c>
    </row>
    <row r="37" spans="2:11" ht="23.1" customHeight="1">
      <c r="B37" s="222">
        <v>110307</v>
      </c>
      <c r="C37" s="222" t="s">
        <v>295</v>
      </c>
      <c r="D37" s="222" t="s">
        <v>13</v>
      </c>
      <c r="E37" s="224">
        <v>2555000</v>
      </c>
      <c r="F37" s="224"/>
      <c r="H37" s="222" t="str">
        <f t="shared" si="1"/>
        <v>110307 | PIUTANG PARKIR TEKHNOLOGI / ONLINE</v>
      </c>
      <c r="I37" s="222">
        <f t="shared" ca="1" si="2"/>
        <v>0</v>
      </c>
      <c r="J37" s="222" t="str">
        <f ca="1">IF(I37=0,"",COUNTIF($I$8:I37,"&gt;0"))</f>
        <v/>
      </c>
      <c r="K37" s="222" t="str">
        <f t="shared" ca="1" si="0"/>
        <v/>
      </c>
    </row>
    <row r="38" spans="2:11" ht="23.1" customHeight="1">
      <c r="B38" s="222">
        <v>110308</v>
      </c>
      <c r="C38" s="222" t="s">
        <v>296</v>
      </c>
      <c r="D38" s="222" t="s">
        <v>13</v>
      </c>
      <c r="E38" s="224">
        <v>239464586</v>
      </c>
      <c r="F38" s="224"/>
      <c r="H38" s="222" t="str">
        <f t="shared" si="1"/>
        <v>110308 | PIUTANG PT.KTI (Kinarya Terbaik Indonesia)</v>
      </c>
      <c r="I38" s="222">
        <f t="shared" ca="1" si="2"/>
        <v>0</v>
      </c>
      <c r="J38" s="222" t="str">
        <f ca="1">IF(I38=0,"",COUNTIF($I$8:I38,"&gt;0"))</f>
        <v/>
      </c>
      <c r="K38" s="222" t="str">
        <f t="shared" ca="1" si="0"/>
        <v/>
      </c>
    </row>
    <row r="39" spans="2:11" ht="23.1" customHeight="1">
      <c r="B39" s="223">
        <v>110400</v>
      </c>
      <c r="C39" s="223" t="s">
        <v>297</v>
      </c>
      <c r="D39" s="222"/>
      <c r="E39" s="224"/>
      <c r="F39" s="224"/>
      <c r="H39" s="222" t="str">
        <f t="shared" si="1"/>
        <v/>
      </c>
      <c r="I39" s="222">
        <f t="shared" ca="1" si="2"/>
        <v>0</v>
      </c>
      <c r="J39" s="222" t="str">
        <f ca="1">IF(I39=0,"",COUNTIF($I$8:I39,"&gt;0"))</f>
        <v/>
      </c>
      <c r="K39" s="222" t="str">
        <f t="shared" ca="1" si="0"/>
        <v/>
      </c>
    </row>
    <row r="40" spans="2:11" ht="23.1" customHeight="1">
      <c r="B40" s="222">
        <v>110401</v>
      </c>
      <c r="C40" s="222" t="s">
        <v>298</v>
      </c>
      <c r="D40" s="222" t="s">
        <v>13</v>
      </c>
      <c r="E40" s="224">
        <f>KB!E37</f>
        <v>2376534996</v>
      </c>
      <c r="F40" s="224"/>
      <c r="H40" s="222" t="str">
        <f t="shared" si="1"/>
        <v>110401 | PIUTANG DIREKSI</v>
      </c>
      <c r="I40" s="222">
        <f t="shared" ca="1" si="2"/>
        <v>0</v>
      </c>
      <c r="J40" s="222" t="str">
        <f ca="1">IF(I40=0,"",COUNTIF($I$8:I40,"&gt;0"))</f>
        <v/>
      </c>
      <c r="K40" s="222" t="str">
        <f t="shared" ref="K40:K71" ca="1" si="3">IFERROR(INDEX(H:H,MATCH(ROW(I33),J:J,0)),"")</f>
        <v/>
      </c>
    </row>
    <row r="41" spans="2:11" ht="23.1" customHeight="1">
      <c r="B41" s="222">
        <v>110402</v>
      </c>
      <c r="C41" s="222" t="s">
        <v>299</v>
      </c>
      <c r="D41" s="222" t="s">
        <v>13</v>
      </c>
      <c r="E41" s="224">
        <f>KB!E53</f>
        <v>44500000</v>
      </c>
      <c r="F41" s="224"/>
      <c r="H41" s="222" t="str">
        <f t="shared" si="1"/>
        <v>110402 | PIUTANG BADAN PENGAWAS</v>
      </c>
      <c r="I41" s="222">
        <f t="shared" ca="1" si="2"/>
        <v>0</v>
      </c>
      <c r="J41" s="222" t="str">
        <f ca="1">IF(I41=0,"",COUNTIF($I$8:I41,"&gt;0"))</f>
        <v/>
      </c>
      <c r="K41" s="222" t="str">
        <f t="shared" ca="1" si="3"/>
        <v/>
      </c>
    </row>
    <row r="42" spans="2:11" ht="23.1" customHeight="1">
      <c r="B42" s="222">
        <v>110403</v>
      </c>
      <c r="C42" s="222" t="s">
        <v>300</v>
      </c>
      <c r="D42" s="222" t="s">
        <v>13</v>
      </c>
      <c r="E42" s="224">
        <f>KB!E69</f>
        <v>87908574</v>
      </c>
      <c r="F42" s="224"/>
      <c r="H42" s="222" t="str">
        <f t="shared" si="1"/>
        <v>110403 | PIUTANG KARYAWAN</v>
      </c>
      <c r="I42" s="222">
        <f t="shared" ca="1" si="2"/>
        <v>0</v>
      </c>
      <c r="J42" s="222" t="str">
        <f ca="1">IF(I42=0,"",COUNTIF($I$8:I42,"&gt;0"))</f>
        <v/>
      </c>
      <c r="K42" s="222" t="str">
        <f t="shared" ca="1" si="3"/>
        <v/>
      </c>
    </row>
    <row r="43" spans="2:11" ht="23.1" customHeight="1">
      <c r="B43" s="222">
        <v>110408</v>
      </c>
      <c r="C43" s="222" t="s">
        <v>301</v>
      </c>
      <c r="D43" s="222" t="s">
        <v>13</v>
      </c>
      <c r="E43" s="224"/>
      <c r="F43" s="224">
        <v>55549514</v>
      </c>
      <c r="H43" s="222" t="str">
        <f t="shared" si="1"/>
        <v>110408 | CADANGAN KERUGIAN PIUTANG</v>
      </c>
      <c r="I43" s="222">
        <f t="shared" ca="1" si="2"/>
        <v>0</v>
      </c>
      <c r="J43" s="222" t="str">
        <f ca="1">IF(I43=0,"",COUNTIF($I$8:I43,"&gt;0"))</f>
        <v/>
      </c>
      <c r="K43" s="222" t="str">
        <f t="shared" ca="1" si="3"/>
        <v/>
      </c>
    </row>
    <row r="44" spans="2:11" ht="23.1" customHeight="1">
      <c r="B44" s="223">
        <v>110600</v>
      </c>
      <c r="C44" s="223" t="s">
        <v>129</v>
      </c>
      <c r="D44" s="222"/>
      <c r="E44" s="224"/>
      <c r="F44" s="224"/>
      <c r="H44" s="222" t="str">
        <f t="shared" si="1"/>
        <v/>
      </c>
      <c r="I44" s="222">
        <f t="shared" ca="1" si="2"/>
        <v>0</v>
      </c>
      <c r="J44" s="222" t="str">
        <f ca="1">IF(I44=0,"",COUNTIF($I$8:I44,"&gt;0"))</f>
        <v/>
      </c>
      <c r="K44" s="222" t="str">
        <f t="shared" ca="1" si="3"/>
        <v/>
      </c>
    </row>
    <row r="45" spans="2:11" ht="23.1" customHeight="1">
      <c r="B45" s="222">
        <v>110601</v>
      </c>
      <c r="C45" s="222" t="s">
        <v>302</v>
      </c>
      <c r="D45" s="222" t="s">
        <v>14</v>
      </c>
      <c r="E45" s="224">
        <v>4780000</v>
      </c>
      <c r="F45" s="224"/>
      <c r="H45" s="222" t="str">
        <f t="shared" si="1"/>
        <v>110601 | PERSEDIAAN KARCIS RODA 4 (R4)</v>
      </c>
      <c r="I45" s="222">
        <f t="shared" ca="1" si="2"/>
        <v>0</v>
      </c>
      <c r="J45" s="222" t="str">
        <f ca="1">IF(I45=0,"",COUNTIF($I$8:I45,"&gt;0"))</f>
        <v/>
      </c>
      <c r="K45" s="222" t="str">
        <f t="shared" ca="1" si="3"/>
        <v/>
      </c>
    </row>
    <row r="46" spans="2:11" ht="23.1" customHeight="1">
      <c r="B46" s="222">
        <v>110602</v>
      </c>
      <c r="C46" s="222" t="s">
        <v>303</v>
      </c>
      <c r="D46" s="222" t="s">
        <v>14</v>
      </c>
      <c r="E46" s="224">
        <v>2675000</v>
      </c>
      <c r="F46" s="224"/>
      <c r="H46" s="222" t="str">
        <f t="shared" si="1"/>
        <v>110602 | PERSEDIAAN KARCIS RODA 2 (R2)</v>
      </c>
      <c r="I46" s="222">
        <f t="shared" ca="1" si="2"/>
        <v>0</v>
      </c>
      <c r="J46" s="222" t="str">
        <f ca="1">IF(I46=0,"",COUNTIF($I$8:I46,"&gt;0"))</f>
        <v/>
      </c>
      <c r="K46" s="222" t="str">
        <f t="shared" ca="1" si="3"/>
        <v/>
      </c>
    </row>
    <row r="47" spans="2:11" ht="23.1" customHeight="1">
      <c r="B47" s="223">
        <v>110700</v>
      </c>
      <c r="C47" s="223" t="s">
        <v>304</v>
      </c>
      <c r="D47" s="222"/>
      <c r="E47" s="224"/>
      <c r="F47" s="224"/>
      <c r="H47" s="222" t="str">
        <f t="shared" si="1"/>
        <v/>
      </c>
      <c r="I47" s="222">
        <f t="shared" ca="1" si="2"/>
        <v>0</v>
      </c>
      <c r="J47" s="222" t="str">
        <f ca="1">IF(I47=0,"",COUNTIF($I$8:I47,"&gt;0"))</f>
        <v/>
      </c>
      <c r="K47" s="222" t="str">
        <f t="shared" ca="1" si="3"/>
        <v/>
      </c>
    </row>
    <row r="48" spans="2:11" ht="23.1" customHeight="1">
      <c r="B48" s="222">
        <v>110701</v>
      </c>
      <c r="C48" s="222" t="s">
        <v>483</v>
      </c>
      <c r="D48" s="222" t="s">
        <v>15</v>
      </c>
      <c r="E48" s="224"/>
      <c r="F48" s="224"/>
      <c r="H48" s="222" t="str">
        <f t="shared" si="1"/>
        <v>110701 | UANG MUKA PPH BADAN</v>
      </c>
      <c r="I48" s="222">
        <f t="shared" ca="1" si="2"/>
        <v>0</v>
      </c>
      <c r="J48" s="222" t="str">
        <f ca="1">IF(I48=0,"",COUNTIF($I$8:I48,"&gt;0"))</f>
        <v/>
      </c>
      <c r="K48" s="222" t="str">
        <f t="shared" ca="1" si="3"/>
        <v/>
      </c>
    </row>
    <row r="49" spans="2:11" ht="23.1" customHeight="1">
      <c r="B49" s="222">
        <v>110702</v>
      </c>
      <c r="C49" s="222" t="s">
        <v>484</v>
      </c>
      <c r="D49" s="222" t="s">
        <v>15</v>
      </c>
      <c r="E49" s="224"/>
      <c r="F49" s="224"/>
      <c r="H49" s="222" t="str">
        <f t="shared" si="1"/>
        <v>110702 | UANG MUKA PPH PSL. 21</v>
      </c>
      <c r="I49" s="222">
        <f t="shared" ca="1" si="2"/>
        <v>0</v>
      </c>
      <c r="J49" s="222" t="str">
        <f ca="1">IF(I49=0,"",COUNTIF($I$8:I49,"&gt;0"))</f>
        <v/>
      </c>
      <c r="K49" s="222" t="str">
        <f t="shared" ca="1" si="3"/>
        <v/>
      </c>
    </row>
    <row r="50" spans="2:11" ht="23.1" customHeight="1">
      <c r="B50" s="222">
        <v>110703</v>
      </c>
      <c r="C50" s="222" t="s">
        <v>485</v>
      </c>
      <c r="D50" s="222" t="s">
        <v>15</v>
      </c>
      <c r="E50" s="224"/>
      <c r="F50" s="224"/>
      <c r="H50" s="222" t="str">
        <f t="shared" si="1"/>
        <v>110703 | UANG MUKA PPH PSL. 25</v>
      </c>
      <c r="I50" s="222">
        <f t="shared" ca="1" si="2"/>
        <v>0</v>
      </c>
      <c r="J50" s="222" t="str">
        <f ca="1">IF(I50=0,"",COUNTIF($I$8:I50,"&gt;0"))</f>
        <v/>
      </c>
      <c r="K50" s="222" t="str">
        <f t="shared" ca="1" si="3"/>
        <v/>
      </c>
    </row>
    <row r="51" spans="2:11" ht="23.1" customHeight="1">
      <c r="B51" s="222">
        <v>110704</v>
      </c>
      <c r="C51" s="222" t="s">
        <v>486</v>
      </c>
      <c r="D51" s="222" t="s">
        <v>15</v>
      </c>
      <c r="E51" s="224"/>
      <c r="F51" s="224"/>
      <c r="H51" s="222" t="str">
        <f t="shared" si="1"/>
        <v>110704 | UANG MUKA PPH PSL. 23</v>
      </c>
      <c r="I51" s="222">
        <f t="shared" ca="1" si="2"/>
        <v>0</v>
      </c>
      <c r="J51" s="222" t="str">
        <f ca="1">IF(I51=0,"",COUNTIF($I$8:I51,"&gt;0"))</f>
        <v/>
      </c>
      <c r="K51" s="222" t="str">
        <f t="shared" ca="1" si="3"/>
        <v/>
      </c>
    </row>
    <row r="52" spans="2:11" ht="23.1" customHeight="1">
      <c r="B52" s="222">
        <v>110705</v>
      </c>
      <c r="C52" s="222" t="s">
        <v>487</v>
      </c>
      <c r="D52" s="222" t="s">
        <v>15</v>
      </c>
      <c r="E52" s="224"/>
      <c r="F52" s="224"/>
      <c r="H52" s="222" t="str">
        <f t="shared" si="1"/>
        <v>110705 | UANG MUKA PPN</v>
      </c>
      <c r="I52" s="222">
        <f t="shared" ca="1" si="2"/>
        <v>0</v>
      </c>
      <c r="J52" s="222" t="str">
        <f ca="1">IF(I52=0,"",COUNTIF($I$8:I52,"&gt;0"))</f>
        <v/>
      </c>
      <c r="K52" s="222" t="str">
        <f t="shared" ca="1" si="3"/>
        <v/>
      </c>
    </row>
    <row r="53" spans="2:11" ht="23.1" customHeight="1">
      <c r="B53" s="222">
        <v>110706</v>
      </c>
      <c r="C53" s="222" t="s">
        <v>488</v>
      </c>
      <c r="D53" s="222" t="s">
        <v>15</v>
      </c>
      <c r="E53" s="224">
        <v>1000000</v>
      </c>
      <c r="F53" s="224"/>
      <c r="H53" s="222" t="str">
        <f t="shared" si="1"/>
        <v>110706 | UANG MUKA BIAYA PARKIR TEKHNOLOGI</v>
      </c>
      <c r="I53" s="222">
        <f t="shared" ca="1" si="2"/>
        <v>0</v>
      </c>
      <c r="J53" s="222" t="str">
        <f ca="1">IF(I53=0,"",COUNTIF($I$8:I53,"&gt;0"))</f>
        <v/>
      </c>
      <c r="K53" s="222" t="str">
        <f t="shared" ca="1" si="3"/>
        <v/>
      </c>
    </row>
    <row r="54" spans="2:11" ht="23.1" customHeight="1">
      <c r="B54" s="222">
        <v>110707</v>
      </c>
      <c r="C54" s="222" t="s">
        <v>489</v>
      </c>
      <c r="D54" s="222" t="s">
        <v>15</v>
      </c>
      <c r="E54" s="224"/>
      <c r="F54" s="224"/>
      <c r="H54" s="222" t="str">
        <f t="shared" si="1"/>
        <v>110707 | UANG MUKA LAINNYA</v>
      </c>
      <c r="I54" s="222">
        <f t="shared" ca="1" si="2"/>
        <v>0</v>
      </c>
      <c r="J54" s="222" t="str">
        <f ca="1">IF(I54=0,"",COUNTIF($I$8:I54,"&gt;0"))</f>
        <v/>
      </c>
      <c r="K54" s="222" t="str">
        <f t="shared" ca="1" si="3"/>
        <v/>
      </c>
    </row>
    <row r="55" spans="2:11" ht="23.1" customHeight="1">
      <c r="B55" s="222">
        <v>110708</v>
      </c>
      <c r="C55" s="222" t="s">
        <v>490</v>
      </c>
      <c r="D55" s="222" t="s">
        <v>15</v>
      </c>
      <c r="E55" s="224"/>
      <c r="F55" s="224"/>
      <c r="H55" s="222" t="str">
        <f t="shared" si="1"/>
        <v>110708 | UANG MUKA PAJAK PLB</v>
      </c>
      <c r="I55" s="222">
        <f t="shared" ca="1" si="2"/>
        <v>0</v>
      </c>
      <c r="J55" s="222" t="str">
        <f ca="1">IF(I55=0,"",COUNTIF($I$8:I55,"&gt;0"))</f>
        <v/>
      </c>
      <c r="K55" s="222" t="str">
        <f t="shared" ca="1" si="3"/>
        <v/>
      </c>
    </row>
    <row r="56" spans="2:11" ht="23.1" customHeight="1">
      <c r="B56" s="223">
        <v>120100</v>
      </c>
      <c r="C56" s="223" t="s">
        <v>235</v>
      </c>
      <c r="D56" s="222"/>
      <c r="E56" s="224"/>
      <c r="F56" s="224"/>
      <c r="H56" s="222" t="str">
        <f t="shared" si="1"/>
        <v/>
      </c>
      <c r="I56" s="222">
        <f t="shared" ca="1" si="2"/>
        <v>0</v>
      </c>
      <c r="J56" s="222" t="str">
        <f ca="1">IF(I56=0,"",COUNTIF($I$8:I56,"&gt;0"))</f>
        <v/>
      </c>
      <c r="K56" s="222" t="str">
        <f t="shared" ca="1" si="3"/>
        <v/>
      </c>
    </row>
    <row r="57" spans="2:11" ht="23.1" customHeight="1">
      <c r="B57" s="222">
        <v>120101</v>
      </c>
      <c r="C57" s="222" t="s">
        <v>305</v>
      </c>
      <c r="D57" s="222" t="s">
        <v>16</v>
      </c>
      <c r="E57" s="224">
        <v>500000000</v>
      </c>
      <c r="F57" s="224"/>
      <c r="H57" s="222" t="str">
        <f t="shared" si="1"/>
        <v>120101 | TANAH</v>
      </c>
      <c r="I57" s="222">
        <f t="shared" ca="1" si="2"/>
        <v>0</v>
      </c>
      <c r="J57" s="222" t="str">
        <f ca="1">IF(I57=0,"",COUNTIF($I$8:I57,"&gt;0"))</f>
        <v/>
      </c>
      <c r="K57" s="222" t="str">
        <f t="shared" ca="1" si="3"/>
        <v/>
      </c>
    </row>
    <row r="58" spans="2:11" ht="23.1" customHeight="1">
      <c r="B58" s="222">
        <v>120102</v>
      </c>
      <c r="C58" s="222" t="s">
        <v>306</v>
      </c>
      <c r="D58" s="222" t="s">
        <v>16</v>
      </c>
      <c r="E58" s="224">
        <v>673550165</v>
      </c>
      <c r="F58" s="224"/>
      <c r="H58" s="222" t="str">
        <f t="shared" si="1"/>
        <v>120102 | BANGUNAN KANTOR</v>
      </c>
      <c r="I58" s="222">
        <f t="shared" ca="1" si="2"/>
        <v>0</v>
      </c>
      <c r="J58" s="222" t="str">
        <f ca="1">IF(I58=0,"",COUNTIF($I$8:I58,"&gt;0"))</f>
        <v/>
      </c>
      <c r="K58" s="222" t="str">
        <f t="shared" ca="1" si="3"/>
        <v/>
      </c>
    </row>
    <row r="59" spans="2:11" ht="23.1" customHeight="1">
      <c r="B59" s="222">
        <v>120103</v>
      </c>
      <c r="C59" s="222" t="s">
        <v>307</v>
      </c>
      <c r="D59" s="222" t="s">
        <v>16</v>
      </c>
      <c r="E59" s="224">
        <v>2419051800</v>
      </c>
      <c r="F59" s="224"/>
      <c r="H59" s="222" t="str">
        <f t="shared" si="1"/>
        <v>120103 | KENDARAAN</v>
      </c>
      <c r="I59" s="222">
        <f t="shared" ca="1" si="2"/>
        <v>0</v>
      </c>
      <c r="J59" s="222" t="str">
        <f ca="1">IF(I59=0,"",COUNTIF($I$8:I59,"&gt;0"))</f>
        <v/>
      </c>
      <c r="K59" s="222" t="str">
        <f t="shared" ca="1" si="3"/>
        <v/>
      </c>
    </row>
    <row r="60" spans="2:11" ht="23.1" customHeight="1">
      <c r="B60" s="222">
        <v>120104</v>
      </c>
      <c r="C60" s="222" t="s">
        <v>308</v>
      </c>
      <c r="D60" s="222" t="s">
        <v>16</v>
      </c>
      <c r="E60" s="224">
        <v>14500000</v>
      </c>
      <c r="F60" s="224"/>
      <c r="H60" s="222" t="str">
        <f t="shared" si="1"/>
        <v>120104 | RAMBU RAMBU</v>
      </c>
      <c r="I60" s="222">
        <f t="shared" ca="1" si="2"/>
        <v>0</v>
      </c>
      <c r="J60" s="222" t="str">
        <f ca="1">IF(I60=0,"",COUNTIF($I$8:I60,"&gt;0"))</f>
        <v/>
      </c>
      <c r="K60" s="222" t="str">
        <f t="shared" ca="1" si="3"/>
        <v/>
      </c>
    </row>
    <row r="61" spans="2:11" ht="23.1" customHeight="1">
      <c r="B61" s="222">
        <v>120105</v>
      </c>
      <c r="C61" s="222" t="s">
        <v>309</v>
      </c>
      <c r="D61" s="222" t="s">
        <v>16</v>
      </c>
      <c r="E61" s="224">
        <v>593544510</v>
      </c>
      <c r="F61" s="224"/>
      <c r="H61" s="222" t="str">
        <f t="shared" si="1"/>
        <v>120105 | INVENTARIS KANTOR</v>
      </c>
      <c r="I61" s="222">
        <f t="shared" ca="1" si="2"/>
        <v>0</v>
      </c>
      <c r="J61" s="222" t="str">
        <f ca="1">IF(I61=0,"",COUNTIF($I$8:I61,"&gt;0"))</f>
        <v/>
      </c>
      <c r="K61" s="222" t="str">
        <f t="shared" ca="1" si="3"/>
        <v/>
      </c>
    </row>
    <row r="62" spans="2:11" ht="23.1" customHeight="1">
      <c r="B62" s="222">
        <v>120106</v>
      </c>
      <c r="C62" s="222" t="s">
        <v>840</v>
      </c>
      <c r="D62" s="222" t="s">
        <v>16</v>
      </c>
      <c r="E62" s="224"/>
      <c r="F62" s="224"/>
      <c r="H62" s="222" t="str">
        <f t="shared" si="1"/>
        <v>120106 | SERVER CMS</v>
      </c>
      <c r="I62" s="222">
        <f t="shared" ca="1" si="2"/>
        <v>0</v>
      </c>
      <c r="J62" s="222" t="str">
        <f ca="1">IF(I62=0,"",COUNTIF($I$8:I62,"&gt;0"))</f>
        <v/>
      </c>
      <c r="K62" s="222" t="str">
        <f t="shared" ca="1" si="3"/>
        <v/>
      </c>
    </row>
    <row r="63" spans="2:11" ht="23.1" customHeight="1">
      <c r="B63" s="222">
        <v>120107</v>
      </c>
      <c r="C63" s="222" t="s">
        <v>310</v>
      </c>
      <c r="D63" s="222" t="s">
        <v>16</v>
      </c>
      <c r="E63" s="224"/>
      <c r="F63" s="224"/>
      <c r="H63" s="222" t="str">
        <f t="shared" si="1"/>
        <v>120107 | PENGADAAN LAPTOP</v>
      </c>
      <c r="I63" s="222">
        <f t="shared" ca="1" si="2"/>
        <v>0</v>
      </c>
      <c r="J63" s="222" t="str">
        <f ca="1">IF(I63=0,"",COUNTIF($I$8:I63,"&gt;0"))</f>
        <v/>
      </c>
      <c r="K63" s="222" t="str">
        <f t="shared" ca="1" si="3"/>
        <v/>
      </c>
    </row>
    <row r="64" spans="2:11" ht="23.1" customHeight="1">
      <c r="B64" s="222">
        <v>120108</v>
      </c>
      <c r="C64" s="222" t="s">
        <v>311</v>
      </c>
      <c r="D64" s="222" t="s">
        <v>16</v>
      </c>
      <c r="E64" s="224"/>
      <c r="F64" s="224"/>
      <c r="H64" s="222" t="str">
        <f t="shared" si="1"/>
        <v>120108 | PENGADAAN KOMPUTER (PC) DAN HARD DISK</v>
      </c>
      <c r="I64" s="222">
        <f t="shared" ca="1" si="2"/>
        <v>0</v>
      </c>
      <c r="J64" s="222" t="str">
        <f ca="1">IF(I64=0,"",COUNTIF($I$8:I64,"&gt;0"))</f>
        <v/>
      </c>
      <c r="K64" s="222" t="str">
        <f t="shared" ca="1" si="3"/>
        <v/>
      </c>
    </row>
    <row r="65" spans="2:11" ht="23.1" customHeight="1">
      <c r="B65" s="222">
        <v>120109</v>
      </c>
      <c r="C65" s="222" t="s">
        <v>312</v>
      </c>
      <c r="D65" s="222" t="s">
        <v>16</v>
      </c>
      <c r="E65" s="224"/>
      <c r="F65" s="224"/>
      <c r="H65" s="222" t="str">
        <f t="shared" si="1"/>
        <v>120109 | PENGADAAN PRINTER,SCANNER DAN INFOCUS</v>
      </c>
      <c r="I65" s="222">
        <f t="shared" ca="1" si="2"/>
        <v>0</v>
      </c>
      <c r="J65" s="222" t="str">
        <f ca="1">IF(I65=0,"",COUNTIF($I$8:I65,"&gt;0"))</f>
        <v/>
      </c>
      <c r="K65" s="222" t="str">
        <f t="shared" ca="1" si="3"/>
        <v/>
      </c>
    </row>
    <row r="66" spans="2:11" ht="23.1" customHeight="1">
      <c r="B66" s="223">
        <v>120200</v>
      </c>
      <c r="C66" s="223" t="s">
        <v>313</v>
      </c>
      <c r="D66" s="222"/>
      <c r="E66" s="224"/>
      <c r="F66" s="224"/>
      <c r="H66" s="222" t="str">
        <f t="shared" si="1"/>
        <v/>
      </c>
      <c r="I66" s="222">
        <f t="shared" ca="1" si="2"/>
        <v>0</v>
      </c>
      <c r="J66" s="222" t="str">
        <f ca="1">IF(I66=0,"",COUNTIF($I$8:I66,"&gt;0"))</f>
        <v/>
      </c>
      <c r="K66" s="222" t="str">
        <f t="shared" ca="1" si="3"/>
        <v/>
      </c>
    </row>
    <row r="67" spans="2:11" ht="23.1" customHeight="1">
      <c r="B67" s="222">
        <v>120201</v>
      </c>
      <c r="C67" s="222" t="s">
        <v>314</v>
      </c>
      <c r="D67" s="222" t="s">
        <v>17</v>
      </c>
      <c r="E67" s="224"/>
      <c r="F67" s="224">
        <v>309395274</v>
      </c>
      <c r="H67" s="222" t="str">
        <f t="shared" si="1"/>
        <v>120201 | AKUMULASI PENYUSUTAN BANGUNAN KANTOR</v>
      </c>
      <c r="I67" s="222">
        <f t="shared" ca="1" si="2"/>
        <v>0</v>
      </c>
      <c r="J67" s="222" t="str">
        <f ca="1">IF(I67=0,"",COUNTIF($I$8:I67,"&gt;0"))</f>
        <v/>
      </c>
      <c r="K67" s="222" t="str">
        <f t="shared" ca="1" si="3"/>
        <v/>
      </c>
    </row>
    <row r="68" spans="2:11" ht="23.1" customHeight="1">
      <c r="B68" s="222">
        <v>120202</v>
      </c>
      <c r="C68" s="222" t="s">
        <v>315</v>
      </c>
      <c r="D68" s="222" t="s">
        <v>17</v>
      </c>
      <c r="E68" s="224"/>
      <c r="F68" s="224">
        <v>2190031133</v>
      </c>
      <c r="H68" s="222" t="str">
        <f t="shared" si="1"/>
        <v>120202 | AKUMULASI PENYUSUTAN KENDARAAN</v>
      </c>
      <c r="I68" s="222">
        <f t="shared" ca="1" si="2"/>
        <v>0</v>
      </c>
      <c r="J68" s="222" t="str">
        <f ca="1">IF(I68=0,"",COUNTIF($I$8:I68,"&gt;0"))</f>
        <v/>
      </c>
      <c r="K68" s="222" t="str">
        <f t="shared" ca="1" si="3"/>
        <v/>
      </c>
    </row>
    <row r="69" spans="2:11" ht="23.1" customHeight="1">
      <c r="B69" s="222">
        <v>120203</v>
      </c>
      <c r="C69" s="222" t="s">
        <v>316</v>
      </c>
      <c r="D69" s="222" t="s">
        <v>17</v>
      </c>
      <c r="E69" s="224"/>
      <c r="F69" s="224">
        <v>13458333</v>
      </c>
      <c r="H69" s="222" t="str">
        <f t="shared" si="1"/>
        <v>120203 | AKUMULASI PENYUSUTAN RAMBU RAMBU</v>
      </c>
      <c r="I69" s="222">
        <f t="shared" ca="1" si="2"/>
        <v>0</v>
      </c>
      <c r="J69" s="222" t="str">
        <f ca="1">IF(I69=0,"",COUNTIF($I$8:I69,"&gt;0"))</f>
        <v/>
      </c>
      <c r="K69" s="222" t="str">
        <f t="shared" ca="1" si="3"/>
        <v/>
      </c>
    </row>
    <row r="70" spans="2:11" ht="23.1" customHeight="1">
      <c r="B70" s="222">
        <v>120204</v>
      </c>
      <c r="C70" s="222" t="s">
        <v>317</v>
      </c>
      <c r="D70" s="222" t="s">
        <v>17</v>
      </c>
      <c r="E70" s="224"/>
      <c r="F70" s="224">
        <v>472223165</v>
      </c>
      <c r="H70" s="222" t="str">
        <f t="shared" si="1"/>
        <v>120204 | AKUMULASI PENYUSUTAN INVENTARIS KANTOR</v>
      </c>
      <c r="I70" s="222">
        <f t="shared" ca="1" si="2"/>
        <v>0</v>
      </c>
      <c r="J70" s="222" t="str">
        <f ca="1">IF(I70=0,"",COUNTIF($I$8:I70,"&gt;0"))</f>
        <v/>
      </c>
      <c r="K70" s="222" t="str">
        <f t="shared" ca="1" si="3"/>
        <v/>
      </c>
    </row>
    <row r="71" spans="2:11" ht="23.1" customHeight="1">
      <c r="B71" s="222">
        <v>120205</v>
      </c>
      <c r="C71" s="222" t="s">
        <v>839</v>
      </c>
      <c r="D71" s="222" t="s">
        <v>17</v>
      </c>
      <c r="E71" s="224"/>
      <c r="F71" s="224"/>
      <c r="H71" s="222" t="str">
        <f t="shared" ref="H71" si="4">IF(D71="","",B71&amp;" | "&amp;C71)</f>
        <v>120205 | AKUMULASI PENYUSUTAN SERVER CMS</v>
      </c>
      <c r="I71" s="222">
        <f t="shared" ref="I71" ca="1" si="5">VALUE(IFERROR(SEARCH(INDIRECT(CELL("address")),H71),0))</f>
        <v>0</v>
      </c>
      <c r="J71" s="222" t="str">
        <f ca="1">IF(I71=0,"",COUNTIF($I$8:I71,"&gt;0"))</f>
        <v/>
      </c>
      <c r="K71" s="222" t="str">
        <f t="shared" ca="1" si="3"/>
        <v/>
      </c>
    </row>
    <row r="72" spans="2:11" ht="23.1" customHeight="1">
      <c r="B72" s="223">
        <v>130000</v>
      </c>
      <c r="C72" s="223" t="s">
        <v>318</v>
      </c>
      <c r="D72" s="222"/>
      <c r="E72" s="224"/>
      <c r="F72" s="224"/>
      <c r="H72" s="222" t="str">
        <f t="shared" si="1"/>
        <v/>
      </c>
      <c r="I72" s="222">
        <f t="shared" ca="1" si="2"/>
        <v>0</v>
      </c>
      <c r="J72" s="222" t="str">
        <f ca="1">IF(I72=0,"",COUNTIF($I$8:I72,"&gt;0"))</f>
        <v/>
      </c>
      <c r="K72" s="222" t="str">
        <f t="shared" ref="K72:K78" ca="1" si="6">IFERROR(INDEX(H:H,MATCH(ROW(I64),J:J,0)),"")</f>
        <v/>
      </c>
    </row>
    <row r="73" spans="2:11" ht="23.1" customHeight="1">
      <c r="B73" s="223">
        <v>130100</v>
      </c>
      <c r="C73" s="223" t="s">
        <v>318</v>
      </c>
      <c r="D73" s="222"/>
      <c r="E73" s="224"/>
      <c r="F73" s="224"/>
      <c r="H73" s="222" t="str">
        <f t="shared" si="1"/>
        <v/>
      </c>
      <c r="I73" s="222">
        <f t="shared" ca="1" si="2"/>
        <v>0</v>
      </c>
      <c r="J73" s="222" t="str">
        <f ca="1">IF(I73=0,"",COUNTIF($I$8:I73,"&gt;0"))</f>
        <v/>
      </c>
      <c r="K73" s="222" t="str">
        <f t="shared" ca="1" si="6"/>
        <v/>
      </c>
    </row>
    <row r="74" spans="2:11" ht="23.1" customHeight="1">
      <c r="B74" s="222">
        <v>130101</v>
      </c>
      <c r="C74" s="222" t="s">
        <v>319</v>
      </c>
      <c r="D74" s="222" t="s">
        <v>16</v>
      </c>
      <c r="E74" s="224">
        <v>2079027500</v>
      </c>
      <c r="F74" s="224"/>
      <c r="H74" s="222" t="str">
        <f t="shared" ref="H74:H138" si="7">IF(D74="","",B74&amp;" | "&amp;C74)</f>
        <v>130101 | GOODWILL</v>
      </c>
      <c r="I74" s="222">
        <f t="shared" ref="I74:I138" ca="1" si="8">VALUE(IFERROR(SEARCH(INDIRECT(CELL("address")),H74),0))</f>
        <v>0</v>
      </c>
      <c r="J74" s="222" t="str">
        <f ca="1">IF(I74=0,"",COUNTIF($I$8:I74,"&gt;0"))</f>
        <v/>
      </c>
      <c r="K74" s="222" t="str">
        <f t="shared" ca="1" si="6"/>
        <v/>
      </c>
    </row>
    <row r="75" spans="2:11" ht="23.1" customHeight="1">
      <c r="B75" s="223">
        <v>130110</v>
      </c>
      <c r="C75" s="223" t="s">
        <v>320</v>
      </c>
      <c r="D75" s="222"/>
      <c r="E75" s="224"/>
      <c r="F75" s="224"/>
      <c r="H75" s="222" t="str">
        <f t="shared" si="7"/>
        <v/>
      </c>
      <c r="I75" s="222">
        <f t="shared" ca="1" si="8"/>
        <v>0</v>
      </c>
      <c r="J75" s="222" t="str">
        <f ca="1">IF(I75=0,"",COUNTIF($I$8:I75,"&gt;0"))</f>
        <v/>
      </c>
      <c r="K75" s="222" t="str">
        <f t="shared" ca="1" si="6"/>
        <v/>
      </c>
    </row>
    <row r="76" spans="2:11" ht="23.1" customHeight="1">
      <c r="B76" s="222">
        <v>130111</v>
      </c>
      <c r="C76" s="222" t="s">
        <v>731</v>
      </c>
      <c r="D76" s="222" t="s">
        <v>16</v>
      </c>
      <c r="E76" s="224">
        <v>40000000</v>
      </c>
      <c r="F76" s="224"/>
      <c r="H76" s="222" t="str">
        <f t="shared" si="7"/>
        <v>130111 | SISTEM INFORMASI PARKIR/WEBSITE PD PARKIR</v>
      </c>
      <c r="I76" s="222">
        <f t="shared" ca="1" si="8"/>
        <v>0</v>
      </c>
      <c r="J76" s="222" t="str">
        <f ca="1">IF(I76=0,"",COUNTIF($I$8:I76,"&gt;0"))</f>
        <v/>
      </c>
      <c r="K76" s="222" t="str">
        <f t="shared" ca="1" si="6"/>
        <v/>
      </c>
    </row>
    <row r="77" spans="2:11" ht="23.1" customHeight="1">
      <c r="B77" s="222">
        <v>130112</v>
      </c>
      <c r="C77" s="222" t="s">
        <v>531</v>
      </c>
      <c r="D77" s="222" t="s">
        <v>16</v>
      </c>
      <c r="E77" s="224">
        <v>87000000</v>
      </c>
      <c r="F77" s="224"/>
      <c r="H77" s="222" t="str">
        <f t="shared" si="7"/>
        <v>130112 | SISTEM INFORMASI KEUANGAN</v>
      </c>
      <c r="I77" s="222">
        <f t="shared" ca="1" si="8"/>
        <v>0</v>
      </c>
      <c r="J77" s="222" t="str">
        <f ca="1">IF(I77=0,"",COUNTIF($I$8:I77,"&gt;0"))</f>
        <v/>
      </c>
      <c r="K77" s="222" t="str">
        <f t="shared" ca="1" si="6"/>
        <v/>
      </c>
    </row>
    <row r="78" spans="2:11" ht="23.1" customHeight="1">
      <c r="B78" s="222">
        <v>130113</v>
      </c>
      <c r="C78" s="222" t="s">
        <v>532</v>
      </c>
      <c r="D78" s="222" t="s">
        <v>16</v>
      </c>
      <c r="E78" s="224">
        <v>45000000</v>
      </c>
      <c r="F78" s="224"/>
      <c r="H78" s="222" t="str">
        <f t="shared" si="7"/>
        <v>130113 | RENSTRA</v>
      </c>
      <c r="I78" s="222">
        <f t="shared" ca="1" si="8"/>
        <v>0</v>
      </c>
      <c r="J78" s="222" t="str">
        <f ca="1">IF(I78=0,"",COUNTIF($I$8:I78,"&gt;0"))</f>
        <v/>
      </c>
      <c r="K78" s="222" t="str">
        <f t="shared" ca="1" si="6"/>
        <v/>
      </c>
    </row>
    <row r="79" spans="2:11" ht="23.1" customHeight="1">
      <c r="B79" s="222">
        <v>130114</v>
      </c>
      <c r="C79" s="222" t="s">
        <v>533</v>
      </c>
      <c r="D79" s="222" t="s">
        <v>16</v>
      </c>
      <c r="E79" s="224">
        <v>95200000</v>
      </c>
      <c r="F79" s="224"/>
      <c r="H79" s="222" t="str">
        <f t="shared" si="7"/>
        <v>130114 | PEDOMAN AKUNTANSI</v>
      </c>
      <c r="I79" s="222">
        <f t="shared" ca="1" si="8"/>
        <v>0</v>
      </c>
      <c r="J79" s="222" t="str">
        <f ca="1">IF(I79=0,"",COUNTIF($I$8:I79,"&gt;0"))</f>
        <v/>
      </c>
      <c r="K79" s="222" t="str">
        <f t="shared" ref="K79:K95" ca="1" si="9">IFERROR(INDEX(H:H,MATCH(ROW(I72),J:J,0)),"")</f>
        <v/>
      </c>
    </row>
    <row r="80" spans="2:11" ht="23.1" customHeight="1">
      <c r="B80" s="222">
        <v>130115</v>
      </c>
      <c r="C80" s="222" t="s">
        <v>534</v>
      </c>
      <c r="D80" s="222" t="s">
        <v>16</v>
      </c>
      <c r="E80" s="224">
        <v>44800000</v>
      </c>
      <c r="F80" s="224"/>
      <c r="H80" s="222" t="str">
        <f t="shared" si="7"/>
        <v>130115 | PEDOMAN PENYUSUNAN RKAP</v>
      </c>
      <c r="I80" s="222">
        <f t="shared" ca="1" si="8"/>
        <v>0</v>
      </c>
      <c r="J80" s="222" t="str">
        <f ca="1">IF(I80=0,"",COUNTIF($I$8:I80,"&gt;0"))</f>
        <v/>
      </c>
      <c r="K80" s="222" t="str">
        <f t="shared" ca="1" si="9"/>
        <v/>
      </c>
    </row>
    <row r="81" spans="2:11" ht="23.1" customHeight="1">
      <c r="B81" s="222">
        <v>130116</v>
      </c>
      <c r="C81" s="222" t="s">
        <v>535</v>
      </c>
      <c r="D81" s="222" t="s">
        <v>16</v>
      </c>
      <c r="E81" s="224">
        <v>182100000</v>
      </c>
      <c r="F81" s="224"/>
      <c r="H81" s="222" t="str">
        <f t="shared" si="7"/>
        <v>130116 | ISO</v>
      </c>
      <c r="I81" s="222">
        <f t="shared" ca="1" si="8"/>
        <v>0</v>
      </c>
      <c r="J81" s="222" t="str">
        <f ca="1">IF(I81=0,"",COUNTIF($I$8:I81,"&gt;0"))</f>
        <v/>
      </c>
      <c r="K81" s="222" t="str">
        <f t="shared" ca="1" si="9"/>
        <v/>
      </c>
    </row>
    <row r="82" spans="2:11" ht="23.1" customHeight="1">
      <c r="B82" s="222">
        <v>130117</v>
      </c>
      <c r="C82" s="222" t="s">
        <v>536</v>
      </c>
      <c r="D82" s="222" t="s">
        <v>16</v>
      </c>
      <c r="E82" s="224">
        <v>7250000</v>
      </c>
      <c r="F82" s="224"/>
      <c r="H82" s="222" t="str">
        <f t="shared" si="7"/>
        <v>130117 | PEMBUATAN SISTEM KWITANSI</v>
      </c>
      <c r="I82" s="222">
        <f t="shared" ca="1" si="8"/>
        <v>0</v>
      </c>
      <c r="J82" s="222" t="str">
        <f ca="1">IF(I82=0,"",COUNTIF($I$8:I82,"&gt;0"))</f>
        <v/>
      </c>
      <c r="K82" s="222" t="str">
        <f t="shared" ca="1" si="9"/>
        <v/>
      </c>
    </row>
    <row r="83" spans="2:11" ht="23.1" customHeight="1">
      <c r="B83" s="222">
        <v>130118</v>
      </c>
      <c r="C83" s="222" t="s">
        <v>537</v>
      </c>
      <c r="D83" s="222" t="s">
        <v>16</v>
      </c>
      <c r="E83" s="224">
        <v>40000000</v>
      </c>
      <c r="F83" s="224"/>
      <c r="H83" s="222" t="str">
        <f t="shared" si="7"/>
        <v>130118 | MAP PARKING</v>
      </c>
      <c r="I83" s="222">
        <f t="shared" ca="1" si="8"/>
        <v>0</v>
      </c>
      <c r="J83" s="222" t="str">
        <f ca="1">IF(I83=0,"",COUNTIF($I$8:I83,"&gt;0"))</f>
        <v/>
      </c>
      <c r="K83" s="222" t="str">
        <f t="shared" ca="1" si="9"/>
        <v/>
      </c>
    </row>
    <row r="84" spans="2:11" ht="23.1" customHeight="1">
      <c r="B84" s="222">
        <v>130119</v>
      </c>
      <c r="C84" s="222" t="s">
        <v>538</v>
      </c>
      <c r="D84" s="222" t="s">
        <v>16</v>
      </c>
      <c r="E84" s="224">
        <v>67590000</v>
      </c>
      <c r="F84" s="224"/>
      <c r="H84" s="222" t="str">
        <f t="shared" si="7"/>
        <v>130119 | PENYUSUNAN REGULASI PERDA</v>
      </c>
      <c r="I84" s="222">
        <f t="shared" ca="1" si="8"/>
        <v>0</v>
      </c>
      <c r="J84" s="222" t="str">
        <f ca="1">IF(I84=0,"",COUNTIF($I$8:I84,"&gt;0"))</f>
        <v/>
      </c>
      <c r="K84" s="222" t="str">
        <f t="shared" ca="1" si="9"/>
        <v/>
      </c>
    </row>
    <row r="85" spans="2:11" ht="23.1" customHeight="1">
      <c r="B85" s="222">
        <v>130120</v>
      </c>
      <c r="C85" s="222" t="s">
        <v>539</v>
      </c>
      <c r="D85" s="222" t="s">
        <v>16</v>
      </c>
      <c r="E85" s="224">
        <v>74950000</v>
      </c>
      <c r="F85" s="224"/>
      <c r="H85" s="222" t="str">
        <f t="shared" si="7"/>
        <v>130120 | BIAYA PEMBUATAN SIM KEU</v>
      </c>
      <c r="I85" s="222">
        <f t="shared" ca="1" si="8"/>
        <v>0</v>
      </c>
      <c r="J85" s="222" t="str">
        <f ca="1">IF(I85=0,"",COUNTIF($I$8:I85,"&gt;0"))</f>
        <v/>
      </c>
      <c r="K85" s="222" t="str">
        <f t="shared" ca="1" si="9"/>
        <v/>
      </c>
    </row>
    <row r="86" spans="2:11" ht="23.1" customHeight="1">
      <c r="B86" s="222">
        <v>130121</v>
      </c>
      <c r="C86" s="222" t="s">
        <v>540</v>
      </c>
      <c r="D86" s="222" t="s">
        <v>16</v>
      </c>
      <c r="E86" s="224">
        <v>28450000</v>
      </c>
      <c r="F86" s="224"/>
      <c r="H86" s="222" t="str">
        <f t="shared" si="7"/>
        <v>130121 | BIAYA PEMBUATAN SIM KEU 2</v>
      </c>
      <c r="I86" s="222">
        <f t="shared" ca="1" si="8"/>
        <v>0</v>
      </c>
      <c r="J86" s="222" t="str">
        <f ca="1">IF(I86=0,"",COUNTIF($I$8:I86,"&gt;0"))</f>
        <v/>
      </c>
      <c r="K86" s="222" t="str">
        <f t="shared" ca="1" si="9"/>
        <v/>
      </c>
    </row>
    <row r="87" spans="2:11" ht="23.1" customHeight="1">
      <c r="B87" s="222">
        <v>130122</v>
      </c>
      <c r="C87" s="222" t="s">
        <v>541</v>
      </c>
      <c r="D87" s="222" t="s">
        <v>16</v>
      </c>
      <c r="E87" s="224">
        <v>74950000</v>
      </c>
      <c r="F87" s="224"/>
      <c r="H87" s="222" t="str">
        <f t="shared" si="7"/>
        <v>130122 | BIAYA PENGEMBANGAN SIM KEU</v>
      </c>
      <c r="I87" s="222">
        <f t="shared" ca="1" si="8"/>
        <v>0</v>
      </c>
      <c r="J87" s="222" t="str">
        <f ca="1">IF(I87=0,"",COUNTIF($I$8:I87,"&gt;0"))</f>
        <v/>
      </c>
      <c r="K87" s="222" t="str">
        <f t="shared" ca="1" si="9"/>
        <v/>
      </c>
    </row>
    <row r="88" spans="2:11" ht="23.1" customHeight="1">
      <c r="B88" s="222">
        <v>130123</v>
      </c>
      <c r="C88" s="222" t="s">
        <v>542</v>
      </c>
      <c r="D88" s="222" t="s">
        <v>16</v>
      </c>
      <c r="E88" s="224">
        <v>198660000</v>
      </c>
      <c r="F88" s="224"/>
      <c r="H88" s="222" t="str">
        <f t="shared" si="7"/>
        <v>130123 | DESIGN GAMBAR PARKIRAN TAMAN</v>
      </c>
      <c r="I88" s="222">
        <f t="shared" ca="1" si="8"/>
        <v>0</v>
      </c>
      <c r="J88" s="222" t="str">
        <f ca="1">IF(I88=0,"",COUNTIF($I$8:I88,"&gt;0"))</f>
        <v/>
      </c>
      <c r="K88" s="222" t="str">
        <f t="shared" ca="1" si="9"/>
        <v/>
      </c>
    </row>
    <row r="89" spans="2:11" ht="23.1" customHeight="1">
      <c r="B89" s="222">
        <v>130124</v>
      </c>
      <c r="C89" s="222" t="s">
        <v>543</v>
      </c>
      <c r="D89" s="222" t="s">
        <v>16</v>
      </c>
      <c r="E89" s="224">
        <v>60000000</v>
      </c>
      <c r="F89" s="224"/>
      <c r="H89" s="222" t="str">
        <f t="shared" si="7"/>
        <v>130124 | PEMBUATAN SOP</v>
      </c>
      <c r="I89" s="222">
        <f t="shared" ca="1" si="8"/>
        <v>0</v>
      </c>
      <c r="J89" s="222" t="str">
        <f ca="1">IF(I89=0,"",COUNTIF($I$8:I89,"&gt;0"))</f>
        <v/>
      </c>
      <c r="K89" s="222" t="str">
        <f t="shared" ca="1" si="9"/>
        <v/>
      </c>
    </row>
    <row r="90" spans="2:11" ht="23.1" customHeight="1">
      <c r="B90" s="222">
        <v>130125</v>
      </c>
      <c r="C90" s="222" t="s">
        <v>544</v>
      </c>
      <c r="D90" s="222" t="s">
        <v>16</v>
      </c>
      <c r="E90" s="224">
        <v>40000000</v>
      </c>
      <c r="F90" s="224"/>
      <c r="H90" s="222" t="str">
        <f t="shared" si="7"/>
        <v>130125 | PEMBUATAN CORPORATE PLAN</v>
      </c>
      <c r="I90" s="222">
        <f t="shared" ca="1" si="8"/>
        <v>0</v>
      </c>
      <c r="J90" s="222" t="str">
        <f ca="1">IF(I90=0,"",COUNTIF($I$8:I90,"&gt;0"))</f>
        <v/>
      </c>
      <c r="K90" s="222" t="str">
        <f t="shared" ca="1" si="9"/>
        <v/>
      </c>
    </row>
    <row r="91" spans="2:11" ht="23.1" customHeight="1">
      <c r="B91" s="222">
        <v>130126</v>
      </c>
      <c r="C91" s="222" t="s">
        <v>545</v>
      </c>
      <c r="D91" s="222" t="s">
        <v>16</v>
      </c>
      <c r="E91" s="224">
        <v>79900000</v>
      </c>
      <c r="F91" s="224"/>
      <c r="H91" s="222" t="str">
        <f t="shared" si="7"/>
        <v>130126 | SISTEM INFORMASI JUKIR DAN TITIK PARKIR</v>
      </c>
      <c r="I91" s="222">
        <f t="shared" ca="1" si="8"/>
        <v>0</v>
      </c>
      <c r="J91" s="222" t="str">
        <f ca="1">IF(I91=0,"",COUNTIF($I$8:I91,"&gt;0"))</f>
        <v/>
      </c>
      <c r="K91" s="222" t="str">
        <f t="shared" ca="1" si="9"/>
        <v/>
      </c>
    </row>
    <row r="92" spans="2:11" ht="23.1" customHeight="1">
      <c r="B92" s="222">
        <v>130127</v>
      </c>
      <c r="C92" s="222" t="s">
        <v>546</v>
      </c>
      <c r="D92" s="222" t="s">
        <v>16</v>
      </c>
      <c r="E92" s="224">
        <v>24850000</v>
      </c>
      <c r="F92" s="224"/>
      <c r="H92" s="222" t="str">
        <f t="shared" si="7"/>
        <v>130127 | SISTEM INFORMASI PEGAWAI</v>
      </c>
      <c r="I92" s="222">
        <f t="shared" ca="1" si="8"/>
        <v>0</v>
      </c>
      <c r="J92" s="222" t="str">
        <f ca="1">IF(I92=0,"",COUNTIF($I$8:I92,"&gt;0"))</f>
        <v/>
      </c>
      <c r="K92" s="222" t="str">
        <f t="shared" ca="1" si="9"/>
        <v/>
      </c>
    </row>
    <row r="93" spans="2:11" ht="23.1" customHeight="1">
      <c r="B93" s="222">
        <v>130128</v>
      </c>
      <c r="C93" s="222" t="s">
        <v>547</v>
      </c>
      <c r="D93" s="222" t="s">
        <v>16</v>
      </c>
      <c r="E93" s="224">
        <v>16150000</v>
      </c>
      <c r="F93" s="224"/>
      <c r="H93" s="222" t="str">
        <f t="shared" si="7"/>
        <v>130128 | APLIKASI GO PARKIR APP MOBILE</v>
      </c>
      <c r="I93" s="222">
        <f t="shared" ca="1" si="8"/>
        <v>0</v>
      </c>
      <c r="J93" s="222" t="str">
        <f ca="1">IF(I93=0,"",COUNTIF($I$8:I93,"&gt;0"))</f>
        <v/>
      </c>
      <c r="K93" s="222" t="str">
        <f t="shared" ca="1" si="9"/>
        <v/>
      </c>
    </row>
    <row r="94" spans="2:11" ht="23.1" customHeight="1">
      <c r="B94" s="222">
        <v>130129</v>
      </c>
      <c r="C94" s="222" t="s">
        <v>548</v>
      </c>
      <c r="D94" s="222" t="s">
        <v>16</v>
      </c>
      <c r="E94" s="224">
        <v>176880000</v>
      </c>
      <c r="F94" s="224"/>
      <c r="H94" s="222" t="str">
        <f t="shared" si="7"/>
        <v>130129 | SIMKEU 2021</v>
      </c>
      <c r="I94" s="222">
        <f t="shared" ca="1" si="8"/>
        <v>0</v>
      </c>
      <c r="J94" s="222" t="str">
        <f ca="1">IF(I94=0,"",COUNTIF($I$8:I94,"&gt;0"))</f>
        <v/>
      </c>
      <c r="K94" s="222" t="str">
        <f t="shared" ca="1" si="9"/>
        <v/>
      </c>
    </row>
    <row r="95" spans="2:11" ht="23.1" customHeight="1">
      <c r="B95" s="222">
        <v>130130</v>
      </c>
      <c r="C95" s="222" t="s">
        <v>841</v>
      </c>
      <c r="D95" s="222" t="s">
        <v>16</v>
      </c>
      <c r="E95" s="224"/>
      <c r="F95" s="224"/>
      <c r="H95" s="222" t="str">
        <f t="shared" ref="H95" si="10">IF(D95="","",B95&amp;" | "&amp;C95)</f>
        <v>130130 | CORPORATE SYSTEM MMANGEMENT</v>
      </c>
      <c r="I95" s="222">
        <f t="shared" ref="I95" ca="1" si="11">VALUE(IFERROR(SEARCH(INDIRECT(CELL("address")),H95),0))</f>
        <v>0</v>
      </c>
      <c r="J95" s="222" t="str">
        <f ca="1">IF(I95=0,"",COUNTIF($I$8:I95,"&gt;0"))</f>
        <v/>
      </c>
      <c r="K95" s="222" t="str">
        <f t="shared" ca="1" si="9"/>
        <v/>
      </c>
    </row>
    <row r="96" spans="2:11" ht="23.1" customHeight="1">
      <c r="B96" s="223">
        <v>130200</v>
      </c>
      <c r="C96" s="223" t="s">
        <v>321</v>
      </c>
      <c r="D96" s="222"/>
      <c r="E96" s="224"/>
      <c r="F96" s="224"/>
      <c r="H96" s="222" t="str">
        <f t="shared" si="7"/>
        <v/>
      </c>
      <c r="I96" s="222">
        <f t="shared" ca="1" si="8"/>
        <v>0</v>
      </c>
      <c r="J96" s="222" t="str">
        <f ca="1">IF(I96=0,"",COUNTIF($I$8:I96,"&gt;0"))</f>
        <v/>
      </c>
      <c r="K96" s="222" t="str">
        <f t="shared" ref="K96:K102" ca="1" si="12">IFERROR(INDEX(H:H,MATCH(ROW(I88),J:J,0)),"")</f>
        <v/>
      </c>
    </row>
    <row r="97" spans="2:11" ht="23.1" customHeight="1">
      <c r="B97" s="222">
        <v>130201</v>
      </c>
      <c r="C97" s="222" t="s">
        <v>322</v>
      </c>
      <c r="D97" s="222" t="s">
        <v>17</v>
      </c>
      <c r="E97" s="224"/>
      <c r="F97" s="224">
        <v>1871124750</v>
      </c>
      <c r="H97" s="222" t="str">
        <f t="shared" si="7"/>
        <v>130201 | AKUMULASI AMORTISASI GOODWILL</v>
      </c>
      <c r="I97" s="222">
        <f t="shared" ca="1" si="8"/>
        <v>0</v>
      </c>
      <c r="J97" s="222" t="str">
        <f ca="1">IF(I97=0,"",COUNTIF($I$8:I97,"&gt;0"))</f>
        <v/>
      </c>
      <c r="K97" s="222" t="str">
        <f t="shared" ca="1" si="12"/>
        <v/>
      </c>
    </row>
    <row r="98" spans="2:11" ht="23.1" customHeight="1">
      <c r="B98" s="222">
        <v>130202</v>
      </c>
      <c r="C98" s="222" t="s">
        <v>321</v>
      </c>
      <c r="D98" s="222" t="s">
        <v>17</v>
      </c>
      <c r="E98" s="224"/>
      <c r="F98" s="224">
        <v>1202189167</v>
      </c>
      <c r="H98" s="222" t="str">
        <f t="shared" si="7"/>
        <v>130202 | AKUMULASI AMORTISASI BEBAN DITANGGUHKAN</v>
      </c>
      <c r="I98" s="222">
        <f t="shared" ca="1" si="8"/>
        <v>0</v>
      </c>
      <c r="J98" s="222" t="str">
        <f ca="1">IF(I98=0,"",COUNTIF($I$8:I98,"&gt;0"))</f>
        <v/>
      </c>
      <c r="K98" s="222" t="str">
        <f t="shared" ca="1" si="12"/>
        <v/>
      </c>
    </row>
    <row r="99" spans="2:11" ht="23.1" customHeight="1">
      <c r="B99" s="222">
        <v>130203</v>
      </c>
      <c r="C99" s="222" t="s">
        <v>323</v>
      </c>
      <c r="D99" s="222" t="s">
        <v>17</v>
      </c>
      <c r="E99" s="224"/>
      <c r="F99" s="224"/>
      <c r="H99" s="222" t="str">
        <f t="shared" si="7"/>
        <v>130203 | AKUMULASI AMORTISASI LAINNYA</v>
      </c>
      <c r="I99" s="222">
        <f t="shared" ca="1" si="8"/>
        <v>0</v>
      </c>
      <c r="J99" s="222" t="str">
        <f ca="1">IF(I99=0,"",COUNTIF($I$8:I99,"&gt;0"))</f>
        <v/>
      </c>
      <c r="K99" s="222" t="str">
        <f t="shared" ca="1" si="12"/>
        <v/>
      </c>
    </row>
    <row r="100" spans="2:11" ht="23.1" customHeight="1">
      <c r="B100" s="223">
        <v>130300</v>
      </c>
      <c r="C100" s="223" t="s">
        <v>270</v>
      </c>
      <c r="D100" s="222"/>
      <c r="E100" s="224"/>
      <c r="F100" s="224"/>
      <c r="H100" s="222" t="str">
        <f t="shared" si="7"/>
        <v/>
      </c>
      <c r="I100" s="222">
        <f t="shared" ca="1" si="8"/>
        <v>0</v>
      </c>
      <c r="J100" s="222" t="str">
        <f ca="1">IF(I100=0,"",COUNTIF($I$8:I100,"&gt;0"))</f>
        <v/>
      </c>
      <c r="K100" s="222" t="str">
        <f t="shared" ca="1" si="12"/>
        <v/>
      </c>
    </row>
    <row r="101" spans="2:11" ht="23.1" customHeight="1">
      <c r="B101" s="222">
        <v>130301</v>
      </c>
      <c r="C101" s="222" t="s">
        <v>324</v>
      </c>
      <c r="D101" s="222" t="s">
        <v>18</v>
      </c>
      <c r="E101" s="224">
        <v>421400000</v>
      </c>
      <c r="F101" s="224"/>
      <c r="H101" s="222" t="str">
        <f t="shared" si="7"/>
        <v>130301 | CADANGAN DANA PENSIUN (DPLK) PEGAWAI</v>
      </c>
      <c r="I101" s="222">
        <f t="shared" ca="1" si="8"/>
        <v>0</v>
      </c>
      <c r="J101" s="222" t="str">
        <f ca="1">IF(I101=0,"",COUNTIF($I$8:I101,"&gt;0"))</f>
        <v/>
      </c>
      <c r="K101" s="222" t="str">
        <f t="shared" ca="1" si="12"/>
        <v/>
      </c>
    </row>
    <row r="102" spans="2:11" ht="23.1" customHeight="1">
      <c r="B102" s="222">
        <v>130302</v>
      </c>
      <c r="C102" s="222" t="s">
        <v>325</v>
      </c>
      <c r="D102" s="222" t="s">
        <v>18</v>
      </c>
      <c r="E102" s="224">
        <v>510000000</v>
      </c>
      <c r="F102" s="224"/>
      <c r="H102" s="222" t="str">
        <f t="shared" si="7"/>
        <v>130302 | CADANGAN DANA PENSIUN (DPLK) DIREKSI</v>
      </c>
      <c r="I102" s="222">
        <f t="shared" ca="1" si="8"/>
        <v>0</v>
      </c>
      <c r="J102" s="222" t="str">
        <f ca="1">IF(I102=0,"",COUNTIF($I$8:I102,"&gt;0"))</f>
        <v/>
      </c>
      <c r="K102" s="222" t="str">
        <f t="shared" ca="1" si="12"/>
        <v/>
      </c>
    </row>
    <row r="103" spans="2:11" ht="23.1" customHeight="1">
      <c r="B103" s="223">
        <v>200000</v>
      </c>
      <c r="C103" s="223" t="s">
        <v>326</v>
      </c>
      <c r="D103" s="222"/>
      <c r="E103" s="224"/>
      <c r="F103" s="224"/>
      <c r="H103" s="222" t="str">
        <f t="shared" si="7"/>
        <v/>
      </c>
      <c r="I103" s="222">
        <f t="shared" ca="1" si="8"/>
        <v>0</v>
      </c>
      <c r="J103" s="222" t="str">
        <f ca="1">IF(I103=0,"",COUNTIF($I$8:I103,"&gt;0"))</f>
        <v/>
      </c>
      <c r="K103" s="222" t="str">
        <f t="shared" ref="K103:K134" ca="1" si="13">IFERROR(INDEX(H:H,MATCH(ROW(I96),J:J,0)),"")</f>
        <v/>
      </c>
    </row>
    <row r="104" spans="2:11" ht="23.1" customHeight="1">
      <c r="B104" s="223">
        <v>210000</v>
      </c>
      <c r="C104" s="223" t="s">
        <v>327</v>
      </c>
      <c r="D104" s="222"/>
      <c r="E104" s="224"/>
      <c r="F104" s="224"/>
      <c r="H104" s="222" t="str">
        <f t="shared" si="7"/>
        <v/>
      </c>
      <c r="I104" s="222">
        <f t="shared" ca="1" si="8"/>
        <v>0</v>
      </c>
      <c r="J104" s="222" t="str">
        <f ca="1">IF(I104=0,"",COUNTIF($I$8:I104,"&gt;0"))</f>
        <v/>
      </c>
      <c r="K104" s="222" t="str">
        <f t="shared" ca="1" si="13"/>
        <v/>
      </c>
    </row>
    <row r="105" spans="2:11" ht="23.1" customHeight="1">
      <c r="B105" s="223">
        <v>210100</v>
      </c>
      <c r="C105" s="223" t="s">
        <v>328</v>
      </c>
      <c r="D105" s="222"/>
      <c r="E105" s="224"/>
      <c r="F105" s="224"/>
      <c r="H105" s="222" t="str">
        <f t="shared" si="7"/>
        <v/>
      </c>
      <c r="I105" s="222">
        <f t="shared" ca="1" si="8"/>
        <v>0</v>
      </c>
      <c r="J105" s="222" t="str">
        <f ca="1">IF(I105=0,"",COUNTIF($I$8:I105,"&gt;0"))</f>
        <v/>
      </c>
      <c r="K105" s="222" t="str">
        <f t="shared" ca="1" si="13"/>
        <v/>
      </c>
    </row>
    <row r="106" spans="2:11" ht="23.1" customHeight="1">
      <c r="B106" s="222">
        <v>210101</v>
      </c>
      <c r="C106" s="222" t="s">
        <v>329</v>
      </c>
      <c r="D106" s="222" t="s">
        <v>19</v>
      </c>
      <c r="E106" s="224"/>
      <c r="F106" s="224"/>
      <c r="H106" s="222" t="str">
        <f t="shared" si="7"/>
        <v>210101 | HUTANG BIAYA</v>
      </c>
      <c r="I106" s="222">
        <f t="shared" ca="1" si="8"/>
        <v>0</v>
      </c>
      <c r="J106" s="222" t="str">
        <f ca="1">IF(I106=0,"",COUNTIF($I$8:I106,"&gt;0"))</f>
        <v/>
      </c>
      <c r="K106" s="222" t="str">
        <f t="shared" ca="1" si="13"/>
        <v/>
      </c>
    </row>
    <row r="107" spans="2:11" ht="23.1" customHeight="1">
      <c r="B107" s="222">
        <v>210102</v>
      </c>
      <c r="C107" s="222" t="s">
        <v>330</v>
      </c>
      <c r="D107" s="222" t="s">
        <v>19</v>
      </c>
      <c r="E107" s="224"/>
      <c r="F107" s="224">
        <v>1254293</v>
      </c>
      <c r="H107" s="222" t="str">
        <f t="shared" si="7"/>
        <v>210102 | DEPOSIT KOLEKTOR</v>
      </c>
      <c r="I107" s="222">
        <f t="shared" ca="1" si="8"/>
        <v>0</v>
      </c>
      <c r="J107" s="222" t="str">
        <f ca="1">IF(I107=0,"",COUNTIF($I$8:I107,"&gt;0"))</f>
        <v/>
      </c>
      <c r="K107" s="222" t="str">
        <f t="shared" ca="1" si="13"/>
        <v/>
      </c>
    </row>
    <row r="108" spans="2:11" ht="23.1" customHeight="1">
      <c r="B108" s="222">
        <v>210103</v>
      </c>
      <c r="C108" s="222" t="s">
        <v>331</v>
      </c>
      <c r="D108" s="222" t="s">
        <v>19</v>
      </c>
      <c r="E108" s="224"/>
      <c r="F108" s="224"/>
      <c r="H108" s="222" t="str">
        <f t="shared" si="7"/>
        <v>210103 | HUTANG GAJI</v>
      </c>
      <c r="I108" s="222">
        <f t="shared" ca="1" si="8"/>
        <v>0</v>
      </c>
      <c r="J108" s="222" t="str">
        <f ca="1">IF(I108=0,"",COUNTIF($I$8:I108,"&gt;0"))</f>
        <v/>
      </c>
      <c r="K108" s="222" t="str">
        <f t="shared" ca="1" si="13"/>
        <v/>
      </c>
    </row>
    <row r="109" spans="2:11" ht="23.1" customHeight="1">
      <c r="B109" s="222">
        <v>210204</v>
      </c>
      <c r="C109" s="222" t="s">
        <v>332</v>
      </c>
      <c r="D109" s="222" t="s">
        <v>19</v>
      </c>
      <c r="E109" s="224"/>
      <c r="F109" s="224">
        <v>125810000</v>
      </c>
      <c r="H109" s="222" t="str">
        <f t="shared" si="7"/>
        <v>210204 | HUTANG ACC ANGSURAN MOBIL OPERASIONAL</v>
      </c>
      <c r="I109" s="222">
        <f t="shared" ca="1" si="8"/>
        <v>0</v>
      </c>
      <c r="J109" s="222" t="str">
        <f ca="1">IF(I109=0,"",COUNTIF($I$8:I109,"&gt;0"))</f>
        <v/>
      </c>
      <c r="K109" s="222" t="str">
        <f t="shared" ca="1" si="13"/>
        <v/>
      </c>
    </row>
    <row r="110" spans="2:11" ht="23.1" customHeight="1">
      <c r="B110" s="222">
        <v>210205</v>
      </c>
      <c r="C110" s="222" t="s">
        <v>333</v>
      </c>
      <c r="D110" s="222" t="s">
        <v>19</v>
      </c>
      <c r="E110" s="224"/>
      <c r="F110" s="224"/>
      <c r="H110" s="222" t="str">
        <f t="shared" si="7"/>
        <v>210205 | HUTANG DEVIDEN</v>
      </c>
      <c r="I110" s="222">
        <f t="shared" ca="1" si="8"/>
        <v>0</v>
      </c>
      <c r="J110" s="222" t="str">
        <f ca="1">IF(I110=0,"",COUNTIF($I$8:I110,"&gt;0"))</f>
        <v/>
      </c>
      <c r="K110" s="222" t="str">
        <f t="shared" ca="1" si="13"/>
        <v/>
      </c>
    </row>
    <row r="111" spans="2:11" ht="23.1" customHeight="1">
      <c r="B111" s="222">
        <v>210201</v>
      </c>
      <c r="C111" s="222" t="s">
        <v>334</v>
      </c>
      <c r="D111" s="222" t="s">
        <v>19</v>
      </c>
      <c r="E111" s="224"/>
      <c r="F111" s="224"/>
      <c r="H111" s="222" t="str">
        <f t="shared" si="7"/>
        <v>210201 | HUTANG BANK JANGKA PENDEK</v>
      </c>
      <c r="I111" s="222">
        <f t="shared" ca="1" si="8"/>
        <v>0</v>
      </c>
      <c r="J111" s="222" t="str">
        <f ca="1">IF(I111=0,"",COUNTIF($I$8:I111,"&gt;0"))</f>
        <v/>
      </c>
      <c r="K111" s="222" t="str">
        <f t="shared" ca="1" si="13"/>
        <v/>
      </c>
    </row>
    <row r="112" spans="2:11" ht="23.1" customHeight="1">
      <c r="B112" s="222">
        <v>210215</v>
      </c>
      <c r="C112" s="222" t="s">
        <v>335</v>
      </c>
      <c r="D112" s="222" t="s">
        <v>19</v>
      </c>
      <c r="E112" s="224"/>
      <c r="F112" s="224"/>
      <c r="H112" s="222" t="str">
        <f t="shared" si="7"/>
        <v>210215 | HUTANG JASPRO DIREKSI</v>
      </c>
      <c r="I112" s="222">
        <f t="shared" ca="1" si="8"/>
        <v>0</v>
      </c>
      <c r="J112" s="222" t="str">
        <f ca="1">IF(I112=0,"",COUNTIF($I$8:I112,"&gt;0"))</f>
        <v/>
      </c>
      <c r="K112" s="222" t="str">
        <f t="shared" ca="1" si="13"/>
        <v/>
      </c>
    </row>
    <row r="113" spans="2:11" ht="23.1" customHeight="1">
      <c r="B113" s="222">
        <v>210216</v>
      </c>
      <c r="C113" s="222" t="s">
        <v>336</v>
      </c>
      <c r="D113" s="222" t="s">
        <v>19</v>
      </c>
      <c r="E113" s="224"/>
      <c r="F113" s="224"/>
      <c r="H113" s="222" t="str">
        <f t="shared" si="7"/>
        <v>210216 | HUTANG JASPRO KARYAWAN</v>
      </c>
      <c r="I113" s="222">
        <f t="shared" ca="1" si="8"/>
        <v>0</v>
      </c>
      <c r="J113" s="222" t="str">
        <f ca="1">IF(I113=0,"",COUNTIF($I$8:I113,"&gt;0"))</f>
        <v/>
      </c>
      <c r="K113" s="222" t="str">
        <f t="shared" ca="1" si="13"/>
        <v/>
      </c>
    </row>
    <row r="114" spans="2:11" ht="23.1" customHeight="1">
      <c r="B114" s="223">
        <v>210200</v>
      </c>
      <c r="C114" s="223" t="s">
        <v>337</v>
      </c>
      <c r="D114" s="222"/>
      <c r="E114" s="224"/>
      <c r="F114" s="224"/>
      <c r="H114" s="222" t="str">
        <f t="shared" si="7"/>
        <v/>
      </c>
      <c r="I114" s="222">
        <f t="shared" ca="1" si="8"/>
        <v>0</v>
      </c>
      <c r="J114" s="222" t="str">
        <f ca="1">IF(I114=0,"",COUNTIF($I$8:I114,"&gt;0"))</f>
        <v/>
      </c>
      <c r="K114" s="222" t="str">
        <f t="shared" ca="1" si="13"/>
        <v/>
      </c>
    </row>
    <row r="115" spans="2:11" ht="23.1" customHeight="1">
      <c r="B115" s="222">
        <v>210206</v>
      </c>
      <c r="C115" s="222" t="s">
        <v>338</v>
      </c>
      <c r="D115" s="222" t="s">
        <v>20</v>
      </c>
      <c r="E115" s="224"/>
      <c r="F115" s="224">
        <v>282850702</v>
      </c>
      <c r="H115" s="222" t="str">
        <f t="shared" si="7"/>
        <v>210206 | HUTANG PAJAK (PPH BADAN)</v>
      </c>
      <c r="I115" s="222">
        <f t="shared" ca="1" si="8"/>
        <v>0</v>
      </c>
      <c r="J115" s="222" t="str">
        <f ca="1">IF(I115=0,"",COUNTIF($I$8:I115,"&gt;0"))</f>
        <v/>
      </c>
      <c r="K115" s="222" t="str">
        <f t="shared" ca="1" si="13"/>
        <v/>
      </c>
    </row>
    <row r="116" spans="2:11" ht="23.1" customHeight="1">
      <c r="B116" s="222">
        <v>210207</v>
      </c>
      <c r="C116" s="222" t="s">
        <v>339</v>
      </c>
      <c r="D116" s="222" t="s">
        <v>20</v>
      </c>
      <c r="E116" s="224"/>
      <c r="F116" s="224">
        <v>508871680</v>
      </c>
      <c r="H116" s="222" t="str">
        <f t="shared" si="7"/>
        <v>210207 | HUTANG PAJAK PARKIR PLB</v>
      </c>
      <c r="I116" s="222">
        <f t="shared" ca="1" si="8"/>
        <v>0</v>
      </c>
      <c r="J116" s="222" t="str">
        <f ca="1">IF(I116=0,"",COUNTIF($I$8:I116,"&gt;0"))</f>
        <v/>
      </c>
      <c r="K116" s="222" t="str">
        <f t="shared" ca="1" si="13"/>
        <v/>
      </c>
    </row>
    <row r="117" spans="2:11" ht="23.1" customHeight="1">
      <c r="B117" s="222">
        <v>210208</v>
      </c>
      <c r="C117" s="222" t="s">
        <v>340</v>
      </c>
      <c r="D117" s="222" t="s">
        <v>20</v>
      </c>
      <c r="E117" s="224"/>
      <c r="F117" s="224"/>
      <c r="H117" s="222" t="str">
        <f t="shared" si="7"/>
        <v>210208 | HUTANG PAJAK PPH 21</v>
      </c>
      <c r="I117" s="222">
        <f t="shared" ca="1" si="8"/>
        <v>0</v>
      </c>
      <c r="J117" s="222" t="str">
        <f ca="1">IF(I117=0,"",COUNTIF($I$8:I117,"&gt;0"))</f>
        <v/>
      </c>
      <c r="K117" s="222" t="str">
        <f t="shared" ca="1" si="13"/>
        <v/>
      </c>
    </row>
    <row r="118" spans="2:11" ht="23.1" customHeight="1">
      <c r="B118" s="222">
        <v>210209</v>
      </c>
      <c r="C118" s="222" t="s">
        <v>341</v>
      </c>
      <c r="D118" s="222" t="s">
        <v>20</v>
      </c>
      <c r="E118" s="224"/>
      <c r="F118" s="224"/>
      <c r="H118" s="222" t="str">
        <f t="shared" si="7"/>
        <v>210209 | HUTANG PAJAK PPH 25</v>
      </c>
      <c r="I118" s="222">
        <f t="shared" ca="1" si="8"/>
        <v>0</v>
      </c>
      <c r="J118" s="222" t="str">
        <f ca="1">IF(I118=0,"",COUNTIF($I$8:I118,"&gt;0"))</f>
        <v/>
      </c>
      <c r="K118" s="222" t="str">
        <f t="shared" ca="1" si="13"/>
        <v/>
      </c>
    </row>
    <row r="119" spans="2:11" ht="23.1" customHeight="1">
      <c r="B119" s="222">
        <v>210210</v>
      </c>
      <c r="C119" s="222" t="s">
        <v>342</v>
      </c>
      <c r="D119" s="222" t="s">
        <v>20</v>
      </c>
      <c r="E119" s="224"/>
      <c r="F119" s="224"/>
      <c r="H119" s="222" t="str">
        <f t="shared" si="7"/>
        <v>210210 | HUTANG PAJAK PPH 23</v>
      </c>
      <c r="I119" s="222">
        <f t="shared" ca="1" si="8"/>
        <v>0</v>
      </c>
      <c r="J119" s="222" t="str">
        <f ca="1">IF(I119=0,"",COUNTIF($I$8:I119,"&gt;0"))</f>
        <v/>
      </c>
      <c r="K119" s="222" t="str">
        <f t="shared" ca="1" si="13"/>
        <v/>
      </c>
    </row>
    <row r="120" spans="2:11" ht="23.1" customHeight="1">
      <c r="B120" s="222">
        <v>210211</v>
      </c>
      <c r="C120" s="222" t="s">
        <v>343</v>
      </c>
      <c r="D120" s="222" t="s">
        <v>20</v>
      </c>
      <c r="E120" s="224"/>
      <c r="F120" s="224"/>
      <c r="H120" s="222" t="str">
        <f t="shared" si="7"/>
        <v>210211 | PPN KELUARAN</v>
      </c>
      <c r="I120" s="222">
        <f t="shared" ca="1" si="8"/>
        <v>0</v>
      </c>
      <c r="J120" s="222" t="str">
        <f ca="1">IF(I120=0,"",COUNTIF($I$8:I120,"&gt;0"))</f>
        <v/>
      </c>
      <c r="K120" s="222" t="str">
        <f t="shared" ca="1" si="13"/>
        <v/>
      </c>
    </row>
    <row r="121" spans="2:11" ht="23.1" customHeight="1">
      <c r="B121" s="223">
        <v>220100</v>
      </c>
      <c r="C121" s="223" t="s">
        <v>344</v>
      </c>
      <c r="D121" s="222"/>
      <c r="E121" s="224"/>
      <c r="F121" s="224"/>
      <c r="H121" s="222" t="str">
        <f t="shared" si="7"/>
        <v/>
      </c>
      <c r="I121" s="222">
        <f t="shared" ca="1" si="8"/>
        <v>0</v>
      </c>
      <c r="J121" s="222" t="str">
        <f ca="1">IF(I121=0,"",COUNTIF($I$8:I121,"&gt;0"))</f>
        <v/>
      </c>
      <c r="K121" s="222" t="str">
        <f t="shared" ca="1" si="13"/>
        <v/>
      </c>
    </row>
    <row r="122" spans="2:11" ht="23.1" customHeight="1">
      <c r="B122" s="222">
        <v>220101</v>
      </c>
      <c r="C122" s="222" t="s">
        <v>345</v>
      </c>
      <c r="D122" s="222" t="s">
        <v>21</v>
      </c>
      <c r="E122" s="224"/>
      <c r="F122" s="224"/>
      <c r="H122" s="222" t="str">
        <f t="shared" si="7"/>
        <v>220101 | HUTANG JK JANGKA PANJANG - KMK</v>
      </c>
      <c r="I122" s="222">
        <f t="shared" ca="1" si="8"/>
        <v>0</v>
      </c>
      <c r="J122" s="222" t="str">
        <f ca="1">IF(I122=0,"",COUNTIF($I$8:I122,"&gt;0"))</f>
        <v/>
      </c>
      <c r="K122" s="222" t="str">
        <f t="shared" ca="1" si="13"/>
        <v/>
      </c>
    </row>
    <row r="123" spans="2:11" ht="23.1" customHeight="1">
      <c r="B123" s="222">
        <v>220102</v>
      </c>
      <c r="C123" s="222" t="s">
        <v>346</v>
      </c>
      <c r="D123" s="222" t="s">
        <v>21</v>
      </c>
      <c r="E123" s="224"/>
      <c r="F123" s="224"/>
      <c r="H123" s="222" t="str">
        <f t="shared" si="7"/>
        <v>220102 | HUTANG JK JANGKA PANJANG - KI</v>
      </c>
      <c r="I123" s="222">
        <f t="shared" ca="1" si="8"/>
        <v>0</v>
      </c>
      <c r="J123" s="222" t="str">
        <f ca="1">IF(I123=0,"",COUNTIF($I$8:I123,"&gt;0"))</f>
        <v/>
      </c>
      <c r="K123" s="222" t="str">
        <f t="shared" ca="1" si="13"/>
        <v/>
      </c>
    </row>
    <row r="124" spans="2:11" ht="23.1" customHeight="1">
      <c r="B124" s="223">
        <v>310000</v>
      </c>
      <c r="C124" s="223" t="s">
        <v>137</v>
      </c>
      <c r="D124" s="222"/>
      <c r="E124" s="224"/>
      <c r="F124" s="224"/>
      <c r="H124" s="222" t="str">
        <f t="shared" si="7"/>
        <v/>
      </c>
      <c r="I124" s="222">
        <f t="shared" ca="1" si="8"/>
        <v>0</v>
      </c>
      <c r="J124" s="222" t="str">
        <f ca="1">IF(I124=0,"",COUNTIF($I$8:I124,"&gt;0"))</f>
        <v/>
      </c>
      <c r="K124" s="222" t="str">
        <f t="shared" ca="1" si="13"/>
        <v/>
      </c>
    </row>
    <row r="125" spans="2:11" ht="23.1" customHeight="1">
      <c r="B125" s="222">
        <v>310101</v>
      </c>
      <c r="C125" s="222" t="s">
        <v>347</v>
      </c>
      <c r="D125" s="222" t="s">
        <v>22</v>
      </c>
      <c r="E125" s="224"/>
      <c r="F125" s="224">
        <v>2079027500</v>
      </c>
      <c r="H125" s="222" t="str">
        <f t="shared" si="7"/>
        <v>310101 | MODAL SAHAM</v>
      </c>
      <c r="I125" s="222">
        <f t="shared" ca="1" si="8"/>
        <v>0</v>
      </c>
      <c r="J125" s="222" t="str">
        <f ca="1">IF(I125=0,"",COUNTIF($I$8:I125,"&gt;0"))</f>
        <v/>
      </c>
      <c r="K125" s="222" t="str">
        <f t="shared" ca="1" si="13"/>
        <v/>
      </c>
    </row>
    <row r="126" spans="2:11" ht="23.1" customHeight="1">
      <c r="B126" s="222">
        <v>310102</v>
      </c>
      <c r="C126" s="222" t="s">
        <v>348</v>
      </c>
      <c r="D126" s="222" t="s">
        <v>22</v>
      </c>
      <c r="E126" s="224"/>
      <c r="F126" s="224">
        <v>1258945600</v>
      </c>
      <c r="H126" s="222" t="str">
        <f t="shared" si="7"/>
        <v>310102 | ASET PEMKOT DIPISAHKAN</v>
      </c>
      <c r="I126" s="222">
        <f t="shared" ca="1" si="8"/>
        <v>0</v>
      </c>
      <c r="J126" s="222" t="str">
        <f ca="1">IF(I126=0,"",COUNTIF($I$8:I126,"&gt;0"))</f>
        <v/>
      </c>
      <c r="K126" s="222" t="str">
        <f t="shared" ca="1" si="13"/>
        <v/>
      </c>
    </row>
    <row r="127" spans="2:11" ht="23.1" customHeight="1">
      <c r="B127" s="223">
        <v>310200</v>
      </c>
      <c r="C127" s="223" t="s">
        <v>349</v>
      </c>
      <c r="D127" s="222"/>
      <c r="E127" s="224"/>
      <c r="F127" s="224"/>
      <c r="H127" s="222" t="str">
        <f t="shared" si="7"/>
        <v/>
      </c>
      <c r="I127" s="222">
        <f t="shared" ca="1" si="8"/>
        <v>0</v>
      </c>
      <c r="J127" s="222" t="str">
        <f ca="1">IF(I127=0,"",COUNTIF($I$8:I127,"&gt;0"))</f>
        <v/>
      </c>
      <c r="K127" s="222" t="str">
        <f t="shared" ca="1" si="13"/>
        <v/>
      </c>
    </row>
    <row r="128" spans="2:11" ht="23.1" customHeight="1">
      <c r="B128" s="222">
        <v>310201</v>
      </c>
      <c r="C128" s="222" t="s">
        <v>549</v>
      </c>
      <c r="D128" s="222" t="s">
        <v>22</v>
      </c>
      <c r="E128" s="224"/>
      <c r="F128" s="224">
        <v>470964078</v>
      </c>
      <c r="H128" s="222" t="str">
        <f t="shared" si="7"/>
        <v>310201 | DIVIDEN</v>
      </c>
      <c r="I128" s="222">
        <f t="shared" ca="1" si="8"/>
        <v>0</v>
      </c>
      <c r="J128" s="222" t="str">
        <f ca="1">IF(I128=0,"",COUNTIF($I$8:I128,"&gt;0"))</f>
        <v/>
      </c>
      <c r="K128" s="222" t="str">
        <f t="shared" ca="1" si="13"/>
        <v/>
      </c>
    </row>
    <row r="129" spans="2:11" ht="23.1" customHeight="1">
      <c r="B129" s="222">
        <v>310202</v>
      </c>
      <c r="C129" s="222" t="s">
        <v>350</v>
      </c>
      <c r="D129" s="222" t="s">
        <v>22</v>
      </c>
      <c r="E129" s="224"/>
      <c r="F129" s="224">
        <v>184187754</v>
      </c>
      <c r="H129" s="222" t="str">
        <f t="shared" si="7"/>
        <v>310202 | LABA DITAHAN - DANA CSR</v>
      </c>
      <c r="I129" s="222">
        <f t="shared" ca="1" si="8"/>
        <v>0</v>
      </c>
      <c r="J129" s="222" t="str">
        <f ca="1">IF(I129=0,"",COUNTIF($I$8:I129,"&gt;0"))</f>
        <v/>
      </c>
      <c r="K129" s="222" t="str">
        <f t="shared" ca="1" si="13"/>
        <v/>
      </c>
    </row>
    <row r="130" spans="2:11" ht="23.1" customHeight="1">
      <c r="B130" s="222">
        <v>310203</v>
      </c>
      <c r="C130" s="222" t="s">
        <v>351</v>
      </c>
      <c r="D130" s="222" t="s">
        <v>22</v>
      </c>
      <c r="E130" s="224"/>
      <c r="F130" s="224">
        <v>471384847</v>
      </c>
      <c r="H130" s="222" t="str">
        <f t="shared" si="7"/>
        <v>310203 | LABA DITAHAN - DANA SOSIAL</v>
      </c>
      <c r="I130" s="222">
        <f t="shared" ca="1" si="8"/>
        <v>0</v>
      </c>
      <c r="J130" s="222" t="str">
        <f ca="1">IF(I130=0,"",COUNTIF($I$8:I130,"&gt;0"))</f>
        <v/>
      </c>
      <c r="K130" s="222" t="str">
        <f t="shared" ca="1" si="13"/>
        <v/>
      </c>
    </row>
    <row r="131" spans="2:11" ht="23.1" customHeight="1">
      <c r="B131" s="222">
        <v>310204</v>
      </c>
      <c r="C131" s="222" t="s">
        <v>352</v>
      </c>
      <c r="D131" s="222" t="s">
        <v>22</v>
      </c>
      <c r="E131" s="224"/>
      <c r="F131" s="316">
        <v>487257279</v>
      </c>
      <c r="H131" s="222" t="str">
        <f t="shared" si="7"/>
        <v>310204 | LABA DITAHAN - DANA PENSIUN DAN SOKONGAN</v>
      </c>
      <c r="I131" s="222">
        <f t="shared" ca="1" si="8"/>
        <v>0</v>
      </c>
      <c r="J131" s="222" t="str">
        <f ca="1">IF(I131=0,"",COUNTIF($I$8:I131,"&gt;0"))</f>
        <v/>
      </c>
      <c r="K131" s="222" t="str">
        <f t="shared" ca="1" si="13"/>
        <v/>
      </c>
    </row>
    <row r="132" spans="2:11" ht="23.1" customHeight="1">
      <c r="B132" s="222">
        <v>310205</v>
      </c>
      <c r="C132" s="222" t="s">
        <v>353</v>
      </c>
      <c r="D132" s="222" t="s">
        <v>22</v>
      </c>
      <c r="E132" s="224"/>
      <c r="F132" s="224">
        <v>1766218871</v>
      </c>
      <c r="H132" s="222" t="str">
        <f t="shared" si="7"/>
        <v>310205 | LABA DITAHAN - CADANGAN</v>
      </c>
      <c r="I132" s="222">
        <f t="shared" ca="1" si="8"/>
        <v>0</v>
      </c>
      <c r="J132" s="222" t="str">
        <f ca="1">IF(I132=0,"",COUNTIF($I$8:I132,"&gt;0"))</f>
        <v/>
      </c>
      <c r="K132" s="222" t="str">
        <f t="shared" ca="1" si="13"/>
        <v/>
      </c>
    </row>
    <row r="133" spans="2:11" ht="23.1" customHeight="1">
      <c r="B133" s="222">
        <v>310206</v>
      </c>
      <c r="C133" s="222" t="s">
        <v>354</v>
      </c>
      <c r="D133" s="222" t="s">
        <v>22</v>
      </c>
      <c r="E133" s="224"/>
      <c r="F133" s="224">
        <v>492031167</v>
      </c>
      <c r="H133" s="222" t="str">
        <f t="shared" si="7"/>
        <v>310206 | LABA TAHUN SEBELUMNYA</v>
      </c>
      <c r="I133" s="222">
        <f t="shared" ca="1" si="8"/>
        <v>0</v>
      </c>
      <c r="J133" s="222" t="str">
        <f ca="1">IF(I133=0,"",COUNTIF($I$8:I133,"&gt;0"))</f>
        <v/>
      </c>
      <c r="K133" s="222" t="str">
        <f t="shared" ca="1" si="13"/>
        <v/>
      </c>
    </row>
    <row r="134" spans="2:11" ht="23.1" customHeight="1">
      <c r="B134" s="222">
        <v>310207</v>
      </c>
      <c r="C134" s="222" t="s">
        <v>355</v>
      </c>
      <c r="D134" s="222" t="s">
        <v>22</v>
      </c>
      <c r="E134" s="224"/>
      <c r="F134" s="224"/>
      <c r="H134" s="222" t="str">
        <f t="shared" si="7"/>
        <v>310207 | LABA TAHUN BERJALAN</v>
      </c>
      <c r="I134" s="222">
        <f t="shared" ca="1" si="8"/>
        <v>0</v>
      </c>
      <c r="J134" s="222" t="str">
        <f ca="1">IF(I134=0,"",COUNTIF($I$8:I134,"&gt;0"))</f>
        <v/>
      </c>
      <c r="K134" s="222" t="str">
        <f t="shared" ca="1" si="13"/>
        <v/>
      </c>
    </row>
    <row r="135" spans="2:11" ht="23.1" customHeight="1">
      <c r="B135" s="222">
        <v>320100</v>
      </c>
      <c r="C135" s="222" t="s">
        <v>356</v>
      </c>
      <c r="D135" s="222" t="s">
        <v>22</v>
      </c>
      <c r="E135" s="224"/>
      <c r="F135" s="224"/>
      <c r="H135" s="222" t="str">
        <f t="shared" si="7"/>
        <v>320100 | KOREKSI LABA</v>
      </c>
      <c r="I135" s="222">
        <f t="shared" ca="1" si="8"/>
        <v>0</v>
      </c>
      <c r="J135" s="222" t="str">
        <f ca="1">IF(I135=0,"",COUNTIF($I$8:I135,"&gt;0"))</f>
        <v/>
      </c>
      <c r="K135" s="222" t="str">
        <f t="shared" ref="K135:K166" ca="1" si="14">IFERROR(INDEX(H:H,MATCH(ROW(I128),J:J,0)),"")</f>
        <v/>
      </c>
    </row>
    <row r="136" spans="2:11" ht="23.1" customHeight="1">
      <c r="B136" s="223">
        <v>400000</v>
      </c>
      <c r="C136" s="223" t="s">
        <v>144</v>
      </c>
      <c r="D136" s="222"/>
      <c r="E136" s="224"/>
      <c r="F136" s="224"/>
      <c r="H136" s="222" t="str">
        <f t="shared" si="7"/>
        <v/>
      </c>
      <c r="I136" s="222">
        <f t="shared" ca="1" si="8"/>
        <v>0</v>
      </c>
      <c r="J136" s="222" t="str">
        <f ca="1">IF(I136=0,"",COUNTIF($I$8:I136,"&gt;0"))</f>
        <v/>
      </c>
      <c r="K136" s="222" t="str">
        <f t="shared" ca="1" si="14"/>
        <v/>
      </c>
    </row>
    <row r="137" spans="2:11" ht="23.1" customHeight="1">
      <c r="B137" s="223">
        <v>410100</v>
      </c>
      <c r="C137" s="223" t="s">
        <v>357</v>
      </c>
      <c r="D137" s="222"/>
      <c r="E137" s="224"/>
      <c r="F137" s="224"/>
      <c r="H137" s="222" t="str">
        <f t="shared" si="7"/>
        <v/>
      </c>
      <c r="I137" s="222">
        <f t="shared" ca="1" si="8"/>
        <v>0</v>
      </c>
      <c r="J137" s="222" t="str">
        <f ca="1">IF(I137=0,"",COUNTIF($I$8:I137,"&gt;0"))</f>
        <v/>
      </c>
      <c r="K137" s="222" t="str">
        <f t="shared" ca="1" si="14"/>
        <v/>
      </c>
    </row>
    <row r="138" spans="2:11" ht="23.1" customHeight="1">
      <c r="B138" s="222">
        <v>410101</v>
      </c>
      <c r="C138" s="222" t="s">
        <v>358</v>
      </c>
      <c r="D138" s="222" t="s">
        <v>23</v>
      </c>
      <c r="E138" s="224"/>
      <c r="F138" s="224"/>
      <c r="H138" s="222" t="str">
        <f t="shared" si="7"/>
        <v>410101 | PENDAPATAN PARKIR TEPI JALAN UMUM (TJU)</v>
      </c>
      <c r="I138" s="222">
        <f t="shared" ca="1" si="8"/>
        <v>0</v>
      </c>
      <c r="J138" s="222" t="str">
        <f ca="1">IF(I138=0,"",COUNTIF($I$8:I138,"&gt;0"))</f>
        <v/>
      </c>
      <c r="K138" s="222" t="str">
        <f t="shared" ca="1" si="14"/>
        <v/>
      </c>
    </row>
    <row r="139" spans="2:11" ht="23.1" customHeight="1">
      <c r="B139" s="222">
        <v>410102</v>
      </c>
      <c r="C139" s="222" t="s">
        <v>359</v>
      </c>
      <c r="D139" s="222" t="s">
        <v>23</v>
      </c>
      <c r="E139" s="224"/>
      <c r="F139" s="224"/>
      <c r="H139" s="222" t="str">
        <f t="shared" ref="H139:H202" si="15">IF(D139="","",B139&amp;" | "&amp;C139)</f>
        <v>410102 | PENDAPATAN PARKIR INSIDENTIL</v>
      </c>
      <c r="I139" s="222">
        <f t="shared" ref="I139:I202" ca="1" si="16">VALUE(IFERROR(SEARCH(INDIRECT(CELL("address")),H139),0))</f>
        <v>0</v>
      </c>
      <c r="J139" s="222" t="str">
        <f ca="1">IF(I139=0,"",COUNTIF($I$8:I139,"&gt;0"))</f>
        <v/>
      </c>
      <c r="K139" s="222" t="str">
        <f t="shared" ca="1" si="14"/>
        <v/>
      </c>
    </row>
    <row r="140" spans="2:11" ht="23.1" customHeight="1">
      <c r="B140" s="222">
        <v>410103</v>
      </c>
      <c r="C140" s="222" t="s">
        <v>360</v>
      </c>
      <c r="D140" s="222" t="s">
        <v>23</v>
      </c>
      <c r="E140" s="224"/>
      <c r="F140" s="224"/>
      <c r="H140" s="222" t="str">
        <f t="shared" si="15"/>
        <v>410103 | PENDAPATAN PARKIR KOMERSIL</v>
      </c>
      <c r="I140" s="222">
        <f t="shared" ca="1" si="16"/>
        <v>0</v>
      </c>
      <c r="J140" s="222" t="str">
        <f ca="1">IF(I140=0,"",COUNTIF($I$8:I140,"&gt;0"))</f>
        <v/>
      </c>
      <c r="K140" s="222" t="str">
        <f t="shared" ca="1" si="14"/>
        <v/>
      </c>
    </row>
    <row r="141" spans="2:11" ht="23.1" customHeight="1">
      <c r="B141" s="222">
        <v>410104</v>
      </c>
      <c r="C141" s="222" t="s">
        <v>361</v>
      </c>
      <c r="D141" s="222" t="s">
        <v>23</v>
      </c>
      <c r="E141" s="224"/>
      <c r="F141" s="224"/>
      <c r="H141" s="222" t="str">
        <f t="shared" si="15"/>
        <v>410104 | PENDAPATAN PARKIR LANGGANAN BULANAN</v>
      </c>
      <c r="I141" s="222">
        <f t="shared" ca="1" si="16"/>
        <v>0</v>
      </c>
      <c r="J141" s="222" t="str">
        <f ca="1">IF(I141=0,"",COUNTIF($I$8:I141,"&gt;0"))</f>
        <v/>
      </c>
      <c r="K141" s="222" t="str">
        <f t="shared" ca="1" si="14"/>
        <v/>
      </c>
    </row>
    <row r="142" spans="2:11" ht="23.1" customHeight="1">
      <c r="B142" s="222">
        <v>410105</v>
      </c>
      <c r="C142" s="222" t="s">
        <v>362</v>
      </c>
      <c r="D142" s="222" t="s">
        <v>23</v>
      </c>
      <c r="E142" s="224"/>
      <c r="F142" s="224"/>
      <c r="H142" s="222" t="str">
        <f t="shared" si="15"/>
        <v>410105 | PENDAPATAN SEWA LAHAN PARKIR</v>
      </c>
      <c r="I142" s="222">
        <f t="shared" ca="1" si="16"/>
        <v>0</v>
      </c>
      <c r="J142" s="222" t="str">
        <f ca="1">IF(I142=0,"",COUNTIF($I$8:I142,"&gt;0"))</f>
        <v/>
      </c>
      <c r="K142" s="222" t="str">
        <f t="shared" ca="1" si="14"/>
        <v/>
      </c>
    </row>
    <row r="143" spans="2:11" ht="23.1" customHeight="1">
      <c r="B143" s="222">
        <v>410106</v>
      </c>
      <c r="C143" s="222" t="s">
        <v>363</v>
      </c>
      <c r="D143" s="222" t="s">
        <v>23</v>
      </c>
      <c r="E143" s="224"/>
      <c r="F143" s="224"/>
      <c r="H143" s="222" t="str">
        <f t="shared" si="15"/>
        <v xml:space="preserve">410106 | PENDAPATAN PARKIR </v>
      </c>
      <c r="I143" s="222">
        <f t="shared" ca="1" si="16"/>
        <v>0</v>
      </c>
      <c r="J143" s="222" t="str">
        <f ca="1">IF(I143=0,"",COUNTIF($I$8:I143,"&gt;0"))</f>
        <v/>
      </c>
      <c r="K143" s="222" t="str">
        <f t="shared" ca="1" si="14"/>
        <v/>
      </c>
    </row>
    <row r="144" spans="2:11" ht="23.1" customHeight="1">
      <c r="B144" s="222">
        <v>410107</v>
      </c>
      <c r="C144" s="222" t="s">
        <v>364</v>
      </c>
      <c r="D144" s="222" t="s">
        <v>23</v>
      </c>
      <c r="E144" s="224"/>
      <c r="F144" s="224"/>
      <c r="H144" s="222" t="str">
        <f t="shared" si="15"/>
        <v>410107 | PENDAPATAN PARKIR TEKHNOLOGI / ONLINE</v>
      </c>
      <c r="I144" s="222">
        <f t="shared" ca="1" si="16"/>
        <v>0</v>
      </c>
      <c r="J144" s="222" t="str">
        <f ca="1">IF(I144=0,"",COUNTIF($I$8:I144,"&gt;0"))</f>
        <v/>
      </c>
      <c r="K144" s="222" t="str">
        <f t="shared" ca="1" si="14"/>
        <v/>
      </c>
    </row>
    <row r="145" spans="2:11" ht="23.1" customHeight="1">
      <c r="B145" s="223">
        <v>420100</v>
      </c>
      <c r="C145" s="223" t="s">
        <v>365</v>
      </c>
      <c r="D145" s="222"/>
      <c r="E145" s="224"/>
      <c r="F145" s="224"/>
      <c r="H145" s="222" t="str">
        <f t="shared" si="15"/>
        <v/>
      </c>
      <c r="I145" s="222">
        <f t="shared" ca="1" si="16"/>
        <v>0</v>
      </c>
      <c r="J145" s="222" t="str">
        <f ca="1">IF(I145=0,"",COUNTIF($I$8:I145,"&gt;0"))</f>
        <v/>
      </c>
      <c r="K145" s="222" t="str">
        <f t="shared" ca="1" si="14"/>
        <v/>
      </c>
    </row>
    <row r="146" spans="2:11" ht="23.1" customHeight="1">
      <c r="B146" s="222">
        <v>420101</v>
      </c>
      <c r="C146" s="222" t="s">
        <v>366</v>
      </c>
      <c r="D146" s="222" t="s">
        <v>23</v>
      </c>
      <c r="E146" s="224"/>
      <c r="F146" s="224"/>
      <c r="H146" s="222" t="str">
        <f t="shared" si="15"/>
        <v>420101 | POTONGAN / PENGURANG PENDAPATAN - TJU</v>
      </c>
      <c r="I146" s="222">
        <f t="shared" ca="1" si="16"/>
        <v>0</v>
      </c>
      <c r="J146" s="222" t="str">
        <f ca="1">IF(I146=0,"",COUNTIF($I$8:I146,"&gt;0"))</f>
        <v/>
      </c>
      <c r="K146" s="222" t="str">
        <f t="shared" ca="1" si="14"/>
        <v/>
      </c>
    </row>
    <row r="147" spans="2:11" ht="23.1" customHeight="1">
      <c r="B147" s="222">
        <v>420102</v>
      </c>
      <c r="C147" s="222" t="s">
        <v>367</v>
      </c>
      <c r="D147" s="222" t="s">
        <v>23</v>
      </c>
      <c r="E147" s="224"/>
      <c r="F147" s="224"/>
      <c r="H147" s="222" t="str">
        <f t="shared" si="15"/>
        <v>420102 | POTONGAN / PENGURANG PENDAPATAN - INSIDENTIL</v>
      </c>
      <c r="I147" s="222">
        <f t="shared" ca="1" si="16"/>
        <v>0</v>
      </c>
      <c r="J147" s="222" t="str">
        <f ca="1">IF(I147=0,"",COUNTIF($I$8:I147,"&gt;0"))</f>
        <v/>
      </c>
      <c r="K147" s="222" t="str">
        <f t="shared" ca="1" si="14"/>
        <v/>
      </c>
    </row>
    <row r="148" spans="2:11" ht="23.1" customHeight="1">
      <c r="B148" s="222">
        <v>420103</v>
      </c>
      <c r="C148" s="222" t="s">
        <v>368</v>
      </c>
      <c r="D148" s="222" t="s">
        <v>23</v>
      </c>
      <c r="E148" s="224"/>
      <c r="F148" s="224"/>
      <c r="H148" s="222" t="str">
        <f t="shared" si="15"/>
        <v>420103 | POTONGAN / PENGURANG PENDAPATAN - KOMERSIAL</v>
      </c>
      <c r="I148" s="222">
        <f t="shared" ca="1" si="16"/>
        <v>0</v>
      </c>
      <c r="J148" s="222" t="str">
        <f ca="1">IF(I148=0,"",COUNTIF($I$8:I148,"&gt;0"))</f>
        <v/>
      </c>
      <c r="K148" s="222" t="str">
        <f t="shared" ca="1" si="14"/>
        <v/>
      </c>
    </row>
    <row r="149" spans="2:11" ht="23.1" customHeight="1">
      <c r="B149" s="222">
        <v>420104</v>
      </c>
      <c r="C149" s="222" t="s">
        <v>369</v>
      </c>
      <c r="D149" s="222" t="s">
        <v>23</v>
      </c>
      <c r="E149" s="224"/>
      <c r="F149" s="224"/>
      <c r="H149" s="222" t="str">
        <f t="shared" si="15"/>
        <v>420104 | POTONGAN / PENGURANG PENDAPATAN - PLB</v>
      </c>
      <c r="I149" s="222">
        <f t="shared" ca="1" si="16"/>
        <v>0</v>
      </c>
      <c r="J149" s="222" t="str">
        <f ca="1">IF(I149=0,"",COUNTIF($I$8:I149,"&gt;0"))</f>
        <v/>
      </c>
      <c r="K149" s="222" t="str">
        <f t="shared" ca="1" si="14"/>
        <v/>
      </c>
    </row>
    <row r="150" spans="2:11" ht="23.1" customHeight="1">
      <c r="B150" s="222">
        <v>420105</v>
      </c>
      <c r="C150" s="222" t="s">
        <v>370</v>
      </c>
      <c r="D150" s="222" t="s">
        <v>23</v>
      </c>
      <c r="E150" s="224"/>
      <c r="F150" s="224"/>
      <c r="H150" s="222" t="str">
        <f t="shared" si="15"/>
        <v>420105 | POTONGAN / PENGURANG PENDAPATAN - INSIDENTIL ONLIN</v>
      </c>
      <c r="I150" s="222">
        <f t="shared" ca="1" si="16"/>
        <v>0</v>
      </c>
      <c r="J150" s="222" t="str">
        <f ca="1">IF(I150=0,"",COUNTIF($I$8:I150,"&gt;0"))</f>
        <v/>
      </c>
      <c r="K150" s="222" t="str">
        <f t="shared" ca="1" si="14"/>
        <v/>
      </c>
    </row>
    <row r="151" spans="2:11" ht="23.1" customHeight="1">
      <c r="B151" s="222">
        <v>420106</v>
      </c>
      <c r="C151" s="222" t="s">
        <v>371</v>
      </c>
      <c r="D151" s="222" t="s">
        <v>23</v>
      </c>
      <c r="E151" s="224"/>
      <c r="F151" s="224"/>
      <c r="H151" s="222" t="str">
        <f t="shared" si="15"/>
        <v>420106 | POTONGAN / PENGURANG PENDAPATAN - KHUSUS BADAN USA</v>
      </c>
      <c r="I151" s="222">
        <f t="shared" ca="1" si="16"/>
        <v>0</v>
      </c>
      <c r="J151" s="222" t="str">
        <f ca="1">IF(I151=0,"",COUNTIF($I$8:I151,"&gt;0"))</f>
        <v/>
      </c>
      <c r="K151" s="222" t="str">
        <f t="shared" ca="1" si="14"/>
        <v/>
      </c>
    </row>
    <row r="152" spans="2:11" ht="23.1" customHeight="1">
      <c r="B152" s="222">
        <v>420107</v>
      </c>
      <c r="C152" s="222" t="s">
        <v>372</v>
      </c>
      <c r="D152" s="222" t="s">
        <v>23</v>
      </c>
      <c r="E152" s="224"/>
      <c r="F152" s="224"/>
      <c r="H152" s="222" t="str">
        <f t="shared" si="15"/>
        <v>420107 | POTONGAN / PENGURANG PENDAPATAN - TEKNOLOGI / ONLI</v>
      </c>
      <c r="I152" s="222">
        <f t="shared" ca="1" si="16"/>
        <v>0</v>
      </c>
      <c r="J152" s="222" t="str">
        <f ca="1">IF(I152=0,"",COUNTIF($I$8:I152,"&gt;0"))</f>
        <v/>
      </c>
      <c r="K152" s="222" t="str">
        <f t="shared" ca="1" si="14"/>
        <v/>
      </c>
    </row>
    <row r="153" spans="2:11" ht="23.1" customHeight="1">
      <c r="B153" s="223">
        <v>510100</v>
      </c>
      <c r="C153" s="223" t="s">
        <v>147</v>
      </c>
      <c r="D153" s="222"/>
      <c r="E153" s="224"/>
      <c r="F153" s="224"/>
      <c r="H153" s="222" t="str">
        <f t="shared" si="15"/>
        <v/>
      </c>
      <c r="I153" s="222">
        <f t="shared" ca="1" si="16"/>
        <v>0</v>
      </c>
      <c r="J153" s="222" t="str">
        <f ca="1">IF(I153=0,"",COUNTIF($I$8:I153,"&gt;0"))</f>
        <v/>
      </c>
      <c r="K153" s="222" t="str">
        <f t="shared" ca="1" si="14"/>
        <v/>
      </c>
    </row>
    <row r="154" spans="2:11" ht="23.1" customHeight="1">
      <c r="B154" s="222">
        <v>510101</v>
      </c>
      <c r="C154" s="222" t="s">
        <v>373</v>
      </c>
      <c r="D154" s="222" t="s">
        <v>24</v>
      </c>
      <c r="E154" s="224"/>
      <c r="F154" s="224"/>
      <c r="H154" s="222" t="str">
        <f t="shared" si="15"/>
        <v>510101 | BIAYA CETAKAN</v>
      </c>
      <c r="I154" s="222">
        <f t="shared" ca="1" si="16"/>
        <v>0</v>
      </c>
      <c r="J154" s="222" t="str">
        <f ca="1">IF(I154=0,"",COUNTIF($I$8:I154,"&gt;0"))</f>
        <v/>
      </c>
      <c r="K154" s="222" t="str">
        <f t="shared" ca="1" si="14"/>
        <v/>
      </c>
    </row>
    <row r="155" spans="2:11" ht="23.1" customHeight="1">
      <c r="B155" s="222">
        <v>510102</v>
      </c>
      <c r="C155" s="222" t="s">
        <v>374</v>
      </c>
      <c r="D155" s="222" t="s">
        <v>24</v>
      </c>
      <c r="E155" s="224"/>
      <c r="F155" s="224"/>
      <c r="H155" s="222" t="str">
        <f t="shared" si="15"/>
        <v>510102 | BIAYA SURVEY / UJI PETIK</v>
      </c>
      <c r="I155" s="222">
        <f t="shared" ca="1" si="16"/>
        <v>0</v>
      </c>
      <c r="J155" s="222" t="str">
        <f ca="1">IF(I155=0,"",COUNTIF($I$8:I155,"&gt;0"))</f>
        <v/>
      </c>
      <c r="K155" s="222" t="str">
        <f t="shared" ca="1" si="14"/>
        <v/>
      </c>
    </row>
    <row r="156" spans="2:11" ht="23.1" customHeight="1">
      <c r="B156" s="222">
        <v>510103</v>
      </c>
      <c r="C156" s="222" t="s">
        <v>375</v>
      </c>
      <c r="D156" s="222" t="s">
        <v>24</v>
      </c>
      <c r="E156" s="224"/>
      <c r="F156" s="224"/>
      <c r="H156" s="222" t="str">
        <f t="shared" si="15"/>
        <v>510103 | BIAYA OPERASIONAL TIM PATROLI KHUSUS</v>
      </c>
      <c r="I156" s="222">
        <f t="shared" ca="1" si="16"/>
        <v>0</v>
      </c>
      <c r="J156" s="222" t="str">
        <f ca="1">IF(I156=0,"",COUNTIF($I$8:I156,"&gt;0"))</f>
        <v/>
      </c>
      <c r="K156" s="222" t="str">
        <f t="shared" ca="1" si="14"/>
        <v/>
      </c>
    </row>
    <row r="157" spans="2:11" ht="23.1" customHeight="1">
      <c r="B157" s="222">
        <v>510104</v>
      </c>
      <c r="C157" s="222" t="s">
        <v>376</v>
      </c>
      <c r="D157" s="222" t="s">
        <v>24</v>
      </c>
      <c r="E157" s="224"/>
      <c r="F157" s="224"/>
      <c r="H157" s="222" t="str">
        <f t="shared" si="15"/>
        <v>510104 | BIAYA OPERASIONAL TIM PATUH PARKIR</v>
      </c>
      <c r="I157" s="222">
        <f t="shared" ca="1" si="16"/>
        <v>0</v>
      </c>
      <c r="J157" s="222" t="str">
        <f ca="1">IF(I157=0,"",COUNTIF($I$8:I157,"&gt;0"))</f>
        <v/>
      </c>
      <c r="K157" s="222" t="str">
        <f t="shared" ca="1" si="14"/>
        <v/>
      </c>
    </row>
    <row r="158" spans="2:11" ht="23.1" customHeight="1">
      <c r="B158" s="222">
        <v>510105</v>
      </c>
      <c r="C158" s="222" t="s">
        <v>377</v>
      </c>
      <c r="D158" s="222" t="s">
        <v>24</v>
      </c>
      <c r="E158" s="224"/>
      <c r="F158" s="224"/>
      <c r="H158" s="222" t="str">
        <f t="shared" si="15"/>
        <v>510105 | BIAYA OPERASIONAL PEGAWAI</v>
      </c>
      <c r="I158" s="222">
        <f t="shared" ca="1" si="16"/>
        <v>0</v>
      </c>
      <c r="J158" s="222" t="str">
        <f ca="1">IF(I158=0,"",COUNTIF($I$8:I158,"&gt;0"))</f>
        <v/>
      </c>
      <c r="K158" s="222" t="str">
        <f t="shared" ca="1" si="14"/>
        <v/>
      </c>
    </row>
    <row r="159" spans="2:11" ht="23.1" customHeight="1">
      <c r="B159" s="222">
        <v>510106</v>
      </c>
      <c r="C159" s="222" t="s">
        <v>378</v>
      </c>
      <c r="D159" s="222" t="s">
        <v>24</v>
      </c>
      <c r="E159" s="224"/>
      <c r="F159" s="224"/>
      <c r="H159" s="222" t="str">
        <f t="shared" si="15"/>
        <v>510106 | BIAYA PAKET THR</v>
      </c>
      <c r="I159" s="222">
        <f t="shared" ca="1" si="16"/>
        <v>0</v>
      </c>
      <c r="J159" s="222" t="str">
        <f ca="1">IF(I159=0,"",COUNTIF($I$8:I159,"&gt;0"))</f>
        <v/>
      </c>
      <c r="K159" s="222" t="str">
        <f t="shared" ca="1" si="14"/>
        <v/>
      </c>
    </row>
    <row r="160" spans="2:11" ht="23.1" customHeight="1">
      <c r="B160" s="222">
        <v>510107</v>
      </c>
      <c r="C160" s="222" t="s">
        <v>379</v>
      </c>
      <c r="D160" s="222" t="s">
        <v>24</v>
      </c>
      <c r="E160" s="224"/>
      <c r="F160" s="224"/>
      <c r="H160" s="222" t="str">
        <f t="shared" si="15"/>
        <v>510107 | BIAYA SHARING PARKIR ELEKTRONIK</v>
      </c>
      <c r="I160" s="222">
        <f t="shared" ca="1" si="16"/>
        <v>0</v>
      </c>
      <c r="J160" s="222" t="str">
        <f ca="1">IF(I160=0,"",COUNTIF($I$8:I160,"&gt;0"))</f>
        <v/>
      </c>
      <c r="K160" s="222" t="str">
        <f t="shared" ca="1" si="14"/>
        <v/>
      </c>
    </row>
    <row r="161" spans="2:11" ht="23.1" customHeight="1">
      <c r="B161" s="222">
        <v>510108</v>
      </c>
      <c r="C161" s="222" t="s">
        <v>380</v>
      </c>
      <c r="D161" s="222" t="s">
        <v>24</v>
      </c>
      <c r="E161" s="224"/>
      <c r="F161" s="224"/>
      <c r="H161" s="222" t="str">
        <f t="shared" si="15"/>
        <v>510108 | BIAYA ASURANSI JUKIR</v>
      </c>
      <c r="I161" s="222">
        <f t="shared" ca="1" si="16"/>
        <v>0</v>
      </c>
      <c r="J161" s="222" t="str">
        <f ca="1">IF(I161=0,"",COUNTIF($I$8:I161,"&gt;0"))</f>
        <v/>
      </c>
      <c r="K161" s="222" t="str">
        <f t="shared" ca="1" si="14"/>
        <v/>
      </c>
    </row>
    <row r="162" spans="2:11" ht="23.1" customHeight="1">
      <c r="B162" s="222">
        <v>510109</v>
      </c>
      <c r="C162" s="222" t="s">
        <v>381</v>
      </c>
      <c r="D162" s="222" t="s">
        <v>24</v>
      </c>
      <c r="E162" s="224"/>
      <c r="F162" s="224"/>
      <c r="H162" s="222" t="str">
        <f t="shared" si="15"/>
        <v>510109 | BIAYA PAKAIAN JUKIR</v>
      </c>
      <c r="I162" s="222">
        <f t="shared" ca="1" si="16"/>
        <v>0</v>
      </c>
      <c r="J162" s="222" t="str">
        <f ca="1">IF(I162=0,"",COUNTIF($I$8:I162,"&gt;0"))</f>
        <v/>
      </c>
      <c r="K162" s="222" t="str">
        <f t="shared" ca="1" si="14"/>
        <v/>
      </c>
    </row>
    <row r="163" spans="2:11" ht="23.1" customHeight="1">
      <c r="B163" s="222">
        <v>510110</v>
      </c>
      <c r="C163" s="222" t="s">
        <v>382</v>
      </c>
      <c r="D163" s="222" t="s">
        <v>24</v>
      </c>
      <c r="E163" s="224"/>
      <c r="F163" s="224"/>
      <c r="H163" s="222" t="str">
        <f t="shared" si="15"/>
        <v>510110 | BIAYA TIM PENEGAK PERDA</v>
      </c>
      <c r="I163" s="222">
        <f t="shared" ca="1" si="16"/>
        <v>0</v>
      </c>
      <c r="J163" s="222" t="str">
        <f ca="1">IF(I163=0,"",COUNTIF($I$8:I163,"&gt;0"))</f>
        <v/>
      </c>
      <c r="K163" s="222" t="str">
        <f t="shared" ca="1" si="14"/>
        <v/>
      </c>
    </row>
    <row r="164" spans="2:11" ht="23.1" customHeight="1">
      <c r="B164" s="222">
        <v>510111</v>
      </c>
      <c r="C164" s="222" t="s">
        <v>383</v>
      </c>
      <c r="D164" s="222" t="s">
        <v>24</v>
      </c>
      <c r="E164" s="224"/>
      <c r="F164" s="224"/>
      <c r="H164" s="222" t="str">
        <f t="shared" si="15"/>
        <v>510111 | BIAYA UPAH PUNGUT KOLEKTOR</v>
      </c>
      <c r="I164" s="222">
        <f t="shared" ca="1" si="16"/>
        <v>0</v>
      </c>
      <c r="J164" s="222" t="str">
        <f ca="1">IF(I164=0,"",COUNTIF($I$8:I164,"&gt;0"))</f>
        <v/>
      </c>
      <c r="K164" s="222" t="str">
        <f t="shared" ca="1" si="14"/>
        <v/>
      </c>
    </row>
    <row r="165" spans="2:11" ht="23.1" customHeight="1">
      <c r="B165" s="222">
        <v>510112</v>
      </c>
      <c r="C165" s="222" t="s">
        <v>384</v>
      </c>
      <c r="D165" s="222" t="s">
        <v>24</v>
      </c>
      <c r="E165" s="224"/>
      <c r="F165" s="224"/>
      <c r="H165" s="222" t="str">
        <f t="shared" si="15"/>
        <v>510112 | BIAYA PAJAK PARKIR PLB</v>
      </c>
      <c r="I165" s="222">
        <f t="shared" ca="1" si="16"/>
        <v>0</v>
      </c>
      <c r="J165" s="222" t="str">
        <f ca="1">IF(I165=0,"",COUNTIF($I$8:I165,"&gt;0"))</f>
        <v/>
      </c>
      <c r="K165" s="222" t="str">
        <f t="shared" ca="1" si="14"/>
        <v/>
      </c>
    </row>
    <row r="166" spans="2:11" ht="23.1" customHeight="1">
      <c r="B166" s="222">
        <v>510113</v>
      </c>
      <c r="C166" s="222" t="s">
        <v>385</v>
      </c>
      <c r="D166" s="222" t="s">
        <v>24</v>
      </c>
      <c r="E166" s="224"/>
      <c r="F166" s="224"/>
      <c r="H166" s="222" t="str">
        <f t="shared" si="15"/>
        <v>510113 | BIAYA ID CARD</v>
      </c>
      <c r="I166" s="222">
        <f t="shared" ca="1" si="16"/>
        <v>0</v>
      </c>
      <c r="J166" s="222" t="str">
        <f ca="1">IF(I166=0,"",COUNTIF($I$8:I166,"&gt;0"))</f>
        <v/>
      </c>
      <c r="K166" s="222" t="str">
        <f t="shared" ca="1" si="14"/>
        <v/>
      </c>
    </row>
    <row r="167" spans="2:11" ht="23.1" customHeight="1">
      <c r="B167" s="222">
        <v>510114</v>
      </c>
      <c r="C167" s="222" t="s">
        <v>386</v>
      </c>
      <c r="D167" s="222" t="s">
        <v>24</v>
      </c>
      <c r="E167" s="224"/>
      <c r="F167" s="224"/>
      <c r="H167" s="222" t="str">
        <f t="shared" si="15"/>
        <v>510114 | BIAYA BAHAN BAKAR KENDARAAN OPERASIONAL</v>
      </c>
      <c r="I167" s="222">
        <f t="shared" ca="1" si="16"/>
        <v>0</v>
      </c>
      <c r="J167" s="222" t="str">
        <f ca="1">IF(I167=0,"",COUNTIF($I$8:I167,"&gt;0"))</f>
        <v/>
      </c>
      <c r="K167" s="222" t="str">
        <f t="shared" ref="K167:K198" ca="1" si="17">IFERROR(INDEX(H:H,MATCH(ROW(I160),J:J,0)),"")</f>
        <v/>
      </c>
    </row>
    <row r="168" spans="2:11" ht="23.1" customHeight="1">
      <c r="B168" s="222">
        <v>510115</v>
      </c>
      <c r="C168" s="222" t="s">
        <v>387</v>
      </c>
      <c r="D168" s="222" t="s">
        <v>24</v>
      </c>
      <c r="E168" s="224"/>
      <c r="F168" s="224"/>
      <c r="H168" s="222" t="str">
        <f t="shared" si="15"/>
        <v>510115 | BIAYA MAINTENANCE KENDARAAN OPERASIONAL</v>
      </c>
      <c r="I168" s="222">
        <f t="shared" ca="1" si="16"/>
        <v>0</v>
      </c>
      <c r="J168" s="222" t="str">
        <f ca="1">IF(I168=0,"",COUNTIF($I$8:I168,"&gt;0"))</f>
        <v/>
      </c>
      <c r="K168" s="222" t="str">
        <f t="shared" ca="1" si="17"/>
        <v/>
      </c>
    </row>
    <row r="169" spans="2:11" ht="23.1" customHeight="1">
      <c r="B169" s="222">
        <v>510116</v>
      </c>
      <c r="C169" s="222" t="s">
        <v>388</v>
      </c>
      <c r="D169" s="222" t="s">
        <v>24</v>
      </c>
      <c r="E169" s="224"/>
      <c r="F169" s="224"/>
      <c r="H169" s="222" t="str">
        <f t="shared" si="15"/>
        <v>510116 | BIAYA SURAT KENDARAAN (STNK)</v>
      </c>
      <c r="I169" s="222">
        <f t="shared" ca="1" si="16"/>
        <v>0</v>
      </c>
      <c r="J169" s="222" t="str">
        <f ca="1">IF(I169=0,"",COUNTIF($I$8:I169,"&gt;0"))</f>
        <v/>
      </c>
      <c r="K169" s="222" t="str">
        <f t="shared" ca="1" si="17"/>
        <v/>
      </c>
    </row>
    <row r="170" spans="2:11" ht="23.1" customHeight="1">
      <c r="B170" s="222">
        <v>510117</v>
      </c>
      <c r="C170" s="222" t="s">
        <v>389</v>
      </c>
      <c r="D170" s="222" t="s">
        <v>24</v>
      </c>
      <c r="E170" s="224"/>
      <c r="F170" s="224"/>
      <c r="H170" s="222" t="str">
        <f t="shared" si="15"/>
        <v>510117 | BIAYA SHARING PENETAPAN BARU PLB</v>
      </c>
      <c r="I170" s="222">
        <f t="shared" ca="1" si="16"/>
        <v>0</v>
      </c>
      <c r="J170" s="222" t="str">
        <f ca="1">IF(I170=0,"",COUNTIF($I$8:I170,"&gt;0"))</f>
        <v/>
      </c>
      <c r="K170" s="222" t="str">
        <f t="shared" ca="1" si="17"/>
        <v/>
      </c>
    </row>
    <row r="171" spans="2:11" ht="23.1" customHeight="1">
      <c r="B171" s="222">
        <v>510118</v>
      </c>
      <c r="C171" s="222" t="s">
        <v>390</v>
      </c>
      <c r="D171" s="222" t="s">
        <v>24</v>
      </c>
      <c r="E171" s="224"/>
      <c r="F171" s="224"/>
      <c r="H171" s="222" t="str">
        <f t="shared" si="15"/>
        <v>510118 | BIAYA CSR</v>
      </c>
      <c r="I171" s="222">
        <f t="shared" ca="1" si="16"/>
        <v>0</v>
      </c>
      <c r="J171" s="222" t="str">
        <f ca="1">IF(I171=0,"",COUNTIF($I$8:I171,"&gt;0"))</f>
        <v/>
      </c>
      <c r="K171" s="222" t="str">
        <f t="shared" ca="1" si="17"/>
        <v/>
      </c>
    </row>
    <row r="172" spans="2:11" ht="23.1" customHeight="1">
      <c r="B172" s="222">
        <v>510119</v>
      </c>
      <c r="C172" s="222" t="s">
        <v>391</v>
      </c>
      <c r="D172" s="222" t="s">
        <v>24</v>
      </c>
      <c r="E172" s="224"/>
      <c r="F172" s="224"/>
      <c r="H172" s="222" t="str">
        <f t="shared" si="15"/>
        <v>510119 | BIAYA PEMBINAAN LORONG</v>
      </c>
      <c r="I172" s="222">
        <f t="shared" ca="1" si="16"/>
        <v>0</v>
      </c>
      <c r="J172" s="222" t="str">
        <f ca="1">IF(I172=0,"",COUNTIF($I$8:I172,"&gt;0"))</f>
        <v/>
      </c>
      <c r="K172" s="222" t="str">
        <f t="shared" ca="1" si="17"/>
        <v/>
      </c>
    </row>
    <row r="173" spans="2:11" ht="23.1" customHeight="1">
      <c r="B173" s="222">
        <v>510120</v>
      </c>
      <c r="C173" s="222" t="s">
        <v>392</v>
      </c>
      <c r="D173" s="222" t="s">
        <v>24</v>
      </c>
      <c r="E173" s="224"/>
      <c r="F173" s="224"/>
      <c r="H173" s="222" t="str">
        <f t="shared" si="15"/>
        <v>510120 | BIAYA KARTU CASHLESS</v>
      </c>
      <c r="I173" s="222">
        <f t="shared" ca="1" si="16"/>
        <v>0</v>
      </c>
      <c r="J173" s="222" t="str">
        <f ca="1">IF(I173=0,"",COUNTIF($I$8:I173,"&gt;0"))</f>
        <v/>
      </c>
      <c r="K173" s="222" t="str">
        <f t="shared" ca="1" si="17"/>
        <v/>
      </c>
    </row>
    <row r="174" spans="2:11" ht="23.1" customHeight="1">
      <c r="B174" s="222">
        <v>510121</v>
      </c>
      <c r="C174" s="222" t="s">
        <v>393</v>
      </c>
      <c r="D174" s="222" t="s">
        <v>24</v>
      </c>
      <c r="E174" s="224"/>
      <c r="F174" s="224"/>
      <c r="H174" s="222" t="str">
        <f t="shared" si="15"/>
        <v>510121 | BIAYA OPERASIONAL JUKIR</v>
      </c>
      <c r="I174" s="222">
        <f t="shared" ca="1" si="16"/>
        <v>0</v>
      </c>
      <c r="J174" s="222" t="str">
        <f ca="1">IF(I174=0,"",COUNTIF($I$8:I174,"&gt;0"))</f>
        <v/>
      </c>
      <c r="K174" s="222" t="str">
        <f t="shared" ca="1" si="17"/>
        <v/>
      </c>
    </row>
    <row r="175" spans="2:11" ht="23.1" customHeight="1">
      <c r="B175" s="222">
        <v>510122</v>
      </c>
      <c r="C175" s="222" t="s">
        <v>394</v>
      </c>
      <c r="D175" s="222" t="s">
        <v>24</v>
      </c>
      <c r="E175" s="224"/>
      <c r="F175" s="224"/>
      <c r="H175" s="222" t="str">
        <f t="shared" si="15"/>
        <v>510122 | BIAYA PERBAIKAN LAHAN PARKIR</v>
      </c>
      <c r="I175" s="222">
        <f t="shared" ca="1" si="16"/>
        <v>0</v>
      </c>
      <c r="J175" s="222" t="str">
        <f ca="1">IF(I175=0,"",COUNTIF($I$8:I175,"&gt;0"))</f>
        <v/>
      </c>
      <c r="K175" s="222" t="str">
        <f t="shared" ca="1" si="17"/>
        <v/>
      </c>
    </row>
    <row r="176" spans="2:11" ht="23.1" customHeight="1">
      <c r="B176" s="222">
        <v>510123</v>
      </c>
      <c r="C176" s="222" t="s">
        <v>395</v>
      </c>
      <c r="D176" s="222" t="s">
        <v>24</v>
      </c>
      <c r="E176" s="224"/>
      <c r="F176" s="224"/>
      <c r="H176" s="222" t="str">
        <f t="shared" si="15"/>
        <v>510123 | BIAYA SHARING KTI</v>
      </c>
      <c r="I176" s="222">
        <f t="shared" ca="1" si="16"/>
        <v>0</v>
      </c>
      <c r="J176" s="222" t="str">
        <f ca="1">IF(I176=0,"",COUNTIF($I$8:I176,"&gt;0"))</f>
        <v/>
      </c>
      <c r="K176" s="222" t="str">
        <f t="shared" ca="1" si="17"/>
        <v/>
      </c>
    </row>
    <row r="177" spans="2:11" ht="23.1" customHeight="1">
      <c r="B177" s="222">
        <v>510124</v>
      </c>
      <c r="C177" s="222" t="s">
        <v>396</v>
      </c>
      <c r="D177" s="222" t="s">
        <v>24</v>
      </c>
      <c r="E177" s="224"/>
      <c r="F177" s="224"/>
      <c r="H177" s="222" t="str">
        <f t="shared" si="15"/>
        <v>510124 | BIAYA PENERAPAN MEMBER PARKING KENDARAAN</v>
      </c>
      <c r="I177" s="222">
        <f t="shared" ca="1" si="16"/>
        <v>0</v>
      </c>
      <c r="J177" s="222" t="str">
        <f ca="1">IF(I177=0,"",COUNTIF($I$8:I177,"&gt;0"))</f>
        <v/>
      </c>
      <c r="K177" s="222" t="str">
        <f t="shared" ca="1" si="17"/>
        <v/>
      </c>
    </row>
    <row r="178" spans="2:11" ht="23.1" customHeight="1">
      <c r="B178" s="223">
        <v>510200</v>
      </c>
      <c r="C178" s="223" t="s">
        <v>397</v>
      </c>
      <c r="D178" s="222"/>
      <c r="E178" s="224"/>
      <c r="F178" s="224"/>
      <c r="H178" s="222" t="str">
        <f t="shared" si="15"/>
        <v/>
      </c>
      <c r="I178" s="222">
        <f t="shared" ca="1" si="16"/>
        <v>0</v>
      </c>
      <c r="J178" s="222" t="str">
        <f ca="1">IF(I178=0,"",COUNTIF($I$8:I178,"&gt;0"))</f>
        <v/>
      </c>
      <c r="K178" s="222" t="str">
        <f t="shared" ca="1" si="17"/>
        <v/>
      </c>
    </row>
    <row r="179" spans="2:11" ht="23.1" customHeight="1">
      <c r="B179" s="222">
        <v>510201</v>
      </c>
      <c r="C179" s="222" t="s">
        <v>753</v>
      </c>
      <c r="D179" s="222" t="s">
        <v>24</v>
      </c>
      <c r="E179" s="224"/>
      <c r="F179" s="224"/>
      <c r="H179" s="222" t="str">
        <f t="shared" si="15"/>
        <v>510201 | BIAYA TRANSPORT KOLEKTOR TJU</v>
      </c>
      <c r="I179" s="222">
        <f t="shared" ca="1" si="16"/>
        <v>0</v>
      </c>
      <c r="J179" s="222" t="str">
        <f ca="1">IF(I179=0,"",COUNTIF($I$8:I179,"&gt;0"))</f>
        <v/>
      </c>
      <c r="K179" s="222" t="str">
        <f t="shared" ca="1" si="17"/>
        <v/>
      </c>
    </row>
    <row r="180" spans="2:11" ht="23.1" customHeight="1">
      <c r="B180" s="222">
        <v>510202</v>
      </c>
      <c r="C180" s="222" t="s">
        <v>756</v>
      </c>
      <c r="D180" s="222" t="s">
        <v>24</v>
      </c>
      <c r="E180" s="224"/>
      <c r="F180" s="224"/>
      <c r="H180" s="222" t="str">
        <f t="shared" si="15"/>
        <v>510202 | BIAYA TRANSPORT INSIDENTIL</v>
      </c>
      <c r="I180" s="222">
        <f t="shared" ca="1" si="16"/>
        <v>0</v>
      </c>
      <c r="J180" s="222" t="str">
        <f ca="1">IF(I180=0,"",COUNTIF($I$8:I180,"&gt;0"))</f>
        <v/>
      </c>
      <c r="K180" s="222" t="str">
        <f t="shared" ca="1" si="17"/>
        <v/>
      </c>
    </row>
    <row r="181" spans="2:11" ht="23.1" customHeight="1">
      <c r="B181" s="222">
        <v>510203</v>
      </c>
      <c r="C181" s="222" t="s">
        <v>755</v>
      </c>
      <c r="D181" s="222" t="s">
        <v>24</v>
      </c>
      <c r="E181" s="224"/>
      <c r="F181" s="224"/>
      <c r="H181" s="222" t="str">
        <f t="shared" si="15"/>
        <v>510203 | BIAYA TRANSPORT KOMERSIAL</v>
      </c>
      <c r="I181" s="222">
        <f t="shared" ca="1" si="16"/>
        <v>0</v>
      </c>
      <c r="J181" s="222" t="str">
        <f ca="1">IF(I181=0,"",COUNTIF($I$8:I181,"&gt;0"))</f>
        <v/>
      </c>
      <c r="K181" s="222" t="str">
        <f t="shared" ca="1" si="17"/>
        <v/>
      </c>
    </row>
    <row r="182" spans="2:11" ht="23.1" customHeight="1">
      <c r="B182" s="222">
        <v>510204</v>
      </c>
      <c r="C182" s="222" t="s">
        <v>754</v>
      </c>
      <c r="D182" s="222" t="s">
        <v>24</v>
      </c>
      <c r="E182" s="224"/>
      <c r="F182" s="224"/>
      <c r="H182" s="222" t="str">
        <f t="shared" si="15"/>
        <v>510204 | BIAYA TRANSPORT KOLEKTOR PLB</v>
      </c>
      <c r="I182" s="222">
        <f t="shared" ca="1" si="16"/>
        <v>0</v>
      </c>
      <c r="J182" s="222" t="str">
        <f ca="1">IF(I182=0,"",COUNTIF($I$8:I182,"&gt;0"))</f>
        <v/>
      </c>
      <c r="K182" s="222" t="str">
        <f t="shared" ca="1" si="17"/>
        <v/>
      </c>
    </row>
    <row r="183" spans="2:11" ht="23.1" customHeight="1">
      <c r="B183" s="222">
        <v>510205</v>
      </c>
      <c r="C183" s="222" t="s">
        <v>757</v>
      </c>
      <c r="D183" s="222" t="s">
        <v>24</v>
      </c>
      <c r="E183" s="224"/>
      <c r="F183" s="224"/>
      <c r="H183" s="222" t="str">
        <f t="shared" si="15"/>
        <v>510205 | BIAYA TRANSPORT PARKIR IT</v>
      </c>
      <c r="I183" s="222">
        <f t="shared" ca="1" si="16"/>
        <v>0</v>
      </c>
      <c r="J183" s="222" t="str">
        <f ca="1">IF(I183=0,"",COUNTIF($I$8:I183,"&gt;0"))</f>
        <v/>
      </c>
      <c r="K183" s="222" t="str">
        <f t="shared" ca="1" si="17"/>
        <v/>
      </c>
    </row>
    <row r="184" spans="2:11" ht="23.1" customHeight="1">
      <c r="B184" s="223">
        <v>610000</v>
      </c>
      <c r="C184" s="223" t="s">
        <v>398</v>
      </c>
      <c r="D184" s="222"/>
      <c r="E184" s="224"/>
      <c r="F184" s="224"/>
      <c r="H184" s="222" t="str">
        <f t="shared" si="15"/>
        <v/>
      </c>
      <c r="I184" s="222">
        <f t="shared" ca="1" si="16"/>
        <v>0</v>
      </c>
      <c r="J184" s="222" t="str">
        <f ca="1">IF(I184=0,"",COUNTIF($I$8:I184,"&gt;0"))</f>
        <v/>
      </c>
      <c r="K184" s="222" t="str">
        <f t="shared" ca="1" si="17"/>
        <v/>
      </c>
    </row>
    <row r="185" spans="2:11" ht="23.1" customHeight="1">
      <c r="B185" s="223">
        <v>610100</v>
      </c>
      <c r="C185" s="223" t="s">
        <v>399</v>
      </c>
      <c r="D185" s="222"/>
      <c r="E185" s="224"/>
      <c r="F185" s="224"/>
      <c r="H185" s="222" t="str">
        <f t="shared" si="15"/>
        <v/>
      </c>
      <c r="I185" s="222">
        <f t="shared" ca="1" si="16"/>
        <v>0</v>
      </c>
      <c r="J185" s="222" t="str">
        <f ca="1">IF(I185=0,"",COUNTIF($I$8:I185,"&gt;0"))</f>
        <v/>
      </c>
      <c r="K185" s="222" t="str">
        <f t="shared" ca="1" si="17"/>
        <v/>
      </c>
    </row>
    <row r="186" spans="2:11" ht="23.1" customHeight="1">
      <c r="B186" s="222">
        <v>610101</v>
      </c>
      <c r="C186" s="222" t="s">
        <v>400</v>
      </c>
      <c r="D186" s="222" t="s">
        <v>25</v>
      </c>
      <c r="E186" s="224"/>
      <c r="F186" s="224"/>
      <c r="H186" s="222" t="str">
        <f t="shared" si="15"/>
        <v>610101 | BIAYA HONOR BADAN PENGAWAS DAN STAF BP</v>
      </c>
      <c r="I186" s="222">
        <f t="shared" ca="1" si="16"/>
        <v>0</v>
      </c>
      <c r="J186" s="222" t="str">
        <f ca="1">IF(I186=0,"",COUNTIF($I$8:I186,"&gt;0"))</f>
        <v/>
      </c>
      <c r="K186" s="222" t="str">
        <f t="shared" ca="1" si="17"/>
        <v/>
      </c>
    </row>
    <row r="187" spans="2:11" ht="23.1" customHeight="1">
      <c r="B187" s="222">
        <v>610102</v>
      </c>
      <c r="C187" s="222" t="s">
        <v>401</v>
      </c>
      <c r="D187" s="222" t="s">
        <v>25</v>
      </c>
      <c r="E187" s="224"/>
      <c r="F187" s="224"/>
      <c r="H187" s="222" t="str">
        <f t="shared" si="15"/>
        <v>610102 | BIAYA TUNJANGAN BBM BADAN PENGAWAS</v>
      </c>
      <c r="I187" s="222">
        <f t="shared" ca="1" si="16"/>
        <v>0</v>
      </c>
      <c r="J187" s="222" t="str">
        <f ca="1">IF(I187=0,"",COUNTIF($I$8:I187,"&gt;0"))</f>
        <v/>
      </c>
      <c r="K187" s="222" t="str">
        <f t="shared" ca="1" si="17"/>
        <v/>
      </c>
    </row>
    <row r="188" spans="2:11" ht="23.1" customHeight="1">
      <c r="B188" s="222">
        <v>610103</v>
      </c>
      <c r="C188" s="222" t="s">
        <v>402</v>
      </c>
      <c r="D188" s="222" t="s">
        <v>25</v>
      </c>
      <c r="E188" s="224"/>
      <c r="F188" s="224"/>
      <c r="H188" s="222" t="str">
        <f t="shared" si="15"/>
        <v>610103 | BIAYA TUNJANGAN MONITORING, EVALUASI DAN PELAPORAN</v>
      </c>
      <c r="I188" s="222">
        <f t="shared" ca="1" si="16"/>
        <v>0</v>
      </c>
      <c r="J188" s="222" t="str">
        <f ca="1">IF(I188=0,"",COUNTIF($I$8:I188,"&gt;0"))</f>
        <v/>
      </c>
      <c r="K188" s="222" t="str">
        <f t="shared" ca="1" si="17"/>
        <v/>
      </c>
    </row>
    <row r="189" spans="2:11" ht="23.1" customHeight="1">
      <c r="B189" s="222">
        <v>610104</v>
      </c>
      <c r="C189" s="222" t="s">
        <v>403</v>
      </c>
      <c r="D189" s="222" t="s">
        <v>25</v>
      </c>
      <c r="E189" s="224"/>
      <c r="F189" s="224"/>
      <c r="H189" s="222" t="str">
        <f t="shared" si="15"/>
        <v>610104 | BIAYA GAJI DIREKSI</v>
      </c>
      <c r="I189" s="222">
        <f t="shared" ca="1" si="16"/>
        <v>0</v>
      </c>
      <c r="J189" s="222" t="str">
        <f ca="1">IF(I189=0,"",COUNTIF($I$8:I189,"&gt;0"))</f>
        <v/>
      </c>
      <c r="K189" s="222" t="str">
        <f t="shared" ca="1" si="17"/>
        <v/>
      </c>
    </row>
    <row r="190" spans="2:11" ht="23.1" customHeight="1">
      <c r="B190" s="222">
        <v>610105</v>
      </c>
      <c r="C190" s="222" t="s">
        <v>404</v>
      </c>
      <c r="D190" s="222" t="s">
        <v>25</v>
      </c>
      <c r="E190" s="224"/>
      <c r="F190" s="224"/>
      <c r="H190" s="222" t="str">
        <f t="shared" si="15"/>
        <v>610105 | BIAYA GAJI DAN TUNJANGAN PEGAWAI ORGANIK</v>
      </c>
      <c r="I190" s="222">
        <f t="shared" ca="1" si="16"/>
        <v>0</v>
      </c>
      <c r="J190" s="222" t="str">
        <f ca="1">IF(I190=0,"",COUNTIF($I$8:I190,"&gt;0"))</f>
        <v/>
      </c>
      <c r="K190" s="222" t="str">
        <f t="shared" ca="1" si="17"/>
        <v/>
      </c>
    </row>
    <row r="191" spans="2:11" ht="23.1" customHeight="1">
      <c r="B191" s="222">
        <v>610106</v>
      </c>
      <c r="C191" s="222" t="s">
        <v>405</v>
      </c>
      <c r="D191" s="222" t="s">
        <v>25</v>
      </c>
      <c r="E191" s="224"/>
      <c r="F191" s="224"/>
      <c r="H191" s="222" t="str">
        <f t="shared" si="15"/>
        <v>610106 | BIAYA UPAH TENAGA KONTRAK</v>
      </c>
      <c r="I191" s="222">
        <f t="shared" ca="1" si="16"/>
        <v>0</v>
      </c>
      <c r="J191" s="222" t="str">
        <f ca="1">IF(I191=0,"",COUNTIF($I$8:I191,"&gt;0"))</f>
        <v/>
      </c>
      <c r="K191" s="222" t="str">
        <f t="shared" ca="1" si="17"/>
        <v/>
      </c>
    </row>
    <row r="192" spans="2:11" ht="23.1" customHeight="1">
      <c r="B192" s="222">
        <v>610107</v>
      </c>
      <c r="C192" s="222" t="s">
        <v>406</v>
      </c>
      <c r="D192" s="222" t="s">
        <v>25</v>
      </c>
      <c r="E192" s="224"/>
      <c r="F192" s="224"/>
      <c r="H192" s="222" t="str">
        <f t="shared" si="15"/>
        <v>610107 | BIAYA UPAH TENAGA HONOR</v>
      </c>
      <c r="I192" s="222">
        <f t="shared" ca="1" si="16"/>
        <v>0</v>
      </c>
      <c r="J192" s="222" t="str">
        <f ca="1">IF(I192=0,"",COUNTIF($I$8:I192,"&gt;0"))</f>
        <v/>
      </c>
      <c r="K192" s="222" t="str">
        <f t="shared" ca="1" si="17"/>
        <v/>
      </c>
    </row>
    <row r="193" spans="2:11" ht="23.1" customHeight="1">
      <c r="B193" s="222">
        <v>610108</v>
      </c>
      <c r="C193" s="222" t="s">
        <v>407</v>
      </c>
      <c r="D193" s="222" t="s">
        <v>25</v>
      </c>
      <c r="E193" s="224"/>
      <c r="F193" s="224"/>
      <c r="H193" s="222" t="str">
        <f t="shared" si="15"/>
        <v>610108 | BIAYA INSENTIF DIREKSI DAN KARYAWAN</v>
      </c>
      <c r="I193" s="222">
        <f t="shared" ca="1" si="16"/>
        <v>0</v>
      </c>
      <c r="J193" s="222" t="str">
        <f ca="1">IF(I193=0,"",COUNTIF($I$8:I193,"&gt;0"))</f>
        <v/>
      </c>
      <c r="K193" s="222" t="str">
        <f t="shared" ca="1" si="17"/>
        <v/>
      </c>
    </row>
    <row r="194" spans="2:11" ht="23.1" customHeight="1">
      <c r="B194" s="222">
        <v>610109</v>
      </c>
      <c r="C194" s="222" t="s">
        <v>408</v>
      </c>
      <c r="D194" s="222" t="s">
        <v>25</v>
      </c>
      <c r="E194" s="224"/>
      <c r="F194" s="224"/>
      <c r="H194" s="222" t="str">
        <f t="shared" si="15"/>
        <v>610109 | BIAYA TUNJANGAN TELEKOMUNIKASI DIREKSI DAN KABAG</v>
      </c>
      <c r="I194" s="222">
        <f t="shared" ca="1" si="16"/>
        <v>0</v>
      </c>
      <c r="J194" s="222" t="str">
        <f ca="1">IF(I194=0,"",COUNTIF($I$8:I194,"&gt;0"))</f>
        <v/>
      </c>
      <c r="K194" s="222" t="str">
        <f t="shared" ca="1" si="17"/>
        <v/>
      </c>
    </row>
    <row r="195" spans="2:11" ht="23.1" customHeight="1">
      <c r="B195" s="222">
        <v>610110</v>
      </c>
      <c r="C195" s="222" t="s">
        <v>409</v>
      </c>
      <c r="D195" s="222" t="s">
        <v>25</v>
      </c>
      <c r="E195" s="224"/>
      <c r="F195" s="224"/>
      <c r="H195" s="222" t="str">
        <f t="shared" si="15"/>
        <v>610110 | BIAYA TUNJANGAN KOORDINASI DIREKSI</v>
      </c>
      <c r="I195" s="222">
        <f t="shared" ca="1" si="16"/>
        <v>0</v>
      </c>
      <c r="J195" s="222" t="str">
        <f ca="1">IF(I195=0,"",COUNTIF($I$8:I195,"&gt;0"))</f>
        <v/>
      </c>
      <c r="K195" s="222" t="str">
        <f t="shared" ca="1" si="17"/>
        <v/>
      </c>
    </row>
    <row r="196" spans="2:11" ht="23.1" customHeight="1">
      <c r="B196" s="222">
        <v>610111</v>
      </c>
      <c r="C196" s="222" t="s">
        <v>777</v>
      </c>
      <c r="D196" s="222" t="s">
        <v>25</v>
      </c>
      <c r="E196" s="224"/>
      <c r="F196" s="224"/>
      <c r="H196" s="222" t="str">
        <f t="shared" si="15"/>
        <v>610111 | BIAYA HONOR KONSULTAN HUKUM, KEUANGAN Dan IT</v>
      </c>
      <c r="I196" s="222">
        <f t="shared" ca="1" si="16"/>
        <v>0</v>
      </c>
      <c r="J196" s="222" t="str">
        <f ca="1">IF(I196=0,"",COUNTIF($I$8:I196,"&gt;0"))</f>
        <v/>
      </c>
      <c r="K196" s="222" t="str">
        <f t="shared" ca="1" si="17"/>
        <v/>
      </c>
    </row>
    <row r="197" spans="2:11" ht="23.1" customHeight="1">
      <c r="B197" s="222">
        <v>610112</v>
      </c>
      <c r="C197" s="222" t="s">
        <v>410</v>
      </c>
      <c r="D197" s="222" t="s">
        <v>25</v>
      </c>
      <c r="E197" s="224"/>
      <c r="F197" s="224"/>
      <c r="H197" s="222" t="str">
        <f t="shared" si="15"/>
        <v>610112 | BIAYA CUTI DIREKSI</v>
      </c>
      <c r="I197" s="222">
        <f t="shared" ca="1" si="16"/>
        <v>0</v>
      </c>
      <c r="J197" s="222" t="str">
        <f ca="1">IF(I197=0,"",COUNTIF($I$8:I197,"&gt;0"))</f>
        <v/>
      </c>
      <c r="K197" s="222" t="str">
        <f t="shared" ca="1" si="17"/>
        <v/>
      </c>
    </row>
    <row r="198" spans="2:11" ht="23.1" customHeight="1">
      <c r="B198" s="222">
        <v>610113</v>
      </c>
      <c r="C198" s="222" t="s">
        <v>411</v>
      </c>
      <c r="D198" s="222" t="s">
        <v>25</v>
      </c>
      <c r="E198" s="224"/>
      <c r="F198" s="224"/>
      <c r="H198" s="222" t="str">
        <f t="shared" si="15"/>
        <v>610113 | BIAYA LEMBUR DIREKSI DAN PEGAWAI</v>
      </c>
      <c r="I198" s="222">
        <f t="shared" ca="1" si="16"/>
        <v>0</v>
      </c>
      <c r="J198" s="222" t="str">
        <f ca="1">IF(I198=0,"",COUNTIF($I$8:I198,"&gt;0"))</f>
        <v/>
      </c>
      <c r="K198" s="222" t="str">
        <f t="shared" ca="1" si="17"/>
        <v/>
      </c>
    </row>
    <row r="199" spans="2:11" ht="23.1" customHeight="1">
      <c r="B199" s="222">
        <v>610114</v>
      </c>
      <c r="C199" s="222" t="s">
        <v>412</v>
      </c>
      <c r="D199" s="222" t="s">
        <v>25</v>
      </c>
      <c r="E199" s="224"/>
      <c r="F199" s="224"/>
      <c r="H199" s="222" t="str">
        <f t="shared" si="15"/>
        <v>610114 | BIAYA TUNJANGAN HARI RAYA (GAJI 13)</v>
      </c>
      <c r="I199" s="222">
        <f t="shared" ca="1" si="16"/>
        <v>0</v>
      </c>
      <c r="J199" s="222" t="str">
        <f ca="1">IF(I199=0,"",COUNTIF($I$8:I199,"&gt;0"))</f>
        <v/>
      </c>
      <c r="K199" s="222" t="str">
        <f t="shared" ref="K199:K230" ca="1" si="18">IFERROR(INDEX(H:H,MATCH(ROW(I192),J:J,0)),"")</f>
        <v/>
      </c>
    </row>
    <row r="200" spans="2:11" ht="23.1" customHeight="1">
      <c r="B200" s="222">
        <v>610115</v>
      </c>
      <c r="C200" s="222" t="s">
        <v>413</v>
      </c>
      <c r="D200" s="222" t="s">
        <v>25</v>
      </c>
      <c r="E200" s="224"/>
      <c r="F200" s="224"/>
      <c r="H200" s="222" t="str">
        <f t="shared" si="15"/>
        <v>610115 | BIAYA HONOR TIM PENYUSUN RANPERDA PERUMDA</v>
      </c>
      <c r="I200" s="222">
        <f t="shared" ca="1" si="16"/>
        <v>0</v>
      </c>
      <c r="J200" s="222" t="str">
        <f ca="1">IF(I200=0,"",COUNTIF($I$8:I200,"&gt;0"))</f>
        <v/>
      </c>
      <c r="K200" s="222" t="str">
        <f t="shared" ca="1" si="18"/>
        <v/>
      </c>
    </row>
    <row r="201" spans="2:11" ht="23.1" customHeight="1">
      <c r="B201" s="222">
        <v>610116</v>
      </c>
      <c r="C201" s="222" t="s">
        <v>414</v>
      </c>
      <c r="D201" s="222" t="s">
        <v>25</v>
      </c>
      <c r="E201" s="224"/>
      <c r="F201" s="224"/>
      <c r="H201" s="222" t="str">
        <f t="shared" si="15"/>
        <v>610116 | BIAYA HONOR TENAGA SUKARELA</v>
      </c>
      <c r="I201" s="222">
        <f t="shared" ca="1" si="16"/>
        <v>0</v>
      </c>
      <c r="J201" s="222" t="str">
        <f ca="1">IF(I201=0,"",COUNTIF($I$8:I201,"&gt;0"))</f>
        <v/>
      </c>
      <c r="K201" s="222" t="str">
        <f t="shared" ca="1" si="18"/>
        <v/>
      </c>
    </row>
    <row r="202" spans="2:11" ht="23.1" customHeight="1">
      <c r="B202" s="222">
        <v>610117</v>
      </c>
      <c r="C202" s="222" t="s">
        <v>415</v>
      </c>
      <c r="D202" s="222" t="s">
        <v>25</v>
      </c>
      <c r="E202" s="224"/>
      <c r="F202" s="224"/>
      <c r="H202" s="222" t="str">
        <f t="shared" si="15"/>
        <v>610117 | BIAYA TUNJANGAN JABATAN</v>
      </c>
      <c r="I202" s="222">
        <f t="shared" ca="1" si="16"/>
        <v>0</v>
      </c>
      <c r="J202" s="222" t="str">
        <f ca="1">IF(I202=0,"",COUNTIF($I$8:I202,"&gt;0"))</f>
        <v/>
      </c>
      <c r="K202" s="222" t="str">
        <f t="shared" ca="1" si="18"/>
        <v/>
      </c>
    </row>
    <row r="203" spans="2:11" ht="23.1" customHeight="1">
      <c r="B203" s="222">
        <v>610118</v>
      </c>
      <c r="C203" s="222" t="s">
        <v>416</v>
      </c>
      <c r="D203" s="222" t="s">
        <v>25</v>
      </c>
      <c r="E203" s="224"/>
      <c r="F203" s="224"/>
      <c r="H203" s="222" t="str">
        <f t="shared" ref="H203:H266" si="19">IF(D203="","",B203&amp;" | "&amp;C203)</f>
        <v>610118 | TUNJANGAN JAMSOSTEK KESEHATAN</v>
      </c>
      <c r="I203" s="222">
        <f t="shared" ref="I203:I266" ca="1" si="20">VALUE(IFERROR(SEARCH(INDIRECT(CELL("address")),H203),0))</f>
        <v>0</v>
      </c>
      <c r="J203" s="222" t="str">
        <f ca="1">IF(I203=0,"",COUNTIF($I$8:I203,"&gt;0"))</f>
        <v/>
      </c>
      <c r="K203" s="222" t="str">
        <f t="shared" ca="1" si="18"/>
        <v/>
      </c>
    </row>
    <row r="204" spans="2:11" ht="23.1" customHeight="1">
      <c r="B204" s="222">
        <v>610119</v>
      </c>
      <c r="C204" s="222" t="s">
        <v>417</v>
      </c>
      <c r="D204" s="222" t="s">
        <v>25</v>
      </c>
      <c r="E204" s="224"/>
      <c r="F204" s="224"/>
      <c r="H204" s="222" t="str">
        <f t="shared" si="19"/>
        <v>610119 | TUNJANGAN JAMSOSTEK KETENAGAKERJAAN</v>
      </c>
      <c r="I204" s="222">
        <f t="shared" ca="1" si="20"/>
        <v>0</v>
      </c>
      <c r="J204" s="222" t="str">
        <f ca="1">IF(I204=0,"",COUNTIF($I$8:I204,"&gt;0"))</f>
        <v/>
      </c>
      <c r="K204" s="222" t="str">
        <f t="shared" ca="1" si="18"/>
        <v/>
      </c>
    </row>
    <row r="205" spans="2:11" ht="23.1" customHeight="1">
      <c r="B205" s="222">
        <v>610120</v>
      </c>
      <c r="C205" s="222" t="s">
        <v>418</v>
      </c>
      <c r="D205" s="222" t="s">
        <v>25</v>
      </c>
      <c r="E205" s="224"/>
      <c r="F205" s="224"/>
      <c r="H205" s="222" t="str">
        <f t="shared" si="19"/>
        <v>610120 | TUNJANGAN ISTRI DAN ANAK</v>
      </c>
      <c r="I205" s="222">
        <f t="shared" ca="1" si="20"/>
        <v>0</v>
      </c>
      <c r="J205" s="222" t="str">
        <f ca="1">IF(I205=0,"",COUNTIF($I$8:I205,"&gt;0"))</f>
        <v/>
      </c>
      <c r="K205" s="222" t="str">
        <f t="shared" ca="1" si="18"/>
        <v/>
      </c>
    </row>
    <row r="206" spans="2:11" ht="23.1" customHeight="1">
      <c r="B206" s="222">
        <v>610121</v>
      </c>
      <c r="C206" s="222" t="s">
        <v>419</v>
      </c>
      <c r="D206" s="222" t="s">
        <v>25</v>
      </c>
      <c r="E206" s="224"/>
      <c r="F206" s="224"/>
      <c r="H206" s="222" t="str">
        <f t="shared" si="19"/>
        <v>610121 | TUNJANGAN TRANSPORT</v>
      </c>
      <c r="I206" s="222">
        <f t="shared" ca="1" si="20"/>
        <v>0</v>
      </c>
      <c r="J206" s="222" t="str">
        <f ca="1">IF(I206=0,"",COUNTIF($I$8:I206,"&gt;0"))</f>
        <v/>
      </c>
      <c r="K206" s="222" t="str">
        <f t="shared" ca="1" si="18"/>
        <v/>
      </c>
    </row>
    <row r="207" spans="2:11" ht="23.1" customHeight="1">
      <c r="B207" s="222">
        <v>610122</v>
      </c>
      <c r="C207" s="222" t="s">
        <v>420</v>
      </c>
      <c r="D207" s="222" t="s">
        <v>25</v>
      </c>
      <c r="E207" s="224"/>
      <c r="F207" s="224"/>
      <c r="H207" s="222" t="str">
        <f t="shared" si="19"/>
        <v>610122 | REFRESENTASI DIREKSI</v>
      </c>
      <c r="I207" s="222">
        <f t="shared" ca="1" si="20"/>
        <v>0</v>
      </c>
      <c r="J207" s="222" t="str">
        <f ca="1">IF(I207=0,"",COUNTIF($I$8:I207,"&gt;0"))</f>
        <v/>
      </c>
      <c r="K207" s="222" t="str">
        <f t="shared" ca="1" si="18"/>
        <v/>
      </c>
    </row>
    <row r="208" spans="2:11" ht="23.1" customHeight="1">
      <c r="B208" s="222">
        <v>610123</v>
      </c>
      <c r="C208" s="222" t="s">
        <v>421</v>
      </c>
      <c r="D208" s="222" t="s">
        <v>25</v>
      </c>
      <c r="E208" s="224"/>
      <c r="F208" s="224"/>
      <c r="H208" s="222" t="str">
        <f t="shared" si="19"/>
        <v>610123 | GAJI POKOK PEGAWAI</v>
      </c>
      <c r="I208" s="222">
        <f t="shared" ca="1" si="20"/>
        <v>0</v>
      </c>
      <c r="J208" s="222" t="str">
        <f ca="1">IF(I208=0,"",COUNTIF($I$8:I208,"&gt;0"))</f>
        <v/>
      </c>
      <c r="K208" s="222" t="str">
        <f t="shared" ca="1" si="18"/>
        <v/>
      </c>
    </row>
    <row r="209" spans="2:11" ht="23.1" customHeight="1">
      <c r="B209" s="222">
        <v>610125</v>
      </c>
      <c r="C209" s="222" t="s">
        <v>422</v>
      </c>
      <c r="D209" s="222" t="s">
        <v>25</v>
      </c>
      <c r="E209" s="224"/>
      <c r="F209" s="224"/>
      <c r="H209" s="222" t="str">
        <f t="shared" si="19"/>
        <v>610125 | TUNJANGAN KESEHATAN DAN BPJS TK-PEGAWAI</v>
      </c>
      <c r="I209" s="222">
        <f t="shared" ca="1" si="20"/>
        <v>0</v>
      </c>
      <c r="J209" s="222" t="str">
        <f ca="1">IF(I209=0,"",COUNTIF($I$8:I209,"&gt;0"))</f>
        <v/>
      </c>
      <c r="K209" s="222" t="str">
        <f t="shared" ca="1" si="18"/>
        <v/>
      </c>
    </row>
    <row r="210" spans="2:11" ht="23.1" customHeight="1">
      <c r="B210" s="222">
        <v>610127</v>
      </c>
      <c r="C210" s="222" t="s">
        <v>423</v>
      </c>
      <c r="D210" s="222" t="s">
        <v>25</v>
      </c>
      <c r="E210" s="224"/>
      <c r="F210" s="224"/>
      <c r="H210" s="222" t="str">
        <f t="shared" si="19"/>
        <v>610127 | TUNJANGAN MAKAN MINUM TRANSPORTASI &amp; T. KELUARGA</v>
      </c>
      <c r="I210" s="222">
        <f t="shared" ca="1" si="20"/>
        <v>0</v>
      </c>
      <c r="J210" s="222" t="str">
        <f ca="1">IF(I210=0,"",COUNTIF($I$8:I210,"&gt;0"))</f>
        <v/>
      </c>
      <c r="K210" s="222" t="str">
        <f t="shared" ca="1" si="18"/>
        <v/>
      </c>
    </row>
    <row r="211" spans="2:11" ht="23.1" customHeight="1">
      <c r="B211" s="222">
        <v>610129</v>
      </c>
      <c r="C211" s="222" t="s">
        <v>424</v>
      </c>
      <c r="D211" s="222" t="s">
        <v>25</v>
      </c>
      <c r="E211" s="224"/>
      <c r="F211" s="224"/>
      <c r="H211" s="222" t="str">
        <f t="shared" si="19"/>
        <v>610129 | BIAYA TUNJANGAN HARI RAYA</v>
      </c>
      <c r="I211" s="222">
        <f t="shared" ca="1" si="20"/>
        <v>0</v>
      </c>
      <c r="J211" s="222" t="str">
        <f ca="1">IF(I211=0,"",COUNTIF($I$8:I211,"&gt;0"))</f>
        <v/>
      </c>
      <c r="K211" s="222" t="str">
        <f t="shared" ca="1" si="18"/>
        <v/>
      </c>
    </row>
    <row r="212" spans="2:11" ht="23.1" customHeight="1">
      <c r="B212" s="222">
        <v>610130</v>
      </c>
      <c r="C212" s="222" t="s">
        <v>425</v>
      </c>
      <c r="D212" s="222" t="s">
        <v>25</v>
      </c>
      <c r="E212" s="224"/>
      <c r="F212" s="224"/>
      <c r="H212" s="222" t="str">
        <f t="shared" si="19"/>
        <v>610130 | BIAYA HONOR KOMITE AUDIT</v>
      </c>
      <c r="I212" s="222">
        <f t="shared" ca="1" si="20"/>
        <v>0</v>
      </c>
      <c r="J212" s="222" t="str">
        <f ca="1">IF(I212=0,"",COUNTIF($I$8:I212,"&gt;0"))</f>
        <v/>
      </c>
      <c r="K212" s="222" t="str">
        <f t="shared" ca="1" si="18"/>
        <v/>
      </c>
    </row>
    <row r="213" spans="2:11" ht="23.1" customHeight="1">
      <c r="B213" s="223">
        <v>610200</v>
      </c>
      <c r="C213" s="223" t="s">
        <v>398</v>
      </c>
      <c r="D213" s="222"/>
      <c r="E213" s="224"/>
      <c r="F213" s="224"/>
      <c r="H213" s="222" t="str">
        <f t="shared" si="19"/>
        <v/>
      </c>
      <c r="I213" s="222">
        <f t="shared" ca="1" si="20"/>
        <v>0</v>
      </c>
      <c r="J213" s="222" t="str">
        <f ca="1">IF(I213=0,"",COUNTIF($I$8:I213,"&gt;0"))</f>
        <v/>
      </c>
      <c r="K213" s="222" t="str">
        <f t="shared" ca="1" si="18"/>
        <v/>
      </c>
    </row>
    <row r="214" spans="2:11" ht="23.1" customHeight="1">
      <c r="B214" s="222">
        <v>610201</v>
      </c>
      <c r="C214" s="222" t="s">
        <v>426</v>
      </c>
      <c r="D214" s="222" t="s">
        <v>25</v>
      </c>
      <c r="E214" s="224"/>
      <c r="F214" s="224"/>
      <c r="H214" s="222" t="str">
        <f t="shared" si="19"/>
        <v>610201 | BIAYA DANA REFRESENTASI DIREKSI</v>
      </c>
      <c r="I214" s="222">
        <f t="shared" ca="1" si="20"/>
        <v>0</v>
      </c>
      <c r="J214" s="222" t="str">
        <f ca="1">IF(I214=0,"",COUNTIF($I$8:I214,"&gt;0"))</f>
        <v/>
      </c>
      <c r="K214" s="222" t="str">
        <f t="shared" ca="1" si="18"/>
        <v/>
      </c>
    </row>
    <row r="215" spans="2:11" ht="23.1" customHeight="1">
      <c r="B215" s="222">
        <v>610202</v>
      </c>
      <c r="C215" s="222" t="s">
        <v>427</v>
      </c>
      <c r="D215" s="222" t="s">
        <v>25</v>
      </c>
      <c r="E215" s="224"/>
      <c r="F215" s="224"/>
      <c r="H215" s="222" t="str">
        <f t="shared" si="19"/>
        <v>610202 | BIAYA KOORDINASI PEMBINA PERUSDA</v>
      </c>
      <c r="I215" s="222">
        <f t="shared" ca="1" si="20"/>
        <v>0</v>
      </c>
      <c r="J215" s="222" t="str">
        <f ca="1">IF(I215=0,"",COUNTIF($I$8:I215,"&gt;0"))</f>
        <v/>
      </c>
      <c r="K215" s="222" t="str">
        <f t="shared" ca="1" si="18"/>
        <v/>
      </c>
    </row>
    <row r="216" spans="2:11" ht="23.1" customHeight="1">
      <c r="B216" s="222">
        <v>610203</v>
      </c>
      <c r="C216" s="222" t="s">
        <v>428</v>
      </c>
      <c r="D216" s="222" t="s">
        <v>25</v>
      </c>
      <c r="E216" s="224"/>
      <c r="F216" s="224"/>
      <c r="H216" s="222" t="str">
        <f t="shared" si="19"/>
        <v>610203 | BIAYA PENINGKATAN SDM PEGAWAI</v>
      </c>
      <c r="I216" s="222">
        <f t="shared" ca="1" si="20"/>
        <v>0</v>
      </c>
      <c r="J216" s="222" t="str">
        <f ca="1">IF(I216=0,"",COUNTIF($I$8:I216,"&gt;0"))</f>
        <v/>
      </c>
      <c r="K216" s="222" t="str">
        <f t="shared" ca="1" si="18"/>
        <v/>
      </c>
    </row>
    <row r="217" spans="2:11" ht="23.1" customHeight="1">
      <c r="B217" s="222">
        <v>610204</v>
      </c>
      <c r="C217" s="222" t="s">
        <v>429</v>
      </c>
      <c r="D217" s="222" t="s">
        <v>25</v>
      </c>
      <c r="E217" s="224"/>
      <c r="F217" s="224"/>
      <c r="H217" s="222" t="str">
        <f t="shared" si="19"/>
        <v>610204 | BIAYA SOSIALISASI</v>
      </c>
      <c r="I217" s="222">
        <f t="shared" ca="1" si="20"/>
        <v>0</v>
      </c>
      <c r="J217" s="222" t="str">
        <f ca="1">IF(I217=0,"",COUNTIF($I$8:I217,"&gt;0"))</f>
        <v/>
      </c>
      <c r="K217" s="222" t="str">
        <f t="shared" ca="1" si="18"/>
        <v/>
      </c>
    </row>
    <row r="218" spans="2:11" ht="23.1" customHeight="1">
      <c r="B218" s="222">
        <v>610205</v>
      </c>
      <c r="C218" s="222" t="s">
        <v>430</v>
      </c>
      <c r="D218" s="222" t="s">
        <v>25</v>
      </c>
      <c r="E218" s="224"/>
      <c r="F218" s="224"/>
      <c r="H218" s="222" t="str">
        <f t="shared" si="19"/>
        <v>610205 | BIAYA MEDIA CETAK DAN ELEKTRONIK</v>
      </c>
      <c r="I218" s="222">
        <f t="shared" ca="1" si="20"/>
        <v>0</v>
      </c>
      <c r="J218" s="222" t="str">
        <f ca="1">IF(I218=0,"",COUNTIF($I$8:I218,"&gt;0"))</f>
        <v/>
      </c>
      <c r="K218" s="222" t="str">
        <f t="shared" ca="1" si="18"/>
        <v/>
      </c>
    </row>
    <row r="219" spans="2:11" ht="23.1" customHeight="1">
      <c r="B219" s="222">
        <v>610206</v>
      </c>
      <c r="C219" s="222" t="s">
        <v>431</v>
      </c>
      <c r="D219" s="222" t="s">
        <v>25</v>
      </c>
      <c r="E219" s="224"/>
      <c r="F219" s="224"/>
      <c r="H219" s="222" t="str">
        <f t="shared" si="19"/>
        <v>610206 | BIAYA HONOR PANITIA DAN PEMERIKSA BARANG</v>
      </c>
      <c r="I219" s="222">
        <f t="shared" ca="1" si="20"/>
        <v>0</v>
      </c>
      <c r="J219" s="222" t="str">
        <f ca="1">IF(I219=0,"",COUNTIF($I$8:I219,"&gt;0"))</f>
        <v/>
      </c>
      <c r="K219" s="222" t="str">
        <f t="shared" ca="1" si="18"/>
        <v/>
      </c>
    </row>
    <row r="220" spans="2:11" ht="23.1" customHeight="1">
      <c r="B220" s="222">
        <v>610207</v>
      </c>
      <c r="C220" s="222" t="s">
        <v>432</v>
      </c>
      <c r="D220" s="222" t="s">
        <v>25</v>
      </c>
      <c r="E220" s="224"/>
      <c r="F220" s="224"/>
      <c r="H220" s="222" t="str">
        <f t="shared" si="19"/>
        <v>610207 | BIAYA ALAT TULIS KANTOR (ATK)</v>
      </c>
      <c r="I220" s="222">
        <f t="shared" ca="1" si="20"/>
        <v>0</v>
      </c>
      <c r="J220" s="222" t="str">
        <f ca="1">IF(I220=0,"",COUNTIF($I$8:I220,"&gt;0"))</f>
        <v/>
      </c>
      <c r="K220" s="222" t="str">
        <f t="shared" ca="1" si="18"/>
        <v/>
      </c>
    </row>
    <row r="221" spans="2:11" ht="23.1" customHeight="1">
      <c r="B221" s="222">
        <v>610208</v>
      </c>
      <c r="C221" s="222" t="s">
        <v>433</v>
      </c>
      <c r="D221" s="222" t="s">
        <v>25</v>
      </c>
      <c r="E221" s="224"/>
      <c r="F221" s="224"/>
      <c r="H221" s="222" t="str">
        <f t="shared" si="19"/>
        <v>610208 | BIAYA BENDA BENDA POS DAN MATERAI</v>
      </c>
      <c r="I221" s="222">
        <f t="shared" ca="1" si="20"/>
        <v>0</v>
      </c>
      <c r="J221" s="222" t="str">
        <f ca="1">IF(I221=0,"",COUNTIF($I$8:I221,"&gt;0"))</f>
        <v/>
      </c>
      <c r="K221" s="222" t="str">
        <f t="shared" ca="1" si="18"/>
        <v/>
      </c>
    </row>
    <row r="222" spans="2:11" ht="23.1" customHeight="1">
      <c r="B222" s="222">
        <v>610209</v>
      </c>
      <c r="C222" s="222" t="s">
        <v>434</v>
      </c>
      <c r="D222" s="222" t="s">
        <v>25</v>
      </c>
      <c r="E222" s="224"/>
      <c r="F222" s="224"/>
      <c r="H222" s="222" t="str">
        <f t="shared" si="19"/>
        <v>610209 | BIAYA PEMELIHARAAN BANGUNAN KANTOR</v>
      </c>
      <c r="I222" s="222">
        <f t="shared" ca="1" si="20"/>
        <v>0</v>
      </c>
      <c r="J222" s="222" t="str">
        <f ca="1">IF(I222=0,"",COUNTIF($I$8:I222,"&gt;0"))</f>
        <v/>
      </c>
      <c r="K222" s="222" t="str">
        <f t="shared" ca="1" si="18"/>
        <v/>
      </c>
    </row>
    <row r="223" spans="2:11" ht="23.1" customHeight="1">
      <c r="B223" s="222">
        <v>610210</v>
      </c>
      <c r="C223" s="222" t="s">
        <v>435</v>
      </c>
      <c r="D223" s="222" t="s">
        <v>25</v>
      </c>
      <c r="E223" s="224"/>
      <c r="F223" s="224"/>
      <c r="H223" s="222" t="str">
        <f t="shared" si="19"/>
        <v>610210 | BIAYA PEMELIHARAAN INVENTARIS KANTOR</v>
      </c>
      <c r="I223" s="222">
        <f t="shared" ca="1" si="20"/>
        <v>0</v>
      </c>
      <c r="J223" s="222" t="str">
        <f ca="1">IF(I223=0,"",COUNTIF($I$8:I223,"&gt;0"))</f>
        <v/>
      </c>
      <c r="K223" s="222" t="str">
        <f t="shared" ca="1" si="18"/>
        <v/>
      </c>
    </row>
    <row r="224" spans="2:11" ht="23.1" customHeight="1">
      <c r="B224" s="222">
        <v>610211</v>
      </c>
      <c r="C224" s="222" t="s">
        <v>436</v>
      </c>
      <c r="D224" s="222" t="s">
        <v>25</v>
      </c>
      <c r="E224" s="224"/>
      <c r="F224" s="224"/>
      <c r="H224" s="222" t="str">
        <f t="shared" si="19"/>
        <v>610211 | BIAYA TELEPON KANTOR</v>
      </c>
      <c r="I224" s="222">
        <f t="shared" ca="1" si="20"/>
        <v>0</v>
      </c>
      <c r="J224" s="222" t="str">
        <f ca="1">IF(I224=0,"",COUNTIF($I$8:I224,"&gt;0"))</f>
        <v/>
      </c>
      <c r="K224" s="222" t="str">
        <f t="shared" ca="1" si="18"/>
        <v/>
      </c>
    </row>
    <row r="225" spans="2:11" ht="23.1" customHeight="1">
      <c r="B225" s="222">
        <v>610212</v>
      </c>
      <c r="C225" s="222" t="s">
        <v>437</v>
      </c>
      <c r="D225" s="222" t="s">
        <v>25</v>
      </c>
      <c r="E225" s="224"/>
      <c r="F225" s="224"/>
      <c r="H225" s="222" t="str">
        <f t="shared" si="19"/>
        <v>610212 | BIAYA LISTRIK DAN ENERGI KANTOR</v>
      </c>
      <c r="I225" s="222">
        <f t="shared" ca="1" si="20"/>
        <v>0</v>
      </c>
      <c r="J225" s="222" t="str">
        <f ca="1">IF(I225=0,"",COUNTIF($I$8:I225,"&gt;0"))</f>
        <v/>
      </c>
      <c r="K225" s="222" t="str">
        <f t="shared" ca="1" si="18"/>
        <v/>
      </c>
    </row>
    <row r="226" spans="2:11" ht="23.1" customHeight="1">
      <c r="B226" s="222">
        <v>610213</v>
      </c>
      <c r="C226" s="222" t="s">
        <v>438</v>
      </c>
      <c r="D226" s="222" t="s">
        <v>25</v>
      </c>
      <c r="E226" s="224"/>
      <c r="F226" s="224"/>
      <c r="H226" s="222" t="str">
        <f t="shared" si="19"/>
        <v>610213 | BIAYA SEWA FOTO COPY DAN PERJILIDAN</v>
      </c>
      <c r="I226" s="222">
        <f t="shared" ca="1" si="20"/>
        <v>0</v>
      </c>
      <c r="J226" s="222" t="str">
        <f ca="1">IF(I226=0,"",COUNTIF($I$8:I226,"&gt;0"))</f>
        <v/>
      </c>
      <c r="K226" s="222" t="str">
        <f t="shared" ca="1" si="18"/>
        <v/>
      </c>
    </row>
    <row r="227" spans="2:11" ht="23.1" customHeight="1">
      <c r="B227" s="222">
        <v>610214</v>
      </c>
      <c r="C227" s="222" t="s">
        <v>439</v>
      </c>
      <c r="D227" s="222" t="s">
        <v>25</v>
      </c>
      <c r="E227" s="224"/>
      <c r="F227" s="224"/>
      <c r="H227" s="222" t="str">
        <f t="shared" si="19"/>
        <v>610214 | TUNJANGAN UANG MAKAN DIREKSI</v>
      </c>
      <c r="I227" s="222">
        <f t="shared" ca="1" si="20"/>
        <v>0</v>
      </c>
      <c r="J227" s="222" t="str">
        <f ca="1">IF(I227=0,"",COUNTIF($I$8:I227,"&gt;0"))</f>
        <v/>
      </c>
      <c r="K227" s="222" t="str">
        <f t="shared" ca="1" si="18"/>
        <v/>
      </c>
    </row>
    <row r="228" spans="2:11" ht="23.1" customHeight="1">
      <c r="B228" s="222">
        <v>610215</v>
      </c>
      <c r="C228" s="222" t="s">
        <v>440</v>
      </c>
      <c r="D228" s="222" t="s">
        <v>25</v>
      </c>
      <c r="E228" s="224"/>
      <c r="F228" s="224"/>
      <c r="H228" s="222" t="str">
        <f t="shared" si="19"/>
        <v>610215 | BIAYA TAMU</v>
      </c>
      <c r="I228" s="222">
        <f t="shared" ca="1" si="20"/>
        <v>0</v>
      </c>
      <c r="J228" s="222" t="str">
        <f ca="1">IF(I228=0,"",COUNTIF($I$8:I228,"&gt;0"))</f>
        <v/>
      </c>
      <c r="K228" s="222" t="str">
        <f t="shared" ca="1" si="18"/>
        <v/>
      </c>
    </row>
    <row r="229" spans="2:11" ht="23.1" customHeight="1">
      <c r="B229" s="222">
        <v>610216</v>
      </c>
      <c r="C229" s="222" t="s">
        <v>441</v>
      </c>
      <c r="D229" s="222" t="s">
        <v>25</v>
      </c>
      <c r="E229" s="224"/>
      <c r="F229" s="224"/>
      <c r="H229" s="222" t="str">
        <f t="shared" si="19"/>
        <v>610216 | BIAYA PERALATAN DAN PERLENGKAPAN KANTOR</v>
      </c>
      <c r="I229" s="222">
        <f t="shared" ca="1" si="20"/>
        <v>0</v>
      </c>
      <c r="J229" s="222" t="str">
        <f ca="1">IF(I229=0,"",COUNTIF($I$8:I229,"&gt;0"))</f>
        <v/>
      </c>
      <c r="K229" s="222" t="str">
        <f t="shared" ca="1" si="18"/>
        <v/>
      </c>
    </row>
    <row r="230" spans="2:11" ht="23.1" customHeight="1">
      <c r="B230" s="222">
        <v>610217</v>
      </c>
      <c r="C230" s="222" t="s">
        <v>442</v>
      </c>
      <c r="D230" s="222" t="s">
        <v>25</v>
      </c>
      <c r="E230" s="224"/>
      <c r="F230" s="224"/>
      <c r="H230" s="222" t="str">
        <f t="shared" si="19"/>
        <v>610217 | BIAYA PERJALANAN DINAS</v>
      </c>
      <c r="I230" s="222">
        <f t="shared" ca="1" si="20"/>
        <v>0</v>
      </c>
      <c r="J230" s="222" t="str">
        <f ca="1">IF(I230=0,"",COUNTIF($I$8:I230,"&gt;0"))</f>
        <v/>
      </c>
      <c r="K230" s="222" t="str">
        <f t="shared" ca="1" si="18"/>
        <v/>
      </c>
    </row>
    <row r="231" spans="2:11" ht="23.1" customHeight="1">
      <c r="B231" s="222">
        <v>610218</v>
      </c>
      <c r="C231" s="222" t="s">
        <v>443</v>
      </c>
      <c r="D231" s="222" t="s">
        <v>25</v>
      </c>
      <c r="E231" s="224"/>
      <c r="F231" s="224"/>
      <c r="H231" s="222" t="str">
        <f t="shared" si="19"/>
        <v>610218 | BIAYA PAKAIAN DINAS DAN UPACARA RESMI</v>
      </c>
      <c r="I231" s="222">
        <f t="shared" ca="1" si="20"/>
        <v>0</v>
      </c>
      <c r="J231" s="222" t="str">
        <f ca="1">IF(I231=0,"",COUNTIF($I$8:I231,"&gt;0"))</f>
        <v/>
      </c>
      <c r="K231" s="222" t="str">
        <f t="shared" ref="K231:K262" ca="1" si="21">IFERROR(INDEX(H:H,MATCH(ROW(I224),J:J,0)),"")</f>
        <v/>
      </c>
    </row>
    <row r="232" spans="2:11" ht="23.1" customHeight="1">
      <c r="B232" s="222">
        <v>610219</v>
      </c>
      <c r="C232" s="222" t="s">
        <v>444</v>
      </c>
      <c r="D232" s="222" t="s">
        <v>25</v>
      </c>
      <c r="E232" s="224"/>
      <c r="F232" s="224"/>
      <c r="H232" s="222" t="str">
        <f t="shared" si="19"/>
        <v>610219 | BIAYA PAKAIAN OLAHRAGA</v>
      </c>
      <c r="I232" s="222">
        <f t="shared" ca="1" si="20"/>
        <v>0</v>
      </c>
      <c r="J232" s="222" t="str">
        <f ca="1">IF(I232=0,"",COUNTIF($I$8:I232,"&gt;0"))</f>
        <v/>
      </c>
      <c r="K232" s="222" t="str">
        <f t="shared" ca="1" si="21"/>
        <v/>
      </c>
    </row>
    <row r="233" spans="2:11" ht="23.1" customHeight="1">
      <c r="B233" s="222">
        <v>610220</v>
      </c>
      <c r="C233" s="222" t="s">
        <v>445</v>
      </c>
      <c r="D233" s="222" t="s">
        <v>25</v>
      </c>
      <c r="E233" s="224"/>
      <c r="F233" s="224"/>
      <c r="H233" s="222" t="str">
        <f t="shared" si="19"/>
        <v>610220 | BIAYA KEGIATAN DHARMA WANITA DAN KORPRI</v>
      </c>
      <c r="I233" s="222">
        <f t="shared" ca="1" si="20"/>
        <v>0</v>
      </c>
      <c r="J233" s="222" t="str">
        <f ca="1">IF(I233=0,"",COUNTIF($I$8:I233,"&gt;0"))</f>
        <v/>
      </c>
      <c r="K233" s="222" t="str">
        <f t="shared" ca="1" si="21"/>
        <v/>
      </c>
    </row>
    <row r="234" spans="2:11" ht="23.1" customHeight="1">
      <c r="B234" s="222">
        <v>610221</v>
      </c>
      <c r="C234" s="222" t="s">
        <v>446</v>
      </c>
      <c r="D234" s="222" t="s">
        <v>25</v>
      </c>
      <c r="E234" s="224"/>
      <c r="F234" s="224"/>
      <c r="H234" s="222" t="str">
        <f t="shared" si="19"/>
        <v>610221 | BIAYA PEMBINAAN KEAGAMAAN DAN OLAHRAGA</v>
      </c>
      <c r="I234" s="222">
        <f t="shared" ca="1" si="20"/>
        <v>0</v>
      </c>
      <c r="J234" s="222" t="str">
        <f ca="1">IF(I234=0,"",COUNTIF($I$8:I234,"&gt;0"))</f>
        <v/>
      </c>
      <c r="K234" s="222" t="str">
        <f t="shared" ca="1" si="21"/>
        <v/>
      </c>
    </row>
    <row r="235" spans="2:11" ht="23.1" customHeight="1">
      <c r="B235" s="222">
        <v>610222</v>
      </c>
      <c r="C235" s="222" t="s">
        <v>447</v>
      </c>
      <c r="D235" s="222" t="s">
        <v>25</v>
      </c>
      <c r="E235" s="224"/>
      <c r="F235" s="224"/>
      <c r="H235" s="222" t="str">
        <f t="shared" si="19"/>
        <v>610222 | BIAYA PERAYAAN DAERAH DAN NASIONAL</v>
      </c>
      <c r="I235" s="222">
        <f t="shared" ca="1" si="20"/>
        <v>0</v>
      </c>
      <c r="J235" s="222" t="str">
        <f ca="1">IF(I235=0,"",COUNTIF($I$8:I235,"&gt;0"))</f>
        <v/>
      </c>
      <c r="K235" s="222" t="str">
        <f t="shared" ca="1" si="21"/>
        <v/>
      </c>
    </row>
    <row r="236" spans="2:11" ht="23.1" customHeight="1">
      <c r="B236" s="222">
        <v>610223</v>
      </c>
      <c r="C236" s="222" t="s">
        <v>448</v>
      </c>
      <c r="D236" s="222" t="s">
        <v>25</v>
      </c>
      <c r="E236" s="224"/>
      <c r="F236" s="224"/>
      <c r="H236" s="222" t="str">
        <f t="shared" si="19"/>
        <v>610223 | BIAYA JASA AUDIT</v>
      </c>
      <c r="I236" s="222">
        <f t="shared" ca="1" si="20"/>
        <v>0</v>
      </c>
      <c r="J236" s="222" t="str">
        <f ca="1">IF(I236=0,"",COUNTIF($I$8:I236,"&gt;0"))</f>
        <v/>
      </c>
      <c r="K236" s="222" t="str">
        <f t="shared" ca="1" si="21"/>
        <v/>
      </c>
    </row>
    <row r="237" spans="2:11" ht="23.1" customHeight="1">
      <c r="B237" s="222">
        <v>610225</v>
      </c>
      <c r="C237" s="222" t="s">
        <v>449</v>
      </c>
      <c r="D237" s="222" t="s">
        <v>25</v>
      </c>
      <c r="E237" s="224"/>
      <c r="F237" s="224"/>
      <c r="H237" s="222" t="str">
        <f t="shared" si="19"/>
        <v>610225 | BIAYA FAMILY GATHERING</v>
      </c>
      <c r="I237" s="222">
        <f t="shared" ca="1" si="20"/>
        <v>0</v>
      </c>
      <c r="J237" s="222" t="str">
        <f ca="1">IF(I237=0,"",COUNTIF($I$8:I237,"&gt;0"))</f>
        <v/>
      </c>
      <c r="K237" s="222" t="str">
        <f t="shared" ca="1" si="21"/>
        <v/>
      </c>
    </row>
    <row r="238" spans="2:11" ht="23.1" customHeight="1">
      <c r="B238" s="222">
        <v>610226</v>
      </c>
      <c r="C238" s="222" t="s">
        <v>450</v>
      </c>
      <c r="D238" s="222" t="s">
        <v>25</v>
      </c>
      <c r="E238" s="224"/>
      <c r="F238" s="224"/>
      <c r="H238" s="222" t="str">
        <f t="shared" si="19"/>
        <v>610226 | BIAYA PENDIDIKAN</v>
      </c>
      <c r="I238" s="222">
        <f t="shared" ca="1" si="20"/>
        <v>0</v>
      </c>
      <c r="J238" s="222" t="str">
        <f ca="1">IF(I238=0,"",COUNTIF($I$8:I238,"&gt;0"))</f>
        <v/>
      </c>
      <c r="K238" s="222" t="str">
        <f t="shared" ca="1" si="21"/>
        <v/>
      </c>
    </row>
    <row r="239" spans="2:11" ht="23.1" customHeight="1">
      <c r="B239" s="222">
        <v>610227</v>
      </c>
      <c r="C239" s="222" t="s">
        <v>451</v>
      </c>
      <c r="D239" s="222" t="s">
        <v>25</v>
      </c>
      <c r="E239" s="224"/>
      <c r="F239" s="224"/>
      <c r="H239" s="222" t="str">
        <f t="shared" si="19"/>
        <v>610227 | BIAYA REWARD PEGAWAI</v>
      </c>
      <c r="I239" s="222">
        <f t="shared" ca="1" si="20"/>
        <v>0</v>
      </c>
      <c r="J239" s="222" t="str">
        <f ca="1">IF(I239=0,"",COUNTIF($I$8:I239,"&gt;0"))</f>
        <v/>
      </c>
      <c r="K239" s="222" t="str">
        <f t="shared" ca="1" si="21"/>
        <v/>
      </c>
    </row>
    <row r="240" spans="2:11" ht="23.1" customHeight="1">
      <c r="B240" s="222">
        <v>610228</v>
      </c>
      <c r="C240" s="222" t="s">
        <v>452</v>
      </c>
      <c r="D240" s="222" t="s">
        <v>25</v>
      </c>
      <c r="E240" s="224"/>
      <c r="F240" s="224"/>
      <c r="H240" s="222" t="str">
        <f t="shared" si="19"/>
        <v>610228 | BIAYA ASURANSI DAN SANTUNAN JUKIR DAN PEGAWAI</v>
      </c>
      <c r="I240" s="222">
        <f t="shared" ca="1" si="20"/>
        <v>0</v>
      </c>
      <c r="J240" s="222" t="str">
        <f ca="1">IF(I240=0,"",COUNTIF($I$8:I240,"&gt;0"))</f>
        <v/>
      </c>
      <c r="K240" s="222" t="str">
        <f t="shared" ca="1" si="21"/>
        <v/>
      </c>
    </row>
    <row r="241" spans="2:11" ht="23.1" customHeight="1">
      <c r="B241" s="222">
        <v>610229</v>
      </c>
      <c r="C241" s="222" t="s">
        <v>453</v>
      </c>
      <c r="D241" s="222" t="s">
        <v>25</v>
      </c>
      <c r="E241" s="224"/>
      <c r="F241" s="224"/>
      <c r="H241" s="222" t="str">
        <f t="shared" si="19"/>
        <v>610229 | BIAYA PAJAK PPH BADAN</v>
      </c>
      <c r="I241" s="222">
        <f t="shared" ca="1" si="20"/>
        <v>0</v>
      </c>
      <c r="J241" s="222" t="str">
        <f ca="1">IF(I241=0,"",COUNTIF($I$8:I241,"&gt;0"))</f>
        <v/>
      </c>
      <c r="K241" s="222" t="str">
        <f t="shared" ca="1" si="21"/>
        <v/>
      </c>
    </row>
    <row r="242" spans="2:11" ht="23.1" customHeight="1">
      <c r="B242" s="222">
        <v>610230</v>
      </c>
      <c r="C242" s="222" t="s">
        <v>455</v>
      </c>
      <c r="D242" s="222" t="s">
        <v>25</v>
      </c>
      <c r="E242" s="224"/>
      <c r="F242" s="224"/>
      <c r="H242" s="222" t="str">
        <f t="shared" si="19"/>
        <v>610230 | BIAYA INSENTIF PEMBUATAN RKAP DAN PERDA</v>
      </c>
      <c r="I242" s="222">
        <f t="shared" ca="1" si="20"/>
        <v>0</v>
      </c>
      <c r="J242" s="222" t="str">
        <f ca="1">IF(I242=0,"",COUNTIF($I$8:I242,"&gt;0"))</f>
        <v/>
      </c>
      <c r="K242" s="222" t="str">
        <f t="shared" ca="1" si="21"/>
        <v/>
      </c>
    </row>
    <row r="243" spans="2:11" ht="23.1" customHeight="1">
      <c r="B243" s="222">
        <v>610231</v>
      </c>
      <c r="C243" s="222" t="s">
        <v>456</v>
      </c>
      <c r="D243" s="222" t="s">
        <v>25</v>
      </c>
      <c r="E243" s="224"/>
      <c r="F243" s="224"/>
      <c r="H243" s="222" t="str">
        <f t="shared" si="19"/>
        <v>610231 | BIAYA HONOR TIM AHLI</v>
      </c>
      <c r="I243" s="222">
        <f t="shared" ca="1" si="20"/>
        <v>0</v>
      </c>
      <c r="J243" s="222" t="str">
        <f ca="1">IF(I243=0,"",COUNTIF($I$8:I243,"&gt;0"))</f>
        <v/>
      </c>
      <c r="K243" s="222" t="str">
        <f t="shared" ca="1" si="21"/>
        <v/>
      </c>
    </row>
    <row r="244" spans="2:11" ht="23.1" customHeight="1">
      <c r="B244" s="222">
        <v>610232</v>
      </c>
      <c r="C244" s="222" t="s">
        <v>457</v>
      </c>
      <c r="D244" s="222" t="s">
        <v>25</v>
      </c>
      <c r="E244" s="224"/>
      <c r="F244" s="224"/>
      <c r="H244" s="222" t="str">
        <f t="shared" si="19"/>
        <v>610232 | BIAYA ASSESMENT PEGAWAI</v>
      </c>
      <c r="I244" s="222">
        <f t="shared" ca="1" si="20"/>
        <v>0</v>
      </c>
      <c r="J244" s="222" t="str">
        <f ca="1">IF(I244=0,"",COUNTIF($I$8:I244,"&gt;0"))</f>
        <v/>
      </c>
      <c r="K244" s="222" t="str">
        <f t="shared" ca="1" si="21"/>
        <v/>
      </c>
    </row>
    <row r="245" spans="2:11" ht="23.1" customHeight="1">
      <c r="B245" s="222">
        <v>610233</v>
      </c>
      <c r="C245" s="222" t="s">
        <v>458</v>
      </c>
      <c r="D245" s="222" t="s">
        <v>25</v>
      </c>
      <c r="E245" s="224"/>
      <c r="F245" s="224"/>
      <c r="H245" s="222" t="str">
        <f t="shared" si="19"/>
        <v>610233 | BIAYA RAKORD DAN RAPAT KERJA PD. PARKIR</v>
      </c>
      <c r="I245" s="222">
        <f t="shared" ca="1" si="20"/>
        <v>0</v>
      </c>
      <c r="J245" s="222" t="str">
        <f ca="1">IF(I245=0,"",COUNTIF($I$8:I245,"&gt;0"))</f>
        <v/>
      </c>
      <c r="K245" s="222" t="str">
        <f t="shared" ca="1" si="21"/>
        <v/>
      </c>
    </row>
    <row r="246" spans="2:11" ht="23.1" customHeight="1">
      <c r="B246" s="222">
        <v>610234</v>
      </c>
      <c r="C246" s="222" t="s">
        <v>459</v>
      </c>
      <c r="D246" s="222" t="s">
        <v>25</v>
      </c>
      <c r="E246" s="224"/>
      <c r="F246" s="224"/>
      <c r="H246" s="222" t="str">
        <f t="shared" si="19"/>
        <v>610234 | BEBAN PESANGON</v>
      </c>
      <c r="I246" s="222">
        <f t="shared" ca="1" si="20"/>
        <v>0</v>
      </c>
      <c r="J246" s="222" t="str">
        <f ca="1">IF(I246=0,"",COUNTIF($I$8:I246,"&gt;0"))</f>
        <v/>
      </c>
      <c r="K246" s="222" t="str">
        <f t="shared" ca="1" si="21"/>
        <v/>
      </c>
    </row>
    <row r="247" spans="2:11" ht="23.1" customHeight="1">
      <c r="B247" s="222">
        <v>610235</v>
      </c>
      <c r="C247" s="222" t="s">
        <v>641</v>
      </c>
      <c r="D247" s="222" t="s">
        <v>25</v>
      </c>
      <c r="E247" s="224"/>
      <c r="F247" s="224"/>
      <c r="H247" s="222" t="str">
        <f t="shared" si="19"/>
        <v>610235 | BIAYA PENGHARGAAN</v>
      </c>
      <c r="I247" s="222">
        <f t="shared" ca="1" si="20"/>
        <v>0</v>
      </c>
      <c r="J247" s="222" t="str">
        <f ca="1">IF(I247=0,"",COUNTIF($I$8:I247,"&gt;0"))</f>
        <v/>
      </c>
      <c r="K247" s="222" t="str">
        <f t="shared" ca="1" si="21"/>
        <v/>
      </c>
    </row>
    <row r="248" spans="2:11" ht="23.1" customHeight="1">
      <c r="B248" s="222">
        <v>610236</v>
      </c>
      <c r="C248" s="222" t="s">
        <v>642</v>
      </c>
      <c r="D248" s="222" t="s">
        <v>25</v>
      </c>
      <c r="E248" s="224"/>
      <c r="F248" s="224"/>
      <c r="H248" s="222" t="str">
        <f t="shared" si="19"/>
        <v>610236 | BEBAN PENGHAPUSAN PIUTANG TAK TERTAGIH</v>
      </c>
      <c r="I248" s="222">
        <f t="shared" ca="1" si="20"/>
        <v>0</v>
      </c>
      <c r="J248" s="222" t="str">
        <f ca="1">IF(I248=0,"",COUNTIF($I$8:I248,"&gt;0"))</f>
        <v/>
      </c>
      <c r="K248" s="222" t="str">
        <f t="shared" ca="1" si="21"/>
        <v/>
      </c>
    </row>
    <row r="249" spans="2:11" ht="23.1" customHeight="1">
      <c r="B249" s="222">
        <v>610237</v>
      </c>
      <c r="C249" s="222" t="s">
        <v>657</v>
      </c>
      <c r="D249" s="222" t="s">
        <v>25</v>
      </c>
      <c r="E249" s="224"/>
      <c r="F249" s="224"/>
      <c r="H249" s="222" t="str">
        <f t="shared" si="19"/>
        <v>610237 | BEBAN DENDA PAJAK</v>
      </c>
      <c r="I249" s="222">
        <f t="shared" ca="1" si="20"/>
        <v>0</v>
      </c>
      <c r="J249" s="222" t="str">
        <f ca="1">IF(I249=0,"",COUNTIF($I$8:I249,"&gt;0"))</f>
        <v/>
      </c>
      <c r="K249" s="222" t="str">
        <f t="shared" ca="1" si="21"/>
        <v/>
      </c>
    </row>
    <row r="250" spans="2:11" ht="23.1" customHeight="1">
      <c r="B250" s="222">
        <v>610238</v>
      </c>
      <c r="C250" s="222" t="s">
        <v>814</v>
      </c>
      <c r="D250" s="222" t="s">
        <v>25</v>
      </c>
      <c r="E250" s="224"/>
      <c r="F250" s="224"/>
      <c r="H250" s="222" t="str">
        <f t="shared" si="19"/>
        <v xml:space="preserve">610238 | BEBAN PAJAK TERUTANG </v>
      </c>
      <c r="I250" s="222">
        <f t="shared" ca="1" si="20"/>
        <v>0</v>
      </c>
      <c r="J250" s="222" t="str">
        <f ca="1">IF(I250=0,"",COUNTIF($I$8:I250,"&gt;0"))</f>
        <v/>
      </c>
      <c r="K250" s="222" t="str">
        <f t="shared" ca="1" si="21"/>
        <v/>
      </c>
    </row>
    <row r="251" spans="2:11" ht="23.1" customHeight="1">
      <c r="B251" s="222">
        <v>610239</v>
      </c>
      <c r="C251" s="222" t="s">
        <v>460</v>
      </c>
      <c r="D251" s="222" t="s">
        <v>25</v>
      </c>
      <c r="E251" s="224"/>
      <c r="F251" s="224"/>
      <c r="H251" s="222" t="str">
        <f t="shared" si="19"/>
        <v>610239 | BEBAN DIVIDEN</v>
      </c>
      <c r="I251" s="222">
        <f t="shared" ca="1" si="20"/>
        <v>0</v>
      </c>
      <c r="J251" s="222" t="str">
        <f ca="1">IF(I251=0,"",COUNTIF($I$8:I251,"&gt;0"))</f>
        <v/>
      </c>
      <c r="K251" s="222" t="str">
        <f t="shared" ca="1" si="21"/>
        <v/>
      </c>
    </row>
    <row r="252" spans="2:11" ht="23.1" customHeight="1">
      <c r="B252" s="222">
        <v>610240</v>
      </c>
      <c r="C252" s="222" t="s">
        <v>817</v>
      </c>
      <c r="D252" s="222" t="s">
        <v>25</v>
      </c>
      <c r="E252" s="224"/>
      <c r="F252" s="224"/>
      <c r="H252" s="222" t="str">
        <f t="shared" si="19"/>
        <v>610240 | BEBAN PEMBUATAN BISNIS PLAN</v>
      </c>
      <c r="I252" s="222">
        <f t="shared" ca="1" si="20"/>
        <v>0</v>
      </c>
      <c r="J252" s="222" t="str">
        <f ca="1">IF(I252=0,"",COUNTIF($I$8:I252,"&gt;0"))</f>
        <v/>
      </c>
      <c r="K252" s="222" t="str">
        <f t="shared" ca="1" si="21"/>
        <v/>
      </c>
    </row>
    <row r="253" spans="2:11" ht="23.1" customHeight="1">
      <c r="B253" s="222">
        <v>610241</v>
      </c>
      <c r="C253" s="222" t="s">
        <v>831</v>
      </c>
      <c r="D253" s="222" t="s">
        <v>25</v>
      </c>
      <c r="E253" s="224"/>
      <c r="F253" s="224"/>
      <c r="H253" s="222" t="str">
        <f t="shared" si="19"/>
        <v>610241 | BEBAN PENGAKUAN DPLK DIREKSI (ASURANSI)</v>
      </c>
      <c r="I253" s="222">
        <f t="shared" ca="1" si="20"/>
        <v>0</v>
      </c>
      <c r="J253" s="222" t="str">
        <f ca="1">IF(I253=0,"",COUNTIF($I$8:I253,"&gt;0"))</f>
        <v/>
      </c>
      <c r="K253" s="222" t="str">
        <f t="shared" ca="1" si="21"/>
        <v/>
      </c>
    </row>
    <row r="254" spans="2:11" ht="23.1" customHeight="1">
      <c r="B254" s="222">
        <v>610242</v>
      </c>
      <c r="C254" s="222" t="s">
        <v>830</v>
      </c>
      <c r="D254" s="222" t="s">
        <v>25</v>
      </c>
      <c r="E254" s="224"/>
      <c r="F254" s="224"/>
      <c r="H254" s="222" t="str">
        <f t="shared" si="19"/>
        <v>610242 | BEBAN PENGAKUAN DPLK KARYAWAN (ASURANSI)</v>
      </c>
      <c r="I254" s="222">
        <f t="shared" ca="1" si="20"/>
        <v>0</v>
      </c>
      <c r="J254" s="222" t="str">
        <f ca="1">IF(I254=0,"",COUNTIF($I$8:I254,"&gt;0"))</f>
        <v/>
      </c>
      <c r="K254" s="222" t="str">
        <f t="shared" ca="1" si="21"/>
        <v/>
      </c>
    </row>
    <row r="255" spans="2:11" ht="23.1" customHeight="1">
      <c r="B255" s="222">
        <v>610243</v>
      </c>
      <c r="C255" s="222" t="s">
        <v>461</v>
      </c>
      <c r="D255" s="222" t="s">
        <v>25</v>
      </c>
      <c r="E255" s="224"/>
      <c r="F255" s="224"/>
      <c r="H255" s="222" t="str">
        <f t="shared" si="19"/>
        <v>610243 | BEBAN PEMBUATAN DOKUMENT 6</v>
      </c>
      <c r="I255" s="222">
        <f t="shared" ca="1" si="20"/>
        <v>0</v>
      </c>
      <c r="J255" s="222" t="str">
        <f ca="1">IF(I255=0,"",COUNTIF($I$8:I255,"&gt;0"))</f>
        <v/>
      </c>
      <c r="K255" s="222" t="str">
        <f t="shared" ca="1" si="21"/>
        <v/>
      </c>
    </row>
    <row r="256" spans="2:11" ht="23.1" customHeight="1">
      <c r="B256" s="223">
        <v>610300</v>
      </c>
      <c r="C256" s="223" t="s">
        <v>462</v>
      </c>
      <c r="D256" s="222"/>
      <c r="E256" s="224"/>
      <c r="F256" s="224"/>
      <c r="H256" s="222" t="str">
        <f t="shared" si="19"/>
        <v/>
      </c>
      <c r="I256" s="222">
        <f t="shared" ca="1" si="20"/>
        <v>0</v>
      </c>
      <c r="J256" s="222" t="str">
        <f ca="1">IF(I256=0,"",COUNTIF($I$8:I256,"&gt;0"))</f>
        <v/>
      </c>
      <c r="K256" s="222" t="str">
        <f t="shared" ca="1" si="21"/>
        <v/>
      </c>
    </row>
    <row r="257" spans="2:11" ht="23.1" customHeight="1">
      <c r="B257" s="222">
        <v>610301</v>
      </c>
      <c r="C257" s="222" t="s">
        <v>463</v>
      </c>
      <c r="D257" s="222" t="s">
        <v>25</v>
      </c>
      <c r="E257" s="224"/>
      <c r="F257" s="224"/>
      <c r="H257" s="222" t="str">
        <f t="shared" si="19"/>
        <v>610301 | BUNGA PINJAMAN (KREDIT INVESTASI)</v>
      </c>
      <c r="I257" s="222">
        <f t="shared" ca="1" si="20"/>
        <v>0</v>
      </c>
      <c r="J257" s="222" t="str">
        <f ca="1">IF(I257=0,"",COUNTIF($I$8:I257,"&gt;0"))</f>
        <v/>
      </c>
      <c r="K257" s="222" t="str">
        <f t="shared" ca="1" si="21"/>
        <v/>
      </c>
    </row>
    <row r="258" spans="2:11" ht="23.1" customHeight="1">
      <c r="B258" s="222">
        <v>610302</v>
      </c>
      <c r="C258" s="222" t="s">
        <v>464</v>
      </c>
      <c r="D258" s="222" t="s">
        <v>25</v>
      </c>
      <c r="E258" s="224"/>
      <c r="F258" s="224"/>
      <c r="H258" s="222" t="str">
        <f t="shared" si="19"/>
        <v>610302 | BUNGA PINJAMAN (MODAL KERJA)</v>
      </c>
      <c r="I258" s="222">
        <f t="shared" ca="1" si="20"/>
        <v>0</v>
      </c>
      <c r="J258" s="222" t="str">
        <f ca="1">IF(I258=0,"",COUNTIF($I$8:I258,"&gt;0"))</f>
        <v/>
      </c>
      <c r="K258" s="222" t="str">
        <f t="shared" ca="1" si="21"/>
        <v/>
      </c>
    </row>
    <row r="259" spans="2:11" ht="23.1" customHeight="1">
      <c r="B259" s="222">
        <v>610303</v>
      </c>
      <c r="C259" s="222" t="s">
        <v>465</v>
      </c>
      <c r="D259" s="222" t="s">
        <v>25</v>
      </c>
      <c r="E259" s="224"/>
      <c r="F259" s="224"/>
      <c r="H259" s="222" t="str">
        <f t="shared" si="19"/>
        <v>610303 | BUNGA LEASING</v>
      </c>
      <c r="I259" s="222">
        <f t="shared" ca="1" si="20"/>
        <v>0</v>
      </c>
      <c r="J259" s="222" t="str">
        <f ca="1">IF(I259=0,"",COUNTIF($I$8:I259,"&gt;0"))</f>
        <v/>
      </c>
      <c r="K259" s="222" t="str">
        <f t="shared" ca="1" si="21"/>
        <v/>
      </c>
    </row>
    <row r="260" spans="2:11" ht="23.1" customHeight="1">
      <c r="B260" s="223">
        <v>610400</v>
      </c>
      <c r="C260" s="223" t="s">
        <v>466</v>
      </c>
      <c r="D260" s="222"/>
      <c r="E260" s="224"/>
      <c r="F260" s="224"/>
      <c r="H260" s="222" t="str">
        <f t="shared" si="19"/>
        <v/>
      </c>
      <c r="I260" s="222">
        <f t="shared" ca="1" si="20"/>
        <v>0</v>
      </c>
      <c r="J260" s="222" t="str">
        <f ca="1">IF(I260=0,"",COUNTIF($I$8:I260,"&gt;0"))</f>
        <v/>
      </c>
      <c r="K260" s="222" t="str">
        <f t="shared" ca="1" si="21"/>
        <v/>
      </c>
    </row>
    <row r="261" spans="2:11" ht="23.1" customHeight="1">
      <c r="B261" s="222">
        <v>610401</v>
      </c>
      <c r="C261" s="222" t="s">
        <v>467</v>
      </c>
      <c r="D261" s="222" t="s">
        <v>25</v>
      </c>
      <c r="E261" s="224"/>
      <c r="F261" s="224"/>
      <c r="H261" s="222" t="str">
        <f t="shared" si="19"/>
        <v>610401 | BEBAN PENYUSUTAN BANGUNAN KANTOR</v>
      </c>
      <c r="I261" s="222">
        <f t="shared" ca="1" si="20"/>
        <v>0</v>
      </c>
      <c r="J261" s="222" t="str">
        <f ca="1">IF(I261=0,"",COUNTIF($I$8:I261,"&gt;0"))</f>
        <v/>
      </c>
      <c r="K261" s="222" t="str">
        <f t="shared" ca="1" si="21"/>
        <v/>
      </c>
    </row>
    <row r="262" spans="2:11" ht="23.1" customHeight="1">
      <c r="B262" s="222">
        <v>610402</v>
      </c>
      <c r="C262" s="222" t="s">
        <v>468</v>
      </c>
      <c r="D262" s="222" t="s">
        <v>25</v>
      </c>
      <c r="E262" s="224"/>
      <c r="F262" s="224"/>
      <c r="H262" s="222" t="str">
        <f t="shared" si="19"/>
        <v>610402 | BEBAN PENYUSUTAN KENDARAAN</v>
      </c>
      <c r="I262" s="222">
        <f t="shared" ca="1" si="20"/>
        <v>0</v>
      </c>
      <c r="J262" s="222" t="str">
        <f ca="1">IF(I262=0,"",COUNTIF($I$8:I262,"&gt;0"))</f>
        <v/>
      </c>
      <c r="K262" s="222" t="str">
        <f t="shared" ca="1" si="21"/>
        <v/>
      </c>
    </row>
    <row r="263" spans="2:11" ht="23.1" customHeight="1">
      <c r="B263" s="222">
        <v>610403</v>
      </c>
      <c r="C263" s="222" t="s">
        <v>469</v>
      </c>
      <c r="D263" s="222" t="s">
        <v>25</v>
      </c>
      <c r="E263" s="224"/>
      <c r="F263" s="224"/>
      <c r="H263" s="222" t="str">
        <f t="shared" si="19"/>
        <v>610403 | BEBAN PENYUSUTAN RAMBU RAMBU</v>
      </c>
      <c r="I263" s="222">
        <f t="shared" ca="1" si="20"/>
        <v>0</v>
      </c>
      <c r="J263" s="222" t="str">
        <f ca="1">IF(I263=0,"",COUNTIF($I$8:I263,"&gt;0"))</f>
        <v/>
      </c>
      <c r="K263" s="222" t="str">
        <f t="shared" ref="K263:K268" ca="1" si="22">IFERROR(INDEX(H:H,MATCH(ROW(I256),J:J,0)),"")</f>
        <v/>
      </c>
    </row>
    <row r="264" spans="2:11" ht="23.1" customHeight="1">
      <c r="B264" s="222">
        <v>610404</v>
      </c>
      <c r="C264" s="222" t="s">
        <v>470</v>
      </c>
      <c r="D264" s="222" t="s">
        <v>25</v>
      </c>
      <c r="E264" s="224"/>
      <c r="F264" s="224"/>
      <c r="H264" s="222" t="str">
        <f t="shared" si="19"/>
        <v>610404 | BEBAN PENYUSUTAN INVENTARIS KANTOR</v>
      </c>
      <c r="I264" s="222">
        <f t="shared" ca="1" si="20"/>
        <v>0</v>
      </c>
      <c r="J264" s="222" t="str">
        <f ca="1">IF(I264=0,"",COUNTIF($I$8:I264,"&gt;0"))</f>
        <v/>
      </c>
      <c r="K264" s="222" t="str">
        <f t="shared" ca="1" si="22"/>
        <v/>
      </c>
    </row>
    <row r="265" spans="2:11" ht="23.1" customHeight="1">
      <c r="B265" s="222">
        <v>610405</v>
      </c>
      <c r="C265" s="222" t="s">
        <v>471</v>
      </c>
      <c r="D265" s="222" t="s">
        <v>25</v>
      </c>
      <c r="E265" s="224"/>
      <c r="F265" s="224"/>
      <c r="H265" s="222" t="str">
        <f t="shared" si="19"/>
        <v>610405 | BEBAN AMORTISASI GOODWIL</v>
      </c>
      <c r="I265" s="222">
        <f t="shared" ca="1" si="20"/>
        <v>0</v>
      </c>
      <c r="J265" s="222" t="str">
        <f ca="1">IF(I265=0,"",COUNTIF($I$8:I265,"&gt;0"))</f>
        <v/>
      </c>
      <c r="K265" s="222" t="str">
        <f t="shared" ca="1" si="22"/>
        <v/>
      </c>
    </row>
    <row r="266" spans="2:11" ht="23.1" customHeight="1">
      <c r="B266" s="222">
        <v>610406</v>
      </c>
      <c r="C266" s="222" t="s">
        <v>472</v>
      </c>
      <c r="D266" s="222" t="s">
        <v>25</v>
      </c>
      <c r="E266" s="224"/>
      <c r="F266" s="224"/>
      <c r="H266" s="222" t="str">
        <f t="shared" si="19"/>
        <v>610406 | AMORTISASI BEBAN DITANGGUHKAN</v>
      </c>
      <c r="I266" s="222">
        <f t="shared" ca="1" si="20"/>
        <v>0</v>
      </c>
      <c r="J266" s="222" t="str">
        <f ca="1">IF(I266=0,"",COUNTIF($I$8:I266,"&gt;0"))</f>
        <v/>
      </c>
      <c r="K266" s="222" t="str">
        <f t="shared" ca="1" si="22"/>
        <v/>
      </c>
    </row>
    <row r="267" spans="2:11" ht="23.1" customHeight="1">
      <c r="B267" s="222">
        <v>610407</v>
      </c>
      <c r="C267" s="222" t="s">
        <v>473</v>
      </c>
      <c r="D267" s="222" t="s">
        <v>25</v>
      </c>
      <c r="E267" s="224"/>
      <c r="F267" s="224"/>
      <c r="H267" s="222" t="str">
        <f t="shared" ref="H267:H275" si="23">IF(D267="","",B267&amp;" | "&amp;C267)</f>
        <v>610407 | BEBAN AMORTISASI LAINNYA</v>
      </c>
      <c r="I267" s="222">
        <f t="shared" ref="I267:I275" ca="1" si="24">VALUE(IFERROR(SEARCH(INDIRECT(CELL("address")),H267),0))</f>
        <v>0</v>
      </c>
      <c r="J267" s="222" t="str">
        <f ca="1">IF(I267=0,"",COUNTIF($I$8:I267,"&gt;0"))</f>
        <v/>
      </c>
      <c r="K267" s="222" t="str">
        <f t="shared" ca="1" si="22"/>
        <v/>
      </c>
    </row>
    <row r="268" spans="2:11" ht="23.1" customHeight="1">
      <c r="B268" s="222">
        <v>610408</v>
      </c>
      <c r="C268" s="222" t="s">
        <v>835</v>
      </c>
      <c r="D268" s="222" t="s">
        <v>25</v>
      </c>
      <c r="E268" s="224"/>
      <c r="F268" s="224"/>
      <c r="H268" s="222" t="str">
        <f t="shared" si="23"/>
        <v>610408 | BEBAN PENYUSUTAN CMS</v>
      </c>
      <c r="I268" s="222">
        <f t="shared" ca="1" si="24"/>
        <v>0</v>
      </c>
      <c r="J268" s="222" t="str">
        <f ca="1">IF(I268=0,"",COUNTIF($I$8:I268,"&gt;0"))</f>
        <v/>
      </c>
      <c r="K268" s="222" t="str">
        <f t="shared" ca="1" si="22"/>
        <v/>
      </c>
    </row>
    <row r="269" spans="2:11" ht="23.1" customHeight="1">
      <c r="B269" s="223">
        <v>710100</v>
      </c>
      <c r="C269" s="223" t="s">
        <v>474</v>
      </c>
      <c r="D269" s="222"/>
      <c r="E269" s="224"/>
      <c r="F269" s="224"/>
      <c r="H269" s="222" t="str">
        <f t="shared" si="23"/>
        <v/>
      </c>
      <c r="I269" s="222">
        <f t="shared" ca="1" si="24"/>
        <v>0</v>
      </c>
      <c r="J269" s="222" t="str">
        <f ca="1">IF(I269=0,"",COUNTIF($I$8:I269,"&gt;0"))</f>
        <v/>
      </c>
      <c r="K269" s="222" t="str">
        <f t="shared" ref="K269:K275" ca="1" si="25">IFERROR(INDEX(H:H,MATCH(ROW(I261),J:J,0)),"")</f>
        <v/>
      </c>
    </row>
    <row r="270" spans="2:11" ht="23.1" customHeight="1">
      <c r="B270" s="222">
        <v>710101</v>
      </c>
      <c r="C270" s="222" t="s">
        <v>475</v>
      </c>
      <c r="D270" s="222" t="s">
        <v>26</v>
      </c>
      <c r="E270" s="224"/>
      <c r="F270" s="224"/>
      <c r="H270" s="222" t="str">
        <f t="shared" si="23"/>
        <v>710101 | PENDAPATAN JASA GIRO</v>
      </c>
      <c r="I270" s="222">
        <f t="shared" ca="1" si="24"/>
        <v>0</v>
      </c>
      <c r="J270" s="222" t="str">
        <f ca="1">IF(I270=0,"",COUNTIF($I$8:I270,"&gt;0"))</f>
        <v/>
      </c>
      <c r="K270" s="222" t="str">
        <f t="shared" ca="1" si="25"/>
        <v/>
      </c>
    </row>
    <row r="271" spans="2:11" ht="23.1" customHeight="1">
      <c r="B271" s="222">
        <v>710102</v>
      </c>
      <c r="C271" s="222" t="s">
        <v>476</v>
      </c>
      <c r="D271" s="222" t="s">
        <v>26</v>
      </c>
      <c r="E271" s="224"/>
      <c r="F271" s="224"/>
      <c r="H271" s="222" t="str">
        <f t="shared" si="23"/>
        <v>710102 | PENDAPATAN PENJUALAN ASSET</v>
      </c>
      <c r="I271" s="222">
        <f t="shared" ca="1" si="24"/>
        <v>0</v>
      </c>
      <c r="J271" s="222" t="str">
        <f ca="1">IF(I271=0,"",COUNTIF($I$8:I271,"&gt;0"))</f>
        <v/>
      </c>
      <c r="K271" s="222" t="str">
        <f t="shared" ca="1" si="25"/>
        <v/>
      </c>
    </row>
    <row r="272" spans="2:11" ht="23.1" customHeight="1">
      <c r="B272" s="222">
        <v>710103</v>
      </c>
      <c r="C272" s="222" t="s">
        <v>477</v>
      </c>
      <c r="D272" s="222" t="s">
        <v>26</v>
      </c>
      <c r="E272" s="224"/>
      <c r="F272" s="224"/>
      <c r="H272" s="222" t="str">
        <f t="shared" si="23"/>
        <v>710103 | PENDAPATAN LAIN LAIN</v>
      </c>
      <c r="I272" s="222">
        <f t="shared" ca="1" si="24"/>
        <v>0</v>
      </c>
      <c r="J272" s="222" t="str">
        <f ca="1">IF(I272=0,"",COUNTIF($I$8:I272,"&gt;0"))</f>
        <v/>
      </c>
      <c r="K272" s="222" t="str">
        <f t="shared" ca="1" si="25"/>
        <v/>
      </c>
    </row>
    <row r="273" spans="2:11" ht="23.1" customHeight="1">
      <c r="B273" s="223">
        <v>720100</v>
      </c>
      <c r="C273" s="223" t="s">
        <v>478</v>
      </c>
      <c r="D273" s="222"/>
      <c r="E273" s="224"/>
      <c r="F273" s="224"/>
      <c r="H273" s="222" t="str">
        <f t="shared" si="23"/>
        <v/>
      </c>
      <c r="I273" s="222">
        <f t="shared" ca="1" si="24"/>
        <v>0</v>
      </c>
      <c r="J273" s="222" t="str">
        <f ca="1">IF(I273=0,"",COUNTIF($I$8:I273,"&gt;0"))</f>
        <v/>
      </c>
      <c r="K273" s="222" t="str">
        <f t="shared" ca="1" si="25"/>
        <v/>
      </c>
    </row>
    <row r="274" spans="2:11" ht="23.1" customHeight="1">
      <c r="B274" s="222">
        <v>720101</v>
      </c>
      <c r="C274" s="222" t="s">
        <v>454</v>
      </c>
      <c r="D274" s="222" t="s">
        <v>27</v>
      </c>
      <c r="E274" s="224"/>
      <c r="F274" s="224"/>
      <c r="H274" s="222" t="str">
        <f t="shared" si="23"/>
        <v>720101 | BIAYA ADMINISTRASI BANK</v>
      </c>
      <c r="I274" s="222">
        <f t="shared" ca="1" si="24"/>
        <v>0</v>
      </c>
      <c r="J274" s="222" t="str">
        <f ca="1">IF(I274=0,"",COUNTIF($I$8:I274,"&gt;0"))</f>
        <v/>
      </c>
      <c r="K274" s="222" t="str">
        <f t="shared" ca="1" si="25"/>
        <v/>
      </c>
    </row>
    <row r="275" spans="2:11" ht="23.1" customHeight="1">
      <c r="B275" s="222">
        <v>720102</v>
      </c>
      <c r="C275" s="222" t="s">
        <v>479</v>
      </c>
      <c r="D275" s="222" t="s">
        <v>27</v>
      </c>
      <c r="E275" s="224"/>
      <c r="F275" s="224"/>
      <c r="H275" s="222" t="str">
        <f t="shared" si="23"/>
        <v>720102 | BIAYA PAJAK JASA GIRO</v>
      </c>
      <c r="I275" s="222">
        <f t="shared" ca="1" si="24"/>
        <v>0</v>
      </c>
      <c r="J275" s="222" t="str">
        <f ca="1">IF(I275=0,"",COUNTIF($I$8:I275,"&gt;0"))</f>
        <v/>
      </c>
      <c r="K275" s="222" t="str">
        <f t="shared" ca="1" si="25"/>
        <v/>
      </c>
    </row>
    <row r="276" spans="2:11" ht="3.95" customHeight="1">
      <c r="B276" s="225"/>
      <c r="C276" s="225"/>
      <c r="D276" s="225"/>
      <c r="E276" s="226"/>
      <c r="F276" s="226"/>
    </row>
  </sheetData>
  <mergeCells count="1">
    <mergeCell ref="B4:F4"/>
  </mergeCells>
  <phoneticPr fontId="7" type="noConversion"/>
  <hyperlinks>
    <hyperlink ref="B2" location="MENU!D8" display="MENU" xr:uid="{74CF1B33-242B-AC45-AA67-938B8714F853}"/>
    <hyperlink ref="C2" r:id="rId1" xr:uid="{01C2EECA-D25A-4E29-BCE3-0E2F3AE92A63}"/>
  </hyperlinks>
  <pageMargins left="0.7" right="0.7" top="0.75" bottom="0.75" header="0.3" footer="0.3"/>
  <pageSetup paperSize="9" scale="62" fitToHeight="6"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Silahkan pilih list type akun yang disiapkan !" xr:uid="{09BE638E-04FB-C14A-8451-B543EA402837}">
          <x14:formula1>
            <xm:f>TYPE!$B$5:$B$21</xm:f>
          </x14:formula1>
          <xm:sqref>D8:D13</xm:sqref>
        </x14:dataValidation>
        <x14:dataValidation type="list" showInputMessage="1" showErrorMessage="1" errorTitle="Error" error="Silahkan pilih list type akun yang disiapkan !" xr:uid="{AF32E1F2-3B5F-F745-B884-DA35085D4331}">
          <x14:formula1>
            <xm:f>TYPE!$B$5:$B$21</xm:f>
          </x14:formula1>
          <xm:sqref>D14:D275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3A50-EA9C-5344-9ABE-314F55242BCB}">
  <sheetPr codeName="Sheet8">
    <pageSetUpPr fitToPage="1"/>
  </sheetPr>
  <dimension ref="B1:I609"/>
  <sheetViews>
    <sheetView showGridLines="0" workbookViewId="0">
      <selection activeCell="C8" sqref="C8:D8"/>
    </sheetView>
  </sheetViews>
  <sheetFormatPr defaultColWidth="10.875" defaultRowHeight="23.1" customHeight="1"/>
  <cols>
    <col min="1" max="1" width="2.125" style="1" customWidth="1"/>
    <col min="2" max="2" width="15.625" style="3" customWidth="1"/>
    <col min="3" max="3" width="4.75" style="3" customWidth="1"/>
    <col min="4" max="4" width="40" style="3" customWidth="1"/>
    <col min="5" max="6" width="16.625" style="37" customWidth="1"/>
    <col min="7" max="7" width="17.125" style="37" customWidth="1"/>
    <col min="8" max="16384" width="10.875" style="1"/>
  </cols>
  <sheetData>
    <row r="1" spans="2:9" ht="9.9499999999999993" customHeight="1"/>
    <row r="2" spans="2:9" ht="23.1" customHeight="1" thickBot="1">
      <c r="B2" s="90" t="s">
        <v>58</v>
      </c>
      <c r="C2" s="139" t="e">
        <f>JURNAL!C2</f>
        <v>#REF!</v>
      </c>
      <c r="D2" s="36"/>
      <c r="E2" s="46"/>
      <c r="F2" s="46"/>
      <c r="G2" s="38"/>
      <c r="I2" s="5"/>
    </row>
    <row r="4" spans="2:9" ht="23.1" customHeight="1">
      <c r="B4" s="409" t="str">
        <f>prof_nama</f>
        <v>PERUMDA PARKIR MAKASSAR RAYA</v>
      </c>
      <c r="C4" s="410"/>
      <c r="D4" s="410"/>
      <c r="E4" s="410"/>
      <c r="F4" s="410"/>
      <c r="G4" s="411"/>
    </row>
    <row r="5" spans="2:9" ht="23.1" customHeight="1">
      <c r="B5" s="412" t="s">
        <v>95</v>
      </c>
      <c r="C5" s="413"/>
      <c r="D5" s="413"/>
      <c r="E5" s="413"/>
      <c r="F5" s="413"/>
      <c r="G5" s="414"/>
    </row>
    <row r="6" spans="2:9" ht="21" customHeight="1">
      <c r="B6" s="415" t="str">
        <f>"Periode "&amp;TEXT(awal,"dd-mmm-yyy")&amp;" - "&amp;TEXT(akhir,"dd-mmm-yyy")</f>
        <v>Periode 01-Jan-2022 - 31-Dec-2022</v>
      </c>
      <c r="C6" s="416"/>
      <c r="D6" s="416"/>
      <c r="E6" s="416"/>
      <c r="F6" s="416"/>
      <c r="G6" s="417"/>
    </row>
    <row r="7" spans="2:9" ht="8.1" customHeight="1"/>
    <row r="8" spans="2:9" ht="23.1" customHeight="1">
      <c r="B8" s="3" t="s">
        <v>96</v>
      </c>
      <c r="C8" s="418" t="s">
        <v>695</v>
      </c>
      <c r="D8" s="418"/>
      <c r="E8" s="47"/>
      <c r="F8" s="41" t="s">
        <v>36</v>
      </c>
      <c r="G8" s="37">
        <f>IFERROR(IF(INDEX(typ_sn,MATCH(C9,typ_ket,0))="DB",SUMIFS(ju_sld,ju_tgl,"&lt;"&amp;awal,ju_debet,bb_akun)-SUMIFS(ju_sld,ju_tgl,"&lt;"&amp;awal,ju_kr,bb_akun),SUMIFS(ju_sld,ju_tgl,"&lt;"&amp;awal,ju_kr,bb_akun)-SUMIFS(ju_sld,ju_tgl,"&lt;"&amp;awal,ju_debet,bb_akun))+IF(INDEX(typ_sn,MATCH(C9,typ_ket,0))="db",INDEX(akun_db,MATCH(bb_akun,akun_kb,0))-INDEX(akun_kr,MATCH(bb_akun,akun_kb,0)),INDEX(akun_kr,MATCH(bb_akun,akun_kb,0))-INDEX(akun_db,MATCH(bb_akun,akun_kb,0))),0)</f>
        <v>0</v>
      </c>
    </row>
    <row r="9" spans="2:9" ht="20.100000000000001" customHeight="1">
      <c r="B9" s="3" t="s">
        <v>97</v>
      </c>
      <c r="C9" s="418" t="str">
        <f>IFERROR(IF(C8="","Pilih Akun !",INDEX(akun_type,MATCH(C8,akun_kb,0))),"")</f>
        <v>Harga Pokok Penjualan</v>
      </c>
      <c r="D9" s="418"/>
      <c r="E9" s="48"/>
      <c r="F9" s="41" t="s">
        <v>39</v>
      </c>
      <c r="G9" s="37">
        <f>IFERROR(IF(INDEX(typ_sn,MATCH(C9,typ_ket,0))="db",G8+SUM(E:E)-SUM(F:F),G8+SUM(F:F)-SUM(E:E)),0)</f>
        <v>166777600</v>
      </c>
    </row>
    <row r="10" spans="2:9" ht="8.1" customHeight="1"/>
    <row r="11" spans="2:9" ht="23.1" customHeight="1" thickBot="1">
      <c r="B11" s="25" t="s">
        <v>1</v>
      </c>
      <c r="C11" s="25" t="s">
        <v>79</v>
      </c>
      <c r="D11" s="25" t="s">
        <v>9</v>
      </c>
      <c r="E11" s="42" t="s">
        <v>5</v>
      </c>
      <c r="F11" s="42" t="s">
        <v>6</v>
      </c>
      <c r="G11" s="42" t="s">
        <v>85</v>
      </c>
    </row>
    <row r="12" spans="2:9" ht="9" customHeight="1"/>
    <row r="13" spans="2:9" ht="23.1" customHeight="1">
      <c r="B13" s="45">
        <f>IFERROR(INDEX(ju_tgl,MATCH(ROW(J1),JURNAL!$O:$O,0)),"")</f>
        <v>44620</v>
      </c>
      <c r="C13" s="7">
        <f>IFERROR(INDEX(ju_ref,MATCH(ROW(J1),JURNAL!$O:$O,0)),"")</f>
        <v>0</v>
      </c>
      <c r="D13" s="7" t="str">
        <f>IFERROR(INDEX(ju_ket,MATCH(ROW(J1),JURNAL!$O:$O,0)),"")</f>
        <v>Pembuatan Karcis Parkir</v>
      </c>
      <c r="E13" s="39">
        <f>IFERROR(IF(bb_akun=INDEX(ju_debet,MATCH(ROW(J1),JURNAL!$O:$O,0)),INDEX(ju_sld,MATCH(ROW(K1),JURNAL!$O:$O,0)),0),"")</f>
        <v>34650000</v>
      </c>
      <c r="F13" s="39">
        <f>IFERROR(IF(bb_akun=INDEX(ju_kr,MATCH(ROW(J1),JURNAL!$O:$O,0)),INDEX(ju_sld,MATCH(ROW(K1),JURNAL!$O:$O,0)),0),"")</f>
        <v>0</v>
      </c>
      <c r="G13" s="39">
        <f>IF(B13="","",IF(INDEX(typ_sn,MATCH($C$9,typ_ket,0))="db",$G$8+SUM($E$13:E13)-SUM($F$13:F13),$G$8+SUM($F$13:F13)-SUM($E$13:E13)))</f>
        <v>34650000</v>
      </c>
    </row>
    <row r="14" spans="2:9" ht="23.1" customHeight="1">
      <c r="B14" s="45">
        <f>IFERROR(INDEX(ju_tgl,MATCH(ROW(J2),JURNAL!$O:$O,0)),"")</f>
        <v>44651</v>
      </c>
      <c r="C14" s="7">
        <f>IFERROR(INDEX(ju_ref,MATCH(ROW(J2),JURNAL!$O:$O,0)),"")</f>
        <v>0</v>
      </c>
      <c r="D14" s="7" t="str">
        <f>IFERROR(INDEX(ju_ket,MATCH(ROW(J2),JURNAL!$O:$O,0)),"")</f>
        <v>Pembuatan Karcis Parkir</v>
      </c>
      <c r="E14" s="39">
        <f>IFERROR(IF(bb_akun=INDEX(ju_debet,MATCH(ROW(J2),JURNAL!$O:$O,0)),INDEX(ju_sld,MATCH(ROW(K2),JURNAL!$O:$O,0)),0),"")</f>
        <v>24420000</v>
      </c>
      <c r="F14" s="39">
        <f>IFERROR(IF(bb_akun=INDEX(ju_kr,MATCH(ROW(J2),JURNAL!$O:$O,0)),INDEX(ju_sld,MATCH(ROW(K2),JURNAL!$O:$O,0)),0),"")</f>
        <v>0</v>
      </c>
      <c r="G14" s="39">
        <f>IF(B14="","",IF(INDEX(typ_sn,MATCH($C$9,typ_ket,0))="db",$G$8+SUM($E$13:E14)-SUM($F$13:F14),$G$8+SUM($F$13:F14)-SUM($E$13:E14)))</f>
        <v>59070000</v>
      </c>
    </row>
    <row r="15" spans="2:9" ht="23.1" customHeight="1">
      <c r="B15" s="45">
        <f>IFERROR(INDEX(ju_tgl,MATCH(ROW(J3),JURNAL!$O:$O,0)),"")</f>
        <v>44651</v>
      </c>
      <c r="C15" s="7">
        <f>IFERROR(INDEX(ju_ref,MATCH(ROW(J3),JURNAL!$O:$O,0)),"")</f>
        <v>0</v>
      </c>
      <c r="D15" s="7" t="str">
        <f>IFERROR(INDEX(ju_ket,MATCH(ROW(J3),JURNAL!$O:$O,0)),"")</f>
        <v>Penyesuaian Persediaan Karcis R4</v>
      </c>
      <c r="E15" s="39">
        <f>IFERROR(IF(bb_akun=INDEX(ju_debet,MATCH(ROW(J3),JURNAL!$O:$O,0)),INDEX(ju_sld,MATCH(ROW(K3),JURNAL!$O:$O,0)),0),"")</f>
        <v>0</v>
      </c>
      <c r="F15" s="39">
        <f>IFERROR(IF(bb_akun=INDEX(ju_kr,MATCH(ROW(J3),JURNAL!$O:$O,0)),INDEX(ju_sld,MATCH(ROW(K3),JURNAL!$O:$O,0)),0),"")</f>
        <v>9660000</v>
      </c>
      <c r="G15" s="39">
        <f>IF(B15="","",IF(INDEX(typ_sn,MATCH($C$9,typ_ket,0))="db",$G$8+SUM($E$13:E15)-SUM($F$13:F15),$G$8+SUM($F$13:F15)-SUM($E$13:E15)))</f>
        <v>49410000</v>
      </c>
    </row>
    <row r="16" spans="2:9" ht="23.1" customHeight="1">
      <c r="B16" s="45">
        <f>IFERROR(INDEX(ju_tgl,MATCH(ROW(J4),JURNAL!$O:$O,0)),"")</f>
        <v>44651</v>
      </c>
      <c r="C16" s="7">
        <f>IFERROR(INDEX(ju_ref,MATCH(ROW(J4),JURNAL!$O:$O,0)),"")</f>
        <v>0</v>
      </c>
      <c r="D16" s="7" t="str">
        <f>IFERROR(INDEX(ju_ket,MATCH(ROW(J4),JURNAL!$O:$O,0)),"")</f>
        <v>Penyesuaian Persediaan Karcis R2</v>
      </c>
      <c r="E16" s="39">
        <f>IFERROR(IF(bb_akun=INDEX(ju_debet,MATCH(ROW(J4),JURNAL!$O:$O,0)),INDEX(ju_sld,MATCH(ROW(K4),JURNAL!$O:$O,0)),0),"")</f>
        <v>0</v>
      </c>
      <c r="F16" s="39">
        <f>IFERROR(IF(bb_akun=INDEX(ju_kr,MATCH(ROW(J4),JURNAL!$O:$O,0)),INDEX(ju_sld,MATCH(ROW(K4),JURNAL!$O:$O,0)),0),"")</f>
        <v>7265000</v>
      </c>
      <c r="G16" s="39">
        <f>IF(B16="","",IF(INDEX(typ_sn,MATCH($C$9,typ_ket,0))="db",$G$8+SUM($E$13:E16)-SUM($F$13:F16),$G$8+SUM($F$13:F16)-SUM($E$13:E16)))</f>
        <v>42145000</v>
      </c>
    </row>
    <row r="17" spans="2:7" ht="23.1" customHeight="1">
      <c r="B17" s="45">
        <f>IFERROR(INDEX(ju_tgl,MATCH(ROW(J5),JURNAL!$O:$O,0)),"")</f>
        <v>44742</v>
      </c>
      <c r="C17" s="7">
        <f>IFERROR(INDEX(ju_ref,MATCH(ROW(J5),JURNAL!$O:$O,0)),"")</f>
        <v>0</v>
      </c>
      <c r="D17" s="7" t="str">
        <f>IFERROR(INDEX(ju_ket,MATCH(ROW(J5),JURNAL!$O:$O,0)),"")</f>
        <v>Pembuatan Karcis Parkir</v>
      </c>
      <c r="E17" s="39">
        <f>IFERROR(IF(bb_akun=INDEX(ju_debet,MATCH(ROW(J5),JURNAL!$O:$O,0)),INDEX(ju_sld,MATCH(ROW(K5),JURNAL!$O:$O,0)),0),"")</f>
        <v>49950000</v>
      </c>
      <c r="F17" s="39">
        <f>IFERROR(IF(bb_akun=INDEX(ju_kr,MATCH(ROW(J5),JURNAL!$O:$O,0)),INDEX(ju_sld,MATCH(ROW(K5),JURNAL!$O:$O,0)),0),"")</f>
        <v>0</v>
      </c>
      <c r="G17" s="39">
        <f>IF(B17="","",IF(INDEX(typ_sn,MATCH($C$9,typ_ket,0))="db",$G$8+SUM($E$13:E17)-SUM($F$13:F17),$G$8+SUM($F$13:F17)-SUM($E$13:E17)))</f>
        <v>92095000</v>
      </c>
    </row>
    <row r="18" spans="2:7" ht="23.1" customHeight="1">
      <c r="B18" s="45">
        <f>IFERROR(INDEX(ju_tgl,MATCH(ROW(J6),JURNAL!$O:$O,0)),"")</f>
        <v>44742</v>
      </c>
      <c r="C18" s="7">
        <f>IFERROR(INDEX(ju_ref,MATCH(ROW(J6),JURNAL!$O:$O,0)),"")</f>
        <v>0</v>
      </c>
      <c r="D18" s="7" t="str">
        <f>IFERROR(INDEX(ju_ket,MATCH(ROW(J6),JURNAL!$O:$O,0)),"")</f>
        <v>Penyesuaian Karcis Parkir R4</v>
      </c>
      <c r="E18" s="39">
        <f>IFERROR(IF(bb_akun=INDEX(ju_debet,MATCH(ROW(J6),JURNAL!$O:$O,0)),INDEX(ju_sld,MATCH(ROW(K6),JURNAL!$O:$O,0)),0),"")</f>
        <v>615000</v>
      </c>
      <c r="F18" s="39">
        <f>IFERROR(IF(bb_akun=INDEX(ju_kr,MATCH(ROW(J6),JURNAL!$O:$O,0)),INDEX(ju_sld,MATCH(ROW(K6),JURNAL!$O:$O,0)),0),"")</f>
        <v>0</v>
      </c>
      <c r="G18" s="39">
        <f>IF(B18="","",IF(INDEX(typ_sn,MATCH($C$9,typ_ket,0))="db",$G$8+SUM($E$13:E18)-SUM($F$13:F18),$G$8+SUM($F$13:F18)-SUM($E$13:E18)))</f>
        <v>92710000</v>
      </c>
    </row>
    <row r="19" spans="2:7" ht="23.1" customHeight="1">
      <c r="B19" s="45">
        <f>IFERROR(INDEX(ju_tgl,MATCH(ROW(J7),JURNAL!$O:$O,0)),"")</f>
        <v>44742</v>
      </c>
      <c r="C19" s="7">
        <f>IFERROR(INDEX(ju_ref,MATCH(ROW(J7),JURNAL!$O:$O,0)),"")</f>
        <v>0</v>
      </c>
      <c r="D19" s="7" t="str">
        <f>IFERROR(INDEX(ju_ket,MATCH(ROW(J7),JURNAL!$O:$O,0)),"")</f>
        <v>Penyesuaian Karcis Parkir R2</v>
      </c>
      <c r="E19" s="39">
        <f>IFERROR(IF(bb_akun=INDEX(ju_debet,MATCH(ROW(J7),JURNAL!$O:$O,0)),INDEX(ju_sld,MATCH(ROW(K7),JURNAL!$O:$O,0)),0),"")</f>
        <v>0</v>
      </c>
      <c r="F19" s="39">
        <f>IFERROR(IF(bb_akun=INDEX(ju_kr,MATCH(ROW(J7),JURNAL!$O:$O,0)),INDEX(ju_sld,MATCH(ROW(K7),JURNAL!$O:$O,0)),0),"")</f>
        <v>1780000</v>
      </c>
      <c r="G19" s="39">
        <f>IF(B19="","",IF(INDEX(typ_sn,MATCH($C$9,typ_ket,0))="db",$G$8+SUM($E$13:E19)-SUM($F$13:F19),$G$8+SUM($F$13:F19)-SUM($E$13:E19)))</f>
        <v>90930000</v>
      </c>
    </row>
    <row r="20" spans="2:7" ht="23.1" customHeight="1">
      <c r="B20" s="45">
        <f>IFERROR(INDEX(ju_tgl,MATCH(ROW(J8),JURNAL!$O:$O,0)),"")</f>
        <v>44773</v>
      </c>
      <c r="C20" s="7">
        <f>IFERROR(INDEX(ju_ref,MATCH(ROW(J8),JURNAL!$O:$O,0)),"")</f>
        <v>0</v>
      </c>
      <c r="D20" s="7" t="str">
        <f>IFERROR(INDEX(ju_ket,MATCH(ROW(J8),JURNAL!$O:$O,0)),"")</f>
        <v>Pembuatan Karcis Parkir</v>
      </c>
      <c r="E20" s="39">
        <f>IFERROR(IF(bb_akun=INDEX(ju_debet,MATCH(ROW(J8),JURNAL!$O:$O,0)),INDEX(ju_sld,MATCH(ROW(K8),JURNAL!$O:$O,0)),0),"")</f>
        <v>23976000</v>
      </c>
      <c r="F20" s="39">
        <f>IFERROR(IF(bb_akun=INDEX(ju_kr,MATCH(ROW(J8),JURNAL!$O:$O,0)),INDEX(ju_sld,MATCH(ROW(K8),JURNAL!$O:$O,0)),0),"")</f>
        <v>0</v>
      </c>
      <c r="G20" s="39">
        <f>IF(B20="","",IF(INDEX(typ_sn,MATCH($C$9,typ_ket,0))="db",$G$8+SUM($E$13:E20)-SUM($F$13:F20),$G$8+SUM($F$13:F20)-SUM($E$13:E20)))</f>
        <v>114906000</v>
      </c>
    </row>
    <row r="21" spans="2:7" ht="23.1" customHeight="1">
      <c r="B21" s="45">
        <f>IFERROR(INDEX(ju_tgl,MATCH(ROW(J9),JURNAL!$O:$O,0)),"")</f>
        <v>44804</v>
      </c>
      <c r="C21" s="7">
        <f>IFERROR(INDEX(ju_ref,MATCH(ROW(J9),JURNAL!$O:$O,0)),"")</f>
        <v>0</v>
      </c>
      <c r="D21" s="7" t="str">
        <f>IFERROR(INDEX(ju_ket,MATCH(ROW(J9),JURNAL!$O:$O,0)),"")</f>
        <v>Pembuatan Karcis Parkir</v>
      </c>
      <c r="E21" s="39">
        <f>IFERROR(IF(bb_akun=INDEX(ju_debet,MATCH(ROW(J9),JURNAL!$O:$O,0)),INDEX(ju_sld,MATCH(ROW(K9),JURNAL!$O:$O,0)),0),"")</f>
        <v>1000000</v>
      </c>
      <c r="F21" s="39">
        <f>IFERROR(IF(bb_akun=INDEX(ju_kr,MATCH(ROW(J9),JURNAL!$O:$O,0)),INDEX(ju_sld,MATCH(ROW(K9),JURNAL!$O:$O,0)),0),"")</f>
        <v>0</v>
      </c>
      <c r="G21" s="39">
        <f>IF(B21="","",IF(INDEX(typ_sn,MATCH($C$9,typ_ket,0))="db",$G$8+SUM($E$13:E21)-SUM($F$13:F21),$G$8+SUM($F$13:F21)-SUM($E$13:E21)))</f>
        <v>115906000</v>
      </c>
    </row>
    <row r="22" spans="2:7" ht="23.1" customHeight="1">
      <c r="B22" s="45">
        <f>IFERROR(INDEX(ju_tgl,MATCH(ROW(J10),JURNAL!$O:$O,0)),"")</f>
        <v>44834</v>
      </c>
      <c r="C22" s="7">
        <f>IFERROR(INDEX(ju_ref,MATCH(ROW(J10),JURNAL!$O:$O,0)),"")</f>
        <v>0</v>
      </c>
      <c r="D22" s="7" t="str">
        <f>IFERROR(INDEX(ju_ket,MATCH(ROW(J10),JURNAL!$O:$O,0)),"")</f>
        <v>Pembuatan Karcis Parkir</v>
      </c>
      <c r="E22" s="39">
        <f>IFERROR(IF(bb_akun=INDEX(ju_debet,MATCH(ROW(J10),JURNAL!$O:$O,0)),INDEX(ju_sld,MATCH(ROW(K10),JURNAL!$O:$O,0)),0),"")</f>
        <v>5372000</v>
      </c>
      <c r="F22" s="39">
        <f>IFERROR(IF(bb_akun=INDEX(ju_kr,MATCH(ROW(J10),JURNAL!$O:$O,0)),INDEX(ju_sld,MATCH(ROW(K10),JURNAL!$O:$O,0)),0),"")</f>
        <v>0</v>
      </c>
      <c r="G22" s="39">
        <f>IF(B22="","",IF(INDEX(typ_sn,MATCH($C$9,typ_ket,0))="db",$G$8+SUM($E$13:E22)-SUM($F$13:F22),$G$8+SUM($F$13:F22)-SUM($E$13:E22)))</f>
        <v>121278000</v>
      </c>
    </row>
    <row r="23" spans="2:7" ht="23.1" customHeight="1">
      <c r="B23" s="45">
        <f>IFERROR(INDEX(ju_tgl,MATCH(ROW(J11),JURNAL!$O:$O,0)),"")</f>
        <v>44865</v>
      </c>
      <c r="C23" s="7">
        <f>IFERROR(INDEX(ju_ref,MATCH(ROW(J11),JURNAL!$O:$O,0)),"")</f>
        <v>0</v>
      </c>
      <c r="D23" s="7" t="str">
        <f>IFERROR(INDEX(ju_ket,MATCH(ROW(J11),JURNAL!$O:$O,0)),"")</f>
        <v>Pembuatan Karcis Parkir</v>
      </c>
      <c r="E23" s="39">
        <f>IFERROR(IF(bb_akun=INDEX(ju_debet,MATCH(ROW(J11),JURNAL!$O:$O,0)),INDEX(ju_sld,MATCH(ROW(K11),JURNAL!$O:$O,0)),0),"")</f>
        <v>0</v>
      </c>
      <c r="F23" s="39">
        <f>IFERROR(IF(bb_akun=INDEX(ju_kr,MATCH(ROW(J11),JURNAL!$O:$O,0)),INDEX(ju_sld,MATCH(ROW(K11),JURNAL!$O:$O,0)),0),"")</f>
        <v>0</v>
      </c>
      <c r="G23" s="39">
        <f>IF(B23="","",IF(INDEX(typ_sn,MATCH($C$9,typ_ket,0))="db",$G$8+SUM($E$13:E23)-SUM($F$13:F23),$G$8+SUM($F$13:F23)-SUM($E$13:E23)))</f>
        <v>121278000</v>
      </c>
    </row>
    <row r="24" spans="2:7" ht="23.1" customHeight="1">
      <c r="B24" s="45">
        <f>IFERROR(INDEX(ju_tgl,MATCH(ROW(J12),JURNAL!$O:$O,0)),"")</f>
        <v>44895</v>
      </c>
      <c r="C24" s="7">
        <f>IFERROR(INDEX(ju_ref,MATCH(ROW(J12),JURNAL!$O:$O,0)),"")</f>
        <v>0</v>
      </c>
      <c r="D24" s="7" t="str">
        <f>IFERROR(INDEX(ju_ket,MATCH(ROW(J12),JURNAL!$O:$O,0)),"")</f>
        <v>Pembuatan Karcis Parkir</v>
      </c>
      <c r="E24" s="39">
        <f>IFERROR(IF(bb_akun=INDEX(ju_debet,MATCH(ROW(J12),JURNAL!$O:$O,0)),INDEX(ju_sld,MATCH(ROW(K12),JURNAL!$O:$O,0)),0),"")</f>
        <v>23043600</v>
      </c>
      <c r="F24" s="39">
        <f>IFERROR(IF(bb_akun=INDEX(ju_kr,MATCH(ROW(J12),JURNAL!$O:$O,0)),INDEX(ju_sld,MATCH(ROW(K12),JURNAL!$O:$O,0)),0),"")</f>
        <v>0</v>
      </c>
      <c r="G24" s="39">
        <f>IF(B24="","",IF(INDEX(typ_sn,MATCH($C$9,typ_ket,0))="db",$G$8+SUM($E$13:E24)-SUM($F$13:F24),$G$8+SUM($F$13:F24)-SUM($E$13:E24)))</f>
        <v>144321600</v>
      </c>
    </row>
    <row r="25" spans="2:7" ht="23.1" customHeight="1">
      <c r="B25" s="45">
        <f>IFERROR(INDEX(ju_tgl,MATCH(ROW(J13),JURNAL!$O:$O,0)),"")</f>
        <v>44926</v>
      </c>
      <c r="C25" s="7">
        <f>IFERROR(INDEX(ju_ref,MATCH(ROW(J13),JURNAL!$O:$O,0)),"")</f>
        <v>0</v>
      </c>
      <c r="D25" s="7" t="str">
        <f>IFERROR(INDEX(ju_ket,MATCH(ROW(J13),JURNAL!$O:$O,0)),"")</f>
        <v>Pembuatan Karcis Parkir</v>
      </c>
      <c r="E25" s="39">
        <f>IFERROR(IF(bb_akun=INDEX(ju_debet,MATCH(ROW(J13),JURNAL!$O:$O,0)),INDEX(ju_sld,MATCH(ROW(K13),JURNAL!$O:$O,0)),0),"")</f>
        <v>133000</v>
      </c>
      <c r="F25" s="39">
        <f>IFERROR(IF(bb_akun=INDEX(ju_kr,MATCH(ROW(J13),JURNAL!$O:$O,0)),INDEX(ju_sld,MATCH(ROW(K13),JURNAL!$O:$O,0)),0),"")</f>
        <v>0</v>
      </c>
      <c r="G25" s="39">
        <f>IF(B25="","",IF(INDEX(typ_sn,MATCH($C$9,typ_ket,0))="db",$G$8+SUM($E$13:E25)-SUM($F$13:F25),$G$8+SUM($F$13:F25)-SUM($E$13:E25)))</f>
        <v>144454600</v>
      </c>
    </row>
    <row r="26" spans="2:7" ht="23.1" customHeight="1">
      <c r="B26" s="45">
        <f>IFERROR(INDEX(ju_tgl,MATCH(ROW(J14),JURNAL!$O:$O,0)),"")</f>
        <v>44926</v>
      </c>
      <c r="C26" s="7">
        <f>IFERROR(INDEX(ju_ref,MATCH(ROW(J14),JURNAL!$O:$O,0)),"")</f>
        <v>0</v>
      </c>
      <c r="D26" s="7" t="str">
        <f>IFERROR(INDEX(ju_ket,MATCH(ROW(J14),JURNAL!$O:$O,0)),"")</f>
        <v>Penyesuaian Persediaan R4</v>
      </c>
      <c r="E26" s="39">
        <f>IFERROR(IF(bb_akun=INDEX(ju_debet,MATCH(ROW(J14),JURNAL!$O:$O,0)),INDEX(ju_sld,MATCH(ROW(K14),JURNAL!$O:$O,0)),0),"")</f>
        <v>11959000</v>
      </c>
      <c r="F26" s="39">
        <f>IFERROR(IF(bb_akun=INDEX(ju_kr,MATCH(ROW(J14),JURNAL!$O:$O,0)),INDEX(ju_sld,MATCH(ROW(K14),JURNAL!$O:$O,0)),0),"")</f>
        <v>0</v>
      </c>
      <c r="G26" s="39">
        <f>IF(B26="","",IF(INDEX(typ_sn,MATCH($C$9,typ_ket,0))="db",$G$8+SUM($E$13:E26)-SUM($F$13:F26),$G$8+SUM($F$13:F26)-SUM($E$13:E26)))</f>
        <v>156413600</v>
      </c>
    </row>
    <row r="27" spans="2:7" ht="23.1" customHeight="1">
      <c r="B27" s="45">
        <f>IFERROR(INDEX(ju_tgl,MATCH(ROW(J15),JURNAL!$O:$O,0)),"")</f>
        <v>44926</v>
      </c>
      <c r="C27" s="7">
        <f>IFERROR(INDEX(ju_ref,MATCH(ROW(J15),JURNAL!$O:$O,0)),"")</f>
        <v>0</v>
      </c>
      <c r="D27" s="7" t="str">
        <f>IFERROR(INDEX(ju_ket,MATCH(ROW(J15),JURNAL!$O:$O,0)),"")</f>
        <v>Penyesuaian Persediaan R2</v>
      </c>
      <c r="E27" s="39">
        <f>IFERROR(IF(bb_akun=INDEX(ju_debet,MATCH(ROW(J15),JURNAL!$O:$O,0)),INDEX(ju_sld,MATCH(ROW(K15),JURNAL!$O:$O,0)),0),"")</f>
        <v>10364000</v>
      </c>
      <c r="F27" s="39">
        <f>IFERROR(IF(bb_akun=INDEX(ju_kr,MATCH(ROW(J15),JURNAL!$O:$O,0)),INDEX(ju_sld,MATCH(ROW(K15),JURNAL!$O:$O,0)),0),"")</f>
        <v>0</v>
      </c>
      <c r="G27" s="39">
        <f>IF(B27="","",IF(INDEX(typ_sn,MATCH($C$9,typ_ket,0))="db",$G$8+SUM($E$13:E27)-SUM($F$13:F27),$G$8+SUM($F$13:F27)-SUM($E$13:E27)))</f>
        <v>166777600</v>
      </c>
    </row>
    <row r="28" spans="2:7" ht="23.1" customHeight="1">
      <c r="B28" s="45" t="str">
        <f>IFERROR(INDEX(ju_tgl,MATCH(ROW(J16),JURNAL!$O:$O,0)),"")</f>
        <v/>
      </c>
      <c r="C28" s="7" t="str">
        <f>IFERROR(INDEX(ju_ref,MATCH(ROW(J16),JURNAL!$O:$O,0)),"")</f>
        <v/>
      </c>
      <c r="D28" s="7" t="str">
        <f>IFERROR(INDEX(ju_ket,MATCH(ROW(J16),JURNAL!$O:$O,0)),"")</f>
        <v/>
      </c>
      <c r="E28" s="39" t="str">
        <f>IFERROR(IF(bb_akun=INDEX(ju_debet,MATCH(ROW(J16),JURNAL!$O:$O,0)),INDEX(ju_sld,MATCH(ROW(K16),JURNAL!$O:$O,0)),0),"")</f>
        <v/>
      </c>
      <c r="F28" s="39" t="str">
        <f>IFERROR(IF(bb_akun=INDEX(ju_kr,MATCH(ROW(J16),JURNAL!$O:$O,0)),INDEX(ju_sld,MATCH(ROW(K16),JURNAL!$O:$O,0)),0),"")</f>
        <v/>
      </c>
      <c r="G28" s="39" t="str">
        <f>IF(B28="","",IF(INDEX(typ_sn,MATCH($C$9,typ_ket,0))="db",$G$8+SUM($E$13:E28)-SUM($F$13:F28),$G$8+SUM($F$13:F28)-SUM($E$13:E28)))</f>
        <v/>
      </c>
    </row>
    <row r="29" spans="2:7" ht="23.1" customHeight="1">
      <c r="B29" s="45" t="str">
        <f>IFERROR(INDEX(ju_tgl,MATCH(ROW(J17),JURNAL!$O:$O,0)),"")</f>
        <v/>
      </c>
      <c r="C29" s="7" t="str">
        <f>IFERROR(INDEX(ju_ref,MATCH(ROW(J17),JURNAL!$O:$O,0)),"")</f>
        <v/>
      </c>
      <c r="D29" s="7" t="str">
        <f>IFERROR(INDEX(ju_ket,MATCH(ROW(J17),JURNAL!$O:$O,0)),"")</f>
        <v/>
      </c>
      <c r="E29" s="39" t="str">
        <f>IFERROR(IF(bb_akun=INDEX(ju_debet,MATCH(ROW(J17),JURNAL!$O:$O,0)),INDEX(ju_sld,MATCH(ROW(K17),JURNAL!$O:$O,0)),0),"")</f>
        <v/>
      </c>
      <c r="F29" s="39" t="str">
        <f>IFERROR(IF(bb_akun=INDEX(ju_kr,MATCH(ROW(J17),JURNAL!$O:$O,0)),INDEX(ju_sld,MATCH(ROW(K17),JURNAL!$O:$O,0)),0),"")</f>
        <v/>
      </c>
      <c r="G29" s="39" t="str">
        <f>IF(B29="","",IF(INDEX(typ_sn,MATCH($C$9,typ_ket,0))="db",$G$8+SUM($E$13:E29)-SUM($F$13:F29),$G$8+SUM($F$13:F29)-SUM($E$13:E29)))</f>
        <v/>
      </c>
    </row>
    <row r="30" spans="2:7" ht="23.1" customHeight="1">
      <c r="B30" s="45" t="str">
        <f>IFERROR(INDEX(ju_tgl,MATCH(ROW(J18),JURNAL!$O:$O,0)),"")</f>
        <v/>
      </c>
      <c r="C30" s="7" t="str">
        <f>IFERROR(INDEX(ju_ref,MATCH(ROW(J18),JURNAL!$O:$O,0)),"")</f>
        <v/>
      </c>
      <c r="D30" s="7" t="str">
        <f>IFERROR(INDEX(ju_ket,MATCH(ROW(J18),JURNAL!$O:$O,0)),"")</f>
        <v/>
      </c>
      <c r="E30" s="39" t="str">
        <f>IFERROR(IF(bb_akun=INDEX(ju_debet,MATCH(ROW(J18),JURNAL!$O:$O,0)),INDEX(ju_sld,MATCH(ROW(K18),JURNAL!$O:$O,0)),0),"")</f>
        <v/>
      </c>
      <c r="F30" s="39" t="str">
        <f>IFERROR(IF(bb_akun=INDEX(ju_kr,MATCH(ROW(J18),JURNAL!$O:$O,0)),INDEX(ju_sld,MATCH(ROW(K18),JURNAL!$O:$O,0)),0),"")</f>
        <v/>
      </c>
      <c r="G30" s="39" t="str">
        <f>IF(B30="","",IF(INDEX(typ_sn,MATCH($C$9,typ_ket,0))="db",$G$8+SUM($E$13:E30)-SUM($F$13:F30),$G$8+SUM($F$13:F30)-SUM($E$13:E30)))</f>
        <v/>
      </c>
    </row>
    <row r="31" spans="2:7" ht="23.1" customHeight="1">
      <c r="B31" s="45" t="str">
        <f>IFERROR(INDEX(ju_tgl,MATCH(ROW(J19),JURNAL!$O:$O,0)),"")</f>
        <v/>
      </c>
      <c r="C31" s="7" t="str">
        <f>IFERROR(INDEX(ju_ref,MATCH(ROW(J19),JURNAL!$O:$O,0)),"")</f>
        <v/>
      </c>
      <c r="D31" s="7" t="str">
        <f>IFERROR(INDEX(ju_ket,MATCH(ROW(J19),JURNAL!$O:$O,0)),"")</f>
        <v/>
      </c>
      <c r="E31" s="39" t="str">
        <f>IFERROR(IF(bb_akun=INDEX(ju_debet,MATCH(ROW(J19),JURNAL!$O:$O,0)),INDEX(ju_sld,MATCH(ROW(K19),JURNAL!$O:$O,0)),0),"")</f>
        <v/>
      </c>
      <c r="F31" s="39" t="str">
        <f>IFERROR(IF(bb_akun=INDEX(ju_kr,MATCH(ROW(J19),JURNAL!$O:$O,0)),INDEX(ju_sld,MATCH(ROW(K19),JURNAL!$O:$O,0)),0),"")</f>
        <v/>
      </c>
      <c r="G31" s="39" t="str">
        <f>IF(B31="","",IF(INDEX(typ_sn,MATCH($C$9,typ_ket,0))="db",$G$8+SUM($E$13:E31)-SUM($F$13:F31),$G$8+SUM($F$13:F31)-SUM($E$13:E31)))</f>
        <v/>
      </c>
    </row>
    <row r="32" spans="2:7" ht="23.1" customHeight="1">
      <c r="B32" s="45" t="str">
        <f>IFERROR(INDEX(ju_tgl,MATCH(ROW(J20),JURNAL!$O:$O,0)),"")</f>
        <v/>
      </c>
      <c r="C32" s="7" t="str">
        <f>IFERROR(INDEX(ju_ref,MATCH(ROW(J20),JURNAL!$O:$O,0)),"")</f>
        <v/>
      </c>
      <c r="D32" s="7" t="str">
        <f>IFERROR(INDEX(ju_ket,MATCH(ROW(J20),JURNAL!$O:$O,0)),"")</f>
        <v/>
      </c>
      <c r="E32" s="39" t="str">
        <f>IFERROR(IF(bb_akun=INDEX(ju_debet,MATCH(ROW(J20),JURNAL!$O:$O,0)),INDEX(ju_sld,MATCH(ROW(K20),JURNAL!$O:$O,0)),0),"")</f>
        <v/>
      </c>
      <c r="F32" s="39" t="str">
        <f>IFERROR(IF(bb_akun=INDEX(ju_kr,MATCH(ROW(J20),JURNAL!$O:$O,0)),INDEX(ju_sld,MATCH(ROW(K20),JURNAL!$O:$O,0)),0),"")</f>
        <v/>
      </c>
      <c r="G32" s="39" t="str">
        <f>IF(B32="","",IF(INDEX(typ_sn,MATCH($C$9,typ_ket,0))="db",$G$8+SUM($E$13:E32)-SUM($F$13:F32),$G$8+SUM($F$13:F32)-SUM($E$13:E32)))</f>
        <v/>
      </c>
    </row>
    <row r="33" spans="2:7" ht="23.1" customHeight="1">
      <c r="B33" s="45" t="str">
        <f>IFERROR(INDEX(ju_tgl,MATCH(ROW(J21),JURNAL!$O:$O,0)),"")</f>
        <v/>
      </c>
      <c r="C33" s="7" t="str">
        <f>IFERROR(INDEX(ju_ref,MATCH(ROW(J21),JURNAL!$O:$O,0)),"")</f>
        <v/>
      </c>
      <c r="D33" s="7" t="str">
        <f>IFERROR(INDEX(ju_ket,MATCH(ROW(J21),JURNAL!$O:$O,0)),"")</f>
        <v/>
      </c>
      <c r="E33" s="39" t="str">
        <f>IFERROR(IF(bb_akun=INDEX(ju_debet,MATCH(ROW(J21),JURNAL!$O:$O,0)),INDEX(ju_sld,MATCH(ROW(K21),JURNAL!$O:$O,0)),0),"")</f>
        <v/>
      </c>
      <c r="F33" s="39" t="str">
        <f>IFERROR(IF(bb_akun=INDEX(ju_kr,MATCH(ROW(J21),JURNAL!$O:$O,0)),INDEX(ju_sld,MATCH(ROW(K21),JURNAL!$O:$O,0)),0),"")</f>
        <v/>
      </c>
      <c r="G33" s="39" t="str">
        <f>IF(B33="","",IF(INDEX(typ_sn,MATCH($C$9,typ_ket,0))="db",$G$8+SUM($E$13:E33)-SUM($F$13:F33),$G$8+SUM($F$13:F33)-SUM($E$13:E33)))</f>
        <v/>
      </c>
    </row>
    <row r="34" spans="2:7" ht="23.1" customHeight="1">
      <c r="B34" s="45" t="str">
        <f>IFERROR(INDEX(ju_tgl,MATCH(ROW(J22),JURNAL!$O:$O,0)),"")</f>
        <v/>
      </c>
      <c r="C34" s="7" t="str">
        <f>IFERROR(INDEX(ju_ref,MATCH(ROW(J22),JURNAL!$O:$O,0)),"")</f>
        <v/>
      </c>
      <c r="D34" s="7" t="str">
        <f>IFERROR(INDEX(ju_ket,MATCH(ROW(J22),JURNAL!$O:$O,0)),"")</f>
        <v/>
      </c>
      <c r="E34" s="39" t="str">
        <f>IFERROR(IF(bb_akun=INDEX(ju_debet,MATCH(ROW(J22),JURNAL!$O:$O,0)),INDEX(ju_sld,MATCH(ROW(K22),JURNAL!$O:$O,0)),0),"")</f>
        <v/>
      </c>
      <c r="F34" s="39" t="str">
        <f>IFERROR(IF(bb_akun=INDEX(ju_kr,MATCH(ROW(J22),JURNAL!$O:$O,0)),INDEX(ju_sld,MATCH(ROW(K22),JURNAL!$O:$O,0)),0),"")</f>
        <v/>
      </c>
      <c r="G34" s="39" t="str">
        <f>IF(B34="","",IF(INDEX(typ_sn,MATCH($C$9,typ_ket,0))="db",$G$8+SUM($E$13:E34)-SUM($F$13:F34),$G$8+SUM($F$13:F34)-SUM($E$13:E34)))</f>
        <v/>
      </c>
    </row>
    <row r="35" spans="2:7" ht="23.1" customHeight="1">
      <c r="B35" s="45" t="str">
        <f>IFERROR(INDEX(ju_tgl,MATCH(ROW(J23),JURNAL!$O:$O,0)),"")</f>
        <v/>
      </c>
      <c r="C35" s="7" t="str">
        <f>IFERROR(INDEX(ju_ref,MATCH(ROW(J23),JURNAL!$O:$O,0)),"")</f>
        <v/>
      </c>
      <c r="D35" s="7" t="str">
        <f>IFERROR(INDEX(ju_ket,MATCH(ROW(J23),JURNAL!$O:$O,0)),"")</f>
        <v/>
      </c>
      <c r="E35" s="39" t="str">
        <f>IFERROR(IF(bb_akun=INDEX(ju_debet,MATCH(ROW(J23),JURNAL!$O:$O,0)),INDEX(ju_sld,MATCH(ROW(K23),JURNAL!$O:$O,0)),0),"")</f>
        <v/>
      </c>
      <c r="F35" s="39" t="str">
        <f>IFERROR(IF(bb_akun=INDEX(ju_kr,MATCH(ROW(J23),JURNAL!$O:$O,0)),INDEX(ju_sld,MATCH(ROW(K23),JURNAL!$O:$O,0)),0),"")</f>
        <v/>
      </c>
      <c r="G35" s="39" t="str">
        <f>IF(B35="","",IF(INDEX(typ_sn,MATCH($C$9,typ_ket,0))="db",$G$8+SUM($E$13:E35)-SUM($F$13:F35),$G$8+SUM($F$13:F35)-SUM($E$13:E35)))</f>
        <v/>
      </c>
    </row>
    <row r="36" spans="2:7" ht="23.1" customHeight="1">
      <c r="B36" s="45" t="str">
        <f>IFERROR(INDEX(ju_tgl,MATCH(ROW(J24),JURNAL!$O:$O,0)),"")</f>
        <v/>
      </c>
      <c r="C36" s="7" t="str">
        <f>IFERROR(INDEX(ju_ref,MATCH(ROW(J24),JURNAL!$O:$O,0)),"")</f>
        <v/>
      </c>
      <c r="D36" s="7" t="str">
        <f>IFERROR(INDEX(ju_ket,MATCH(ROW(J24),JURNAL!$O:$O,0)),"")</f>
        <v/>
      </c>
      <c r="E36" s="39" t="str">
        <f>IFERROR(IF(bb_akun=INDEX(ju_debet,MATCH(ROW(J24),JURNAL!$O:$O,0)),INDEX(ju_sld,MATCH(ROW(K24),JURNAL!$O:$O,0)),0),"")</f>
        <v/>
      </c>
      <c r="F36" s="39" t="str">
        <f>IFERROR(IF(bb_akun=INDEX(ju_kr,MATCH(ROW(J24),JURNAL!$O:$O,0)),INDEX(ju_sld,MATCH(ROW(K24),JURNAL!$O:$O,0)),0),"")</f>
        <v/>
      </c>
      <c r="G36" s="39" t="str">
        <f>IF(B36="","",IF(INDEX(typ_sn,MATCH($C$9,typ_ket,0))="db",$G$8+SUM($E$13:E36)-SUM($F$13:F36),$G$8+SUM($F$13:F36)-SUM($E$13:E36)))</f>
        <v/>
      </c>
    </row>
    <row r="37" spans="2:7" ht="23.1" customHeight="1">
      <c r="B37" s="45" t="str">
        <f>IFERROR(INDEX(ju_tgl,MATCH(ROW(J25),JURNAL!$O:$O,0)),"")</f>
        <v/>
      </c>
      <c r="C37" s="7" t="str">
        <f>IFERROR(INDEX(ju_ref,MATCH(ROW(J25),JURNAL!$O:$O,0)),"")</f>
        <v/>
      </c>
      <c r="D37" s="7" t="str">
        <f>IFERROR(INDEX(ju_ket,MATCH(ROW(J25),JURNAL!$O:$O,0)),"")</f>
        <v/>
      </c>
      <c r="E37" s="39" t="str">
        <f>IFERROR(IF(bb_akun=INDEX(ju_debet,MATCH(ROW(J25),JURNAL!$O:$O,0)),INDEX(ju_sld,MATCH(ROW(K25),JURNAL!$O:$O,0)),0),"")</f>
        <v/>
      </c>
      <c r="F37" s="39" t="str">
        <f>IFERROR(IF(bb_akun=INDEX(ju_kr,MATCH(ROW(J25),JURNAL!$O:$O,0)),INDEX(ju_sld,MATCH(ROW(K25),JURNAL!$O:$O,0)),0),"")</f>
        <v/>
      </c>
      <c r="G37" s="39" t="str">
        <f>IF(B37="","",IF(INDEX(typ_sn,MATCH($C$9,typ_ket,0))="db",$G$8+SUM($E$13:E37)-SUM($F$13:F37),$G$8+SUM($F$13:F37)-SUM($E$13:E37)))</f>
        <v/>
      </c>
    </row>
    <row r="38" spans="2:7" ht="23.1" customHeight="1">
      <c r="B38" s="45" t="str">
        <f>IFERROR(INDEX(ju_tgl,MATCH(ROW(J26),JURNAL!$O:$O,0)),"")</f>
        <v/>
      </c>
      <c r="C38" s="7" t="str">
        <f>IFERROR(INDEX(ju_ref,MATCH(ROW(J26),JURNAL!$O:$O,0)),"")</f>
        <v/>
      </c>
      <c r="D38" s="7" t="str">
        <f>IFERROR(INDEX(ju_ket,MATCH(ROW(J26),JURNAL!$O:$O,0)),"")</f>
        <v/>
      </c>
      <c r="E38" s="39" t="str">
        <f>IFERROR(IF(bb_akun=INDEX(ju_debet,MATCH(ROW(J26),JURNAL!$O:$O,0)),INDEX(ju_sld,MATCH(ROW(K26),JURNAL!$O:$O,0)),0),"")</f>
        <v/>
      </c>
      <c r="F38" s="39" t="str">
        <f>IFERROR(IF(bb_akun=INDEX(ju_kr,MATCH(ROW(J26),JURNAL!$O:$O,0)),INDEX(ju_sld,MATCH(ROW(K26),JURNAL!$O:$O,0)),0),"")</f>
        <v/>
      </c>
      <c r="G38" s="39" t="str">
        <f>IF(B38="","",IF(INDEX(typ_sn,MATCH($C$9,typ_ket,0))="db",$G$8+SUM($E$13:E38)-SUM($F$13:F38),$G$8+SUM($F$13:F38)-SUM($E$13:E38)))</f>
        <v/>
      </c>
    </row>
    <row r="39" spans="2:7" ht="23.1" customHeight="1">
      <c r="B39" s="45" t="str">
        <f>IFERROR(INDEX(ju_tgl,MATCH(ROW(J27),JURNAL!$O:$O,0)),"")</f>
        <v/>
      </c>
      <c r="C39" s="7" t="str">
        <f>IFERROR(INDEX(ju_ref,MATCH(ROW(J27),JURNAL!$O:$O,0)),"")</f>
        <v/>
      </c>
      <c r="D39" s="7" t="str">
        <f>IFERROR(INDEX(ju_ket,MATCH(ROW(J27),JURNAL!$O:$O,0)),"")</f>
        <v/>
      </c>
      <c r="E39" s="39" t="str">
        <f>IFERROR(IF(bb_akun=INDEX(ju_debet,MATCH(ROW(J27),JURNAL!$O:$O,0)),INDEX(ju_sld,MATCH(ROW(K27),JURNAL!$O:$O,0)),0),"")</f>
        <v/>
      </c>
      <c r="F39" s="39" t="str">
        <f>IFERROR(IF(bb_akun=INDEX(ju_kr,MATCH(ROW(J27),JURNAL!$O:$O,0)),INDEX(ju_sld,MATCH(ROW(K27),JURNAL!$O:$O,0)),0),"")</f>
        <v/>
      </c>
      <c r="G39" s="39" t="str">
        <f>IF(B39="","",IF(INDEX(typ_sn,MATCH($C$9,typ_ket,0))="db",$G$8+SUM($E$13:E39)-SUM($F$13:F39),$G$8+SUM($F$13:F39)-SUM($E$13:E39)))</f>
        <v/>
      </c>
    </row>
    <row r="40" spans="2:7" ht="23.1" customHeight="1">
      <c r="B40" s="45" t="str">
        <f>IFERROR(INDEX(ju_tgl,MATCH(ROW(J28),JURNAL!$O:$O,0)),"")</f>
        <v/>
      </c>
      <c r="C40" s="7" t="str">
        <f>IFERROR(INDEX(ju_ref,MATCH(ROW(J28),JURNAL!$O:$O,0)),"")</f>
        <v/>
      </c>
      <c r="D40" s="7" t="str">
        <f>IFERROR(INDEX(ju_ket,MATCH(ROW(J28),JURNAL!$O:$O,0)),"")</f>
        <v/>
      </c>
      <c r="E40" s="39" t="str">
        <f>IFERROR(IF(bb_akun=INDEX(ju_debet,MATCH(ROW(J28),JURNAL!$O:$O,0)),INDEX(ju_sld,MATCH(ROW(K28),JURNAL!$O:$O,0)),0),"")</f>
        <v/>
      </c>
      <c r="F40" s="39" t="str">
        <f>IFERROR(IF(bb_akun=INDEX(ju_kr,MATCH(ROW(J28),JURNAL!$O:$O,0)),INDEX(ju_sld,MATCH(ROW(K28),JURNAL!$O:$O,0)),0),"")</f>
        <v/>
      </c>
      <c r="G40" s="39" t="str">
        <f>IF(B40="","",IF(INDEX(typ_sn,MATCH($C$9,typ_ket,0))="db",$G$8+SUM($E$13:E40)-SUM($F$13:F40),$G$8+SUM($F$13:F40)-SUM($E$13:E40)))</f>
        <v/>
      </c>
    </row>
    <row r="41" spans="2:7" ht="23.1" customHeight="1">
      <c r="B41" s="45" t="str">
        <f>IFERROR(INDEX(ju_tgl,MATCH(ROW(J29),JURNAL!$O:$O,0)),"")</f>
        <v/>
      </c>
      <c r="C41" s="7" t="str">
        <f>IFERROR(INDEX(ju_ref,MATCH(ROW(J29),JURNAL!$O:$O,0)),"")</f>
        <v/>
      </c>
      <c r="D41" s="7" t="str">
        <f>IFERROR(INDEX(ju_ket,MATCH(ROW(J29),JURNAL!$O:$O,0)),"")</f>
        <v/>
      </c>
      <c r="E41" s="39" t="str">
        <f>IFERROR(IF(bb_akun=INDEX(ju_debet,MATCH(ROW(J29),JURNAL!$O:$O,0)),INDEX(ju_sld,MATCH(ROW(K29),JURNAL!$O:$O,0)),0),"")</f>
        <v/>
      </c>
      <c r="F41" s="39" t="str">
        <f>IFERROR(IF(bb_akun=INDEX(ju_kr,MATCH(ROW(J29),JURNAL!$O:$O,0)),INDEX(ju_sld,MATCH(ROW(K29),JURNAL!$O:$O,0)),0),"")</f>
        <v/>
      </c>
      <c r="G41" s="39" t="str">
        <f>IF(B41="","",IF(INDEX(typ_sn,MATCH($C$9,typ_ket,0))="db",$G$8+SUM($E$13:E41)-SUM($F$13:F41),$G$8+SUM($F$13:F41)-SUM($E$13:E41)))</f>
        <v/>
      </c>
    </row>
    <row r="42" spans="2:7" ht="23.1" customHeight="1">
      <c r="B42" s="45" t="str">
        <f>IFERROR(INDEX(ju_tgl,MATCH(ROW(J30),JURNAL!$O:$O,0)),"")</f>
        <v/>
      </c>
      <c r="C42" s="7" t="str">
        <f>IFERROR(INDEX(ju_ref,MATCH(ROW(J30),JURNAL!$O:$O,0)),"")</f>
        <v/>
      </c>
      <c r="D42" s="7" t="str">
        <f>IFERROR(INDEX(ju_ket,MATCH(ROW(J30),JURNAL!$O:$O,0)),"")</f>
        <v/>
      </c>
      <c r="E42" s="39" t="str">
        <f>IFERROR(IF(bb_akun=INDEX(ju_debet,MATCH(ROW(J30),JURNAL!$O:$O,0)),INDEX(ju_sld,MATCH(ROW(K30),JURNAL!$O:$O,0)),0),"")</f>
        <v/>
      </c>
      <c r="F42" s="39" t="str">
        <f>IFERROR(IF(bb_akun=INDEX(ju_kr,MATCH(ROW(J30),JURNAL!$O:$O,0)),INDEX(ju_sld,MATCH(ROW(K30),JURNAL!$O:$O,0)),0),"")</f>
        <v/>
      </c>
      <c r="G42" s="39" t="str">
        <f>IF(B42="","",IF(INDEX(typ_sn,MATCH($C$9,typ_ket,0))="db",$G$8+SUM($E$13:E42)-SUM($F$13:F42),$G$8+SUM($F$13:F42)-SUM($E$13:E42)))</f>
        <v/>
      </c>
    </row>
    <row r="43" spans="2:7" ht="23.1" customHeight="1">
      <c r="B43" s="45" t="str">
        <f>IFERROR(INDEX(ju_tgl,MATCH(ROW(J31),JURNAL!$O:$O,0)),"")</f>
        <v/>
      </c>
      <c r="C43" s="7" t="str">
        <f>IFERROR(INDEX(ju_ref,MATCH(ROW(J31),JURNAL!$O:$O,0)),"")</f>
        <v/>
      </c>
      <c r="D43" s="7" t="str">
        <f>IFERROR(INDEX(ju_ket,MATCH(ROW(J31),JURNAL!$O:$O,0)),"")</f>
        <v/>
      </c>
      <c r="E43" s="39" t="str">
        <f>IFERROR(IF(bb_akun=INDEX(ju_debet,MATCH(ROW(J31),JURNAL!$O:$O,0)),INDEX(ju_sld,MATCH(ROW(K31),JURNAL!$O:$O,0)),0),"")</f>
        <v/>
      </c>
      <c r="F43" s="39" t="str">
        <f>IFERROR(IF(bb_akun=INDEX(ju_kr,MATCH(ROW(J31),JURNAL!$O:$O,0)),INDEX(ju_sld,MATCH(ROW(K31),JURNAL!$O:$O,0)),0),"")</f>
        <v/>
      </c>
      <c r="G43" s="39" t="str">
        <f>IF(B43="","",IF(INDEX(typ_sn,MATCH($C$9,typ_ket,0))="db",$G$8+SUM($E$13:E43)-SUM($F$13:F43),$G$8+SUM($F$13:F43)-SUM($E$13:E43)))</f>
        <v/>
      </c>
    </row>
    <row r="44" spans="2:7" ht="23.1" customHeight="1">
      <c r="B44" s="45" t="str">
        <f>IFERROR(INDEX(ju_tgl,MATCH(ROW(J32),JURNAL!$O:$O,0)),"")</f>
        <v/>
      </c>
      <c r="C44" s="7" t="str">
        <f>IFERROR(INDEX(ju_ref,MATCH(ROW(J32),JURNAL!$O:$O,0)),"")</f>
        <v/>
      </c>
      <c r="D44" s="7" t="str">
        <f>IFERROR(INDEX(ju_ket,MATCH(ROW(J32),JURNAL!$O:$O,0)),"")</f>
        <v/>
      </c>
      <c r="E44" s="39" t="str">
        <f>IFERROR(IF(bb_akun=INDEX(ju_debet,MATCH(ROW(J32),JURNAL!$O:$O,0)),INDEX(ju_sld,MATCH(ROW(K32),JURNAL!$O:$O,0)),0),"")</f>
        <v/>
      </c>
      <c r="F44" s="39" t="str">
        <f>IFERROR(IF(bb_akun=INDEX(ju_kr,MATCH(ROW(J32),JURNAL!$O:$O,0)),INDEX(ju_sld,MATCH(ROW(K32),JURNAL!$O:$O,0)),0),"")</f>
        <v/>
      </c>
      <c r="G44" s="39" t="str">
        <f>IF(B44="","",IF(INDEX(typ_sn,MATCH($C$9,typ_ket,0))="db",$G$8+SUM($E$13:E44)-SUM($F$13:F44),$G$8+SUM($F$13:F44)-SUM($E$13:E44)))</f>
        <v/>
      </c>
    </row>
    <row r="45" spans="2:7" ht="23.1" customHeight="1">
      <c r="B45" s="45" t="str">
        <f>IFERROR(INDEX(ju_tgl,MATCH(ROW(J33),JURNAL!$O:$O,0)),"")</f>
        <v/>
      </c>
      <c r="C45" s="7" t="str">
        <f>IFERROR(INDEX(ju_ref,MATCH(ROW(J33),JURNAL!$O:$O,0)),"")</f>
        <v/>
      </c>
      <c r="D45" s="7" t="str">
        <f>IFERROR(INDEX(ju_ket,MATCH(ROW(J33),JURNAL!$O:$O,0)),"")</f>
        <v/>
      </c>
      <c r="E45" s="39" t="str">
        <f>IFERROR(IF(bb_akun=INDEX(ju_debet,MATCH(ROW(J33),JURNAL!$O:$O,0)),INDEX(ju_sld,MATCH(ROW(K33),JURNAL!$O:$O,0)),0),"")</f>
        <v/>
      </c>
      <c r="F45" s="39" t="str">
        <f>IFERROR(IF(bb_akun=INDEX(ju_kr,MATCH(ROW(J33),JURNAL!$O:$O,0)),INDEX(ju_sld,MATCH(ROW(K33),JURNAL!$O:$O,0)),0),"")</f>
        <v/>
      </c>
      <c r="G45" s="39" t="str">
        <f>IF(B45="","",IF(INDEX(typ_sn,MATCH($C$9,typ_ket,0))="db",$G$8+SUM($E$13:E45)-SUM($F$13:F45),$G$8+SUM($F$13:F45)-SUM($E$13:E45)))</f>
        <v/>
      </c>
    </row>
    <row r="46" spans="2:7" ht="23.1" customHeight="1">
      <c r="B46" s="45" t="str">
        <f>IFERROR(INDEX(ju_tgl,MATCH(ROW(J34),JURNAL!$O:$O,0)),"")</f>
        <v/>
      </c>
      <c r="C46" s="7" t="str">
        <f>IFERROR(INDEX(ju_ref,MATCH(ROW(J34),JURNAL!$O:$O,0)),"")</f>
        <v/>
      </c>
      <c r="D46" s="7" t="str">
        <f>IFERROR(INDEX(ju_ket,MATCH(ROW(J34),JURNAL!$O:$O,0)),"")</f>
        <v/>
      </c>
      <c r="E46" s="39" t="str">
        <f>IFERROR(IF(bb_akun=INDEX(ju_debet,MATCH(ROW(J34),JURNAL!$O:$O,0)),INDEX(ju_sld,MATCH(ROW(K34),JURNAL!$O:$O,0)),0),"")</f>
        <v/>
      </c>
      <c r="F46" s="39" t="str">
        <f>IFERROR(IF(bb_akun=INDEX(ju_kr,MATCH(ROW(J34),JURNAL!$O:$O,0)),INDEX(ju_sld,MATCH(ROW(K34),JURNAL!$O:$O,0)),0),"")</f>
        <v/>
      </c>
      <c r="G46" s="39" t="str">
        <f>IF(B46="","",IF(INDEX(typ_sn,MATCH($C$9,typ_ket,0))="db",$G$8+SUM($E$13:E46)-SUM($F$13:F46),$G$8+SUM($F$13:F46)-SUM($E$13:E46)))</f>
        <v/>
      </c>
    </row>
    <row r="47" spans="2:7" ht="23.1" customHeight="1">
      <c r="B47" s="45" t="str">
        <f>IFERROR(INDEX(ju_tgl,MATCH(ROW(J35),JURNAL!$O:$O,0)),"")</f>
        <v/>
      </c>
      <c r="C47" s="7" t="str">
        <f>IFERROR(INDEX(ju_ref,MATCH(ROW(J35),JURNAL!$O:$O,0)),"")</f>
        <v/>
      </c>
      <c r="D47" s="7" t="str">
        <f>IFERROR(INDEX(ju_ket,MATCH(ROW(J35),JURNAL!$O:$O,0)),"")</f>
        <v/>
      </c>
      <c r="E47" s="39" t="str">
        <f>IFERROR(IF(bb_akun=INDEX(ju_debet,MATCH(ROW(J35),JURNAL!$O:$O,0)),INDEX(ju_sld,MATCH(ROW(K35),JURNAL!$O:$O,0)),0),"")</f>
        <v/>
      </c>
      <c r="F47" s="39" t="str">
        <f>IFERROR(IF(bb_akun=INDEX(ju_kr,MATCH(ROW(J35),JURNAL!$O:$O,0)),INDEX(ju_sld,MATCH(ROW(K35),JURNAL!$O:$O,0)),0),"")</f>
        <v/>
      </c>
      <c r="G47" s="39" t="str">
        <f>IF(B47="","",IF(INDEX(typ_sn,MATCH($C$9,typ_ket,0))="db",$G$8+SUM($E$13:E47)-SUM($F$13:F47),$G$8+SUM($F$13:F47)-SUM($E$13:E47)))</f>
        <v/>
      </c>
    </row>
    <row r="48" spans="2:7" ht="23.1" customHeight="1">
      <c r="B48" s="45" t="str">
        <f>IFERROR(INDEX(ju_tgl,MATCH(ROW(J36),JURNAL!$O:$O,0)),"")</f>
        <v/>
      </c>
      <c r="C48" s="7" t="str">
        <f>IFERROR(INDEX(ju_ref,MATCH(ROW(J36),JURNAL!$O:$O,0)),"")</f>
        <v/>
      </c>
      <c r="D48" s="7" t="str">
        <f>IFERROR(INDEX(ju_ket,MATCH(ROW(J36),JURNAL!$O:$O,0)),"")</f>
        <v/>
      </c>
      <c r="E48" s="39" t="str">
        <f>IFERROR(IF(bb_akun=INDEX(ju_debet,MATCH(ROW(J36),JURNAL!$O:$O,0)),INDEX(ju_sld,MATCH(ROW(K36),JURNAL!$O:$O,0)),0),"")</f>
        <v/>
      </c>
      <c r="F48" s="39" t="str">
        <f>IFERROR(IF(bb_akun=INDEX(ju_kr,MATCH(ROW(J36),JURNAL!$O:$O,0)),INDEX(ju_sld,MATCH(ROW(K36),JURNAL!$O:$O,0)),0),"")</f>
        <v/>
      </c>
      <c r="G48" s="39" t="str">
        <f>IF(B48="","",IF(INDEX(typ_sn,MATCH($C$9,typ_ket,0))="db",$G$8+SUM($E$13:E48)-SUM($F$13:F48),$G$8+SUM($F$13:F48)-SUM($E$13:E48)))</f>
        <v/>
      </c>
    </row>
    <row r="49" spans="2:7" ht="23.1" customHeight="1">
      <c r="B49" s="45" t="str">
        <f>IFERROR(INDEX(ju_tgl,MATCH(ROW(J37),JURNAL!$O:$O,0)),"")</f>
        <v/>
      </c>
      <c r="C49" s="7" t="str">
        <f>IFERROR(INDEX(ju_ref,MATCH(ROW(J37),JURNAL!$O:$O,0)),"")</f>
        <v/>
      </c>
      <c r="D49" s="7" t="str">
        <f>IFERROR(INDEX(ju_ket,MATCH(ROW(J37),JURNAL!$O:$O,0)),"")</f>
        <v/>
      </c>
      <c r="E49" s="39" t="str">
        <f>IFERROR(IF(bb_akun=INDEX(ju_debet,MATCH(ROW(J37),JURNAL!$O:$O,0)),INDEX(ju_sld,MATCH(ROW(K37),JURNAL!$O:$O,0)),0),"")</f>
        <v/>
      </c>
      <c r="F49" s="39" t="str">
        <f>IFERROR(IF(bb_akun=INDEX(ju_kr,MATCH(ROW(J37),JURNAL!$O:$O,0)),INDEX(ju_sld,MATCH(ROW(K37),JURNAL!$O:$O,0)),0),"")</f>
        <v/>
      </c>
      <c r="G49" s="39" t="str">
        <f>IF(B49="","",IF(INDEX(typ_sn,MATCH($C$9,typ_ket,0))="db",$G$8+SUM($E$13:E49)-SUM($F$13:F49),$G$8+SUM($F$13:F49)-SUM($E$13:E49)))</f>
        <v/>
      </c>
    </row>
    <row r="50" spans="2:7" ht="23.1" customHeight="1">
      <c r="B50" s="45" t="str">
        <f>IFERROR(INDEX(ju_tgl,MATCH(ROW(J38),JURNAL!$O:$O,0)),"")</f>
        <v/>
      </c>
      <c r="C50" s="7" t="str">
        <f>IFERROR(INDEX(ju_ref,MATCH(ROW(J38),JURNAL!$O:$O,0)),"")</f>
        <v/>
      </c>
      <c r="D50" s="7" t="str">
        <f>IFERROR(INDEX(ju_ket,MATCH(ROW(J38),JURNAL!$O:$O,0)),"")</f>
        <v/>
      </c>
      <c r="E50" s="39" t="str">
        <f>IFERROR(IF(bb_akun=INDEX(ju_debet,MATCH(ROW(J38),JURNAL!$O:$O,0)),INDEX(ju_sld,MATCH(ROW(K38),JURNAL!$O:$O,0)),0),"")</f>
        <v/>
      </c>
      <c r="F50" s="39" t="str">
        <f>IFERROR(IF(bb_akun=INDEX(ju_kr,MATCH(ROW(J38),JURNAL!$O:$O,0)),INDEX(ju_sld,MATCH(ROW(K38),JURNAL!$O:$O,0)),0),"")</f>
        <v/>
      </c>
      <c r="G50" s="39" t="str">
        <f>IF(B50="","",IF(INDEX(typ_sn,MATCH($C$9,typ_ket,0))="db",$G$8+SUM($E$13:E50)-SUM($F$13:F50),$G$8+SUM($F$13:F50)-SUM($E$13:E50)))</f>
        <v/>
      </c>
    </row>
    <row r="51" spans="2:7" ht="23.1" customHeight="1">
      <c r="B51" s="45" t="str">
        <f>IFERROR(INDEX(ju_tgl,MATCH(ROW(J39),JURNAL!$O:$O,0)),"")</f>
        <v/>
      </c>
      <c r="C51" s="7" t="str">
        <f>IFERROR(INDEX(ju_ref,MATCH(ROW(J39),JURNAL!$O:$O,0)),"")</f>
        <v/>
      </c>
      <c r="D51" s="7" t="str">
        <f>IFERROR(INDEX(ju_ket,MATCH(ROW(J39),JURNAL!$O:$O,0)),"")</f>
        <v/>
      </c>
      <c r="E51" s="39" t="str">
        <f>IFERROR(IF(bb_akun=INDEX(ju_debet,MATCH(ROW(J39),JURNAL!$O:$O,0)),INDEX(ju_sld,MATCH(ROW(K39),JURNAL!$O:$O,0)),0),"")</f>
        <v/>
      </c>
      <c r="F51" s="39" t="str">
        <f>IFERROR(IF(bb_akun=INDEX(ju_kr,MATCH(ROW(J39),JURNAL!$O:$O,0)),INDEX(ju_sld,MATCH(ROW(K39),JURNAL!$O:$O,0)),0),"")</f>
        <v/>
      </c>
      <c r="G51" s="39" t="str">
        <f>IF(B51="","",IF(INDEX(typ_sn,MATCH($C$9,typ_ket,0))="db",$G$8+SUM($E$13:E51)-SUM($F$13:F51),$G$8+SUM($F$13:F51)-SUM($E$13:E51)))</f>
        <v/>
      </c>
    </row>
    <row r="52" spans="2:7" ht="23.1" customHeight="1">
      <c r="B52" s="45" t="str">
        <f>IFERROR(INDEX(ju_tgl,MATCH(ROW(J40),JURNAL!$O:$O,0)),"")</f>
        <v/>
      </c>
      <c r="C52" s="7" t="str">
        <f>IFERROR(INDEX(ju_ref,MATCH(ROW(J40),JURNAL!$O:$O,0)),"")</f>
        <v/>
      </c>
      <c r="D52" s="7" t="str">
        <f>IFERROR(INDEX(ju_ket,MATCH(ROW(J40),JURNAL!$O:$O,0)),"")</f>
        <v/>
      </c>
      <c r="E52" s="39" t="str">
        <f>IFERROR(IF(bb_akun=INDEX(ju_debet,MATCH(ROW(J40),JURNAL!$O:$O,0)),INDEX(ju_sld,MATCH(ROW(K40),JURNAL!$O:$O,0)),0),"")</f>
        <v/>
      </c>
      <c r="F52" s="39" t="str">
        <f>IFERROR(IF(bb_akun=INDEX(ju_kr,MATCH(ROW(J40),JURNAL!$O:$O,0)),INDEX(ju_sld,MATCH(ROW(K40),JURNAL!$O:$O,0)),0),"")</f>
        <v/>
      </c>
      <c r="G52" s="39" t="str">
        <f>IF(B52="","",IF(INDEX(typ_sn,MATCH($C$9,typ_ket,0))="db",$G$8+SUM($E$13:E52)-SUM($F$13:F52),$G$8+SUM($F$13:F52)-SUM($E$13:E52)))</f>
        <v/>
      </c>
    </row>
    <row r="53" spans="2:7" ht="23.1" customHeight="1">
      <c r="B53" s="45" t="str">
        <f>IFERROR(INDEX(ju_tgl,MATCH(ROW(J41),JURNAL!$O:$O,0)),"")</f>
        <v/>
      </c>
      <c r="C53" s="7" t="str">
        <f>IFERROR(INDEX(ju_ref,MATCH(ROW(J41),JURNAL!$O:$O,0)),"")</f>
        <v/>
      </c>
      <c r="D53" s="7" t="str">
        <f>IFERROR(INDEX(ju_ket,MATCH(ROW(J41),JURNAL!$O:$O,0)),"")</f>
        <v/>
      </c>
      <c r="E53" s="39" t="str">
        <f>IFERROR(IF(bb_akun=INDEX(ju_debet,MATCH(ROW(J41),JURNAL!$O:$O,0)),INDEX(ju_sld,MATCH(ROW(K41),JURNAL!$O:$O,0)),0),"")</f>
        <v/>
      </c>
      <c r="F53" s="39" t="str">
        <f>IFERROR(IF(bb_akun=INDEX(ju_kr,MATCH(ROW(J41),JURNAL!$O:$O,0)),INDEX(ju_sld,MATCH(ROW(K41),JURNAL!$O:$O,0)),0),"")</f>
        <v/>
      </c>
      <c r="G53" s="39" t="str">
        <f>IF(B53="","",IF(INDEX(typ_sn,MATCH($C$9,typ_ket,0))="db",$G$8+SUM($E$13:E53)-SUM($F$13:F53),$G$8+SUM($F$13:F53)-SUM($E$13:E53)))</f>
        <v/>
      </c>
    </row>
    <row r="54" spans="2:7" ht="23.1" customHeight="1">
      <c r="B54" s="45" t="str">
        <f>IFERROR(INDEX(ju_tgl,MATCH(ROW(J42),JURNAL!$O:$O,0)),"")</f>
        <v/>
      </c>
      <c r="C54" s="7" t="str">
        <f>IFERROR(INDEX(ju_ref,MATCH(ROW(J42),JURNAL!$O:$O,0)),"")</f>
        <v/>
      </c>
      <c r="D54" s="7" t="str">
        <f>IFERROR(INDEX(ju_ket,MATCH(ROW(J42),JURNAL!$O:$O,0)),"")</f>
        <v/>
      </c>
      <c r="E54" s="39" t="str">
        <f>IFERROR(IF(bb_akun=INDEX(ju_debet,MATCH(ROW(J42),JURNAL!$O:$O,0)),INDEX(ju_sld,MATCH(ROW(K42),JURNAL!$O:$O,0)),0),"")</f>
        <v/>
      </c>
      <c r="F54" s="39" t="str">
        <f>IFERROR(IF(bb_akun=INDEX(ju_kr,MATCH(ROW(J42),JURNAL!$O:$O,0)),INDEX(ju_sld,MATCH(ROW(K42),JURNAL!$O:$O,0)),0),"")</f>
        <v/>
      </c>
      <c r="G54" s="39" t="str">
        <f>IF(B54="","",IF(INDEX(typ_sn,MATCH($C$9,typ_ket,0))="db",$G$8+SUM($E$13:E54)-SUM($F$13:F54),$G$8+SUM($F$13:F54)-SUM($E$13:E54)))</f>
        <v/>
      </c>
    </row>
    <row r="55" spans="2:7" ht="23.1" customHeight="1">
      <c r="B55" s="45" t="str">
        <f>IFERROR(INDEX(ju_tgl,MATCH(ROW(J43),JURNAL!$O:$O,0)),"")</f>
        <v/>
      </c>
      <c r="C55" s="7" t="str">
        <f>IFERROR(INDEX(ju_ref,MATCH(ROW(J43),JURNAL!$O:$O,0)),"")</f>
        <v/>
      </c>
      <c r="D55" s="7" t="str">
        <f>IFERROR(INDEX(ju_ket,MATCH(ROW(J43),JURNAL!$O:$O,0)),"")</f>
        <v/>
      </c>
      <c r="E55" s="39" t="str">
        <f>IFERROR(IF(bb_akun=INDEX(ju_debet,MATCH(ROW(J43),JURNAL!$O:$O,0)),INDEX(ju_sld,MATCH(ROW(K43),JURNAL!$O:$O,0)),0),"")</f>
        <v/>
      </c>
      <c r="F55" s="39" t="str">
        <f>IFERROR(IF(bb_akun=INDEX(ju_kr,MATCH(ROW(J43),JURNAL!$O:$O,0)),INDEX(ju_sld,MATCH(ROW(K43),JURNAL!$O:$O,0)),0),"")</f>
        <v/>
      </c>
      <c r="G55" s="39" t="str">
        <f>IF(B55="","",IF(INDEX(typ_sn,MATCH($C$9,typ_ket,0))="db",$G$8+SUM($E$13:E55)-SUM($F$13:F55),$G$8+SUM($F$13:F55)-SUM($E$13:E55)))</f>
        <v/>
      </c>
    </row>
    <row r="56" spans="2:7" ht="23.1" customHeight="1">
      <c r="B56" s="45" t="str">
        <f>IFERROR(INDEX(ju_tgl,MATCH(ROW(J44),JURNAL!$O:$O,0)),"")</f>
        <v/>
      </c>
      <c r="C56" s="7" t="str">
        <f>IFERROR(INDEX(ju_ref,MATCH(ROW(J44),JURNAL!$O:$O,0)),"")</f>
        <v/>
      </c>
      <c r="D56" s="7" t="str">
        <f>IFERROR(INDEX(ju_ket,MATCH(ROW(J44),JURNAL!$O:$O,0)),"")</f>
        <v/>
      </c>
      <c r="E56" s="39" t="str">
        <f>IFERROR(IF(bb_akun=INDEX(ju_debet,MATCH(ROW(J44),JURNAL!$O:$O,0)),INDEX(ju_sld,MATCH(ROW(K44),JURNAL!$O:$O,0)),0),"")</f>
        <v/>
      </c>
      <c r="F56" s="39" t="str">
        <f>IFERROR(IF(bb_akun=INDEX(ju_kr,MATCH(ROW(J44),JURNAL!$O:$O,0)),INDEX(ju_sld,MATCH(ROW(K44),JURNAL!$O:$O,0)),0),"")</f>
        <v/>
      </c>
      <c r="G56" s="39" t="str">
        <f>IF(B56="","",IF(INDEX(typ_sn,MATCH($C$9,typ_ket,0))="db",$G$8+SUM($E$13:E56)-SUM($F$13:F56),$G$8+SUM($F$13:F56)-SUM($E$13:E56)))</f>
        <v/>
      </c>
    </row>
    <row r="57" spans="2:7" ht="23.1" customHeight="1">
      <c r="B57" s="45" t="str">
        <f>IFERROR(INDEX(ju_tgl,MATCH(ROW(J45),JURNAL!$O:$O,0)),"")</f>
        <v/>
      </c>
      <c r="C57" s="7" t="str">
        <f>IFERROR(INDEX(ju_ref,MATCH(ROW(J45),JURNAL!$O:$O,0)),"")</f>
        <v/>
      </c>
      <c r="D57" s="7" t="str">
        <f>IFERROR(INDEX(ju_ket,MATCH(ROW(J45),JURNAL!$O:$O,0)),"")</f>
        <v/>
      </c>
      <c r="E57" s="39" t="str">
        <f>IFERROR(IF(bb_akun=INDEX(ju_debet,MATCH(ROW(J45),JURNAL!$O:$O,0)),INDEX(ju_sld,MATCH(ROW(K45),JURNAL!$O:$O,0)),0),"")</f>
        <v/>
      </c>
      <c r="F57" s="39" t="str">
        <f>IFERROR(IF(bb_akun=INDEX(ju_kr,MATCH(ROW(J45),JURNAL!$O:$O,0)),INDEX(ju_sld,MATCH(ROW(K45),JURNAL!$O:$O,0)),0),"")</f>
        <v/>
      </c>
      <c r="G57" s="39" t="str">
        <f>IF(B57="","",IF(INDEX(typ_sn,MATCH($C$9,typ_ket,0))="db",$G$8+SUM($E$13:E57)-SUM($F$13:F57),$G$8+SUM($F$13:F57)-SUM($E$13:E57)))</f>
        <v/>
      </c>
    </row>
    <row r="58" spans="2:7" ht="23.1" customHeight="1">
      <c r="B58" s="45" t="str">
        <f>IFERROR(INDEX(ju_tgl,MATCH(ROW(J46),JURNAL!$O:$O,0)),"")</f>
        <v/>
      </c>
      <c r="C58" s="7" t="str">
        <f>IFERROR(INDEX(ju_ref,MATCH(ROW(J46),JURNAL!$O:$O,0)),"")</f>
        <v/>
      </c>
      <c r="D58" s="7" t="str">
        <f>IFERROR(INDEX(ju_ket,MATCH(ROW(J46),JURNAL!$O:$O,0)),"")</f>
        <v/>
      </c>
      <c r="E58" s="39" t="str">
        <f>IFERROR(IF(bb_akun=INDEX(ju_debet,MATCH(ROW(J46),JURNAL!$O:$O,0)),INDEX(ju_sld,MATCH(ROW(K46),JURNAL!$O:$O,0)),0),"")</f>
        <v/>
      </c>
      <c r="F58" s="39" t="str">
        <f>IFERROR(IF(bb_akun=INDEX(ju_kr,MATCH(ROW(J46),JURNAL!$O:$O,0)),INDEX(ju_sld,MATCH(ROW(K46),JURNAL!$O:$O,0)),0),"")</f>
        <v/>
      </c>
      <c r="G58" s="39" t="str">
        <f>IF(B58="","",IF(INDEX(typ_sn,MATCH($C$9,typ_ket,0))="db",$G$8+SUM($E$13:E58)-SUM($F$13:F58),$G$8+SUM($F$13:F58)-SUM($E$13:E58)))</f>
        <v/>
      </c>
    </row>
    <row r="59" spans="2:7" ht="23.1" customHeight="1">
      <c r="B59" s="45" t="str">
        <f>IFERROR(INDEX(ju_tgl,MATCH(ROW(J47),JURNAL!$O:$O,0)),"")</f>
        <v/>
      </c>
      <c r="C59" s="7" t="str">
        <f>IFERROR(INDEX(ju_ref,MATCH(ROW(J47),JURNAL!$O:$O,0)),"")</f>
        <v/>
      </c>
      <c r="D59" s="7" t="str">
        <f>IFERROR(INDEX(ju_ket,MATCH(ROW(J47),JURNAL!$O:$O,0)),"")</f>
        <v/>
      </c>
      <c r="E59" s="39" t="str">
        <f>IFERROR(IF(bb_akun=INDEX(ju_debet,MATCH(ROW(J47),JURNAL!$O:$O,0)),INDEX(ju_sld,MATCH(ROW(K47),JURNAL!$O:$O,0)),0),"")</f>
        <v/>
      </c>
      <c r="F59" s="39" t="str">
        <f>IFERROR(IF(bb_akun=INDEX(ju_kr,MATCH(ROW(J47),JURNAL!$O:$O,0)),INDEX(ju_sld,MATCH(ROW(K47),JURNAL!$O:$O,0)),0),"")</f>
        <v/>
      </c>
      <c r="G59" s="39" t="str">
        <f>IF(B59="","",IF(INDEX(typ_sn,MATCH($C$9,typ_ket,0))="db",$G$8+SUM($E$13:E59)-SUM($F$13:F59),$G$8+SUM($F$13:F59)-SUM($E$13:E59)))</f>
        <v/>
      </c>
    </row>
    <row r="60" spans="2:7" ht="23.1" customHeight="1">
      <c r="B60" s="45" t="str">
        <f>IFERROR(INDEX(ju_tgl,MATCH(ROW(J48),JURNAL!$O:$O,0)),"")</f>
        <v/>
      </c>
      <c r="C60" s="7" t="str">
        <f>IFERROR(INDEX(ju_ref,MATCH(ROW(J48),JURNAL!$O:$O,0)),"")</f>
        <v/>
      </c>
      <c r="D60" s="7" t="str">
        <f>IFERROR(INDEX(ju_ket,MATCH(ROW(J48),JURNAL!$O:$O,0)),"")</f>
        <v/>
      </c>
      <c r="E60" s="39" t="str">
        <f>IFERROR(IF(bb_akun=INDEX(ju_debet,MATCH(ROW(J48),JURNAL!$O:$O,0)),INDEX(ju_sld,MATCH(ROW(K48),JURNAL!$O:$O,0)),0),"")</f>
        <v/>
      </c>
      <c r="F60" s="39" t="str">
        <f>IFERROR(IF(bb_akun=INDEX(ju_kr,MATCH(ROW(J48),JURNAL!$O:$O,0)),INDEX(ju_sld,MATCH(ROW(K48),JURNAL!$O:$O,0)),0),"")</f>
        <v/>
      </c>
      <c r="G60" s="39" t="str">
        <f>IF(B60="","",IF(INDEX(typ_sn,MATCH($C$9,typ_ket,0))="db",$G$8+SUM($E$13:E60)-SUM($F$13:F60),$G$8+SUM($F$13:F60)-SUM($E$13:E60)))</f>
        <v/>
      </c>
    </row>
    <row r="61" spans="2:7" ht="23.1" customHeight="1">
      <c r="B61" s="45" t="str">
        <f>IFERROR(INDEX(ju_tgl,MATCH(ROW(J49),JURNAL!$O:$O,0)),"")</f>
        <v/>
      </c>
      <c r="C61" s="7" t="str">
        <f>IFERROR(INDEX(ju_ref,MATCH(ROW(J49),JURNAL!$O:$O,0)),"")</f>
        <v/>
      </c>
      <c r="D61" s="7" t="str">
        <f>IFERROR(INDEX(ju_ket,MATCH(ROW(J49),JURNAL!$O:$O,0)),"")</f>
        <v/>
      </c>
      <c r="E61" s="39" t="str">
        <f>IFERROR(IF(bb_akun=INDEX(ju_debet,MATCH(ROW(J49),JURNAL!$O:$O,0)),INDEX(ju_sld,MATCH(ROW(K49),JURNAL!$O:$O,0)),0),"")</f>
        <v/>
      </c>
      <c r="F61" s="39" t="str">
        <f>IFERROR(IF(bb_akun=INDEX(ju_kr,MATCH(ROW(J49),JURNAL!$O:$O,0)),INDEX(ju_sld,MATCH(ROW(K49),JURNAL!$O:$O,0)),0),"")</f>
        <v/>
      </c>
      <c r="G61" s="39" t="str">
        <f>IF(B61="","",IF(INDEX(typ_sn,MATCH($C$9,typ_ket,0))="db",$G$8+SUM($E$13:E61)-SUM($F$13:F61),$G$8+SUM($F$13:F61)-SUM($E$13:E61)))</f>
        <v/>
      </c>
    </row>
    <row r="62" spans="2:7" ht="23.1" customHeight="1">
      <c r="B62" s="45" t="str">
        <f>IFERROR(INDEX(ju_tgl,MATCH(ROW(J50),JURNAL!$O:$O,0)),"")</f>
        <v/>
      </c>
      <c r="C62" s="7" t="str">
        <f>IFERROR(INDEX(ju_ref,MATCH(ROW(J50),JURNAL!$O:$O,0)),"")</f>
        <v/>
      </c>
      <c r="D62" s="7" t="str">
        <f>IFERROR(INDEX(ju_ket,MATCH(ROW(J50),JURNAL!$O:$O,0)),"")</f>
        <v/>
      </c>
      <c r="E62" s="39" t="str">
        <f>IFERROR(IF(bb_akun=INDEX(ju_debet,MATCH(ROW(J50),JURNAL!$O:$O,0)),INDEX(ju_sld,MATCH(ROW(K50),JURNAL!$O:$O,0)),0),"")</f>
        <v/>
      </c>
      <c r="F62" s="39" t="str">
        <f>IFERROR(IF(bb_akun=INDEX(ju_kr,MATCH(ROW(J50),JURNAL!$O:$O,0)),INDEX(ju_sld,MATCH(ROW(K50),JURNAL!$O:$O,0)),0),"")</f>
        <v/>
      </c>
      <c r="G62" s="39" t="str">
        <f>IF(B62="","",IF(INDEX(typ_sn,MATCH($C$9,typ_ket,0))="db",$G$8+SUM($E$13:E62)-SUM($F$13:F62),$G$8+SUM($F$13:F62)-SUM($E$13:E62)))</f>
        <v/>
      </c>
    </row>
    <row r="63" spans="2:7" ht="23.1" customHeight="1">
      <c r="B63" s="45" t="str">
        <f>IFERROR(INDEX(ju_tgl,MATCH(ROW(J51),JURNAL!$O:$O,0)),"")</f>
        <v/>
      </c>
      <c r="C63" s="7" t="str">
        <f>IFERROR(INDEX(ju_ref,MATCH(ROW(J51),JURNAL!$O:$O,0)),"")</f>
        <v/>
      </c>
      <c r="D63" s="7" t="str">
        <f>IFERROR(INDEX(ju_ket,MATCH(ROW(J51),JURNAL!$O:$O,0)),"")</f>
        <v/>
      </c>
      <c r="E63" s="39" t="str">
        <f>IFERROR(IF(bb_akun=INDEX(ju_debet,MATCH(ROW(J51),JURNAL!$O:$O,0)),INDEX(ju_sld,MATCH(ROW(K51),JURNAL!$O:$O,0)),0),"")</f>
        <v/>
      </c>
      <c r="F63" s="39" t="str">
        <f>IFERROR(IF(bb_akun=INDEX(ju_kr,MATCH(ROW(J51),JURNAL!$O:$O,0)),INDEX(ju_sld,MATCH(ROW(K51),JURNAL!$O:$O,0)),0),"")</f>
        <v/>
      </c>
      <c r="G63" s="39" t="str">
        <f>IF(B63="","",IF(INDEX(typ_sn,MATCH($C$9,typ_ket,0))="db",$G$8+SUM($E$13:E63)-SUM($F$13:F63),$G$8+SUM($F$13:F63)-SUM($E$13:E63)))</f>
        <v/>
      </c>
    </row>
    <row r="64" spans="2:7" ht="23.1" customHeight="1">
      <c r="B64" s="45" t="str">
        <f>IFERROR(INDEX(ju_tgl,MATCH(ROW(J52),JURNAL!$O:$O,0)),"")</f>
        <v/>
      </c>
      <c r="C64" s="7" t="str">
        <f>IFERROR(INDEX(ju_ref,MATCH(ROW(J52),JURNAL!$O:$O,0)),"")</f>
        <v/>
      </c>
      <c r="D64" s="7" t="str">
        <f>IFERROR(INDEX(ju_ket,MATCH(ROW(J52),JURNAL!$O:$O,0)),"")</f>
        <v/>
      </c>
      <c r="E64" s="39" t="str">
        <f>IFERROR(IF(bb_akun=INDEX(ju_debet,MATCH(ROW(J52),JURNAL!$O:$O,0)),INDEX(ju_sld,MATCH(ROW(K52),JURNAL!$O:$O,0)),0),"")</f>
        <v/>
      </c>
      <c r="F64" s="39" t="str">
        <f>IFERROR(IF(bb_akun=INDEX(ju_kr,MATCH(ROW(J52),JURNAL!$O:$O,0)),INDEX(ju_sld,MATCH(ROW(K52),JURNAL!$O:$O,0)),0),"")</f>
        <v/>
      </c>
      <c r="G64" s="39" t="str">
        <f>IF(B64="","",IF(INDEX(typ_sn,MATCH($C$9,typ_ket,0))="db",$G$8+SUM($E$13:E64)-SUM($F$13:F64),$G$8+SUM($F$13:F64)-SUM($E$13:E64)))</f>
        <v/>
      </c>
    </row>
    <row r="65" spans="2:7" ht="23.1" customHeight="1">
      <c r="B65" s="45" t="str">
        <f>IFERROR(INDEX(ju_tgl,MATCH(ROW(J53),JURNAL!$O:$O,0)),"")</f>
        <v/>
      </c>
      <c r="C65" s="7" t="str">
        <f>IFERROR(INDEX(ju_ref,MATCH(ROW(J53),JURNAL!$O:$O,0)),"")</f>
        <v/>
      </c>
      <c r="D65" s="7" t="str">
        <f>IFERROR(INDEX(ju_ket,MATCH(ROW(J53),JURNAL!$O:$O,0)),"")</f>
        <v/>
      </c>
      <c r="E65" s="39" t="str">
        <f>IFERROR(IF(bb_akun=INDEX(ju_debet,MATCH(ROW(J53),JURNAL!$O:$O,0)),INDEX(ju_sld,MATCH(ROW(K53),JURNAL!$O:$O,0)),0),"")</f>
        <v/>
      </c>
      <c r="F65" s="39" t="str">
        <f>IFERROR(IF(bb_akun=INDEX(ju_kr,MATCH(ROW(J53),JURNAL!$O:$O,0)),INDEX(ju_sld,MATCH(ROW(K53),JURNAL!$O:$O,0)),0),"")</f>
        <v/>
      </c>
      <c r="G65" s="39" t="str">
        <f>IF(B65="","",IF(INDEX(typ_sn,MATCH($C$9,typ_ket,0))="db",$G$8+SUM($E$13:E65)-SUM($F$13:F65),$G$8+SUM($F$13:F65)-SUM($E$13:E65)))</f>
        <v/>
      </c>
    </row>
    <row r="66" spans="2:7" ht="23.1" customHeight="1">
      <c r="B66" s="45" t="str">
        <f>IFERROR(INDEX(ju_tgl,MATCH(ROW(J54),JURNAL!$O:$O,0)),"")</f>
        <v/>
      </c>
      <c r="C66" s="7" t="str">
        <f>IFERROR(INDEX(ju_ref,MATCH(ROW(J54),JURNAL!$O:$O,0)),"")</f>
        <v/>
      </c>
      <c r="D66" s="7" t="str">
        <f>IFERROR(INDEX(ju_ket,MATCH(ROW(J54),JURNAL!$O:$O,0)),"")</f>
        <v/>
      </c>
      <c r="E66" s="39" t="str">
        <f>IFERROR(IF(bb_akun=INDEX(ju_debet,MATCH(ROW(J54),JURNAL!$O:$O,0)),INDEX(ju_sld,MATCH(ROW(K54),JURNAL!$O:$O,0)),0),"")</f>
        <v/>
      </c>
      <c r="F66" s="39" t="str">
        <f>IFERROR(IF(bb_akun=INDEX(ju_kr,MATCH(ROW(J54),JURNAL!$O:$O,0)),INDEX(ju_sld,MATCH(ROW(K54),JURNAL!$O:$O,0)),0),"")</f>
        <v/>
      </c>
      <c r="G66" s="39" t="str">
        <f>IF(B66="","",IF(INDEX(typ_sn,MATCH($C$9,typ_ket,0))="db",$G$8+SUM($E$13:E66)-SUM($F$13:F66),$G$8+SUM($F$13:F66)-SUM($E$13:E66)))</f>
        <v/>
      </c>
    </row>
    <row r="67" spans="2:7" ht="23.1" customHeight="1">
      <c r="B67" s="45" t="str">
        <f>IFERROR(INDEX(ju_tgl,MATCH(ROW(J55),JURNAL!$O:$O,0)),"")</f>
        <v/>
      </c>
      <c r="C67" s="7" t="str">
        <f>IFERROR(INDEX(ju_ref,MATCH(ROW(J55),JURNAL!$O:$O,0)),"")</f>
        <v/>
      </c>
      <c r="D67" s="7" t="str">
        <f>IFERROR(INDEX(ju_ket,MATCH(ROW(J55),JURNAL!$O:$O,0)),"")</f>
        <v/>
      </c>
      <c r="E67" s="39" t="str">
        <f>IFERROR(IF(bb_akun=INDEX(ju_debet,MATCH(ROW(J55),JURNAL!$O:$O,0)),INDEX(ju_sld,MATCH(ROW(K55),JURNAL!$O:$O,0)),0),"")</f>
        <v/>
      </c>
      <c r="F67" s="39" t="str">
        <f>IFERROR(IF(bb_akun=INDEX(ju_kr,MATCH(ROW(J55),JURNAL!$O:$O,0)),INDEX(ju_sld,MATCH(ROW(K55),JURNAL!$O:$O,0)),0),"")</f>
        <v/>
      </c>
      <c r="G67" s="39" t="str">
        <f>IF(B67="","",IF(INDEX(typ_sn,MATCH($C$9,typ_ket,0))="db",$G$8+SUM($E$13:E67)-SUM($F$13:F67),$G$8+SUM($F$13:F67)-SUM($E$13:E67)))</f>
        <v/>
      </c>
    </row>
    <row r="68" spans="2:7" ht="23.1" customHeight="1">
      <c r="B68" s="45" t="str">
        <f>IFERROR(INDEX(ju_tgl,MATCH(ROW(J56),JURNAL!$O:$O,0)),"")</f>
        <v/>
      </c>
      <c r="C68" s="7" t="str">
        <f>IFERROR(INDEX(ju_ref,MATCH(ROW(J56),JURNAL!$O:$O,0)),"")</f>
        <v/>
      </c>
      <c r="D68" s="7" t="str">
        <f>IFERROR(INDEX(ju_ket,MATCH(ROW(J56),JURNAL!$O:$O,0)),"")</f>
        <v/>
      </c>
      <c r="E68" s="39" t="str">
        <f>IFERROR(IF(bb_akun=INDEX(ju_debet,MATCH(ROW(J56),JURNAL!$O:$O,0)),INDEX(ju_sld,MATCH(ROW(K56),JURNAL!$O:$O,0)),0),"")</f>
        <v/>
      </c>
      <c r="F68" s="39" t="str">
        <f>IFERROR(IF(bb_akun=INDEX(ju_kr,MATCH(ROW(J56),JURNAL!$O:$O,0)),INDEX(ju_sld,MATCH(ROW(K56),JURNAL!$O:$O,0)),0),"")</f>
        <v/>
      </c>
      <c r="G68" s="39" t="str">
        <f>IF(B68="","",IF(INDEX(typ_sn,MATCH($C$9,typ_ket,0))="db",$G$8+SUM($E$13:E68)-SUM($F$13:F68),$G$8+SUM($F$13:F68)-SUM($E$13:E68)))</f>
        <v/>
      </c>
    </row>
    <row r="69" spans="2:7" ht="23.1" customHeight="1">
      <c r="B69" s="45" t="str">
        <f>IFERROR(INDEX(ju_tgl,MATCH(ROW(J57),JURNAL!$O:$O,0)),"")</f>
        <v/>
      </c>
      <c r="C69" s="7" t="str">
        <f>IFERROR(INDEX(ju_ref,MATCH(ROW(J57),JURNAL!$O:$O,0)),"")</f>
        <v/>
      </c>
      <c r="D69" s="7" t="str">
        <f>IFERROR(INDEX(ju_ket,MATCH(ROW(J57),JURNAL!$O:$O,0)),"")</f>
        <v/>
      </c>
      <c r="E69" s="39" t="str">
        <f>IFERROR(IF(bb_akun=INDEX(ju_debet,MATCH(ROW(J57),JURNAL!$O:$O,0)),INDEX(ju_sld,MATCH(ROW(K57),JURNAL!$O:$O,0)),0),"")</f>
        <v/>
      </c>
      <c r="F69" s="39" t="str">
        <f>IFERROR(IF(bb_akun=INDEX(ju_kr,MATCH(ROW(J57),JURNAL!$O:$O,0)),INDEX(ju_sld,MATCH(ROW(K57),JURNAL!$O:$O,0)),0),"")</f>
        <v/>
      </c>
      <c r="G69" s="39" t="str">
        <f>IF(B69="","",IF(INDEX(typ_sn,MATCH($C$9,typ_ket,0))="db",$G$8+SUM($E$13:E69)-SUM($F$13:F69),$G$8+SUM($F$13:F69)-SUM($E$13:E69)))</f>
        <v/>
      </c>
    </row>
    <row r="70" spans="2:7" ht="23.1" customHeight="1">
      <c r="B70" s="45" t="str">
        <f>IFERROR(INDEX(ju_tgl,MATCH(ROW(J58),JURNAL!$O:$O,0)),"")</f>
        <v/>
      </c>
      <c r="C70" s="7" t="str">
        <f>IFERROR(INDEX(ju_ref,MATCH(ROW(J58),JURNAL!$O:$O,0)),"")</f>
        <v/>
      </c>
      <c r="D70" s="7" t="str">
        <f>IFERROR(INDEX(ju_ket,MATCH(ROW(J58),JURNAL!$O:$O,0)),"")</f>
        <v/>
      </c>
      <c r="E70" s="39" t="str">
        <f>IFERROR(IF(bb_akun=INDEX(ju_debet,MATCH(ROW(J58),JURNAL!$O:$O,0)),INDEX(ju_sld,MATCH(ROW(K58),JURNAL!$O:$O,0)),0),"")</f>
        <v/>
      </c>
      <c r="F70" s="39" t="str">
        <f>IFERROR(IF(bb_akun=INDEX(ju_kr,MATCH(ROW(J58),JURNAL!$O:$O,0)),INDEX(ju_sld,MATCH(ROW(K58),JURNAL!$O:$O,0)),0),"")</f>
        <v/>
      </c>
      <c r="G70" s="39" t="str">
        <f>IF(B70="","",IF(INDEX(typ_sn,MATCH($C$9,typ_ket,0))="db",$G$8+SUM($E$13:E70)-SUM($F$13:F70),$G$8+SUM($F$13:F70)-SUM($E$13:E70)))</f>
        <v/>
      </c>
    </row>
    <row r="71" spans="2:7" ht="23.1" customHeight="1">
      <c r="B71" s="45" t="str">
        <f>IFERROR(INDEX(ju_tgl,MATCH(ROW(J59),JURNAL!$O:$O,0)),"")</f>
        <v/>
      </c>
      <c r="C71" s="7" t="str">
        <f>IFERROR(INDEX(ju_ref,MATCH(ROW(J59),JURNAL!$O:$O,0)),"")</f>
        <v/>
      </c>
      <c r="D71" s="7" t="str">
        <f>IFERROR(INDEX(ju_ket,MATCH(ROW(J59),JURNAL!$O:$O,0)),"")</f>
        <v/>
      </c>
      <c r="E71" s="39" t="str">
        <f>IFERROR(IF(bb_akun=INDEX(ju_debet,MATCH(ROW(J59),JURNAL!$O:$O,0)),INDEX(ju_sld,MATCH(ROW(K59),JURNAL!$O:$O,0)),0),"")</f>
        <v/>
      </c>
      <c r="F71" s="39" t="str">
        <f>IFERROR(IF(bb_akun=INDEX(ju_kr,MATCH(ROW(J59),JURNAL!$O:$O,0)),INDEX(ju_sld,MATCH(ROW(K59),JURNAL!$O:$O,0)),0),"")</f>
        <v/>
      </c>
      <c r="G71" s="39" t="str">
        <f>IF(B71="","",IF(INDEX(typ_sn,MATCH($C$9,typ_ket,0))="db",$G$8+SUM($E$13:E71)-SUM($F$13:F71),$G$8+SUM($F$13:F71)-SUM($E$13:E71)))</f>
        <v/>
      </c>
    </row>
    <row r="72" spans="2:7" ht="23.1" customHeight="1">
      <c r="B72" s="45" t="str">
        <f>IFERROR(INDEX(ju_tgl,MATCH(ROW(J60),JURNAL!$O:$O,0)),"")</f>
        <v/>
      </c>
      <c r="C72" s="7" t="str">
        <f>IFERROR(INDEX(ju_ref,MATCH(ROW(J60),JURNAL!$O:$O,0)),"")</f>
        <v/>
      </c>
      <c r="D72" s="7" t="str">
        <f>IFERROR(INDEX(ju_ket,MATCH(ROW(J60),JURNAL!$O:$O,0)),"")</f>
        <v/>
      </c>
      <c r="E72" s="39" t="str">
        <f>IFERROR(IF(bb_akun=INDEX(ju_debet,MATCH(ROW(J60),JURNAL!$O:$O,0)),INDEX(ju_sld,MATCH(ROW(K60),JURNAL!$O:$O,0)),0),"")</f>
        <v/>
      </c>
      <c r="F72" s="39" t="str">
        <f>IFERROR(IF(bb_akun=INDEX(ju_kr,MATCH(ROW(J60),JURNAL!$O:$O,0)),INDEX(ju_sld,MATCH(ROW(K60),JURNAL!$O:$O,0)),0),"")</f>
        <v/>
      </c>
      <c r="G72" s="39" t="str">
        <f>IF(B72="","",IF(INDEX(typ_sn,MATCH($C$9,typ_ket,0))="db",$G$8+SUM($E$13:E72)-SUM($F$13:F72),$G$8+SUM($F$13:F72)-SUM($E$13:E72)))</f>
        <v/>
      </c>
    </row>
    <row r="73" spans="2:7" ht="23.1" customHeight="1">
      <c r="B73" s="45" t="str">
        <f>IFERROR(INDEX(ju_tgl,MATCH(ROW(J61),JURNAL!$O:$O,0)),"")</f>
        <v/>
      </c>
      <c r="C73" s="7" t="str">
        <f>IFERROR(INDEX(ju_ref,MATCH(ROW(J61),JURNAL!$O:$O,0)),"")</f>
        <v/>
      </c>
      <c r="D73" s="7" t="str">
        <f>IFERROR(INDEX(ju_ket,MATCH(ROW(J61),JURNAL!$O:$O,0)),"")</f>
        <v/>
      </c>
      <c r="E73" s="39" t="str">
        <f>IFERROR(IF(bb_akun=INDEX(ju_debet,MATCH(ROW(J61),JURNAL!$O:$O,0)),INDEX(ju_sld,MATCH(ROW(K61),JURNAL!$O:$O,0)),0),"")</f>
        <v/>
      </c>
      <c r="F73" s="39" t="str">
        <f>IFERROR(IF(bb_akun=INDEX(ju_kr,MATCH(ROW(J61),JURNAL!$O:$O,0)),INDEX(ju_sld,MATCH(ROW(K61),JURNAL!$O:$O,0)),0),"")</f>
        <v/>
      </c>
      <c r="G73" s="39" t="str">
        <f>IF(B73="","",IF(INDEX(typ_sn,MATCH($C$9,typ_ket,0))="db",$G$8+SUM($E$13:E73)-SUM($F$13:F73),$G$8+SUM($F$13:F73)-SUM($E$13:E73)))</f>
        <v/>
      </c>
    </row>
    <row r="74" spans="2:7" ht="23.1" customHeight="1">
      <c r="B74" s="45" t="str">
        <f>IFERROR(INDEX(ju_tgl,MATCH(ROW(J62),JURNAL!$O:$O,0)),"")</f>
        <v/>
      </c>
      <c r="C74" s="7" t="str">
        <f>IFERROR(INDEX(ju_ref,MATCH(ROW(J62),JURNAL!$O:$O,0)),"")</f>
        <v/>
      </c>
      <c r="D74" s="7" t="str">
        <f>IFERROR(INDEX(ju_ket,MATCH(ROW(J62),JURNAL!$O:$O,0)),"")</f>
        <v/>
      </c>
      <c r="E74" s="39" t="str">
        <f>IFERROR(IF(bb_akun=INDEX(ju_debet,MATCH(ROW(J62),JURNAL!$O:$O,0)),INDEX(ju_sld,MATCH(ROW(K62),JURNAL!$O:$O,0)),0),"")</f>
        <v/>
      </c>
      <c r="F74" s="39" t="str">
        <f>IFERROR(IF(bb_akun=INDEX(ju_kr,MATCH(ROW(J62),JURNAL!$O:$O,0)),INDEX(ju_sld,MATCH(ROW(K62),JURNAL!$O:$O,0)),0),"")</f>
        <v/>
      </c>
      <c r="G74" s="39" t="str">
        <f>IF(B74="","",IF(INDEX(typ_sn,MATCH($C$9,typ_ket,0))="db",$G$8+SUM($E$13:E74)-SUM($F$13:F74),$G$8+SUM($F$13:F74)-SUM($E$13:E74)))</f>
        <v/>
      </c>
    </row>
    <row r="75" spans="2:7" ht="23.1" customHeight="1">
      <c r="B75" s="45" t="str">
        <f>IFERROR(INDEX(ju_tgl,MATCH(ROW(J63),JURNAL!$O:$O,0)),"")</f>
        <v/>
      </c>
      <c r="C75" s="7" t="str">
        <f>IFERROR(INDEX(ju_ref,MATCH(ROW(J63),JURNAL!$O:$O,0)),"")</f>
        <v/>
      </c>
      <c r="D75" s="7" t="str">
        <f>IFERROR(INDEX(ju_ket,MATCH(ROW(J63),JURNAL!$O:$O,0)),"")</f>
        <v/>
      </c>
      <c r="E75" s="39" t="str">
        <f>IFERROR(IF(bb_akun=INDEX(ju_debet,MATCH(ROW(J63),JURNAL!$O:$O,0)),INDEX(ju_sld,MATCH(ROW(K63),JURNAL!$O:$O,0)),0),"")</f>
        <v/>
      </c>
      <c r="F75" s="39" t="str">
        <f>IFERROR(IF(bb_akun=INDEX(ju_kr,MATCH(ROW(J63),JURNAL!$O:$O,0)),INDEX(ju_sld,MATCH(ROW(K63),JURNAL!$O:$O,0)),0),"")</f>
        <v/>
      </c>
      <c r="G75" s="39" t="str">
        <f>IF(B75="","",IF(INDEX(typ_sn,MATCH($C$9,typ_ket,0))="db",$G$8+SUM($E$13:E75)-SUM($F$13:F75),$G$8+SUM($F$13:F75)-SUM($E$13:E75)))</f>
        <v/>
      </c>
    </row>
    <row r="76" spans="2:7" ht="23.1" customHeight="1">
      <c r="B76" s="45" t="str">
        <f>IFERROR(INDEX(ju_tgl,MATCH(ROW(J64),JURNAL!$O:$O,0)),"")</f>
        <v/>
      </c>
      <c r="C76" s="7" t="str">
        <f>IFERROR(INDEX(ju_ref,MATCH(ROW(J64),JURNAL!$O:$O,0)),"")</f>
        <v/>
      </c>
      <c r="D76" s="7" t="str">
        <f>IFERROR(INDEX(ju_ket,MATCH(ROW(J64),JURNAL!$O:$O,0)),"")</f>
        <v/>
      </c>
      <c r="E76" s="39" t="str">
        <f>IFERROR(IF(bb_akun=INDEX(ju_debet,MATCH(ROW(J64),JURNAL!$O:$O,0)),INDEX(ju_sld,MATCH(ROW(K64),JURNAL!$O:$O,0)),0),"")</f>
        <v/>
      </c>
      <c r="F76" s="39" t="str">
        <f>IFERROR(IF(bb_akun=INDEX(ju_kr,MATCH(ROW(J64),JURNAL!$O:$O,0)),INDEX(ju_sld,MATCH(ROW(K64),JURNAL!$O:$O,0)),0),"")</f>
        <v/>
      </c>
      <c r="G76" s="39" t="str">
        <f>IF(B76="","",IF(INDEX(typ_sn,MATCH($C$9,typ_ket,0))="db",$G$8+SUM($E$13:E76)-SUM($F$13:F76),$G$8+SUM($F$13:F76)-SUM($E$13:E76)))</f>
        <v/>
      </c>
    </row>
    <row r="77" spans="2:7" ht="23.1" customHeight="1">
      <c r="B77" s="45" t="str">
        <f>IFERROR(INDEX(ju_tgl,MATCH(ROW(J65),JURNAL!$O:$O,0)),"")</f>
        <v/>
      </c>
      <c r="C77" s="7" t="str">
        <f>IFERROR(INDEX(ju_ref,MATCH(ROW(J65),JURNAL!$O:$O,0)),"")</f>
        <v/>
      </c>
      <c r="D77" s="7" t="str">
        <f>IFERROR(INDEX(ju_ket,MATCH(ROW(J65),JURNAL!$O:$O,0)),"")</f>
        <v/>
      </c>
      <c r="E77" s="39" t="str">
        <f>IFERROR(IF(bb_akun=INDEX(ju_debet,MATCH(ROW(J65),JURNAL!$O:$O,0)),INDEX(ju_sld,MATCH(ROW(K65),JURNAL!$O:$O,0)),0),"")</f>
        <v/>
      </c>
      <c r="F77" s="39" t="str">
        <f>IFERROR(IF(bb_akun=INDEX(ju_kr,MATCH(ROW(J65),JURNAL!$O:$O,0)),INDEX(ju_sld,MATCH(ROW(K65),JURNAL!$O:$O,0)),0),"")</f>
        <v/>
      </c>
      <c r="G77" s="39" t="str">
        <f>IF(B77="","",IF(INDEX(typ_sn,MATCH($C$9,typ_ket,0))="db",$G$8+SUM($E$13:E77)-SUM($F$13:F77),$G$8+SUM($F$13:F77)-SUM($E$13:E77)))</f>
        <v/>
      </c>
    </row>
    <row r="78" spans="2:7" ht="23.1" customHeight="1">
      <c r="B78" s="45" t="str">
        <f>IFERROR(INDEX(ju_tgl,MATCH(ROW(J66),JURNAL!$O:$O,0)),"")</f>
        <v/>
      </c>
      <c r="C78" s="7" t="str">
        <f>IFERROR(INDEX(ju_ref,MATCH(ROW(J66),JURNAL!$O:$O,0)),"")</f>
        <v/>
      </c>
      <c r="D78" s="7" t="str">
        <f>IFERROR(INDEX(ju_ket,MATCH(ROW(J66),JURNAL!$O:$O,0)),"")</f>
        <v/>
      </c>
      <c r="E78" s="39" t="str">
        <f>IFERROR(IF(bb_akun=INDEX(ju_debet,MATCH(ROW(J66),JURNAL!$O:$O,0)),INDEX(ju_sld,MATCH(ROW(K66),JURNAL!$O:$O,0)),0),"")</f>
        <v/>
      </c>
      <c r="F78" s="39" t="str">
        <f>IFERROR(IF(bb_akun=INDEX(ju_kr,MATCH(ROW(J66),JURNAL!$O:$O,0)),INDEX(ju_sld,MATCH(ROW(K66),JURNAL!$O:$O,0)),0),"")</f>
        <v/>
      </c>
      <c r="G78" s="39" t="str">
        <f>IF(B78="","",IF(INDEX(typ_sn,MATCH($C$9,typ_ket,0))="db",$G$8+SUM($E$13:E78)-SUM($F$13:F78),$G$8+SUM($F$13:F78)-SUM($E$13:E78)))</f>
        <v/>
      </c>
    </row>
    <row r="79" spans="2:7" ht="23.1" customHeight="1">
      <c r="B79" s="45" t="str">
        <f>IFERROR(INDEX(ju_tgl,MATCH(ROW(J67),JURNAL!$O:$O,0)),"")</f>
        <v/>
      </c>
      <c r="C79" s="7" t="str">
        <f>IFERROR(INDEX(ju_ref,MATCH(ROW(J67),JURNAL!$O:$O,0)),"")</f>
        <v/>
      </c>
      <c r="D79" s="7" t="str">
        <f>IFERROR(INDEX(ju_ket,MATCH(ROW(J67),JURNAL!$O:$O,0)),"")</f>
        <v/>
      </c>
      <c r="E79" s="39" t="str">
        <f>IFERROR(IF(bb_akun=INDEX(ju_debet,MATCH(ROW(J67),JURNAL!$O:$O,0)),INDEX(ju_sld,MATCH(ROW(K67),JURNAL!$O:$O,0)),0),"")</f>
        <v/>
      </c>
      <c r="F79" s="39" t="str">
        <f>IFERROR(IF(bb_akun=INDEX(ju_kr,MATCH(ROW(J67),JURNAL!$O:$O,0)),INDEX(ju_sld,MATCH(ROW(K67),JURNAL!$O:$O,0)),0),"")</f>
        <v/>
      </c>
      <c r="G79" s="39" t="str">
        <f>IF(B79="","",IF(INDEX(typ_sn,MATCH($C$9,typ_ket,0))="db",$G$8+SUM($E$13:E79)-SUM($F$13:F79),$G$8+SUM($F$13:F79)-SUM($E$13:E79)))</f>
        <v/>
      </c>
    </row>
    <row r="80" spans="2:7" ht="23.1" customHeight="1">
      <c r="B80" s="45" t="str">
        <f>IFERROR(INDEX(ju_tgl,MATCH(ROW(J68),JURNAL!$O:$O,0)),"")</f>
        <v/>
      </c>
      <c r="C80" s="7" t="str">
        <f>IFERROR(INDEX(ju_ref,MATCH(ROW(J68),JURNAL!$O:$O,0)),"")</f>
        <v/>
      </c>
      <c r="D80" s="7" t="str">
        <f>IFERROR(INDEX(ju_ket,MATCH(ROW(J68),JURNAL!$O:$O,0)),"")</f>
        <v/>
      </c>
      <c r="E80" s="39" t="str">
        <f>IFERROR(IF(bb_akun=INDEX(ju_debet,MATCH(ROW(J68),JURNAL!$O:$O,0)),INDEX(ju_sld,MATCH(ROW(K68),JURNAL!$O:$O,0)),0),"")</f>
        <v/>
      </c>
      <c r="F80" s="39" t="str">
        <f>IFERROR(IF(bb_akun=INDEX(ju_kr,MATCH(ROW(J68),JURNAL!$O:$O,0)),INDEX(ju_sld,MATCH(ROW(K68),JURNAL!$O:$O,0)),0),"")</f>
        <v/>
      </c>
      <c r="G80" s="39" t="str">
        <f>IF(B80="","",IF(INDEX(typ_sn,MATCH($C$9,typ_ket,0))="db",$G$8+SUM($E$13:E80)-SUM($F$13:F80),$G$8+SUM($F$13:F80)-SUM($E$13:E80)))</f>
        <v/>
      </c>
    </row>
    <row r="81" spans="2:7" ht="23.1" customHeight="1">
      <c r="B81" s="45" t="str">
        <f>IFERROR(INDEX(ju_tgl,MATCH(ROW(J69),JURNAL!$O:$O,0)),"")</f>
        <v/>
      </c>
      <c r="C81" s="7" t="str">
        <f>IFERROR(INDEX(ju_ref,MATCH(ROW(J69),JURNAL!$O:$O,0)),"")</f>
        <v/>
      </c>
      <c r="D81" s="7" t="str">
        <f>IFERROR(INDEX(ju_ket,MATCH(ROW(J69),JURNAL!$O:$O,0)),"")</f>
        <v/>
      </c>
      <c r="E81" s="39" t="str">
        <f>IFERROR(IF(bb_akun=INDEX(ju_debet,MATCH(ROW(J69),JURNAL!$O:$O,0)),INDEX(ju_sld,MATCH(ROW(K69),JURNAL!$O:$O,0)),0),"")</f>
        <v/>
      </c>
      <c r="F81" s="39" t="str">
        <f>IFERROR(IF(bb_akun=INDEX(ju_kr,MATCH(ROW(J69),JURNAL!$O:$O,0)),INDEX(ju_sld,MATCH(ROW(K69),JURNAL!$O:$O,0)),0),"")</f>
        <v/>
      </c>
      <c r="G81" s="39" t="str">
        <f>IF(B81="","",IF(INDEX(typ_sn,MATCH($C$9,typ_ket,0))="db",$G$8+SUM($E$13:E81)-SUM($F$13:F81),$G$8+SUM($F$13:F81)-SUM($E$13:E81)))</f>
        <v/>
      </c>
    </row>
    <row r="82" spans="2:7" ht="23.1" customHeight="1">
      <c r="B82" s="45" t="str">
        <f>IFERROR(INDEX(ju_tgl,MATCH(ROW(J70),JURNAL!$O:$O,0)),"")</f>
        <v/>
      </c>
      <c r="C82" s="7" t="str">
        <f>IFERROR(INDEX(ju_ref,MATCH(ROW(J70),JURNAL!$O:$O,0)),"")</f>
        <v/>
      </c>
      <c r="D82" s="7" t="str">
        <f>IFERROR(INDEX(ju_ket,MATCH(ROW(J70),JURNAL!$O:$O,0)),"")</f>
        <v/>
      </c>
      <c r="E82" s="39" t="str">
        <f>IFERROR(IF(bb_akun=INDEX(ju_debet,MATCH(ROW(J70),JURNAL!$O:$O,0)),INDEX(ju_sld,MATCH(ROW(K70),JURNAL!$O:$O,0)),0),"")</f>
        <v/>
      </c>
      <c r="F82" s="39" t="str">
        <f>IFERROR(IF(bb_akun=INDEX(ju_kr,MATCH(ROW(J70),JURNAL!$O:$O,0)),INDEX(ju_sld,MATCH(ROW(K70),JURNAL!$O:$O,0)),0),"")</f>
        <v/>
      </c>
      <c r="G82" s="39" t="str">
        <f>IF(B82="","",IF(INDEX(typ_sn,MATCH($C$9,typ_ket,0))="db",$G$8+SUM($E$13:E82)-SUM($F$13:F82),$G$8+SUM($F$13:F82)-SUM($E$13:E82)))</f>
        <v/>
      </c>
    </row>
    <row r="83" spans="2:7" ht="23.1" customHeight="1">
      <c r="B83" s="45" t="str">
        <f>IFERROR(INDEX(ju_tgl,MATCH(ROW(J71),JURNAL!$O:$O,0)),"")</f>
        <v/>
      </c>
      <c r="C83" s="7" t="str">
        <f>IFERROR(INDEX(ju_ref,MATCH(ROW(J71),JURNAL!$O:$O,0)),"")</f>
        <v/>
      </c>
      <c r="D83" s="7" t="str">
        <f>IFERROR(INDEX(ju_ket,MATCH(ROW(J71),JURNAL!$O:$O,0)),"")</f>
        <v/>
      </c>
      <c r="E83" s="39" t="str">
        <f>IFERROR(IF(bb_akun=INDEX(ju_debet,MATCH(ROW(J71),JURNAL!$O:$O,0)),INDEX(ju_sld,MATCH(ROW(K71),JURNAL!$O:$O,0)),0),"")</f>
        <v/>
      </c>
      <c r="F83" s="39" t="str">
        <f>IFERROR(IF(bb_akun=INDEX(ju_kr,MATCH(ROW(J71),JURNAL!$O:$O,0)),INDEX(ju_sld,MATCH(ROW(K71),JURNAL!$O:$O,0)),0),"")</f>
        <v/>
      </c>
      <c r="G83" s="39" t="str">
        <f>IF(B83="","",IF(INDEX(typ_sn,MATCH($C$9,typ_ket,0))="db",$G$8+SUM($E$13:E83)-SUM($F$13:F83),$G$8+SUM($F$13:F83)-SUM($E$13:E83)))</f>
        <v/>
      </c>
    </row>
    <row r="84" spans="2:7" ht="23.1" customHeight="1">
      <c r="B84" s="45" t="str">
        <f>IFERROR(INDEX(ju_tgl,MATCH(ROW(J72),JURNAL!$O:$O,0)),"")</f>
        <v/>
      </c>
      <c r="C84" s="7" t="str">
        <f>IFERROR(INDEX(ju_ref,MATCH(ROW(J72),JURNAL!$O:$O,0)),"")</f>
        <v/>
      </c>
      <c r="D84" s="7" t="str">
        <f>IFERROR(INDEX(ju_ket,MATCH(ROW(J72),JURNAL!$O:$O,0)),"")</f>
        <v/>
      </c>
      <c r="E84" s="39" t="str">
        <f>IFERROR(IF(bb_akun=INDEX(ju_debet,MATCH(ROW(J72),JURNAL!$O:$O,0)),INDEX(ju_sld,MATCH(ROW(K72),JURNAL!$O:$O,0)),0),"")</f>
        <v/>
      </c>
      <c r="F84" s="39" t="str">
        <f>IFERROR(IF(bb_akun=INDEX(ju_kr,MATCH(ROW(J72),JURNAL!$O:$O,0)),INDEX(ju_sld,MATCH(ROW(K72),JURNAL!$O:$O,0)),0),"")</f>
        <v/>
      </c>
      <c r="G84" s="39" t="str">
        <f>IF(B84="","",IF(INDEX(typ_sn,MATCH($C$9,typ_ket,0))="db",$G$8+SUM($E$13:E84)-SUM($F$13:F84),$G$8+SUM($F$13:F84)-SUM($E$13:E84)))</f>
        <v/>
      </c>
    </row>
    <row r="85" spans="2:7" ht="23.1" customHeight="1">
      <c r="B85" s="45" t="str">
        <f>IFERROR(INDEX(ju_tgl,MATCH(ROW(J73),JURNAL!$O:$O,0)),"")</f>
        <v/>
      </c>
      <c r="C85" s="7" t="str">
        <f>IFERROR(INDEX(ju_ref,MATCH(ROW(J73),JURNAL!$O:$O,0)),"")</f>
        <v/>
      </c>
      <c r="D85" s="7" t="str">
        <f>IFERROR(INDEX(ju_ket,MATCH(ROW(J73),JURNAL!$O:$O,0)),"")</f>
        <v/>
      </c>
      <c r="E85" s="39" t="str">
        <f>IFERROR(IF(bb_akun=INDEX(ju_debet,MATCH(ROW(J73),JURNAL!$O:$O,0)),INDEX(ju_sld,MATCH(ROW(K73),JURNAL!$O:$O,0)),0),"")</f>
        <v/>
      </c>
      <c r="F85" s="39" t="str">
        <f>IFERROR(IF(bb_akun=INDEX(ju_kr,MATCH(ROW(J73),JURNAL!$O:$O,0)),INDEX(ju_sld,MATCH(ROW(K73),JURNAL!$O:$O,0)),0),"")</f>
        <v/>
      </c>
      <c r="G85" s="39" t="str">
        <f>IF(B85="","",IF(INDEX(typ_sn,MATCH($C$9,typ_ket,0))="db",$G$8+SUM($E$13:E85)-SUM($F$13:F85),$G$8+SUM($F$13:F85)-SUM($E$13:E85)))</f>
        <v/>
      </c>
    </row>
    <row r="86" spans="2:7" ht="23.1" customHeight="1">
      <c r="B86" s="45" t="str">
        <f>IFERROR(INDEX(ju_tgl,MATCH(ROW(J74),JURNAL!$O:$O,0)),"")</f>
        <v/>
      </c>
      <c r="C86" s="7" t="str">
        <f>IFERROR(INDEX(ju_ref,MATCH(ROW(J74),JURNAL!$O:$O,0)),"")</f>
        <v/>
      </c>
      <c r="D86" s="7" t="str">
        <f>IFERROR(INDEX(ju_ket,MATCH(ROW(J74),JURNAL!$O:$O,0)),"")</f>
        <v/>
      </c>
      <c r="E86" s="39" t="str">
        <f>IFERROR(IF(bb_akun=INDEX(ju_debet,MATCH(ROW(J74),JURNAL!$O:$O,0)),INDEX(ju_sld,MATCH(ROW(K74),JURNAL!$O:$O,0)),0),"")</f>
        <v/>
      </c>
      <c r="F86" s="39" t="str">
        <f>IFERROR(IF(bb_akun=INDEX(ju_kr,MATCH(ROW(J74),JURNAL!$O:$O,0)),INDEX(ju_sld,MATCH(ROW(K74),JURNAL!$O:$O,0)),0),"")</f>
        <v/>
      </c>
      <c r="G86" s="39" t="str">
        <f>IF(B86="","",IF(INDEX(typ_sn,MATCH($C$9,typ_ket,0))="db",$G$8+SUM($E$13:E86)-SUM($F$13:F86),$G$8+SUM($F$13:F86)-SUM($E$13:E86)))</f>
        <v/>
      </c>
    </row>
    <row r="87" spans="2:7" ht="23.1" customHeight="1">
      <c r="B87" s="45" t="str">
        <f>IFERROR(INDEX(ju_tgl,MATCH(ROW(J75),JURNAL!$O:$O,0)),"")</f>
        <v/>
      </c>
      <c r="C87" s="7" t="str">
        <f>IFERROR(INDEX(ju_ref,MATCH(ROW(J75),JURNAL!$O:$O,0)),"")</f>
        <v/>
      </c>
      <c r="D87" s="7" t="str">
        <f>IFERROR(INDEX(ju_ket,MATCH(ROW(J75),JURNAL!$O:$O,0)),"")</f>
        <v/>
      </c>
      <c r="E87" s="39" t="str">
        <f>IFERROR(IF(bb_akun=INDEX(ju_debet,MATCH(ROW(J75),JURNAL!$O:$O,0)),INDEX(ju_sld,MATCH(ROW(K75),JURNAL!$O:$O,0)),0),"")</f>
        <v/>
      </c>
      <c r="F87" s="39" t="str">
        <f>IFERROR(IF(bb_akun=INDEX(ju_kr,MATCH(ROW(J75),JURNAL!$O:$O,0)),INDEX(ju_sld,MATCH(ROW(K75),JURNAL!$O:$O,0)),0),"")</f>
        <v/>
      </c>
      <c r="G87" s="39" t="str">
        <f>IF(B87="","",IF(INDEX(typ_sn,MATCH($C$9,typ_ket,0))="db",$G$8+SUM($E$13:E87)-SUM($F$13:F87),$G$8+SUM($F$13:F87)-SUM($E$13:E87)))</f>
        <v/>
      </c>
    </row>
    <row r="88" spans="2:7" ht="23.1" customHeight="1">
      <c r="B88" s="45" t="str">
        <f>IFERROR(INDEX(ju_tgl,MATCH(ROW(J76),JURNAL!$O:$O,0)),"")</f>
        <v/>
      </c>
      <c r="C88" s="7" t="str">
        <f>IFERROR(INDEX(ju_ref,MATCH(ROW(J76),JURNAL!$O:$O,0)),"")</f>
        <v/>
      </c>
      <c r="D88" s="7" t="str">
        <f>IFERROR(INDEX(ju_ket,MATCH(ROW(J76),JURNAL!$O:$O,0)),"")</f>
        <v/>
      </c>
      <c r="E88" s="39" t="str">
        <f>IFERROR(IF(bb_akun=INDEX(ju_debet,MATCH(ROW(J76),JURNAL!$O:$O,0)),INDEX(ju_sld,MATCH(ROW(K76),JURNAL!$O:$O,0)),0),"")</f>
        <v/>
      </c>
      <c r="F88" s="39" t="str">
        <f>IFERROR(IF(bb_akun=INDEX(ju_kr,MATCH(ROW(J76),JURNAL!$O:$O,0)),INDEX(ju_sld,MATCH(ROW(K76),JURNAL!$O:$O,0)),0),"")</f>
        <v/>
      </c>
      <c r="G88" s="39" t="str">
        <f>IF(B88="","",IF(INDEX(typ_sn,MATCH($C$9,typ_ket,0))="db",$G$8+SUM($E$13:E88)-SUM($F$13:F88),$G$8+SUM($F$13:F88)-SUM($E$13:E88)))</f>
        <v/>
      </c>
    </row>
    <row r="89" spans="2:7" ht="23.1" customHeight="1">
      <c r="B89" s="45" t="str">
        <f>IFERROR(INDEX(ju_tgl,MATCH(ROW(J77),JURNAL!$O:$O,0)),"")</f>
        <v/>
      </c>
      <c r="C89" s="7" t="str">
        <f>IFERROR(INDEX(ju_ref,MATCH(ROW(J77),JURNAL!$O:$O,0)),"")</f>
        <v/>
      </c>
      <c r="D89" s="7" t="str">
        <f>IFERROR(INDEX(ju_ket,MATCH(ROW(J77),JURNAL!$O:$O,0)),"")</f>
        <v/>
      </c>
      <c r="E89" s="39" t="str">
        <f>IFERROR(IF(bb_akun=INDEX(ju_debet,MATCH(ROW(J77),JURNAL!$O:$O,0)),INDEX(ju_sld,MATCH(ROW(K77),JURNAL!$O:$O,0)),0),"")</f>
        <v/>
      </c>
      <c r="F89" s="39" t="str">
        <f>IFERROR(IF(bb_akun=INDEX(ju_kr,MATCH(ROW(J77),JURNAL!$O:$O,0)),INDEX(ju_sld,MATCH(ROW(K77),JURNAL!$O:$O,0)),0),"")</f>
        <v/>
      </c>
      <c r="G89" s="39" t="str">
        <f>IF(B89="","",IF(INDEX(typ_sn,MATCH($C$9,typ_ket,0))="db",$G$8+SUM($E$13:E89)-SUM($F$13:F89),$G$8+SUM($F$13:F89)-SUM($E$13:E89)))</f>
        <v/>
      </c>
    </row>
    <row r="90" spans="2:7" ht="23.1" customHeight="1">
      <c r="B90" s="45" t="str">
        <f>IFERROR(INDEX(ju_tgl,MATCH(ROW(J78),JURNAL!$O:$O,0)),"")</f>
        <v/>
      </c>
      <c r="C90" s="7" t="str">
        <f>IFERROR(INDEX(ju_ref,MATCH(ROW(J78),JURNAL!$O:$O,0)),"")</f>
        <v/>
      </c>
      <c r="D90" s="7" t="str">
        <f>IFERROR(INDEX(ju_ket,MATCH(ROW(J78),JURNAL!$O:$O,0)),"")</f>
        <v/>
      </c>
      <c r="E90" s="39" t="str">
        <f>IFERROR(IF(bb_akun=INDEX(ju_debet,MATCH(ROW(J78),JURNAL!$O:$O,0)),INDEX(ju_sld,MATCH(ROW(K78),JURNAL!$O:$O,0)),0),"")</f>
        <v/>
      </c>
      <c r="F90" s="39" t="str">
        <f>IFERROR(IF(bb_akun=INDEX(ju_kr,MATCH(ROW(J78),JURNAL!$O:$O,0)),INDEX(ju_sld,MATCH(ROW(K78),JURNAL!$O:$O,0)),0),"")</f>
        <v/>
      </c>
      <c r="G90" s="39" t="str">
        <f>IF(B90="","",IF(INDEX(typ_sn,MATCH($C$9,typ_ket,0))="db",$G$8+SUM($E$13:E90)-SUM($F$13:F90),$G$8+SUM($F$13:F90)-SUM($E$13:E90)))</f>
        <v/>
      </c>
    </row>
    <row r="91" spans="2:7" ht="23.1" customHeight="1">
      <c r="B91" s="45" t="str">
        <f>IFERROR(INDEX(ju_tgl,MATCH(ROW(J79),JURNAL!$O:$O,0)),"")</f>
        <v/>
      </c>
      <c r="C91" s="7" t="str">
        <f>IFERROR(INDEX(ju_ref,MATCH(ROW(J79),JURNAL!$O:$O,0)),"")</f>
        <v/>
      </c>
      <c r="D91" s="7" t="str">
        <f>IFERROR(INDEX(ju_ket,MATCH(ROW(J79),JURNAL!$O:$O,0)),"")</f>
        <v/>
      </c>
      <c r="E91" s="39" t="str">
        <f>IFERROR(IF(bb_akun=INDEX(ju_debet,MATCH(ROW(J79),JURNAL!$O:$O,0)),INDEX(ju_sld,MATCH(ROW(K79),JURNAL!$O:$O,0)),0),"")</f>
        <v/>
      </c>
      <c r="F91" s="39" t="str">
        <f>IFERROR(IF(bb_akun=INDEX(ju_kr,MATCH(ROW(J79),JURNAL!$O:$O,0)),INDEX(ju_sld,MATCH(ROW(K79),JURNAL!$O:$O,0)),0),"")</f>
        <v/>
      </c>
      <c r="G91" s="39" t="str">
        <f>IF(B91="","",IF(INDEX(typ_sn,MATCH($C$9,typ_ket,0))="db",$G$8+SUM($E$13:E91)-SUM($F$13:F91),$G$8+SUM($F$13:F91)-SUM($E$13:E91)))</f>
        <v/>
      </c>
    </row>
    <row r="92" spans="2:7" ht="23.1" customHeight="1">
      <c r="B92" s="45" t="str">
        <f>IFERROR(INDEX(ju_tgl,MATCH(ROW(J80),JURNAL!$O:$O,0)),"")</f>
        <v/>
      </c>
      <c r="C92" s="7" t="str">
        <f>IFERROR(INDEX(ju_ref,MATCH(ROW(J80),JURNAL!$O:$O,0)),"")</f>
        <v/>
      </c>
      <c r="D92" s="7" t="str">
        <f>IFERROR(INDEX(ju_ket,MATCH(ROW(J80),JURNAL!$O:$O,0)),"")</f>
        <v/>
      </c>
      <c r="E92" s="39" t="str">
        <f>IFERROR(IF(bb_akun=INDEX(ju_debet,MATCH(ROW(J80),JURNAL!$O:$O,0)),INDEX(ju_sld,MATCH(ROW(K80),JURNAL!$O:$O,0)),0),"")</f>
        <v/>
      </c>
      <c r="F92" s="39" t="str">
        <f>IFERROR(IF(bb_akun=INDEX(ju_kr,MATCH(ROW(J80),JURNAL!$O:$O,0)),INDEX(ju_sld,MATCH(ROW(K80),JURNAL!$O:$O,0)),0),"")</f>
        <v/>
      </c>
      <c r="G92" s="39" t="str">
        <f>IF(B92="","",IF(INDEX(typ_sn,MATCH($C$9,typ_ket,0))="db",$G$8+SUM($E$13:E92)-SUM($F$13:F92),$G$8+SUM($F$13:F92)-SUM($E$13:E92)))</f>
        <v/>
      </c>
    </row>
    <row r="93" spans="2:7" ht="23.1" customHeight="1">
      <c r="B93" s="45" t="str">
        <f>IFERROR(INDEX(ju_tgl,MATCH(ROW(J81),JURNAL!$O:$O,0)),"")</f>
        <v/>
      </c>
      <c r="C93" s="7" t="str">
        <f>IFERROR(INDEX(ju_ref,MATCH(ROW(J81),JURNAL!$O:$O,0)),"")</f>
        <v/>
      </c>
      <c r="D93" s="7" t="str">
        <f>IFERROR(INDEX(ju_ket,MATCH(ROW(J81),JURNAL!$O:$O,0)),"")</f>
        <v/>
      </c>
      <c r="E93" s="39" t="str">
        <f>IFERROR(IF(bb_akun=INDEX(ju_debet,MATCH(ROW(J81),JURNAL!$O:$O,0)),INDEX(ju_sld,MATCH(ROW(K81),JURNAL!$O:$O,0)),0),"")</f>
        <v/>
      </c>
      <c r="F93" s="39" t="str">
        <f>IFERROR(IF(bb_akun=INDEX(ju_kr,MATCH(ROW(J81),JURNAL!$O:$O,0)),INDEX(ju_sld,MATCH(ROW(K81),JURNAL!$O:$O,0)),0),"")</f>
        <v/>
      </c>
      <c r="G93" s="39" t="str">
        <f>IF(B93="","",IF(INDEX(typ_sn,MATCH($C$9,typ_ket,0))="db",$G$8+SUM($E$13:E93)-SUM($F$13:F93),$G$8+SUM($F$13:F93)-SUM($E$13:E93)))</f>
        <v/>
      </c>
    </row>
    <row r="94" spans="2:7" ht="23.1" customHeight="1">
      <c r="B94" s="45" t="str">
        <f>IFERROR(INDEX(ju_tgl,MATCH(ROW(J82),JURNAL!$O:$O,0)),"")</f>
        <v/>
      </c>
      <c r="C94" s="7" t="str">
        <f>IFERROR(INDEX(ju_ref,MATCH(ROW(J82),JURNAL!$O:$O,0)),"")</f>
        <v/>
      </c>
      <c r="D94" s="7" t="str">
        <f>IFERROR(INDEX(ju_ket,MATCH(ROW(J82),JURNAL!$O:$O,0)),"")</f>
        <v/>
      </c>
      <c r="E94" s="39" t="str">
        <f>IFERROR(IF(bb_akun=INDEX(ju_debet,MATCH(ROW(J82),JURNAL!$O:$O,0)),INDEX(ju_sld,MATCH(ROW(K82),JURNAL!$O:$O,0)),0),"")</f>
        <v/>
      </c>
      <c r="F94" s="39" t="str">
        <f>IFERROR(IF(bb_akun=INDEX(ju_kr,MATCH(ROW(J82),JURNAL!$O:$O,0)),INDEX(ju_sld,MATCH(ROW(K82),JURNAL!$O:$O,0)),0),"")</f>
        <v/>
      </c>
      <c r="G94" s="39" t="str">
        <f>IF(B94="","",IF(INDEX(typ_sn,MATCH($C$9,typ_ket,0))="db",$G$8+SUM($E$13:E94)-SUM($F$13:F94),$G$8+SUM($F$13:F94)-SUM($E$13:E94)))</f>
        <v/>
      </c>
    </row>
    <row r="95" spans="2:7" ht="23.1" customHeight="1">
      <c r="B95" s="45" t="str">
        <f>IFERROR(INDEX(ju_tgl,MATCH(ROW(J83),JURNAL!$O:$O,0)),"")</f>
        <v/>
      </c>
      <c r="C95" s="7" t="str">
        <f>IFERROR(INDEX(ju_ref,MATCH(ROW(J83),JURNAL!$O:$O,0)),"")</f>
        <v/>
      </c>
      <c r="D95" s="7" t="str">
        <f>IFERROR(INDEX(ju_ket,MATCH(ROW(J83),JURNAL!$O:$O,0)),"")</f>
        <v/>
      </c>
      <c r="E95" s="39" t="str">
        <f>IFERROR(IF(bb_akun=INDEX(ju_debet,MATCH(ROW(J83),JURNAL!$O:$O,0)),INDEX(ju_sld,MATCH(ROW(K83),JURNAL!$O:$O,0)),0),"")</f>
        <v/>
      </c>
      <c r="F95" s="39" t="str">
        <f>IFERROR(IF(bb_akun=INDEX(ju_kr,MATCH(ROW(J83),JURNAL!$O:$O,0)),INDEX(ju_sld,MATCH(ROW(K83),JURNAL!$O:$O,0)),0),"")</f>
        <v/>
      </c>
      <c r="G95" s="39" t="str">
        <f>IF(B95="","",IF(INDEX(typ_sn,MATCH($C$9,typ_ket,0))="db",$G$8+SUM($E$13:E95)-SUM($F$13:F95),$G$8+SUM($F$13:F95)-SUM($E$13:E95)))</f>
        <v/>
      </c>
    </row>
    <row r="96" spans="2:7" ht="23.1" customHeight="1">
      <c r="B96" s="45" t="str">
        <f>IFERROR(INDEX(ju_tgl,MATCH(ROW(J84),JURNAL!$O:$O,0)),"")</f>
        <v/>
      </c>
      <c r="C96" s="7" t="str">
        <f>IFERROR(INDEX(ju_ref,MATCH(ROW(J84),JURNAL!$O:$O,0)),"")</f>
        <v/>
      </c>
      <c r="D96" s="7" t="str">
        <f>IFERROR(INDEX(ju_ket,MATCH(ROW(J84),JURNAL!$O:$O,0)),"")</f>
        <v/>
      </c>
      <c r="E96" s="39" t="str">
        <f>IFERROR(IF(bb_akun=INDEX(ju_debet,MATCH(ROW(J84),JURNAL!$O:$O,0)),INDEX(ju_sld,MATCH(ROW(K84),JURNAL!$O:$O,0)),0),"")</f>
        <v/>
      </c>
      <c r="F96" s="39" t="str">
        <f>IFERROR(IF(bb_akun=INDEX(ju_kr,MATCH(ROW(J84),JURNAL!$O:$O,0)),INDEX(ju_sld,MATCH(ROW(K84),JURNAL!$O:$O,0)),0),"")</f>
        <v/>
      </c>
      <c r="G96" s="39" t="str">
        <f>IF(B96="","",IF(INDEX(typ_sn,MATCH($C$9,typ_ket,0))="db",$G$8+SUM($E$13:E96)-SUM($F$13:F96),$G$8+SUM($F$13:F96)-SUM($E$13:E96)))</f>
        <v/>
      </c>
    </row>
    <row r="97" spans="2:7" ht="23.1" customHeight="1">
      <c r="B97" s="45" t="str">
        <f>IFERROR(INDEX(ju_tgl,MATCH(ROW(J85),JURNAL!$O:$O,0)),"")</f>
        <v/>
      </c>
      <c r="C97" s="7" t="str">
        <f>IFERROR(INDEX(ju_ref,MATCH(ROW(J85),JURNAL!$O:$O,0)),"")</f>
        <v/>
      </c>
      <c r="D97" s="7" t="str">
        <f>IFERROR(INDEX(ju_ket,MATCH(ROW(J85),JURNAL!$O:$O,0)),"")</f>
        <v/>
      </c>
      <c r="E97" s="39" t="str">
        <f>IFERROR(IF(bb_akun=INDEX(ju_debet,MATCH(ROW(J85),JURNAL!$O:$O,0)),INDEX(ju_sld,MATCH(ROW(K85),JURNAL!$O:$O,0)),0),"")</f>
        <v/>
      </c>
      <c r="F97" s="39" t="str">
        <f>IFERROR(IF(bb_akun=INDEX(ju_kr,MATCH(ROW(J85),JURNAL!$O:$O,0)),INDEX(ju_sld,MATCH(ROW(K85),JURNAL!$O:$O,0)),0),"")</f>
        <v/>
      </c>
      <c r="G97" s="39" t="str">
        <f>IF(B97="","",IF(INDEX(typ_sn,MATCH($C$9,typ_ket,0))="db",$G$8+SUM($E$13:E97)-SUM($F$13:F97),$G$8+SUM($F$13:F97)-SUM($E$13:E97)))</f>
        <v/>
      </c>
    </row>
    <row r="98" spans="2:7" ht="23.1" customHeight="1">
      <c r="B98" s="45" t="str">
        <f>IFERROR(INDEX(ju_tgl,MATCH(ROW(J86),JURNAL!$O:$O,0)),"")</f>
        <v/>
      </c>
      <c r="C98" s="7" t="str">
        <f>IFERROR(INDEX(ju_ref,MATCH(ROW(J86),JURNAL!$O:$O,0)),"")</f>
        <v/>
      </c>
      <c r="D98" s="7" t="str">
        <f>IFERROR(INDEX(ju_ket,MATCH(ROW(J86),JURNAL!$O:$O,0)),"")</f>
        <v/>
      </c>
      <c r="E98" s="39" t="str">
        <f>IFERROR(IF(bb_akun=INDEX(ju_debet,MATCH(ROW(J86),JURNAL!$O:$O,0)),INDEX(ju_sld,MATCH(ROW(K86),JURNAL!$O:$O,0)),0),"")</f>
        <v/>
      </c>
      <c r="F98" s="39" t="str">
        <f>IFERROR(IF(bb_akun=INDEX(ju_kr,MATCH(ROW(J86),JURNAL!$O:$O,0)),INDEX(ju_sld,MATCH(ROW(K86),JURNAL!$O:$O,0)),0),"")</f>
        <v/>
      </c>
      <c r="G98" s="39" t="str">
        <f>IF(B98="","",IF(INDEX(typ_sn,MATCH($C$9,typ_ket,0))="db",$G$8+SUM($E$13:E98)-SUM($F$13:F98),$G$8+SUM($F$13:F98)-SUM($E$13:E98)))</f>
        <v/>
      </c>
    </row>
    <row r="99" spans="2:7" ht="23.1" customHeight="1">
      <c r="B99" s="45" t="str">
        <f>IFERROR(INDEX(ju_tgl,MATCH(ROW(J87),JURNAL!$O:$O,0)),"")</f>
        <v/>
      </c>
      <c r="C99" s="7" t="str">
        <f>IFERROR(INDEX(ju_ref,MATCH(ROW(J87),JURNAL!$O:$O,0)),"")</f>
        <v/>
      </c>
      <c r="D99" s="7" t="str">
        <f>IFERROR(INDEX(ju_ket,MATCH(ROW(J87),JURNAL!$O:$O,0)),"")</f>
        <v/>
      </c>
      <c r="E99" s="39" t="str">
        <f>IFERROR(IF(bb_akun=INDEX(ju_debet,MATCH(ROW(J87),JURNAL!$O:$O,0)),INDEX(ju_sld,MATCH(ROW(K87),JURNAL!$O:$O,0)),0),"")</f>
        <v/>
      </c>
      <c r="F99" s="39" t="str">
        <f>IFERROR(IF(bb_akun=INDEX(ju_kr,MATCH(ROW(J87),JURNAL!$O:$O,0)),INDEX(ju_sld,MATCH(ROW(K87),JURNAL!$O:$O,0)),0),"")</f>
        <v/>
      </c>
      <c r="G99" s="39" t="str">
        <f>IF(B99="","",IF(INDEX(typ_sn,MATCH($C$9,typ_ket,0))="db",$G$8+SUM($E$13:E99)-SUM($F$13:F99),$G$8+SUM($F$13:F99)-SUM($E$13:E99)))</f>
        <v/>
      </c>
    </row>
    <row r="100" spans="2:7" ht="23.1" customHeight="1">
      <c r="B100" s="45" t="str">
        <f>IFERROR(INDEX(ju_tgl,MATCH(ROW(J88),JURNAL!$O:$O,0)),"")</f>
        <v/>
      </c>
      <c r="C100" s="7" t="str">
        <f>IFERROR(INDEX(ju_ref,MATCH(ROW(J88),JURNAL!$O:$O,0)),"")</f>
        <v/>
      </c>
      <c r="D100" s="7" t="str">
        <f>IFERROR(INDEX(ju_ket,MATCH(ROW(J88),JURNAL!$O:$O,0)),"")</f>
        <v/>
      </c>
      <c r="E100" s="39" t="str">
        <f>IFERROR(IF(bb_akun=INDEX(ju_debet,MATCH(ROW(J88),JURNAL!$O:$O,0)),INDEX(ju_sld,MATCH(ROW(K88),JURNAL!$O:$O,0)),0),"")</f>
        <v/>
      </c>
      <c r="F100" s="39" t="str">
        <f>IFERROR(IF(bb_akun=INDEX(ju_kr,MATCH(ROW(J88),JURNAL!$O:$O,0)),INDEX(ju_sld,MATCH(ROW(K88),JURNAL!$O:$O,0)),0),"")</f>
        <v/>
      </c>
      <c r="G100" s="39" t="str">
        <f>IF(B100="","",IF(INDEX(typ_sn,MATCH($C$9,typ_ket,0))="db",$G$8+SUM($E$13:E100)-SUM($F$13:F100),$G$8+SUM($F$13:F100)-SUM($E$13:E100)))</f>
        <v/>
      </c>
    </row>
    <row r="101" spans="2:7" ht="23.1" customHeight="1">
      <c r="B101" s="45" t="str">
        <f>IFERROR(INDEX(ju_tgl,MATCH(ROW(J89),JURNAL!$O:$O,0)),"")</f>
        <v/>
      </c>
      <c r="C101" s="7" t="str">
        <f>IFERROR(INDEX(ju_ref,MATCH(ROW(J89),JURNAL!$O:$O,0)),"")</f>
        <v/>
      </c>
      <c r="D101" s="7" t="str">
        <f>IFERROR(INDEX(ju_ket,MATCH(ROW(J89),JURNAL!$O:$O,0)),"")</f>
        <v/>
      </c>
      <c r="E101" s="39" t="str">
        <f>IFERROR(IF(bb_akun=INDEX(ju_debet,MATCH(ROW(J89),JURNAL!$O:$O,0)),INDEX(ju_sld,MATCH(ROW(K89),JURNAL!$O:$O,0)),0),"")</f>
        <v/>
      </c>
      <c r="F101" s="39" t="str">
        <f>IFERROR(IF(bb_akun=INDEX(ju_kr,MATCH(ROW(J89),JURNAL!$O:$O,0)),INDEX(ju_sld,MATCH(ROW(K89),JURNAL!$O:$O,0)),0),"")</f>
        <v/>
      </c>
      <c r="G101" s="39" t="str">
        <f>IF(B101="","",IF(INDEX(typ_sn,MATCH($C$9,typ_ket,0))="db",$G$8+SUM($E$13:E101)-SUM($F$13:F101),$G$8+SUM($F$13:F101)-SUM($E$13:E101)))</f>
        <v/>
      </c>
    </row>
    <row r="102" spans="2:7" ht="23.1" customHeight="1">
      <c r="B102" s="45" t="str">
        <f>IFERROR(INDEX(ju_tgl,MATCH(ROW(J90),JURNAL!$O:$O,0)),"")</f>
        <v/>
      </c>
      <c r="C102" s="7" t="str">
        <f>IFERROR(INDEX(ju_ref,MATCH(ROW(J90),JURNAL!$O:$O,0)),"")</f>
        <v/>
      </c>
      <c r="D102" s="7" t="str">
        <f>IFERROR(INDEX(ju_ket,MATCH(ROW(J90),JURNAL!$O:$O,0)),"")</f>
        <v/>
      </c>
      <c r="E102" s="39" t="str">
        <f>IFERROR(IF(bb_akun=INDEX(ju_debet,MATCH(ROW(J90),JURNAL!$O:$O,0)),INDEX(ju_sld,MATCH(ROW(K90),JURNAL!$O:$O,0)),0),"")</f>
        <v/>
      </c>
      <c r="F102" s="39" t="str">
        <f>IFERROR(IF(bb_akun=INDEX(ju_kr,MATCH(ROW(J90),JURNAL!$O:$O,0)),INDEX(ju_sld,MATCH(ROW(K90),JURNAL!$O:$O,0)),0),"")</f>
        <v/>
      </c>
      <c r="G102" s="39" t="str">
        <f>IF(B102="","",IF(INDEX(typ_sn,MATCH($C$9,typ_ket,0))="db",$G$8+SUM($E$13:E102)-SUM($F$13:F102),$G$8+SUM($F$13:F102)-SUM($E$13:E102)))</f>
        <v/>
      </c>
    </row>
    <row r="103" spans="2:7" ht="23.1" customHeight="1">
      <c r="B103" s="45" t="str">
        <f>IFERROR(INDEX(ju_tgl,MATCH(ROW(J91),JURNAL!$O:$O,0)),"")</f>
        <v/>
      </c>
      <c r="C103" s="7" t="str">
        <f>IFERROR(INDEX(ju_ref,MATCH(ROW(J91),JURNAL!$O:$O,0)),"")</f>
        <v/>
      </c>
      <c r="D103" s="7" t="str">
        <f>IFERROR(INDEX(ju_ket,MATCH(ROW(J91),JURNAL!$O:$O,0)),"")</f>
        <v/>
      </c>
      <c r="E103" s="39" t="str">
        <f>IFERROR(IF(bb_akun=INDEX(ju_debet,MATCH(ROW(J91),JURNAL!$O:$O,0)),INDEX(ju_sld,MATCH(ROW(K91),JURNAL!$O:$O,0)),0),"")</f>
        <v/>
      </c>
      <c r="F103" s="39" t="str">
        <f>IFERROR(IF(bb_akun=INDEX(ju_kr,MATCH(ROW(J91),JURNAL!$O:$O,0)),INDEX(ju_sld,MATCH(ROW(K91),JURNAL!$O:$O,0)),0),"")</f>
        <v/>
      </c>
      <c r="G103" s="39" t="str">
        <f>IF(B103="","",IF(INDEX(typ_sn,MATCH($C$9,typ_ket,0))="db",$G$8+SUM($E$13:E103)-SUM($F$13:F103),$G$8+SUM($F$13:F103)-SUM($E$13:E103)))</f>
        <v/>
      </c>
    </row>
    <row r="104" spans="2:7" ht="23.1" customHeight="1">
      <c r="B104" s="45" t="str">
        <f>IFERROR(INDEX(ju_tgl,MATCH(ROW(J92),JURNAL!$O:$O,0)),"")</f>
        <v/>
      </c>
      <c r="C104" s="7" t="str">
        <f>IFERROR(INDEX(ju_ref,MATCH(ROW(J92),JURNAL!$O:$O,0)),"")</f>
        <v/>
      </c>
      <c r="D104" s="7" t="str">
        <f>IFERROR(INDEX(ju_ket,MATCH(ROW(J92),JURNAL!$O:$O,0)),"")</f>
        <v/>
      </c>
      <c r="E104" s="39" t="str">
        <f>IFERROR(IF(bb_akun=INDEX(ju_debet,MATCH(ROW(J92),JURNAL!$O:$O,0)),INDEX(ju_sld,MATCH(ROW(K92),JURNAL!$O:$O,0)),0),"")</f>
        <v/>
      </c>
      <c r="F104" s="39" t="str">
        <f>IFERROR(IF(bb_akun=INDEX(ju_kr,MATCH(ROW(J92),JURNAL!$O:$O,0)),INDEX(ju_sld,MATCH(ROW(K92),JURNAL!$O:$O,0)),0),"")</f>
        <v/>
      </c>
      <c r="G104" s="39" t="str">
        <f>IF(B104="","",IF(INDEX(typ_sn,MATCH($C$9,typ_ket,0))="db",$G$8+SUM($E$13:E104)-SUM($F$13:F104),$G$8+SUM($F$13:F104)-SUM($E$13:E104)))</f>
        <v/>
      </c>
    </row>
    <row r="105" spans="2:7" ht="23.1" customHeight="1">
      <c r="B105" s="45" t="str">
        <f>IFERROR(INDEX(ju_tgl,MATCH(ROW(J93),JURNAL!$O:$O,0)),"")</f>
        <v/>
      </c>
      <c r="C105" s="7" t="str">
        <f>IFERROR(INDEX(ju_ref,MATCH(ROW(J93),JURNAL!$O:$O,0)),"")</f>
        <v/>
      </c>
      <c r="D105" s="7" t="str">
        <f>IFERROR(INDEX(ju_ket,MATCH(ROW(J93),JURNAL!$O:$O,0)),"")</f>
        <v/>
      </c>
      <c r="E105" s="39" t="str">
        <f>IFERROR(IF(bb_akun=INDEX(ju_debet,MATCH(ROW(J93),JURNAL!$O:$O,0)),INDEX(ju_sld,MATCH(ROW(K93),JURNAL!$O:$O,0)),0),"")</f>
        <v/>
      </c>
      <c r="F105" s="39" t="str">
        <f>IFERROR(IF(bb_akun=INDEX(ju_kr,MATCH(ROW(J93),JURNAL!$O:$O,0)),INDEX(ju_sld,MATCH(ROW(K93),JURNAL!$O:$O,0)),0),"")</f>
        <v/>
      </c>
      <c r="G105" s="39" t="str">
        <f>IF(B105="","",IF(INDEX(typ_sn,MATCH($C$9,typ_ket,0))="db",$G$8+SUM($E$13:E105)-SUM($F$13:F105),$G$8+SUM($F$13:F105)-SUM($E$13:E105)))</f>
        <v/>
      </c>
    </row>
    <row r="106" spans="2:7" ht="23.1" customHeight="1">
      <c r="B106" s="45" t="str">
        <f>IFERROR(INDEX(ju_tgl,MATCH(ROW(J94),JURNAL!$O:$O,0)),"")</f>
        <v/>
      </c>
      <c r="C106" s="7" t="str">
        <f>IFERROR(INDEX(ju_ref,MATCH(ROW(J94),JURNAL!$O:$O,0)),"")</f>
        <v/>
      </c>
      <c r="D106" s="7" t="str">
        <f>IFERROR(INDEX(ju_ket,MATCH(ROW(J94),JURNAL!$O:$O,0)),"")</f>
        <v/>
      </c>
      <c r="E106" s="39" t="str">
        <f>IFERROR(IF(bb_akun=INDEX(ju_debet,MATCH(ROW(J94),JURNAL!$O:$O,0)),INDEX(ju_sld,MATCH(ROW(K94),JURNAL!$O:$O,0)),0),"")</f>
        <v/>
      </c>
      <c r="F106" s="39" t="str">
        <f>IFERROR(IF(bb_akun=INDEX(ju_kr,MATCH(ROW(J94),JURNAL!$O:$O,0)),INDEX(ju_sld,MATCH(ROW(K94),JURNAL!$O:$O,0)),0),"")</f>
        <v/>
      </c>
      <c r="G106" s="39" t="str">
        <f>IF(B106="","",IF(INDEX(typ_sn,MATCH($C$9,typ_ket,0))="db",$G$8+SUM($E$13:E106)-SUM($F$13:F106),$G$8+SUM($F$13:F106)-SUM($E$13:E106)))</f>
        <v/>
      </c>
    </row>
    <row r="107" spans="2:7" ht="23.1" customHeight="1">
      <c r="B107" s="45" t="str">
        <f>IFERROR(INDEX(ju_tgl,MATCH(ROW(J95),JURNAL!$O:$O,0)),"")</f>
        <v/>
      </c>
      <c r="C107" s="7" t="str">
        <f>IFERROR(INDEX(ju_ref,MATCH(ROW(J95),JURNAL!$O:$O,0)),"")</f>
        <v/>
      </c>
      <c r="D107" s="7" t="str">
        <f>IFERROR(INDEX(ju_ket,MATCH(ROW(J95),JURNAL!$O:$O,0)),"")</f>
        <v/>
      </c>
      <c r="E107" s="39" t="str">
        <f>IFERROR(IF(bb_akun=INDEX(ju_debet,MATCH(ROW(J95),JURNAL!$O:$O,0)),INDEX(ju_sld,MATCH(ROW(K95),JURNAL!$O:$O,0)),0),"")</f>
        <v/>
      </c>
      <c r="F107" s="39" t="str">
        <f>IFERROR(IF(bb_akun=INDEX(ju_kr,MATCH(ROW(J95),JURNAL!$O:$O,0)),INDEX(ju_sld,MATCH(ROW(K95),JURNAL!$O:$O,0)),0),"")</f>
        <v/>
      </c>
      <c r="G107" s="39" t="str">
        <f>IF(B107="","",IF(INDEX(typ_sn,MATCH($C$9,typ_ket,0))="db",$G$8+SUM($E$13:E107)-SUM($F$13:F107),$G$8+SUM($F$13:F107)-SUM($E$13:E107)))</f>
        <v/>
      </c>
    </row>
    <row r="108" spans="2:7" ht="23.1" customHeight="1">
      <c r="B108" s="45" t="str">
        <f>IFERROR(INDEX(ju_tgl,MATCH(ROW(J96),JURNAL!$O:$O,0)),"")</f>
        <v/>
      </c>
      <c r="C108" s="7" t="str">
        <f>IFERROR(INDEX(ju_ref,MATCH(ROW(J96),JURNAL!$O:$O,0)),"")</f>
        <v/>
      </c>
      <c r="D108" s="7" t="str">
        <f>IFERROR(INDEX(ju_ket,MATCH(ROW(J96),JURNAL!$O:$O,0)),"")</f>
        <v/>
      </c>
      <c r="E108" s="39" t="str">
        <f>IFERROR(IF(bb_akun=INDEX(ju_debet,MATCH(ROW(J96),JURNAL!$O:$O,0)),INDEX(ju_sld,MATCH(ROW(K96),JURNAL!$O:$O,0)),0),"")</f>
        <v/>
      </c>
      <c r="F108" s="39" t="str">
        <f>IFERROR(IF(bb_akun=INDEX(ju_kr,MATCH(ROW(J96),JURNAL!$O:$O,0)),INDEX(ju_sld,MATCH(ROW(K96),JURNAL!$O:$O,0)),0),"")</f>
        <v/>
      </c>
      <c r="G108" s="39" t="str">
        <f>IF(B108="","",IF(INDEX(typ_sn,MATCH($C$9,typ_ket,0))="db",$G$8+SUM($E$13:E108)-SUM($F$13:F108),$G$8+SUM($F$13:F108)-SUM($E$13:E108)))</f>
        <v/>
      </c>
    </row>
    <row r="109" spans="2:7" ht="23.1" customHeight="1">
      <c r="B109" s="45" t="str">
        <f>IFERROR(INDEX(ju_tgl,MATCH(ROW(J97),JURNAL!$O:$O,0)),"")</f>
        <v/>
      </c>
      <c r="C109" s="7" t="str">
        <f>IFERROR(INDEX(ju_ref,MATCH(ROW(J97),JURNAL!$O:$O,0)),"")</f>
        <v/>
      </c>
      <c r="D109" s="7" t="str">
        <f>IFERROR(INDEX(ju_ket,MATCH(ROW(J97),JURNAL!$O:$O,0)),"")</f>
        <v/>
      </c>
      <c r="E109" s="39" t="str">
        <f>IFERROR(IF(bb_akun=INDEX(ju_debet,MATCH(ROW(J97),JURNAL!$O:$O,0)),INDEX(ju_sld,MATCH(ROW(K97),JURNAL!$O:$O,0)),0),"")</f>
        <v/>
      </c>
      <c r="F109" s="39" t="str">
        <f>IFERROR(IF(bb_akun=INDEX(ju_kr,MATCH(ROW(J97),JURNAL!$O:$O,0)),INDEX(ju_sld,MATCH(ROW(K97),JURNAL!$O:$O,0)),0),"")</f>
        <v/>
      </c>
      <c r="G109" s="39" t="str">
        <f>IF(B109="","",IF(INDEX(typ_sn,MATCH($C$9,typ_ket,0))="db",$G$8+SUM($E$13:E109)-SUM($F$13:F109),$G$8+SUM($F$13:F109)-SUM($E$13:E109)))</f>
        <v/>
      </c>
    </row>
    <row r="110" spans="2:7" ht="23.1" customHeight="1">
      <c r="B110" s="45" t="str">
        <f>IFERROR(INDEX(ju_tgl,MATCH(ROW(J98),JURNAL!$O:$O,0)),"")</f>
        <v/>
      </c>
      <c r="C110" s="7" t="str">
        <f>IFERROR(INDEX(ju_ref,MATCH(ROW(J98),JURNAL!$O:$O,0)),"")</f>
        <v/>
      </c>
      <c r="D110" s="7" t="str">
        <f>IFERROR(INDEX(ju_ket,MATCH(ROW(J98),JURNAL!$O:$O,0)),"")</f>
        <v/>
      </c>
      <c r="E110" s="39" t="str">
        <f>IFERROR(IF(bb_akun=INDEX(ju_debet,MATCH(ROW(J98),JURNAL!$O:$O,0)),INDEX(ju_sld,MATCH(ROW(K98),JURNAL!$O:$O,0)),0),"")</f>
        <v/>
      </c>
      <c r="F110" s="39" t="str">
        <f>IFERROR(IF(bb_akun=INDEX(ju_kr,MATCH(ROW(J98),JURNAL!$O:$O,0)),INDEX(ju_sld,MATCH(ROW(K98),JURNAL!$O:$O,0)),0),"")</f>
        <v/>
      </c>
      <c r="G110" s="39" t="str">
        <f>IF(B110="","",IF(INDEX(typ_sn,MATCH($C$9,typ_ket,0))="db",$G$8+SUM($E$13:E110)-SUM($F$13:F110),$G$8+SUM($F$13:F110)-SUM($E$13:E110)))</f>
        <v/>
      </c>
    </row>
    <row r="111" spans="2:7" ht="23.1" customHeight="1">
      <c r="B111" s="45" t="str">
        <f>IFERROR(INDEX(ju_tgl,MATCH(ROW(J99),JURNAL!$O:$O,0)),"")</f>
        <v/>
      </c>
      <c r="C111" s="7" t="str">
        <f>IFERROR(INDEX(ju_ref,MATCH(ROW(J99),JURNAL!$O:$O,0)),"")</f>
        <v/>
      </c>
      <c r="D111" s="7" t="str">
        <f>IFERROR(INDEX(ju_ket,MATCH(ROW(J99),JURNAL!$O:$O,0)),"")</f>
        <v/>
      </c>
      <c r="E111" s="39" t="str">
        <f>IFERROR(IF(bb_akun=INDEX(ju_debet,MATCH(ROW(J99),JURNAL!$O:$O,0)),INDEX(ju_sld,MATCH(ROW(K99),JURNAL!$O:$O,0)),0),"")</f>
        <v/>
      </c>
      <c r="F111" s="39" t="str">
        <f>IFERROR(IF(bb_akun=INDEX(ju_kr,MATCH(ROW(J99),JURNAL!$O:$O,0)),INDEX(ju_sld,MATCH(ROW(K99),JURNAL!$O:$O,0)),0),"")</f>
        <v/>
      </c>
      <c r="G111" s="39" t="str">
        <f>IF(B111="","",IF(INDEX(typ_sn,MATCH($C$9,typ_ket,0))="db",$G$8+SUM($E$13:E111)-SUM($F$13:F111),$G$8+SUM($F$13:F111)-SUM($E$13:E111)))</f>
        <v/>
      </c>
    </row>
    <row r="112" spans="2:7" ht="23.1" customHeight="1">
      <c r="B112" s="45" t="str">
        <f>IFERROR(INDEX(ju_tgl,MATCH(ROW(J100),JURNAL!$O:$O,0)),"")</f>
        <v/>
      </c>
      <c r="C112" s="7" t="str">
        <f>IFERROR(INDEX(ju_ref,MATCH(ROW(J100),JURNAL!$O:$O,0)),"")</f>
        <v/>
      </c>
      <c r="D112" s="7" t="str">
        <f>IFERROR(INDEX(ju_ket,MATCH(ROW(J100),JURNAL!$O:$O,0)),"")</f>
        <v/>
      </c>
      <c r="E112" s="39" t="str">
        <f>IFERROR(IF(bb_akun=INDEX(ju_debet,MATCH(ROW(J100),JURNAL!$O:$O,0)),INDEX(ju_sld,MATCH(ROW(K100),JURNAL!$O:$O,0)),0),"")</f>
        <v/>
      </c>
      <c r="F112" s="39" t="str">
        <f>IFERROR(IF(bb_akun=INDEX(ju_kr,MATCH(ROW(J100),JURNAL!$O:$O,0)),INDEX(ju_sld,MATCH(ROW(K100),JURNAL!$O:$O,0)),0),"")</f>
        <v/>
      </c>
      <c r="G112" s="39" t="str">
        <f>IF(B112="","",IF(INDEX(typ_sn,MATCH($C$9,typ_ket,0))="db",$G$8+SUM($E$13:E112)-SUM($F$13:F112),$G$8+SUM($F$13:F112)-SUM($E$13:E112)))</f>
        <v/>
      </c>
    </row>
    <row r="113" spans="2:7" ht="23.1" customHeight="1">
      <c r="B113" s="45" t="str">
        <f>IFERROR(INDEX(ju_tgl,MATCH(ROW(J101),JURNAL!$O:$O,0)),"")</f>
        <v/>
      </c>
      <c r="C113" s="7" t="str">
        <f>IFERROR(INDEX(ju_ref,MATCH(ROW(J101),JURNAL!$O:$O,0)),"")</f>
        <v/>
      </c>
      <c r="D113" s="7" t="str">
        <f>IFERROR(INDEX(ju_ket,MATCH(ROW(J101),JURNAL!$O:$O,0)),"")</f>
        <v/>
      </c>
      <c r="E113" s="39" t="str">
        <f>IFERROR(IF(bb_akun=INDEX(ju_debet,MATCH(ROW(J101),JURNAL!$O:$O,0)),INDEX(ju_sld,MATCH(ROW(K101),JURNAL!$O:$O,0)),0),"")</f>
        <v/>
      </c>
      <c r="F113" s="39" t="str">
        <f>IFERROR(IF(bb_akun=INDEX(ju_kr,MATCH(ROW(J101),JURNAL!$O:$O,0)),INDEX(ju_sld,MATCH(ROW(K101),JURNAL!$O:$O,0)),0),"")</f>
        <v/>
      </c>
      <c r="G113" s="39" t="str">
        <f>IF(B113="","",IF(INDEX(typ_sn,MATCH($C$9,typ_ket,0))="db",$G$8+SUM($E$13:E113)-SUM($F$13:F113),$G$8+SUM($F$13:F113)-SUM($E$13:E113)))</f>
        <v/>
      </c>
    </row>
    <row r="114" spans="2:7" ht="23.1" customHeight="1">
      <c r="B114" s="45" t="str">
        <f>IFERROR(INDEX(ju_tgl,MATCH(ROW(J102),JURNAL!$O:$O,0)),"")</f>
        <v/>
      </c>
      <c r="C114" s="7" t="str">
        <f>IFERROR(INDEX(ju_ref,MATCH(ROW(J102),JURNAL!$O:$O,0)),"")</f>
        <v/>
      </c>
      <c r="D114" s="7" t="str">
        <f>IFERROR(INDEX(ju_ket,MATCH(ROW(J102),JURNAL!$O:$O,0)),"")</f>
        <v/>
      </c>
      <c r="E114" s="39" t="str">
        <f>IFERROR(IF(bb_akun=INDEX(ju_debet,MATCH(ROW(J102),JURNAL!$O:$O,0)),INDEX(ju_sld,MATCH(ROW(K102),JURNAL!$O:$O,0)),0),"")</f>
        <v/>
      </c>
      <c r="F114" s="39" t="str">
        <f>IFERROR(IF(bb_akun=INDEX(ju_kr,MATCH(ROW(J102),JURNAL!$O:$O,0)),INDEX(ju_sld,MATCH(ROW(K102),JURNAL!$O:$O,0)),0),"")</f>
        <v/>
      </c>
      <c r="G114" s="39" t="str">
        <f>IF(B114="","",IF(INDEX(typ_sn,MATCH($C$9,typ_ket,0))="db",$G$8+SUM($E$13:E114)-SUM($F$13:F114),$G$8+SUM($F$13:F114)-SUM($E$13:E114)))</f>
        <v/>
      </c>
    </row>
    <row r="115" spans="2:7" ht="23.1" customHeight="1">
      <c r="B115" s="45" t="str">
        <f>IFERROR(INDEX(ju_tgl,MATCH(ROW(J103),JURNAL!$O:$O,0)),"")</f>
        <v/>
      </c>
      <c r="C115" s="7" t="str">
        <f>IFERROR(INDEX(ju_ref,MATCH(ROW(J103),JURNAL!$O:$O,0)),"")</f>
        <v/>
      </c>
      <c r="D115" s="7" t="str">
        <f>IFERROR(INDEX(ju_ket,MATCH(ROW(J103),JURNAL!$O:$O,0)),"")</f>
        <v/>
      </c>
      <c r="E115" s="39" t="str">
        <f>IFERROR(IF(bb_akun=INDEX(ju_debet,MATCH(ROW(J103),JURNAL!$O:$O,0)),INDEX(ju_sld,MATCH(ROW(K103),JURNAL!$O:$O,0)),0),"")</f>
        <v/>
      </c>
      <c r="F115" s="39" t="str">
        <f>IFERROR(IF(bb_akun=INDEX(ju_kr,MATCH(ROW(J103),JURNAL!$O:$O,0)),INDEX(ju_sld,MATCH(ROW(K103),JURNAL!$O:$O,0)),0),"")</f>
        <v/>
      </c>
      <c r="G115" s="39" t="str">
        <f>IF(B115="","",IF(INDEX(typ_sn,MATCH($C$9,typ_ket,0))="db",$G$8+SUM($E$13:E115)-SUM($F$13:F115),$G$8+SUM($F$13:F115)-SUM($E$13:E115)))</f>
        <v/>
      </c>
    </row>
    <row r="116" spans="2:7" ht="23.1" customHeight="1">
      <c r="B116" s="45" t="str">
        <f>IFERROR(INDEX(ju_tgl,MATCH(ROW(J104),JURNAL!$O:$O,0)),"")</f>
        <v/>
      </c>
      <c r="C116" s="7" t="str">
        <f>IFERROR(INDEX(ju_ref,MATCH(ROW(J104),JURNAL!$O:$O,0)),"")</f>
        <v/>
      </c>
      <c r="D116" s="7" t="str">
        <f>IFERROR(INDEX(ju_ket,MATCH(ROW(J104),JURNAL!$O:$O,0)),"")</f>
        <v/>
      </c>
      <c r="E116" s="39" t="str">
        <f>IFERROR(IF(bb_akun=INDEX(ju_debet,MATCH(ROW(J104),JURNAL!$O:$O,0)),INDEX(ju_sld,MATCH(ROW(K104),JURNAL!$O:$O,0)),0),"")</f>
        <v/>
      </c>
      <c r="F116" s="39" t="str">
        <f>IFERROR(IF(bb_akun=INDEX(ju_kr,MATCH(ROW(J104),JURNAL!$O:$O,0)),INDEX(ju_sld,MATCH(ROW(K104),JURNAL!$O:$O,0)),0),"")</f>
        <v/>
      </c>
      <c r="G116" s="39" t="str">
        <f>IF(B116="","",IF(INDEX(typ_sn,MATCH($C$9,typ_ket,0))="db",$G$8+SUM($E$13:E116)-SUM($F$13:F116),$G$8+SUM($F$13:F116)-SUM($E$13:E116)))</f>
        <v/>
      </c>
    </row>
    <row r="117" spans="2:7" ht="23.1" customHeight="1">
      <c r="B117" s="45" t="str">
        <f>IFERROR(INDEX(ju_tgl,MATCH(ROW(J105),JURNAL!$O:$O,0)),"")</f>
        <v/>
      </c>
      <c r="C117" s="7" t="str">
        <f>IFERROR(INDEX(ju_ref,MATCH(ROW(J105),JURNAL!$O:$O,0)),"")</f>
        <v/>
      </c>
      <c r="D117" s="7" t="str">
        <f>IFERROR(INDEX(ju_ket,MATCH(ROW(J105),JURNAL!$O:$O,0)),"")</f>
        <v/>
      </c>
      <c r="E117" s="39" t="str">
        <f>IFERROR(IF(bb_akun=INDEX(ju_debet,MATCH(ROW(J105),JURNAL!$O:$O,0)),INDEX(ju_sld,MATCH(ROW(K105),JURNAL!$O:$O,0)),0),"")</f>
        <v/>
      </c>
      <c r="F117" s="39" t="str">
        <f>IFERROR(IF(bb_akun=INDEX(ju_kr,MATCH(ROW(J105),JURNAL!$O:$O,0)),INDEX(ju_sld,MATCH(ROW(K105),JURNAL!$O:$O,0)),0),"")</f>
        <v/>
      </c>
      <c r="G117" s="39" t="str">
        <f>IF(B117="","",IF(INDEX(typ_sn,MATCH($C$9,typ_ket,0))="db",$G$8+SUM($E$13:E117)-SUM($F$13:F117),$G$8+SUM($F$13:F117)-SUM($E$13:E117)))</f>
        <v/>
      </c>
    </row>
    <row r="118" spans="2:7" ht="23.1" customHeight="1">
      <c r="B118" s="45" t="str">
        <f>IFERROR(INDEX(ju_tgl,MATCH(ROW(J106),JURNAL!$O:$O,0)),"")</f>
        <v/>
      </c>
      <c r="C118" s="7" t="str">
        <f>IFERROR(INDEX(ju_ref,MATCH(ROW(J106),JURNAL!$O:$O,0)),"")</f>
        <v/>
      </c>
      <c r="D118" s="7" t="str">
        <f>IFERROR(INDEX(ju_ket,MATCH(ROW(J106),JURNAL!$O:$O,0)),"")</f>
        <v/>
      </c>
      <c r="E118" s="39" t="str">
        <f>IFERROR(IF(bb_akun=INDEX(ju_debet,MATCH(ROW(J106),JURNAL!$O:$O,0)),INDEX(ju_sld,MATCH(ROW(K106),JURNAL!$O:$O,0)),0),"")</f>
        <v/>
      </c>
      <c r="F118" s="39" t="str">
        <f>IFERROR(IF(bb_akun=INDEX(ju_kr,MATCH(ROW(J106),JURNAL!$O:$O,0)),INDEX(ju_sld,MATCH(ROW(K106),JURNAL!$O:$O,0)),0),"")</f>
        <v/>
      </c>
      <c r="G118" s="39" t="str">
        <f>IF(B118="","",IF(INDEX(typ_sn,MATCH($C$9,typ_ket,0))="db",$G$8+SUM($E$13:E118)-SUM($F$13:F118),$G$8+SUM($F$13:F118)-SUM($E$13:E118)))</f>
        <v/>
      </c>
    </row>
    <row r="119" spans="2:7" ht="23.1" customHeight="1">
      <c r="B119" s="45" t="str">
        <f>IFERROR(INDEX(ju_tgl,MATCH(ROW(J107),JURNAL!$O:$O,0)),"")</f>
        <v/>
      </c>
      <c r="C119" s="7" t="str">
        <f>IFERROR(INDEX(ju_ref,MATCH(ROW(J107),JURNAL!$O:$O,0)),"")</f>
        <v/>
      </c>
      <c r="D119" s="7" t="str">
        <f>IFERROR(INDEX(ju_ket,MATCH(ROW(J107),JURNAL!$O:$O,0)),"")</f>
        <v/>
      </c>
      <c r="E119" s="39" t="str">
        <f>IFERROR(IF(bb_akun=INDEX(ju_debet,MATCH(ROW(J107),JURNAL!$O:$O,0)),INDEX(ju_sld,MATCH(ROW(K107),JURNAL!$O:$O,0)),0),"")</f>
        <v/>
      </c>
      <c r="F119" s="39" t="str">
        <f>IFERROR(IF(bb_akun=INDEX(ju_kr,MATCH(ROW(J107),JURNAL!$O:$O,0)),INDEX(ju_sld,MATCH(ROW(K107),JURNAL!$O:$O,0)),0),"")</f>
        <v/>
      </c>
      <c r="G119" s="39" t="str">
        <f>IF(B119="","",IF(INDEX(typ_sn,MATCH($C$9,typ_ket,0))="db",$G$8+SUM($E$13:E119)-SUM($F$13:F119),$G$8+SUM($F$13:F119)-SUM($E$13:E119)))</f>
        <v/>
      </c>
    </row>
    <row r="120" spans="2:7" ht="23.1" customHeight="1">
      <c r="B120" s="45" t="str">
        <f>IFERROR(INDEX(ju_tgl,MATCH(ROW(J108),JURNAL!$O:$O,0)),"")</f>
        <v/>
      </c>
      <c r="C120" s="7" t="str">
        <f>IFERROR(INDEX(ju_ref,MATCH(ROW(J108),JURNAL!$O:$O,0)),"")</f>
        <v/>
      </c>
      <c r="D120" s="7" t="str">
        <f>IFERROR(INDEX(ju_ket,MATCH(ROW(J108),JURNAL!$O:$O,0)),"")</f>
        <v/>
      </c>
      <c r="E120" s="39" t="str">
        <f>IFERROR(IF(bb_akun=INDEX(ju_debet,MATCH(ROW(J108),JURNAL!$O:$O,0)),INDEX(ju_sld,MATCH(ROW(K108),JURNAL!$O:$O,0)),0),"")</f>
        <v/>
      </c>
      <c r="F120" s="39" t="str">
        <f>IFERROR(IF(bb_akun=INDEX(ju_kr,MATCH(ROW(J108),JURNAL!$O:$O,0)),INDEX(ju_sld,MATCH(ROW(K108),JURNAL!$O:$O,0)),0),"")</f>
        <v/>
      </c>
      <c r="G120" s="39" t="str">
        <f>IF(B120="","",IF(INDEX(typ_sn,MATCH($C$9,typ_ket,0))="db",$G$8+SUM($E$13:E120)-SUM($F$13:F120),$G$8+SUM($F$13:F120)-SUM($E$13:E120)))</f>
        <v/>
      </c>
    </row>
    <row r="121" spans="2:7" ht="23.1" customHeight="1">
      <c r="B121" s="45" t="str">
        <f>IFERROR(INDEX(ju_tgl,MATCH(ROW(J109),JURNAL!$O:$O,0)),"")</f>
        <v/>
      </c>
      <c r="C121" s="7" t="str">
        <f>IFERROR(INDEX(ju_ref,MATCH(ROW(J109),JURNAL!$O:$O,0)),"")</f>
        <v/>
      </c>
      <c r="D121" s="7" t="str">
        <f>IFERROR(INDEX(ju_ket,MATCH(ROW(J109),JURNAL!$O:$O,0)),"")</f>
        <v/>
      </c>
      <c r="E121" s="39" t="str">
        <f>IFERROR(IF(bb_akun=INDEX(ju_debet,MATCH(ROW(J109),JURNAL!$O:$O,0)),INDEX(ju_sld,MATCH(ROW(K109),JURNAL!$O:$O,0)),0),"")</f>
        <v/>
      </c>
      <c r="F121" s="39" t="str">
        <f>IFERROR(IF(bb_akun=INDEX(ju_kr,MATCH(ROW(J109),JURNAL!$O:$O,0)),INDEX(ju_sld,MATCH(ROW(K109),JURNAL!$O:$O,0)),0),"")</f>
        <v/>
      </c>
      <c r="G121" s="39" t="str">
        <f>IF(B121="","",IF(INDEX(typ_sn,MATCH($C$9,typ_ket,0))="db",$G$8+SUM($E$13:E121)-SUM($F$13:F121),$G$8+SUM($F$13:F121)-SUM($E$13:E121)))</f>
        <v/>
      </c>
    </row>
    <row r="122" spans="2:7" ht="23.1" customHeight="1">
      <c r="B122" s="45" t="str">
        <f>IFERROR(INDEX(ju_tgl,MATCH(ROW(J110),JURNAL!$O:$O,0)),"")</f>
        <v/>
      </c>
      <c r="C122" s="7" t="str">
        <f>IFERROR(INDEX(ju_ref,MATCH(ROW(J110),JURNAL!$O:$O,0)),"")</f>
        <v/>
      </c>
      <c r="D122" s="7" t="str">
        <f>IFERROR(INDEX(ju_ket,MATCH(ROW(J110),JURNAL!$O:$O,0)),"")</f>
        <v/>
      </c>
      <c r="E122" s="39" t="str">
        <f>IFERROR(IF(bb_akun=INDEX(ju_debet,MATCH(ROW(J110),JURNAL!$O:$O,0)),INDEX(ju_sld,MATCH(ROW(K110),JURNAL!$O:$O,0)),0),"")</f>
        <v/>
      </c>
      <c r="F122" s="39" t="str">
        <f>IFERROR(IF(bb_akun=INDEX(ju_kr,MATCH(ROW(J110),JURNAL!$O:$O,0)),INDEX(ju_sld,MATCH(ROW(K110),JURNAL!$O:$O,0)),0),"")</f>
        <v/>
      </c>
      <c r="G122" s="39" t="str">
        <f>IF(B122="","",IF(INDEX(typ_sn,MATCH($C$9,typ_ket,0))="db",$G$8+SUM($E$13:E122)-SUM($F$13:F122),$G$8+SUM($F$13:F122)-SUM($E$13:E122)))</f>
        <v/>
      </c>
    </row>
    <row r="123" spans="2:7" ht="23.1" customHeight="1">
      <c r="B123" s="45" t="str">
        <f>IFERROR(INDEX(ju_tgl,MATCH(ROW(J111),JURNAL!$O:$O,0)),"")</f>
        <v/>
      </c>
      <c r="C123" s="7" t="str">
        <f>IFERROR(INDEX(ju_ref,MATCH(ROW(J111),JURNAL!$O:$O,0)),"")</f>
        <v/>
      </c>
      <c r="D123" s="7" t="str">
        <f>IFERROR(INDEX(ju_ket,MATCH(ROW(J111),JURNAL!$O:$O,0)),"")</f>
        <v/>
      </c>
      <c r="E123" s="39" t="str">
        <f>IFERROR(IF(bb_akun=INDEX(ju_debet,MATCH(ROW(J111),JURNAL!$O:$O,0)),INDEX(ju_sld,MATCH(ROW(K111),JURNAL!$O:$O,0)),0),"")</f>
        <v/>
      </c>
      <c r="F123" s="39" t="str">
        <f>IFERROR(IF(bb_akun=INDEX(ju_kr,MATCH(ROW(J111),JURNAL!$O:$O,0)),INDEX(ju_sld,MATCH(ROW(K111),JURNAL!$O:$O,0)),0),"")</f>
        <v/>
      </c>
      <c r="G123" s="39" t="str">
        <f>IF(B123="","",IF(INDEX(typ_sn,MATCH($C$9,typ_ket,0))="db",$G$8+SUM($E$13:E123)-SUM($F$13:F123),$G$8+SUM($F$13:F123)-SUM($E$13:E123)))</f>
        <v/>
      </c>
    </row>
    <row r="124" spans="2:7" ht="23.1" customHeight="1">
      <c r="B124" s="45" t="str">
        <f>IFERROR(INDEX(ju_tgl,MATCH(ROW(J112),JURNAL!$O:$O,0)),"")</f>
        <v/>
      </c>
      <c r="C124" s="7" t="str">
        <f>IFERROR(INDEX(ju_ref,MATCH(ROW(J112),JURNAL!$O:$O,0)),"")</f>
        <v/>
      </c>
      <c r="D124" s="7" t="str">
        <f>IFERROR(INDEX(ju_ket,MATCH(ROW(J112),JURNAL!$O:$O,0)),"")</f>
        <v/>
      </c>
      <c r="E124" s="39" t="str">
        <f>IFERROR(IF(bb_akun=INDEX(ju_debet,MATCH(ROW(J112),JURNAL!$O:$O,0)),INDEX(ju_sld,MATCH(ROW(K112),JURNAL!$O:$O,0)),0),"")</f>
        <v/>
      </c>
      <c r="F124" s="39" t="str">
        <f>IFERROR(IF(bb_akun=INDEX(ju_kr,MATCH(ROW(J112),JURNAL!$O:$O,0)),INDEX(ju_sld,MATCH(ROW(K112),JURNAL!$O:$O,0)),0),"")</f>
        <v/>
      </c>
      <c r="G124" s="39" t="str">
        <f>IF(B124="","",IF(INDEX(typ_sn,MATCH($C$9,typ_ket,0))="db",$G$8+SUM($E$13:E124)-SUM($F$13:F124),$G$8+SUM($F$13:F124)-SUM($E$13:E124)))</f>
        <v/>
      </c>
    </row>
    <row r="125" spans="2:7" ht="23.1" customHeight="1">
      <c r="B125" s="45" t="str">
        <f>IFERROR(INDEX(ju_tgl,MATCH(ROW(J113),JURNAL!$O:$O,0)),"")</f>
        <v/>
      </c>
      <c r="C125" s="7" t="str">
        <f>IFERROR(INDEX(ju_ref,MATCH(ROW(J113),JURNAL!$O:$O,0)),"")</f>
        <v/>
      </c>
      <c r="D125" s="7" t="str">
        <f>IFERROR(INDEX(ju_ket,MATCH(ROW(J113),JURNAL!$O:$O,0)),"")</f>
        <v/>
      </c>
      <c r="E125" s="39" t="str">
        <f>IFERROR(IF(bb_akun=INDEX(ju_debet,MATCH(ROW(J113),JURNAL!$O:$O,0)),INDEX(ju_sld,MATCH(ROW(K113),JURNAL!$O:$O,0)),0),"")</f>
        <v/>
      </c>
      <c r="F125" s="39" t="str">
        <f>IFERROR(IF(bb_akun=INDEX(ju_kr,MATCH(ROW(J113),JURNAL!$O:$O,0)),INDEX(ju_sld,MATCH(ROW(K113),JURNAL!$O:$O,0)),0),"")</f>
        <v/>
      </c>
      <c r="G125" s="39" t="str">
        <f>IF(B125="","",IF(INDEX(typ_sn,MATCH($C$9,typ_ket,0))="db",$G$8+SUM($E$13:E125)-SUM($F$13:F125),$G$8+SUM($F$13:F125)-SUM($E$13:E125)))</f>
        <v/>
      </c>
    </row>
    <row r="126" spans="2:7" ht="23.1" customHeight="1">
      <c r="B126" s="45" t="str">
        <f>IFERROR(INDEX(ju_tgl,MATCH(ROW(J114),JURNAL!$O:$O,0)),"")</f>
        <v/>
      </c>
      <c r="C126" s="7" t="str">
        <f>IFERROR(INDEX(ju_ref,MATCH(ROW(J114),JURNAL!$O:$O,0)),"")</f>
        <v/>
      </c>
      <c r="D126" s="7" t="str">
        <f>IFERROR(INDEX(ju_ket,MATCH(ROW(J114),JURNAL!$O:$O,0)),"")</f>
        <v/>
      </c>
      <c r="E126" s="39" t="str">
        <f>IFERROR(IF(bb_akun=INDEX(ju_debet,MATCH(ROW(J114),JURNAL!$O:$O,0)),INDEX(ju_sld,MATCH(ROW(K114),JURNAL!$O:$O,0)),0),"")</f>
        <v/>
      </c>
      <c r="F126" s="39" t="str">
        <f>IFERROR(IF(bb_akun=INDEX(ju_kr,MATCH(ROW(J114),JURNAL!$O:$O,0)),INDEX(ju_sld,MATCH(ROW(K114),JURNAL!$O:$O,0)),0),"")</f>
        <v/>
      </c>
      <c r="G126" s="39" t="str">
        <f>IF(B126="","",IF(INDEX(typ_sn,MATCH($C$9,typ_ket,0))="db",$G$8+SUM($E$13:E126)-SUM($F$13:F126),$G$8+SUM($F$13:F126)-SUM($E$13:E126)))</f>
        <v/>
      </c>
    </row>
    <row r="127" spans="2:7" ht="23.1" customHeight="1">
      <c r="B127" s="45" t="str">
        <f>IFERROR(INDEX(ju_tgl,MATCH(ROW(J115),JURNAL!$O:$O,0)),"")</f>
        <v/>
      </c>
      <c r="C127" s="7" t="str">
        <f>IFERROR(INDEX(ju_ref,MATCH(ROW(J115),JURNAL!$O:$O,0)),"")</f>
        <v/>
      </c>
      <c r="D127" s="7" t="str">
        <f>IFERROR(INDEX(ju_ket,MATCH(ROW(J115),JURNAL!$O:$O,0)),"")</f>
        <v/>
      </c>
      <c r="E127" s="39" t="str">
        <f>IFERROR(IF(bb_akun=INDEX(ju_debet,MATCH(ROW(J115),JURNAL!$O:$O,0)),INDEX(ju_sld,MATCH(ROW(K115),JURNAL!$O:$O,0)),0),"")</f>
        <v/>
      </c>
      <c r="F127" s="39" t="str">
        <f>IFERROR(IF(bb_akun=INDEX(ju_kr,MATCH(ROW(J115),JURNAL!$O:$O,0)),INDEX(ju_sld,MATCH(ROW(K115),JURNAL!$O:$O,0)),0),"")</f>
        <v/>
      </c>
      <c r="G127" s="39" t="str">
        <f>IF(B127="","",IF(INDEX(typ_sn,MATCH($C$9,typ_ket,0))="db",$G$8+SUM($E$13:E127)-SUM($F$13:F127),$G$8+SUM($F$13:F127)-SUM($E$13:E127)))</f>
        <v/>
      </c>
    </row>
    <row r="128" spans="2:7" ht="23.1" customHeight="1">
      <c r="B128" s="45" t="str">
        <f>IFERROR(INDEX(ju_tgl,MATCH(ROW(J116),JURNAL!$O:$O,0)),"")</f>
        <v/>
      </c>
      <c r="C128" s="7" t="str">
        <f>IFERROR(INDEX(ju_ref,MATCH(ROW(J116),JURNAL!$O:$O,0)),"")</f>
        <v/>
      </c>
      <c r="D128" s="7" t="str">
        <f>IFERROR(INDEX(ju_ket,MATCH(ROW(J116),JURNAL!$O:$O,0)),"")</f>
        <v/>
      </c>
      <c r="E128" s="39" t="str">
        <f>IFERROR(IF(bb_akun=INDEX(ju_debet,MATCH(ROW(J116),JURNAL!$O:$O,0)),INDEX(ju_sld,MATCH(ROW(K116),JURNAL!$O:$O,0)),0),"")</f>
        <v/>
      </c>
      <c r="F128" s="39" t="str">
        <f>IFERROR(IF(bb_akun=INDEX(ju_kr,MATCH(ROW(J116),JURNAL!$O:$O,0)),INDEX(ju_sld,MATCH(ROW(K116),JURNAL!$O:$O,0)),0),"")</f>
        <v/>
      </c>
      <c r="G128" s="39" t="str">
        <f>IF(B128="","",IF(INDEX(typ_sn,MATCH($C$9,typ_ket,0))="db",$G$8+SUM($E$13:E128)-SUM($F$13:F128),$G$8+SUM($F$13:F128)-SUM($E$13:E128)))</f>
        <v/>
      </c>
    </row>
    <row r="129" spans="2:7" ht="23.1" customHeight="1">
      <c r="B129" s="45" t="str">
        <f>IFERROR(INDEX(ju_tgl,MATCH(ROW(J117),JURNAL!$O:$O,0)),"")</f>
        <v/>
      </c>
      <c r="C129" s="7" t="str">
        <f>IFERROR(INDEX(ju_ref,MATCH(ROW(J117),JURNAL!$O:$O,0)),"")</f>
        <v/>
      </c>
      <c r="D129" s="7" t="str">
        <f>IFERROR(INDEX(ju_ket,MATCH(ROW(J117),JURNAL!$O:$O,0)),"")</f>
        <v/>
      </c>
      <c r="E129" s="39" t="str">
        <f>IFERROR(IF(bb_akun=INDEX(ju_debet,MATCH(ROW(J117),JURNAL!$O:$O,0)),INDEX(ju_sld,MATCH(ROW(K117),JURNAL!$O:$O,0)),0),"")</f>
        <v/>
      </c>
      <c r="F129" s="39" t="str">
        <f>IFERROR(IF(bb_akun=INDEX(ju_kr,MATCH(ROW(J117),JURNAL!$O:$O,0)),INDEX(ju_sld,MATCH(ROW(K117),JURNAL!$O:$O,0)),0),"")</f>
        <v/>
      </c>
      <c r="G129" s="39" t="str">
        <f>IF(B129="","",IF(INDEX(typ_sn,MATCH($C$9,typ_ket,0))="db",$G$8+SUM($E$13:E129)-SUM($F$13:F129),$G$8+SUM($F$13:F129)-SUM($E$13:E129)))</f>
        <v/>
      </c>
    </row>
    <row r="130" spans="2:7" ht="23.1" customHeight="1">
      <c r="B130" s="45" t="str">
        <f>IFERROR(INDEX(ju_tgl,MATCH(ROW(J118),JURNAL!$O:$O,0)),"")</f>
        <v/>
      </c>
      <c r="C130" s="7" t="str">
        <f>IFERROR(INDEX(ju_ref,MATCH(ROW(J118),JURNAL!$O:$O,0)),"")</f>
        <v/>
      </c>
      <c r="D130" s="7" t="str">
        <f>IFERROR(INDEX(ju_ket,MATCH(ROW(J118),JURNAL!$O:$O,0)),"")</f>
        <v/>
      </c>
      <c r="E130" s="39" t="str">
        <f>IFERROR(IF(bb_akun=INDEX(ju_debet,MATCH(ROW(J118),JURNAL!$O:$O,0)),INDEX(ju_sld,MATCH(ROW(K118),JURNAL!$O:$O,0)),0),"")</f>
        <v/>
      </c>
      <c r="F130" s="39" t="str">
        <f>IFERROR(IF(bb_akun=INDEX(ju_kr,MATCH(ROW(J118),JURNAL!$O:$O,0)),INDEX(ju_sld,MATCH(ROW(K118),JURNAL!$O:$O,0)),0),"")</f>
        <v/>
      </c>
      <c r="G130" s="39" t="str">
        <f>IF(B130="","",IF(INDEX(typ_sn,MATCH($C$9,typ_ket,0))="db",$G$8+SUM($E$13:E130)-SUM($F$13:F130),$G$8+SUM($F$13:F130)-SUM($E$13:E130)))</f>
        <v/>
      </c>
    </row>
    <row r="131" spans="2:7" ht="23.1" customHeight="1">
      <c r="B131" s="45" t="str">
        <f>IFERROR(INDEX(ju_tgl,MATCH(ROW(J119),JURNAL!$O:$O,0)),"")</f>
        <v/>
      </c>
      <c r="C131" s="7" t="str">
        <f>IFERROR(INDEX(ju_ref,MATCH(ROW(J119),JURNAL!$O:$O,0)),"")</f>
        <v/>
      </c>
      <c r="D131" s="7" t="str">
        <f>IFERROR(INDEX(ju_ket,MATCH(ROW(J119),JURNAL!$O:$O,0)),"")</f>
        <v/>
      </c>
      <c r="E131" s="39" t="str">
        <f>IFERROR(IF(bb_akun=INDEX(ju_debet,MATCH(ROW(J119),JURNAL!$O:$O,0)),INDEX(ju_sld,MATCH(ROW(K119),JURNAL!$O:$O,0)),0),"")</f>
        <v/>
      </c>
      <c r="F131" s="39" t="str">
        <f>IFERROR(IF(bb_akun=INDEX(ju_kr,MATCH(ROW(J119),JURNAL!$O:$O,0)),INDEX(ju_sld,MATCH(ROW(K119),JURNAL!$O:$O,0)),0),"")</f>
        <v/>
      </c>
      <c r="G131" s="39" t="str">
        <f>IF(B131="","",IF(INDEX(typ_sn,MATCH($C$9,typ_ket,0))="db",$G$8+SUM($E$13:E131)-SUM($F$13:F131),$G$8+SUM($F$13:F131)-SUM($E$13:E131)))</f>
        <v/>
      </c>
    </row>
    <row r="132" spans="2:7" ht="23.1" customHeight="1">
      <c r="B132" s="45" t="str">
        <f>IFERROR(INDEX(ju_tgl,MATCH(ROW(J120),JURNAL!$O:$O,0)),"")</f>
        <v/>
      </c>
      <c r="C132" s="7" t="str">
        <f>IFERROR(INDEX(ju_ref,MATCH(ROW(J120),JURNAL!$O:$O,0)),"")</f>
        <v/>
      </c>
      <c r="D132" s="7" t="str">
        <f>IFERROR(INDEX(ju_ket,MATCH(ROW(J120),JURNAL!$O:$O,0)),"")</f>
        <v/>
      </c>
      <c r="E132" s="39" t="str">
        <f>IFERROR(IF(bb_akun=INDEX(ju_debet,MATCH(ROW(J120),JURNAL!$O:$O,0)),INDEX(ju_sld,MATCH(ROW(K120),JURNAL!$O:$O,0)),0),"")</f>
        <v/>
      </c>
      <c r="F132" s="39" t="str">
        <f>IFERROR(IF(bb_akun=INDEX(ju_kr,MATCH(ROW(J120),JURNAL!$O:$O,0)),INDEX(ju_sld,MATCH(ROW(K120),JURNAL!$O:$O,0)),0),"")</f>
        <v/>
      </c>
      <c r="G132" s="39" t="str">
        <f>IF(B132="","",IF(INDEX(typ_sn,MATCH($C$9,typ_ket,0))="db",$G$8+SUM($E$13:E132)-SUM($F$13:F132),$G$8+SUM($F$13:F132)-SUM($E$13:E132)))</f>
        <v/>
      </c>
    </row>
    <row r="133" spans="2:7" ht="23.1" customHeight="1">
      <c r="B133" s="45" t="str">
        <f>IFERROR(INDEX(ju_tgl,MATCH(ROW(J121),JURNAL!$O:$O,0)),"")</f>
        <v/>
      </c>
      <c r="C133" s="7" t="str">
        <f>IFERROR(INDEX(ju_ref,MATCH(ROW(J121),JURNAL!$O:$O,0)),"")</f>
        <v/>
      </c>
      <c r="D133" s="7" t="str">
        <f>IFERROR(INDEX(ju_ket,MATCH(ROW(J121),JURNAL!$O:$O,0)),"")</f>
        <v/>
      </c>
      <c r="E133" s="39" t="str">
        <f>IFERROR(IF(bb_akun=INDEX(ju_debet,MATCH(ROW(J121),JURNAL!$O:$O,0)),INDEX(ju_sld,MATCH(ROW(K121),JURNAL!$O:$O,0)),0),"")</f>
        <v/>
      </c>
      <c r="F133" s="39" t="str">
        <f>IFERROR(IF(bb_akun=INDEX(ju_kr,MATCH(ROW(J121),JURNAL!$O:$O,0)),INDEX(ju_sld,MATCH(ROW(K121),JURNAL!$O:$O,0)),0),"")</f>
        <v/>
      </c>
      <c r="G133" s="39" t="str">
        <f>IF(B133="","",IF(INDEX(typ_sn,MATCH($C$9,typ_ket,0))="db",$G$8+SUM($E$13:E133)-SUM($F$13:F133),$G$8+SUM($F$13:F133)-SUM($E$13:E133)))</f>
        <v/>
      </c>
    </row>
    <row r="134" spans="2:7" ht="23.1" customHeight="1">
      <c r="B134" s="45" t="str">
        <f>IFERROR(INDEX(ju_tgl,MATCH(ROW(J122),JURNAL!$O:$O,0)),"")</f>
        <v/>
      </c>
      <c r="C134" s="7" t="str">
        <f>IFERROR(INDEX(ju_ref,MATCH(ROW(J122),JURNAL!$O:$O,0)),"")</f>
        <v/>
      </c>
      <c r="D134" s="7" t="str">
        <f>IFERROR(INDEX(ju_ket,MATCH(ROW(J122),JURNAL!$O:$O,0)),"")</f>
        <v/>
      </c>
      <c r="E134" s="39" t="str">
        <f>IFERROR(IF(bb_akun=INDEX(ju_debet,MATCH(ROW(J122),JURNAL!$O:$O,0)),INDEX(ju_sld,MATCH(ROW(K122),JURNAL!$O:$O,0)),0),"")</f>
        <v/>
      </c>
      <c r="F134" s="39" t="str">
        <f>IFERROR(IF(bb_akun=INDEX(ju_kr,MATCH(ROW(J122),JURNAL!$O:$O,0)),INDEX(ju_sld,MATCH(ROW(K122),JURNAL!$O:$O,0)),0),"")</f>
        <v/>
      </c>
      <c r="G134" s="39" t="str">
        <f>IF(B134="","",IF(INDEX(typ_sn,MATCH($C$9,typ_ket,0))="db",$G$8+SUM($E$13:E134)-SUM($F$13:F134),$G$8+SUM($F$13:F134)-SUM($E$13:E134)))</f>
        <v/>
      </c>
    </row>
    <row r="135" spans="2:7" ht="23.1" customHeight="1">
      <c r="B135" s="45" t="str">
        <f>IFERROR(INDEX(ju_tgl,MATCH(ROW(J123),JURNAL!$O:$O,0)),"")</f>
        <v/>
      </c>
      <c r="C135" s="7" t="str">
        <f>IFERROR(INDEX(ju_ref,MATCH(ROW(J123),JURNAL!$O:$O,0)),"")</f>
        <v/>
      </c>
      <c r="D135" s="7" t="str">
        <f>IFERROR(INDEX(ju_ket,MATCH(ROW(J123),JURNAL!$O:$O,0)),"")</f>
        <v/>
      </c>
      <c r="E135" s="39" t="str">
        <f>IFERROR(IF(bb_akun=INDEX(ju_debet,MATCH(ROW(J123),JURNAL!$O:$O,0)),INDEX(ju_sld,MATCH(ROW(K123),JURNAL!$O:$O,0)),0),"")</f>
        <v/>
      </c>
      <c r="F135" s="39" t="str">
        <f>IFERROR(IF(bb_akun=INDEX(ju_kr,MATCH(ROW(J123),JURNAL!$O:$O,0)),INDEX(ju_sld,MATCH(ROW(K123),JURNAL!$O:$O,0)),0),"")</f>
        <v/>
      </c>
      <c r="G135" s="39" t="str">
        <f>IF(B135="","",IF(INDEX(typ_sn,MATCH($C$9,typ_ket,0))="db",$G$8+SUM($E$13:E135)-SUM($F$13:F135),$G$8+SUM($F$13:F135)-SUM($E$13:E135)))</f>
        <v/>
      </c>
    </row>
    <row r="136" spans="2:7" ht="23.1" customHeight="1">
      <c r="B136" s="45" t="str">
        <f>IFERROR(INDEX(ju_tgl,MATCH(ROW(J124),JURNAL!$O:$O,0)),"")</f>
        <v/>
      </c>
      <c r="C136" s="7" t="str">
        <f>IFERROR(INDEX(ju_ref,MATCH(ROW(J124),JURNAL!$O:$O,0)),"")</f>
        <v/>
      </c>
      <c r="D136" s="7" t="str">
        <f>IFERROR(INDEX(ju_ket,MATCH(ROW(J124),JURNAL!$O:$O,0)),"")</f>
        <v/>
      </c>
      <c r="E136" s="39" t="str">
        <f>IFERROR(IF(bb_akun=INDEX(ju_debet,MATCH(ROW(J124),JURNAL!$O:$O,0)),INDEX(ju_sld,MATCH(ROW(K124),JURNAL!$O:$O,0)),0),"")</f>
        <v/>
      </c>
      <c r="F136" s="39" t="str">
        <f>IFERROR(IF(bb_akun=INDEX(ju_kr,MATCH(ROW(J124),JURNAL!$O:$O,0)),INDEX(ju_sld,MATCH(ROW(K124),JURNAL!$O:$O,0)),0),"")</f>
        <v/>
      </c>
      <c r="G136" s="39" t="str">
        <f>IF(B136="","",IF(INDEX(typ_sn,MATCH($C$9,typ_ket,0))="db",$G$8+SUM($E$13:E136)-SUM($F$13:F136),$G$8+SUM($F$13:F136)-SUM($E$13:E136)))</f>
        <v/>
      </c>
    </row>
    <row r="137" spans="2:7" ht="23.1" customHeight="1">
      <c r="B137" s="45" t="str">
        <f>IFERROR(INDEX(ju_tgl,MATCH(ROW(J125),JURNAL!$O:$O,0)),"")</f>
        <v/>
      </c>
      <c r="C137" s="7" t="str">
        <f>IFERROR(INDEX(ju_ref,MATCH(ROW(J125),JURNAL!$O:$O,0)),"")</f>
        <v/>
      </c>
      <c r="D137" s="7" t="str">
        <f>IFERROR(INDEX(ju_ket,MATCH(ROW(J125),JURNAL!$O:$O,0)),"")</f>
        <v/>
      </c>
      <c r="E137" s="39" t="str">
        <f>IFERROR(IF(bb_akun=INDEX(ju_debet,MATCH(ROW(J125),JURNAL!$O:$O,0)),INDEX(ju_sld,MATCH(ROW(K125),JURNAL!$O:$O,0)),0),"")</f>
        <v/>
      </c>
      <c r="F137" s="39" t="str">
        <f>IFERROR(IF(bb_akun=INDEX(ju_kr,MATCH(ROW(J125),JURNAL!$O:$O,0)),INDEX(ju_sld,MATCH(ROW(K125),JURNAL!$O:$O,0)),0),"")</f>
        <v/>
      </c>
      <c r="G137" s="39" t="str">
        <f>IF(B137="","",IF(INDEX(typ_sn,MATCH($C$9,typ_ket,0))="db",$G$8+SUM($E$13:E137)-SUM($F$13:F137),$G$8+SUM($F$13:F137)-SUM($E$13:E137)))</f>
        <v/>
      </c>
    </row>
    <row r="138" spans="2:7" ht="23.1" customHeight="1">
      <c r="B138" s="45" t="str">
        <f>IFERROR(INDEX(ju_tgl,MATCH(ROW(J126),JURNAL!$O:$O,0)),"")</f>
        <v/>
      </c>
      <c r="C138" s="7" t="str">
        <f>IFERROR(INDEX(ju_ref,MATCH(ROW(J126),JURNAL!$O:$O,0)),"")</f>
        <v/>
      </c>
      <c r="D138" s="7" t="str">
        <f>IFERROR(INDEX(ju_ket,MATCH(ROW(J126),JURNAL!$O:$O,0)),"")</f>
        <v/>
      </c>
      <c r="E138" s="39" t="str">
        <f>IFERROR(IF(bb_akun=INDEX(ju_debet,MATCH(ROW(J126),JURNAL!$O:$O,0)),INDEX(ju_sld,MATCH(ROW(K126),JURNAL!$O:$O,0)),0),"")</f>
        <v/>
      </c>
      <c r="F138" s="39" t="str">
        <f>IFERROR(IF(bb_akun=INDEX(ju_kr,MATCH(ROW(J126),JURNAL!$O:$O,0)),INDEX(ju_sld,MATCH(ROW(K126),JURNAL!$O:$O,0)),0),"")</f>
        <v/>
      </c>
      <c r="G138" s="39" t="str">
        <f>IF(B138="","",IF(INDEX(typ_sn,MATCH($C$9,typ_ket,0))="db",$G$8+SUM($E$13:E138)-SUM($F$13:F138),$G$8+SUM($F$13:F138)-SUM($E$13:E138)))</f>
        <v/>
      </c>
    </row>
    <row r="139" spans="2:7" ht="23.1" customHeight="1">
      <c r="B139" s="45" t="str">
        <f>IFERROR(INDEX(ju_tgl,MATCH(ROW(J127),JURNAL!$O:$O,0)),"")</f>
        <v/>
      </c>
      <c r="C139" s="7" t="str">
        <f>IFERROR(INDEX(ju_ref,MATCH(ROW(J127),JURNAL!$O:$O,0)),"")</f>
        <v/>
      </c>
      <c r="D139" s="7" t="str">
        <f>IFERROR(INDEX(ju_ket,MATCH(ROW(J127),JURNAL!$O:$O,0)),"")</f>
        <v/>
      </c>
      <c r="E139" s="39" t="str">
        <f>IFERROR(IF(bb_akun=INDEX(ju_debet,MATCH(ROW(J127),JURNAL!$O:$O,0)),INDEX(ju_sld,MATCH(ROW(K127),JURNAL!$O:$O,0)),0),"")</f>
        <v/>
      </c>
      <c r="F139" s="39" t="str">
        <f>IFERROR(IF(bb_akun=INDEX(ju_kr,MATCH(ROW(J127),JURNAL!$O:$O,0)),INDEX(ju_sld,MATCH(ROW(K127),JURNAL!$O:$O,0)),0),"")</f>
        <v/>
      </c>
      <c r="G139" s="39" t="str">
        <f>IF(B139="","",IF(INDEX(typ_sn,MATCH($C$9,typ_ket,0))="db",$G$8+SUM($E$13:E139)-SUM($F$13:F139),$G$8+SUM($F$13:F139)-SUM($E$13:E139)))</f>
        <v/>
      </c>
    </row>
    <row r="140" spans="2:7" ht="23.1" customHeight="1">
      <c r="B140" s="45" t="str">
        <f>IFERROR(INDEX(ju_tgl,MATCH(ROW(J128),JURNAL!$O:$O,0)),"")</f>
        <v/>
      </c>
      <c r="C140" s="7" t="str">
        <f>IFERROR(INDEX(ju_ref,MATCH(ROW(J128),JURNAL!$O:$O,0)),"")</f>
        <v/>
      </c>
      <c r="D140" s="7" t="str">
        <f>IFERROR(INDEX(ju_ket,MATCH(ROW(J128),JURNAL!$O:$O,0)),"")</f>
        <v/>
      </c>
      <c r="E140" s="39" t="str">
        <f>IFERROR(IF(bb_akun=INDEX(ju_debet,MATCH(ROW(J128),JURNAL!$O:$O,0)),INDEX(ju_sld,MATCH(ROW(K128),JURNAL!$O:$O,0)),0),"")</f>
        <v/>
      </c>
      <c r="F140" s="39" t="str">
        <f>IFERROR(IF(bb_akun=INDEX(ju_kr,MATCH(ROW(J128),JURNAL!$O:$O,0)),INDEX(ju_sld,MATCH(ROW(K128),JURNAL!$O:$O,0)),0),"")</f>
        <v/>
      </c>
      <c r="G140" s="39" t="str">
        <f>IF(B140="","",IF(INDEX(typ_sn,MATCH($C$9,typ_ket,0))="db",$G$8+SUM($E$13:E140)-SUM($F$13:F140),$G$8+SUM($F$13:F140)-SUM($E$13:E140)))</f>
        <v/>
      </c>
    </row>
    <row r="141" spans="2:7" ht="23.1" customHeight="1">
      <c r="B141" s="45" t="str">
        <f>IFERROR(INDEX(ju_tgl,MATCH(ROW(J129),JURNAL!$O:$O,0)),"")</f>
        <v/>
      </c>
      <c r="C141" s="7" t="str">
        <f>IFERROR(INDEX(ju_ref,MATCH(ROW(J129),JURNAL!$O:$O,0)),"")</f>
        <v/>
      </c>
      <c r="D141" s="7" t="str">
        <f>IFERROR(INDEX(ju_ket,MATCH(ROW(J129),JURNAL!$O:$O,0)),"")</f>
        <v/>
      </c>
      <c r="E141" s="39" t="str">
        <f>IFERROR(IF(bb_akun=INDEX(ju_debet,MATCH(ROW(J129),JURNAL!$O:$O,0)),INDEX(ju_sld,MATCH(ROW(K129),JURNAL!$O:$O,0)),0),"")</f>
        <v/>
      </c>
      <c r="F141" s="39" t="str">
        <f>IFERROR(IF(bb_akun=INDEX(ju_kr,MATCH(ROW(J129),JURNAL!$O:$O,0)),INDEX(ju_sld,MATCH(ROW(K129),JURNAL!$O:$O,0)),0),"")</f>
        <v/>
      </c>
      <c r="G141" s="39" t="str">
        <f>IF(B141="","",IF(INDEX(typ_sn,MATCH($C$9,typ_ket,0))="db",$G$8+SUM($E$13:E141)-SUM($F$13:F141),$G$8+SUM($F$13:F141)-SUM($E$13:E141)))</f>
        <v/>
      </c>
    </row>
    <row r="142" spans="2:7" ht="23.1" customHeight="1">
      <c r="B142" s="45" t="str">
        <f>IFERROR(INDEX(ju_tgl,MATCH(ROW(J130),JURNAL!$O:$O,0)),"")</f>
        <v/>
      </c>
      <c r="C142" s="7" t="str">
        <f>IFERROR(INDEX(ju_ref,MATCH(ROW(J130),JURNAL!$O:$O,0)),"")</f>
        <v/>
      </c>
      <c r="D142" s="7" t="str">
        <f>IFERROR(INDEX(ju_ket,MATCH(ROW(J130),JURNAL!$O:$O,0)),"")</f>
        <v/>
      </c>
      <c r="E142" s="39" t="str">
        <f>IFERROR(IF(bb_akun=INDEX(ju_debet,MATCH(ROW(J130),JURNAL!$O:$O,0)),INDEX(ju_sld,MATCH(ROW(K130),JURNAL!$O:$O,0)),0),"")</f>
        <v/>
      </c>
      <c r="F142" s="39" t="str">
        <f>IFERROR(IF(bb_akun=INDEX(ju_kr,MATCH(ROW(J130),JURNAL!$O:$O,0)),INDEX(ju_sld,MATCH(ROW(K130),JURNAL!$O:$O,0)),0),"")</f>
        <v/>
      </c>
      <c r="G142" s="39" t="str">
        <f>IF(B142="","",IF(INDEX(typ_sn,MATCH($C$9,typ_ket,0))="db",$G$8+SUM($E$13:E142)-SUM($F$13:F142),$G$8+SUM($F$13:F142)-SUM($E$13:E142)))</f>
        <v/>
      </c>
    </row>
    <row r="143" spans="2:7" ht="23.1" customHeight="1">
      <c r="B143" s="45" t="str">
        <f>IFERROR(INDEX(ju_tgl,MATCH(ROW(J131),JURNAL!$O:$O,0)),"")</f>
        <v/>
      </c>
      <c r="C143" s="7" t="str">
        <f>IFERROR(INDEX(ju_ref,MATCH(ROW(J131),JURNAL!$O:$O,0)),"")</f>
        <v/>
      </c>
      <c r="D143" s="7" t="str">
        <f>IFERROR(INDEX(ju_ket,MATCH(ROW(J131),JURNAL!$O:$O,0)),"")</f>
        <v/>
      </c>
      <c r="E143" s="39" t="str">
        <f>IFERROR(IF(bb_akun=INDEX(ju_debet,MATCH(ROW(J131),JURNAL!$O:$O,0)),INDEX(ju_sld,MATCH(ROW(K131),JURNAL!$O:$O,0)),0),"")</f>
        <v/>
      </c>
      <c r="F143" s="39" t="str">
        <f>IFERROR(IF(bb_akun=INDEX(ju_kr,MATCH(ROW(J131),JURNAL!$O:$O,0)),INDEX(ju_sld,MATCH(ROW(K131),JURNAL!$O:$O,0)),0),"")</f>
        <v/>
      </c>
      <c r="G143" s="39" t="str">
        <f>IF(B143="","",IF(INDEX(typ_sn,MATCH($C$9,typ_ket,0))="db",$G$8+SUM($E$13:E143)-SUM($F$13:F143),$G$8+SUM($F$13:F143)-SUM($E$13:E143)))</f>
        <v/>
      </c>
    </row>
    <row r="144" spans="2:7" ht="23.1" customHeight="1">
      <c r="B144" s="45" t="str">
        <f>IFERROR(INDEX(ju_tgl,MATCH(ROW(J132),JURNAL!$O:$O,0)),"")</f>
        <v/>
      </c>
      <c r="C144" s="7" t="str">
        <f>IFERROR(INDEX(ju_ref,MATCH(ROW(J132),JURNAL!$O:$O,0)),"")</f>
        <v/>
      </c>
      <c r="D144" s="7" t="str">
        <f>IFERROR(INDEX(ju_ket,MATCH(ROW(J132),JURNAL!$O:$O,0)),"")</f>
        <v/>
      </c>
      <c r="E144" s="39" t="str">
        <f>IFERROR(IF(bb_akun=INDEX(ju_debet,MATCH(ROW(J132),JURNAL!$O:$O,0)),INDEX(ju_sld,MATCH(ROW(K132),JURNAL!$O:$O,0)),0),"")</f>
        <v/>
      </c>
      <c r="F144" s="39" t="str">
        <f>IFERROR(IF(bb_akun=INDEX(ju_kr,MATCH(ROW(J132),JURNAL!$O:$O,0)),INDEX(ju_sld,MATCH(ROW(K132),JURNAL!$O:$O,0)),0),"")</f>
        <v/>
      </c>
      <c r="G144" s="39" t="str">
        <f>IF(B144="","",IF(INDEX(typ_sn,MATCH($C$9,typ_ket,0))="db",$G$8+SUM($E$13:E144)-SUM($F$13:F144),$G$8+SUM($F$13:F144)-SUM($E$13:E144)))</f>
        <v/>
      </c>
    </row>
    <row r="145" spans="2:7" ht="23.1" customHeight="1">
      <c r="B145" s="45" t="str">
        <f>IFERROR(INDEX(ju_tgl,MATCH(ROW(J133),JURNAL!$O:$O,0)),"")</f>
        <v/>
      </c>
      <c r="C145" s="7" t="str">
        <f>IFERROR(INDEX(ju_ref,MATCH(ROW(J133),JURNAL!$O:$O,0)),"")</f>
        <v/>
      </c>
      <c r="D145" s="7" t="str">
        <f>IFERROR(INDEX(ju_ket,MATCH(ROW(J133),JURNAL!$O:$O,0)),"")</f>
        <v/>
      </c>
      <c r="E145" s="39" t="str">
        <f>IFERROR(IF(bb_akun=INDEX(ju_debet,MATCH(ROW(J133),JURNAL!$O:$O,0)),INDEX(ju_sld,MATCH(ROW(K133),JURNAL!$O:$O,0)),0),"")</f>
        <v/>
      </c>
      <c r="F145" s="39" t="str">
        <f>IFERROR(IF(bb_akun=INDEX(ju_kr,MATCH(ROW(J133),JURNAL!$O:$O,0)),INDEX(ju_sld,MATCH(ROW(K133),JURNAL!$O:$O,0)),0),"")</f>
        <v/>
      </c>
      <c r="G145" s="39" t="str">
        <f>IF(B145="","",IF(INDEX(typ_sn,MATCH($C$9,typ_ket,0))="db",$G$8+SUM($E$13:E145)-SUM($F$13:F145),$G$8+SUM($F$13:F145)-SUM($E$13:E145)))</f>
        <v/>
      </c>
    </row>
    <row r="146" spans="2:7" ht="23.1" customHeight="1">
      <c r="B146" s="45" t="str">
        <f>IFERROR(INDEX(ju_tgl,MATCH(ROW(J134),JURNAL!$O:$O,0)),"")</f>
        <v/>
      </c>
      <c r="C146" s="7" t="str">
        <f>IFERROR(INDEX(ju_ref,MATCH(ROW(J134),JURNAL!$O:$O,0)),"")</f>
        <v/>
      </c>
      <c r="D146" s="7" t="str">
        <f>IFERROR(INDEX(ju_ket,MATCH(ROW(J134),JURNAL!$O:$O,0)),"")</f>
        <v/>
      </c>
      <c r="E146" s="39" t="str">
        <f>IFERROR(IF(bb_akun=INDEX(ju_debet,MATCH(ROW(J134),JURNAL!$O:$O,0)),INDEX(ju_sld,MATCH(ROW(K134),JURNAL!$O:$O,0)),0),"")</f>
        <v/>
      </c>
      <c r="F146" s="39" t="str">
        <f>IFERROR(IF(bb_akun=INDEX(ju_kr,MATCH(ROW(J134),JURNAL!$O:$O,0)),INDEX(ju_sld,MATCH(ROW(K134),JURNAL!$O:$O,0)),0),"")</f>
        <v/>
      </c>
      <c r="G146" s="39" t="str">
        <f>IF(B146="","",IF(INDEX(typ_sn,MATCH($C$9,typ_ket,0))="db",$G$8+SUM($E$13:E146)-SUM($F$13:F146),$G$8+SUM($F$13:F146)-SUM($E$13:E146)))</f>
        <v/>
      </c>
    </row>
    <row r="147" spans="2:7" ht="23.1" customHeight="1">
      <c r="B147" s="45" t="str">
        <f>IFERROR(INDEX(ju_tgl,MATCH(ROW(J135),JURNAL!$O:$O,0)),"")</f>
        <v/>
      </c>
      <c r="C147" s="7" t="str">
        <f>IFERROR(INDEX(ju_ref,MATCH(ROW(J135),JURNAL!$O:$O,0)),"")</f>
        <v/>
      </c>
      <c r="D147" s="7" t="str">
        <f>IFERROR(INDEX(ju_ket,MATCH(ROW(J135),JURNAL!$O:$O,0)),"")</f>
        <v/>
      </c>
      <c r="E147" s="39" t="str">
        <f>IFERROR(IF(bb_akun=INDEX(ju_debet,MATCH(ROW(J135),JURNAL!$O:$O,0)),INDEX(ju_sld,MATCH(ROW(K135),JURNAL!$O:$O,0)),0),"")</f>
        <v/>
      </c>
      <c r="F147" s="39" t="str">
        <f>IFERROR(IF(bb_akun=INDEX(ju_kr,MATCH(ROW(J135),JURNAL!$O:$O,0)),INDEX(ju_sld,MATCH(ROW(K135),JURNAL!$O:$O,0)),0),"")</f>
        <v/>
      </c>
      <c r="G147" s="39" t="str">
        <f>IF(B147="","",IF(INDEX(typ_sn,MATCH($C$9,typ_ket,0))="db",$G$8+SUM($E$13:E147)-SUM($F$13:F147),$G$8+SUM($F$13:F147)-SUM($E$13:E147)))</f>
        <v/>
      </c>
    </row>
    <row r="148" spans="2:7" ht="23.1" customHeight="1">
      <c r="B148" s="45" t="str">
        <f>IFERROR(INDEX(ju_tgl,MATCH(ROW(J136),JURNAL!$O:$O,0)),"")</f>
        <v/>
      </c>
      <c r="C148" s="7" t="str">
        <f>IFERROR(INDEX(ju_ref,MATCH(ROW(J136),JURNAL!$O:$O,0)),"")</f>
        <v/>
      </c>
      <c r="D148" s="7" t="str">
        <f>IFERROR(INDEX(ju_ket,MATCH(ROW(J136),JURNAL!$O:$O,0)),"")</f>
        <v/>
      </c>
      <c r="E148" s="39" t="str">
        <f>IFERROR(IF(bb_akun=INDEX(ju_debet,MATCH(ROW(J136),JURNAL!$O:$O,0)),INDEX(ju_sld,MATCH(ROW(K136),JURNAL!$O:$O,0)),0),"")</f>
        <v/>
      </c>
      <c r="F148" s="39" t="str">
        <f>IFERROR(IF(bb_akun=INDEX(ju_kr,MATCH(ROW(J136),JURNAL!$O:$O,0)),INDEX(ju_sld,MATCH(ROW(K136),JURNAL!$O:$O,0)),0),"")</f>
        <v/>
      </c>
      <c r="G148" s="39" t="str">
        <f>IF(B148="","",IF(INDEX(typ_sn,MATCH($C$9,typ_ket,0))="db",$G$8+SUM($E$13:E148)-SUM($F$13:F148),$G$8+SUM($F$13:F148)-SUM($E$13:E148)))</f>
        <v/>
      </c>
    </row>
    <row r="149" spans="2:7" ht="23.1" customHeight="1">
      <c r="B149" s="45" t="str">
        <f>IFERROR(INDEX(ju_tgl,MATCH(ROW(J137),JURNAL!$O:$O,0)),"")</f>
        <v/>
      </c>
      <c r="C149" s="7" t="str">
        <f>IFERROR(INDEX(ju_ref,MATCH(ROW(J137),JURNAL!$O:$O,0)),"")</f>
        <v/>
      </c>
      <c r="D149" s="7" t="str">
        <f>IFERROR(INDEX(ju_ket,MATCH(ROW(J137),JURNAL!$O:$O,0)),"")</f>
        <v/>
      </c>
      <c r="E149" s="39" t="str">
        <f>IFERROR(IF(bb_akun=INDEX(ju_debet,MATCH(ROW(J137),JURNAL!$O:$O,0)),INDEX(ju_sld,MATCH(ROW(K137),JURNAL!$O:$O,0)),0),"")</f>
        <v/>
      </c>
      <c r="F149" s="39" t="str">
        <f>IFERROR(IF(bb_akun=INDEX(ju_kr,MATCH(ROW(J137),JURNAL!$O:$O,0)),INDEX(ju_sld,MATCH(ROW(K137),JURNAL!$O:$O,0)),0),"")</f>
        <v/>
      </c>
      <c r="G149" s="39" t="str">
        <f>IF(B149="","",IF(INDEX(typ_sn,MATCH($C$9,typ_ket,0))="db",$G$8+SUM($E$13:E149)-SUM($F$13:F149),$G$8+SUM($F$13:F149)-SUM($E$13:E149)))</f>
        <v/>
      </c>
    </row>
    <row r="150" spans="2:7" ht="23.1" customHeight="1">
      <c r="B150" s="45" t="str">
        <f>IFERROR(INDEX(ju_tgl,MATCH(ROW(J138),JURNAL!$O:$O,0)),"")</f>
        <v/>
      </c>
      <c r="C150" s="7" t="str">
        <f>IFERROR(INDEX(ju_ref,MATCH(ROW(J138),JURNAL!$O:$O,0)),"")</f>
        <v/>
      </c>
      <c r="D150" s="7" t="str">
        <f>IFERROR(INDEX(ju_ket,MATCH(ROW(J138),JURNAL!$O:$O,0)),"")</f>
        <v/>
      </c>
      <c r="E150" s="39" t="str">
        <f>IFERROR(IF(bb_akun=INDEX(ju_debet,MATCH(ROW(J138),JURNAL!$O:$O,0)),INDEX(ju_sld,MATCH(ROW(K138),JURNAL!$O:$O,0)),0),"")</f>
        <v/>
      </c>
      <c r="F150" s="39" t="str">
        <f>IFERROR(IF(bb_akun=INDEX(ju_kr,MATCH(ROW(J138),JURNAL!$O:$O,0)),INDEX(ju_sld,MATCH(ROW(K138),JURNAL!$O:$O,0)),0),"")</f>
        <v/>
      </c>
      <c r="G150" s="39" t="str">
        <f>IF(B150="","",IF(INDEX(typ_sn,MATCH($C$9,typ_ket,0))="db",$G$8+SUM($E$13:E150)-SUM($F$13:F150),$G$8+SUM($F$13:F150)-SUM($E$13:E150)))</f>
        <v/>
      </c>
    </row>
    <row r="151" spans="2:7" ht="23.1" customHeight="1">
      <c r="B151" s="45" t="str">
        <f>IFERROR(INDEX(ju_tgl,MATCH(ROW(J139),JURNAL!$O:$O,0)),"")</f>
        <v/>
      </c>
      <c r="C151" s="7" t="str">
        <f>IFERROR(INDEX(ju_ref,MATCH(ROW(J139),JURNAL!$O:$O,0)),"")</f>
        <v/>
      </c>
      <c r="D151" s="7" t="str">
        <f>IFERROR(INDEX(ju_ket,MATCH(ROW(J139),JURNAL!$O:$O,0)),"")</f>
        <v/>
      </c>
      <c r="E151" s="39" t="str">
        <f>IFERROR(IF(bb_akun=INDEX(ju_debet,MATCH(ROW(J139),JURNAL!$O:$O,0)),INDEX(ju_sld,MATCH(ROW(K139),JURNAL!$O:$O,0)),0),"")</f>
        <v/>
      </c>
      <c r="F151" s="39" t="str">
        <f>IFERROR(IF(bb_akun=INDEX(ju_kr,MATCH(ROW(J139),JURNAL!$O:$O,0)),INDEX(ju_sld,MATCH(ROW(K139),JURNAL!$O:$O,0)),0),"")</f>
        <v/>
      </c>
      <c r="G151" s="39" t="str">
        <f>IF(B151="","",IF(INDEX(typ_sn,MATCH($C$9,typ_ket,0))="db",$G$8+SUM($E$13:E151)-SUM($F$13:F151),$G$8+SUM($F$13:F151)-SUM($E$13:E151)))</f>
        <v/>
      </c>
    </row>
    <row r="152" spans="2:7" ht="23.1" customHeight="1">
      <c r="B152" s="45" t="str">
        <f>IFERROR(INDEX(ju_tgl,MATCH(ROW(J140),JURNAL!$O:$O,0)),"")</f>
        <v/>
      </c>
      <c r="C152" s="7" t="str">
        <f>IFERROR(INDEX(ju_ref,MATCH(ROW(J140),JURNAL!$O:$O,0)),"")</f>
        <v/>
      </c>
      <c r="D152" s="7" t="str">
        <f>IFERROR(INDEX(ju_ket,MATCH(ROW(J140),JURNAL!$O:$O,0)),"")</f>
        <v/>
      </c>
      <c r="E152" s="39" t="str">
        <f>IFERROR(IF(bb_akun=INDEX(ju_debet,MATCH(ROW(J140),JURNAL!$O:$O,0)),INDEX(ju_sld,MATCH(ROW(K140),JURNAL!$O:$O,0)),0),"")</f>
        <v/>
      </c>
      <c r="F152" s="39" t="str">
        <f>IFERROR(IF(bb_akun=INDEX(ju_kr,MATCH(ROW(J140),JURNAL!$O:$O,0)),INDEX(ju_sld,MATCH(ROW(K140),JURNAL!$O:$O,0)),0),"")</f>
        <v/>
      </c>
      <c r="G152" s="39" t="str">
        <f>IF(B152="","",IF(INDEX(typ_sn,MATCH($C$9,typ_ket,0))="db",$G$8+SUM($E$13:E152)-SUM($F$13:F152),$G$8+SUM($F$13:F152)-SUM($E$13:E152)))</f>
        <v/>
      </c>
    </row>
    <row r="153" spans="2:7" ht="23.1" customHeight="1">
      <c r="B153" s="45" t="str">
        <f>IFERROR(INDEX(ju_tgl,MATCH(ROW(J141),JURNAL!$O:$O,0)),"")</f>
        <v/>
      </c>
      <c r="C153" s="7" t="str">
        <f>IFERROR(INDEX(ju_ref,MATCH(ROW(J141),JURNAL!$O:$O,0)),"")</f>
        <v/>
      </c>
      <c r="D153" s="7" t="str">
        <f>IFERROR(INDEX(ju_ket,MATCH(ROW(J141),JURNAL!$O:$O,0)),"")</f>
        <v/>
      </c>
      <c r="E153" s="39" t="str">
        <f>IFERROR(IF(bb_akun=INDEX(ju_debet,MATCH(ROW(J141),JURNAL!$O:$O,0)),INDEX(ju_sld,MATCH(ROW(K141),JURNAL!$O:$O,0)),0),"")</f>
        <v/>
      </c>
      <c r="F153" s="39" t="str">
        <f>IFERROR(IF(bb_akun=INDEX(ju_kr,MATCH(ROW(J141),JURNAL!$O:$O,0)),INDEX(ju_sld,MATCH(ROW(K141),JURNAL!$O:$O,0)),0),"")</f>
        <v/>
      </c>
      <c r="G153" s="39" t="str">
        <f>IF(B153="","",IF(INDEX(typ_sn,MATCH($C$9,typ_ket,0))="db",$G$8+SUM($E$13:E153)-SUM($F$13:F153),$G$8+SUM($F$13:F153)-SUM($E$13:E153)))</f>
        <v/>
      </c>
    </row>
    <row r="154" spans="2:7" ht="23.1" customHeight="1">
      <c r="B154" s="45" t="str">
        <f>IFERROR(INDEX(ju_tgl,MATCH(ROW(J142),JURNAL!$O:$O,0)),"")</f>
        <v/>
      </c>
      <c r="C154" s="7" t="str">
        <f>IFERROR(INDEX(ju_ref,MATCH(ROW(J142),JURNAL!$O:$O,0)),"")</f>
        <v/>
      </c>
      <c r="D154" s="7" t="str">
        <f>IFERROR(INDEX(ju_ket,MATCH(ROW(J142),JURNAL!$O:$O,0)),"")</f>
        <v/>
      </c>
      <c r="E154" s="39" t="str">
        <f>IFERROR(IF(bb_akun=INDEX(ju_debet,MATCH(ROW(J142),JURNAL!$O:$O,0)),INDEX(ju_sld,MATCH(ROW(K142),JURNAL!$O:$O,0)),0),"")</f>
        <v/>
      </c>
      <c r="F154" s="39" t="str">
        <f>IFERROR(IF(bb_akun=INDEX(ju_kr,MATCH(ROW(J142),JURNAL!$O:$O,0)),INDEX(ju_sld,MATCH(ROW(K142),JURNAL!$O:$O,0)),0),"")</f>
        <v/>
      </c>
      <c r="G154" s="39" t="str">
        <f>IF(B154="","",IF(INDEX(typ_sn,MATCH($C$9,typ_ket,0))="db",$G$8+SUM($E$13:E154)-SUM($F$13:F154),$G$8+SUM($F$13:F154)-SUM($E$13:E154)))</f>
        <v/>
      </c>
    </row>
    <row r="155" spans="2:7" ht="23.1" customHeight="1">
      <c r="B155" s="45" t="str">
        <f>IFERROR(INDEX(ju_tgl,MATCH(ROW(J143),JURNAL!$O:$O,0)),"")</f>
        <v/>
      </c>
      <c r="C155" s="7" t="str">
        <f>IFERROR(INDEX(ju_ref,MATCH(ROW(J143),JURNAL!$O:$O,0)),"")</f>
        <v/>
      </c>
      <c r="D155" s="7" t="str">
        <f>IFERROR(INDEX(ju_ket,MATCH(ROW(J143),JURNAL!$O:$O,0)),"")</f>
        <v/>
      </c>
      <c r="E155" s="39" t="str">
        <f>IFERROR(IF(bb_akun=INDEX(ju_debet,MATCH(ROW(J143),JURNAL!$O:$O,0)),INDEX(ju_sld,MATCH(ROW(K143),JURNAL!$O:$O,0)),0),"")</f>
        <v/>
      </c>
      <c r="F155" s="39" t="str">
        <f>IFERROR(IF(bb_akun=INDEX(ju_kr,MATCH(ROW(J143),JURNAL!$O:$O,0)),INDEX(ju_sld,MATCH(ROW(K143),JURNAL!$O:$O,0)),0),"")</f>
        <v/>
      </c>
      <c r="G155" s="39" t="str">
        <f>IF(B155="","",IF(INDEX(typ_sn,MATCH($C$9,typ_ket,0))="db",$G$8+SUM($E$13:E155)-SUM($F$13:F155),$G$8+SUM($F$13:F155)-SUM($E$13:E155)))</f>
        <v/>
      </c>
    </row>
    <row r="156" spans="2:7" ht="23.1" customHeight="1">
      <c r="B156" s="45" t="str">
        <f>IFERROR(INDEX(ju_tgl,MATCH(ROW(J144),JURNAL!$O:$O,0)),"")</f>
        <v/>
      </c>
      <c r="C156" s="7" t="str">
        <f>IFERROR(INDEX(ju_ref,MATCH(ROW(J144),JURNAL!$O:$O,0)),"")</f>
        <v/>
      </c>
      <c r="D156" s="7" t="str">
        <f>IFERROR(INDEX(ju_ket,MATCH(ROW(J144),JURNAL!$O:$O,0)),"")</f>
        <v/>
      </c>
      <c r="E156" s="39" t="str">
        <f>IFERROR(IF(bb_akun=INDEX(ju_debet,MATCH(ROW(J144),JURNAL!$O:$O,0)),INDEX(ju_sld,MATCH(ROW(K144),JURNAL!$O:$O,0)),0),"")</f>
        <v/>
      </c>
      <c r="F156" s="39" t="str">
        <f>IFERROR(IF(bb_akun=INDEX(ju_kr,MATCH(ROW(J144),JURNAL!$O:$O,0)),INDEX(ju_sld,MATCH(ROW(K144),JURNAL!$O:$O,0)),0),"")</f>
        <v/>
      </c>
      <c r="G156" s="39" t="str">
        <f>IF(B156="","",IF(INDEX(typ_sn,MATCH($C$9,typ_ket,0))="db",$G$8+SUM($E$13:E156)-SUM($F$13:F156),$G$8+SUM($F$13:F156)-SUM($E$13:E156)))</f>
        <v/>
      </c>
    </row>
    <row r="157" spans="2:7" ht="23.1" customHeight="1">
      <c r="B157" s="45" t="str">
        <f>IFERROR(INDEX(ju_tgl,MATCH(ROW(J145),JURNAL!$O:$O,0)),"")</f>
        <v/>
      </c>
      <c r="C157" s="7" t="str">
        <f>IFERROR(INDEX(ju_ref,MATCH(ROW(J145),JURNAL!$O:$O,0)),"")</f>
        <v/>
      </c>
      <c r="D157" s="7" t="str">
        <f>IFERROR(INDEX(ju_ket,MATCH(ROW(J145),JURNAL!$O:$O,0)),"")</f>
        <v/>
      </c>
      <c r="E157" s="39" t="str">
        <f>IFERROR(IF(bb_akun=INDEX(ju_debet,MATCH(ROW(J145),JURNAL!$O:$O,0)),INDEX(ju_sld,MATCH(ROW(K145),JURNAL!$O:$O,0)),0),"")</f>
        <v/>
      </c>
      <c r="F157" s="39" t="str">
        <f>IFERROR(IF(bb_akun=INDEX(ju_kr,MATCH(ROW(J145),JURNAL!$O:$O,0)),INDEX(ju_sld,MATCH(ROW(K145),JURNAL!$O:$O,0)),0),"")</f>
        <v/>
      </c>
      <c r="G157" s="39" t="str">
        <f>IF(B157="","",IF(INDEX(typ_sn,MATCH($C$9,typ_ket,0))="db",$G$8+SUM($E$13:E157)-SUM($F$13:F157),$G$8+SUM($F$13:F157)-SUM($E$13:E157)))</f>
        <v/>
      </c>
    </row>
    <row r="158" spans="2:7" ht="23.1" customHeight="1">
      <c r="B158" s="45" t="str">
        <f>IFERROR(INDEX(ju_tgl,MATCH(ROW(J146),JURNAL!$O:$O,0)),"")</f>
        <v/>
      </c>
      <c r="C158" s="7" t="str">
        <f>IFERROR(INDEX(ju_ref,MATCH(ROW(J146),JURNAL!$O:$O,0)),"")</f>
        <v/>
      </c>
      <c r="D158" s="7" t="str">
        <f>IFERROR(INDEX(ju_ket,MATCH(ROW(J146),JURNAL!$O:$O,0)),"")</f>
        <v/>
      </c>
      <c r="E158" s="39" t="str">
        <f>IFERROR(IF(bb_akun=INDEX(ju_debet,MATCH(ROW(J146),JURNAL!$O:$O,0)),INDEX(ju_sld,MATCH(ROW(K146),JURNAL!$O:$O,0)),0),"")</f>
        <v/>
      </c>
      <c r="F158" s="39" t="str">
        <f>IFERROR(IF(bb_akun=INDEX(ju_kr,MATCH(ROW(J146),JURNAL!$O:$O,0)),INDEX(ju_sld,MATCH(ROW(K146),JURNAL!$O:$O,0)),0),"")</f>
        <v/>
      </c>
      <c r="G158" s="39" t="str">
        <f>IF(B158="","",IF(INDEX(typ_sn,MATCH($C$9,typ_ket,0))="db",$G$8+SUM($E$13:E158)-SUM($F$13:F158),$G$8+SUM($F$13:F158)-SUM($E$13:E158)))</f>
        <v/>
      </c>
    </row>
    <row r="159" spans="2:7" ht="23.1" customHeight="1">
      <c r="B159" s="45" t="str">
        <f>IFERROR(INDEX(ju_tgl,MATCH(ROW(J147),JURNAL!$O:$O,0)),"")</f>
        <v/>
      </c>
      <c r="C159" s="7" t="str">
        <f>IFERROR(INDEX(ju_ref,MATCH(ROW(J147),JURNAL!$O:$O,0)),"")</f>
        <v/>
      </c>
      <c r="D159" s="7" t="str">
        <f>IFERROR(INDEX(ju_ket,MATCH(ROW(J147),JURNAL!$O:$O,0)),"")</f>
        <v/>
      </c>
      <c r="E159" s="39" t="str">
        <f>IFERROR(IF(bb_akun=INDEX(ju_debet,MATCH(ROW(J147),JURNAL!$O:$O,0)),INDEX(ju_sld,MATCH(ROW(K147),JURNAL!$O:$O,0)),0),"")</f>
        <v/>
      </c>
      <c r="F159" s="39" t="str">
        <f>IFERROR(IF(bb_akun=INDEX(ju_kr,MATCH(ROW(J147),JURNAL!$O:$O,0)),INDEX(ju_sld,MATCH(ROW(K147),JURNAL!$O:$O,0)),0),"")</f>
        <v/>
      </c>
      <c r="G159" s="39" t="str">
        <f>IF(B159="","",IF(INDEX(typ_sn,MATCH($C$9,typ_ket,0))="db",$G$8+SUM($E$13:E159)-SUM($F$13:F159),$G$8+SUM($F$13:F159)-SUM($E$13:E159)))</f>
        <v/>
      </c>
    </row>
    <row r="160" spans="2:7" ht="23.1" customHeight="1">
      <c r="B160" s="45" t="str">
        <f>IFERROR(INDEX(ju_tgl,MATCH(ROW(J148),JURNAL!$O:$O,0)),"")</f>
        <v/>
      </c>
      <c r="C160" s="7" t="str">
        <f>IFERROR(INDEX(ju_ref,MATCH(ROW(J148),JURNAL!$O:$O,0)),"")</f>
        <v/>
      </c>
      <c r="D160" s="7" t="str">
        <f>IFERROR(INDEX(ju_ket,MATCH(ROW(J148),JURNAL!$O:$O,0)),"")</f>
        <v/>
      </c>
      <c r="E160" s="39" t="str">
        <f>IFERROR(IF(bb_akun=INDEX(ju_debet,MATCH(ROW(J148),JURNAL!$O:$O,0)),INDEX(ju_sld,MATCH(ROW(K148),JURNAL!$O:$O,0)),0),"")</f>
        <v/>
      </c>
      <c r="F160" s="39" t="str">
        <f>IFERROR(IF(bb_akun=INDEX(ju_kr,MATCH(ROW(J148),JURNAL!$O:$O,0)),INDEX(ju_sld,MATCH(ROW(K148),JURNAL!$O:$O,0)),0),"")</f>
        <v/>
      </c>
      <c r="G160" s="39" t="str">
        <f>IF(B160="","",IF(INDEX(typ_sn,MATCH($C$9,typ_ket,0))="db",$G$8+SUM($E$13:E160)-SUM($F$13:F160),$G$8+SUM($F$13:F160)-SUM($E$13:E160)))</f>
        <v/>
      </c>
    </row>
    <row r="161" spans="2:7" ht="23.1" customHeight="1">
      <c r="B161" s="45" t="str">
        <f>IFERROR(INDEX(ju_tgl,MATCH(ROW(J149),JURNAL!$O:$O,0)),"")</f>
        <v/>
      </c>
      <c r="C161" s="7" t="str">
        <f>IFERROR(INDEX(ju_ref,MATCH(ROW(J149),JURNAL!$O:$O,0)),"")</f>
        <v/>
      </c>
      <c r="D161" s="7" t="str">
        <f>IFERROR(INDEX(ju_ket,MATCH(ROW(J149),JURNAL!$O:$O,0)),"")</f>
        <v/>
      </c>
      <c r="E161" s="39" t="str">
        <f>IFERROR(IF(bb_akun=INDEX(ju_debet,MATCH(ROW(J149),JURNAL!$O:$O,0)),INDEX(ju_sld,MATCH(ROW(K149),JURNAL!$O:$O,0)),0),"")</f>
        <v/>
      </c>
      <c r="F161" s="39" t="str">
        <f>IFERROR(IF(bb_akun=INDEX(ju_kr,MATCH(ROW(J149),JURNAL!$O:$O,0)),INDEX(ju_sld,MATCH(ROW(K149),JURNAL!$O:$O,0)),0),"")</f>
        <v/>
      </c>
      <c r="G161" s="39" t="str">
        <f>IF(B161="","",IF(INDEX(typ_sn,MATCH($C$9,typ_ket,0))="db",$G$8+SUM($E$13:E161)-SUM($F$13:F161),$G$8+SUM($F$13:F161)-SUM($E$13:E161)))</f>
        <v/>
      </c>
    </row>
    <row r="162" spans="2:7" ht="23.1" customHeight="1">
      <c r="B162" s="45" t="str">
        <f>IFERROR(INDEX(ju_tgl,MATCH(ROW(J150),JURNAL!$O:$O,0)),"")</f>
        <v/>
      </c>
      <c r="C162" s="7" t="str">
        <f>IFERROR(INDEX(ju_ref,MATCH(ROW(J150),JURNAL!$O:$O,0)),"")</f>
        <v/>
      </c>
      <c r="D162" s="7" t="str">
        <f>IFERROR(INDEX(ju_ket,MATCH(ROW(J150),JURNAL!$O:$O,0)),"")</f>
        <v/>
      </c>
      <c r="E162" s="39" t="str">
        <f>IFERROR(IF(bb_akun=INDEX(ju_debet,MATCH(ROW(J150),JURNAL!$O:$O,0)),INDEX(ju_sld,MATCH(ROW(K150),JURNAL!$O:$O,0)),0),"")</f>
        <v/>
      </c>
      <c r="F162" s="39" t="str">
        <f>IFERROR(IF(bb_akun=INDEX(ju_kr,MATCH(ROW(J150),JURNAL!$O:$O,0)),INDEX(ju_sld,MATCH(ROW(K150),JURNAL!$O:$O,0)),0),"")</f>
        <v/>
      </c>
      <c r="G162" s="39" t="str">
        <f>IF(B162="","",IF(INDEX(typ_sn,MATCH($C$9,typ_ket,0))="db",$G$8+SUM($E$13:E162)-SUM($F$13:F162),$G$8+SUM($F$13:F162)-SUM($E$13:E162)))</f>
        <v/>
      </c>
    </row>
    <row r="163" spans="2:7" ht="23.1" customHeight="1">
      <c r="B163" s="45" t="str">
        <f>IFERROR(INDEX(ju_tgl,MATCH(ROW(J151),JURNAL!$O:$O,0)),"")</f>
        <v/>
      </c>
      <c r="C163" s="7" t="str">
        <f>IFERROR(INDEX(ju_ref,MATCH(ROW(J151),JURNAL!$O:$O,0)),"")</f>
        <v/>
      </c>
      <c r="D163" s="7" t="str">
        <f>IFERROR(INDEX(ju_ket,MATCH(ROW(J151),JURNAL!$O:$O,0)),"")</f>
        <v/>
      </c>
      <c r="E163" s="39" t="str">
        <f>IFERROR(IF(bb_akun=INDEX(ju_debet,MATCH(ROW(J151),JURNAL!$O:$O,0)),INDEX(ju_sld,MATCH(ROW(K151),JURNAL!$O:$O,0)),0),"")</f>
        <v/>
      </c>
      <c r="F163" s="39" t="str">
        <f>IFERROR(IF(bb_akun=INDEX(ju_kr,MATCH(ROW(J151),JURNAL!$O:$O,0)),INDEX(ju_sld,MATCH(ROW(K151),JURNAL!$O:$O,0)),0),"")</f>
        <v/>
      </c>
      <c r="G163" s="39" t="str">
        <f>IF(B163="","",IF(INDEX(typ_sn,MATCH($C$9,typ_ket,0))="db",$G$8+SUM($E$13:E163)-SUM($F$13:F163),$G$8+SUM($F$13:F163)-SUM($E$13:E163)))</f>
        <v/>
      </c>
    </row>
    <row r="164" spans="2:7" ht="23.1" customHeight="1">
      <c r="B164" s="45" t="str">
        <f>IFERROR(INDEX(ju_tgl,MATCH(ROW(J152),JURNAL!$O:$O,0)),"")</f>
        <v/>
      </c>
      <c r="C164" s="7" t="str">
        <f>IFERROR(INDEX(ju_ref,MATCH(ROW(J152),JURNAL!$O:$O,0)),"")</f>
        <v/>
      </c>
      <c r="D164" s="7" t="str">
        <f>IFERROR(INDEX(ju_ket,MATCH(ROW(J152),JURNAL!$O:$O,0)),"")</f>
        <v/>
      </c>
      <c r="E164" s="39" t="str">
        <f>IFERROR(IF(bb_akun=INDEX(ju_debet,MATCH(ROW(J152),JURNAL!$O:$O,0)),INDEX(ju_sld,MATCH(ROW(K152),JURNAL!$O:$O,0)),0),"")</f>
        <v/>
      </c>
      <c r="F164" s="39" t="str">
        <f>IFERROR(IF(bb_akun=INDEX(ju_kr,MATCH(ROW(J152),JURNAL!$O:$O,0)),INDEX(ju_sld,MATCH(ROW(K152),JURNAL!$O:$O,0)),0),"")</f>
        <v/>
      </c>
      <c r="G164" s="39" t="str">
        <f>IF(B164="","",IF(INDEX(typ_sn,MATCH($C$9,typ_ket,0))="db",$G$8+SUM($E$13:E164)-SUM($F$13:F164),$G$8+SUM($F$13:F164)-SUM($E$13:E164)))</f>
        <v/>
      </c>
    </row>
    <row r="165" spans="2:7" ht="23.1" customHeight="1">
      <c r="B165" s="45" t="str">
        <f>IFERROR(INDEX(ju_tgl,MATCH(ROW(J153),JURNAL!$O:$O,0)),"")</f>
        <v/>
      </c>
      <c r="C165" s="7" t="str">
        <f>IFERROR(INDEX(ju_ref,MATCH(ROW(J153),JURNAL!$O:$O,0)),"")</f>
        <v/>
      </c>
      <c r="D165" s="7" t="str">
        <f>IFERROR(INDEX(ju_ket,MATCH(ROW(J153),JURNAL!$O:$O,0)),"")</f>
        <v/>
      </c>
      <c r="E165" s="39" t="str">
        <f>IFERROR(IF(bb_akun=INDEX(ju_debet,MATCH(ROW(J153),JURNAL!$O:$O,0)),INDEX(ju_sld,MATCH(ROW(K153),JURNAL!$O:$O,0)),0),"")</f>
        <v/>
      </c>
      <c r="F165" s="39" t="str">
        <f>IFERROR(IF(bb_akun=INDEX(ju_kr,MATCH(ROW(J153),JURNAL!$O:$O,0)),INDEX(ju_sld,MATCH(ROW(K153),JURNAL!$O:$O,0)),0),"")</f>
        <v/>
      </c>
      <c r="G165" s="39" t="str">
        <f>IF(B165="","",IF(INDEX(typ_sn,MATCH($C$9,typ_ket,0))="db",$G$8+SUM($E$13:E165)-SUM($F$13:F165),$G$8+SUM($F$13:F165)-SUM($E$13:E165)))</f>
        <v/>
      </c>
    </row>
    <row r="166" spans="2:7" ht="23.1" customHeight="1">
      <c r="B166" s="45" t="str">
        <f>IFERROR(INDEX(ju_tgl,MATCH(ROW(J154),JURNAL!$O:$O,0)),"")</f>
        <v/>
      </c>
      <c r="C166" s="7" t="str">
        <f>IFERROR(INDEX(ju_ref,MATCH(ROW(J154),JURNAL!$O:$O,0)),"")</f>
        <v/>
      </c>
      <c r="D166" s="7" t="str">
        <f>IFERROR(INDEX(ju_ket,MATCH(ROW(J154),JURNAL!$O:$O,0)),"")</f>
        <v/>
      </c>
      <c r="E166" s="39" t="str">
        <f>IFERROR(IF(bb_akun=INDEX(ju_debet,MATCH(ROW(J154),JURNAL!$O:$O,0)),INDEX(ju_sld,MATCH(ROW(K154),JURNAL!$O:$O,0)),0),"")</f>
        <v/>
      </c>
      <c r="F166" s="39" t="str">
        <f>IFERROR(IF(bb_akun=INDEX(ju_kr,MATCH(ROW(J154),JURNAL!$O:$O,0)),INDEX(ju_sld,MATCH(ROW(K154),JURNAL!$O:$O,0)),0),"")</f>
        <v/>
      </c>
      <c r="G166" s="39" t="str">
        <f>IF(B166="","",IF(INDEX(typ_sn,MATCH($C$9,typ_ket,0))="db",$G$8+SUM($E$13:E166)-SUM($F$13:F166),$G$8+SUM($F$13:F166)-SUM($E$13:E166)))</f>
        <v/>
      </c>
    </row>
    <row r="167" spans="2:7" ht="23.1" customHeight="1">
      <c r="B167" s="45" t="str">
        <f>IFERROR(INDEX(ju_tgl,MATCH(ROW(J155),JURNAL!$O:$O,0)),"")</f>
        <v/>
      </c>
      <c r="C167" s="7" t="str">
        <f>IFERROR(INDEX(ju_ref,MATCH(ROW(J155),JURNAL!$O:$O,0)),"")</f>
        <v/>
      </c>
      <c r="D167" s="7" t="str">
        <f>IFERROR(INDEX(ju_ket,MATCH(ROW(J155),JURNAL!$O:$O,0)),"")</f>
        <v/>
      </c>
      <c r="E167" s="39" t="str">
        <f>IFERROR(IF(bb_akun=INDEX(ju_debet,MATCH(ROW(J155),JURNAL!$O:$O,0)),INDEX(ju_sld,MATCH(ROW(K155),JURNAL!$O:$O,0)),0),"")</f>
        <v/>
      </c>
      <c r="F167" s="39" t="str">
        <f>IFERROR(IF(bb_akun=INDEX(ju_kr,MATCH(ROW(J155),JURNAL!$O:$O,0)),INDEX(ju_sld,MATCH(ROW(K155),JURNAL!$O:$O,0)),0),"")</f>
        <v/>
      </c>
      <c r="G167" s="39" t="str">
        <f>IF(B167="","",IF(INDEX(typ_sn,MATCH($C$9,typ_ket,0))="db",$G$8+SUM($E$13:E167)-SUM($F$13:F167),$G$8+SUM($F$13:F167)-SUM($E$13:E167)))</f>
        <v/>
      </c>
    </row>
    <row r="168" spans="2:7" ht="23.1" customHeight="1">
      <c r="B168" s="45" t="str">
        <f>IFERROR(INDEX(ju_tgl,MATCH(ROW(J156),JURNAL!$O:$O,0)),"")</f>
        <v/>
      </c>
      <c r="C168" s="7" t="str">
        <f>IFERROR(INDEX(ju_ref,MATCH(ROW(J156),JURNAL!$O:$O,0)),"")</f>
        <v/>
      </c>
      <c r="D168" s="7" t="str">
        <f>IFERROR(INDEX(ju_ket,MATCH(ROW(J156),JURNAL!$O:$O,0)),"")</f>
        <v/>
      </c>
      <c r="E168" s="39" t="str">
        <f>IFERROR(IF(bb_akun=INDEX(ju_debet,MATCH(ROW(J156),JURNAL!$O:$O,0)),INDEX(ju_sld,MATCH(ROW(K156),JURNAL!$O:$O,0)),0),"")</f>
        <v/>
      </c>
      <c r="F168" s="39" t="str">
        <f>IFERROR(IF(bb_akun=INDEX(ju_kr,MATCH(ROW(J156),JURNAL!$O:$O,0)),INDEX(ju_sld,MATCH(ROW(K156),JURNAL!$O:$O,0)),0),"")</f>
        <v/>
      </c>
      <c r="G168" s="39" t="str">
        <f>IF(B168="","",IF(INDEX(typ_sn,MATCH($C$9,typ_ket,0))="db",$G$8+SUM($E$13:E168)-SUM($F$13:F168),$G$8+SUM($F$13:F168)-SUM($E$13:E168)))</f>
        <v/>
      </c>
    </row>
    <row r="169" spans="2:7" ht="23.1" customHeight="1">
      <c r="B169" s="45" t="str">
        <f>IFERROR(INDEX(ju_tgl,MATCH(ROW(J157),JURNAL!$O:$O,0)),"")</f>
        <v/>
      </c>
      <c r="C169" s="7" t="str">
        <f>IFERROR(INDEX(ju_ref,MATCH(ROW(J157),JURNAL!$O:$O,0)),"")</f>
        <v/>
      </c>
      <c r="D169" s="7" t="str">
        <f>IFERROR(INDEX(ju_ket,MATCH(ROW(J157),JURNAL!$O:$O,0)),"")</f>
        <v/>
      </c>
      <c r="E169" s="39" t="str">
        <f>IFERROR(IF(bb_akun=INDEX(ju_debet,MATCH(ROW(J157),JURNAL!$O:$O,0)),INDEX(ju_sld,MATCH(ROW(K157),JURNAL!$O:$O,0)),0),"")</f>
        <v/>
      </c>
      <c r="F169" s="39" t="str">
        <f>IFERROR(IF(bb_akun=INDEX(ju_kr,MATCH(ROW(J157),JURNAL!$O:$O,0)),INDEX(ju_sld,MATCH(ROW(K157),JURNAL!$O:$O,0)),0),"")</f>
        <v/>
      </c>
      <c r="G169" s="39" t="str">
        <f>IF(B169="","",IF(INDEX(typ_sn,MATCH($C$9,typ_ket,0))="db",$G$8+SUM($E$13:E169)-SUM($F$13:F169),$G$8+SUM($F$13:F169)-SUM($E$13:E169)))</f>
        <v/>
      </c>
    </row>
    <row r="170" spans="2:7" ht="23.1" customHeight="1">
      <c r="B170" s="45" t="str">
        <f>IFERROR(INDEX(ju_tgl,MATCH(ROW(J158),JURNAL!$O:$O,0)),"")</f>
        <v/>
      </c>
      <c r="C170" s="7" t="str">
        <f>IFERROR(INDEX(ju_ref,MATCH(ROW(J158),JURNAL!$O:$O,0)),"")</f>
        <v/>
      </c>
      <c r="D170" s="7" t="str">
        <f>IFERROR(INDEX(ju_ket,MATCH(ROW(J158),JURNAL!$O:$O,0)),"")</f>
        <v/>
      </c>
      <c r="E170" s="39" t="str">
        <f>IFERROR(IF(bb_akun=INDEX(ju_debet,MATCH(ROW(J158),JURNAL!$O:$O,0)),INDEX(ju_sld,MATCH(ROW(K158),JURNAL!$O:$O,0)),0),"")</f>
        <v/>
      </c>
      <c r="F170" s="39" t="str">
        <f>IFERROR(IF(bb_akun=INDEX(ju_kr,MATCH(ROW(J158),JURNAL!$O:$O,0)),INDEX(ju_sld,MATCH(ROW(K158),JURNAL!$O:$O,0)),0),"")</f>
        <v/>
      </c>
      <c r="G170" s="39" t="str">
        <f>IF(B170="","",IF(INDEX(typ_sn,MATCH($C$9,typ_ket,0))="db",$G$8+SUM($E$13:E170)-SUM($F$13:F170),$G$8+SUM($F$13:F170)-SUM($E$13:E170)))</f>
        <v/>
      </c>
    </row>
    <row r="171" spans="2:7" ht="23.1" customHeight="1">
      <c r="B171" s="45" t="str">
        <f>IFERROR(INDEX(ju_tgl,MATCH(ROW(J159),JURNAL!$O:$O,0)),"")</f>
        <v/>
      </c>
      <c r="C171" s="7" t="str">
        <f>IFERROR(INDEX(ju_ref,MATCH(ROW(J159),JURNAL!$O:$O,0)),"")</f>
        <v/>
      </c>
      <c r="D171" s="7" t="str">
        <f>IFERROR(INDEX(ju_ket,MATCH(ROW(J159),JURNAL!$O:$O,0)),"")</f>
        <v/>
      </c>
      <c r="E171" s="39" t="str">
        <f>IFERROR(IF(bb_akun=INDEX(ju_debet,MATCH(ROW(J159),JURNAL!$O:$O,0)),INDEX(ju_sld,MATCH(ROW(K159),JURNAL!$O:$O,0)),0),"")</f>
        <v/>
      </c>
      <c r="F171" s="39" t="str">
        <f>IFERROR(IF(bb_akun=INDEX(ju_kr,MATCH(ROW(J159),JURNAL!$O:$O,0)),INDEX(ju_sld,MATCH(ROW(K159),JURNAL!$O:$O,0)),0),"")</f>
        <v/>
      </c>
      <c r="G171" s="39" t="str">
        <f>IF(B171="","",IF(INDEX(typ_sn,MATCH($C$9,typ_ket,0))="db",$G$8+SUM($E$13:E171)-SUM($F$13:F171),$G$8+SUM($F$13:F171)-SUM($E$13:E171)))</f>
        <v/>
      </c>
    </row>
    <row r="172" spans="2:7" ht="23.1" customHeight="1">
      <c r="B172" s="45" t="str">
        <f>IFERROR(INDEX(ju_tgl,MATCH(ROW(J160),JURNAL!$O:$O,0)),"")</f>
        <v/>
      </c>
      <c r="C172" s="7" t="str">
        <f>IFERROR(INDEX(ju_ref,MATCH(ROW(J160),JURNAL!$O:$O,0)),"")</f>
        <v/>
      </c>
      <c r="D172" s="7" t="str">
        <f>IFERROR(INDEX(ju_ket,MATCH(ROW(J160),JURNAL!$O:$O,0)),"")</f>
        <v/>
      </c>
      <c r="E172" s="39" t="str">
        <f>IFERROR(IF(bb_akun=INDEX(ju_debet,MATCH(ROW(J160),JURNAL!$O:$O,0)),INDEX(ju_sld,MATCH(ROW(K160),JURNAL!$O:$O,0)),0),"")</f>
        <v/>
      </c>
      <c r="F172" s="39" t="str">
        <f>IFERROR(IF(bb_akun=INDEX(ju_kr,MATCH(ROW(J160),JURNAL!$O:$O,0)),INDEX(ju_sld,MATCH(ROW(K160),JURNAL!$O:$O,0)),0),"")</f>
        <v/>
      </c>
      <c r="G172" s="39" t="str">
        <f>IF(B172="","",IF(INDEX(typ_sn,MATCH($C$9,typ_ket,0))="db",$G$8+SUM($E$13:E172)-SUM($F$13:F172),$G$8+SUM($F$13:F172)-SUM($E$13:E172)))</f>
        <v/>
      </c>
    </row>
    <row r="173" spans="2:7" ht="23.1" customHeight="1">
      <c r="B173" s="45" t="str">
        <f>IFERROR(INDEX(ju_tgl,MATCH(ROW(J161),JURNAL!$O:$O,0)),"")</f>
        <v/>
      </c>
      <c r="C173" s="7" t="str">
        <f>IFERROR(INDEX(ju_ref,MATCH(ROW(J161),JURNAL!$O:$O,0)),"")</f>
        <v/>
      </c>
      <c r="D173" s="7" t="str">
        <f>IFERROR(INDEX(ju_ket,MATCH(ROW(J161),JURNAL!$O:$O,0)),"")</f>
        <v/>
      </c>
      <c r="E173" s="39" t="str">
        <f>IFERROR(IF(bb_akun=INDEX(ju_debet,MATCH(ROW(J161),JURNAL!$O:$O,0)),INDEX(ju_sld,MATCH(ROW(K161),JURNAL!$O:$O,0)),0),"")</f>
        <v/>
      </c>
      <c r="F173" s="39" t="str">
        <f>IFERROR(IF(bb_akun=INDEX(ju_kr,MATCH(ROW(J161),JURNAL!$O:$O,0)),INDEX(ju_sld,MATCH(ROW(K161),JURNAL!$O:$O,0)),0),"")</f>
        <v/>
      </c>
      <c r="G173" s="39" t="str">
        <f>IF(B173="","",IF(INDEX(typ_sn,MATCH($C$9,typ_ket,0))="db",$G$8+SUM($E$13:E173)-SUM($F$13:F173),$G$8+SUM($F$13:F173)-SUM($E$13:E173)))</f>
        <v/>
      </c>
    </row>
    <row r="174" spans="2:7" ht="23.1" customHeight="1">
      <c r="B174" s="45" t="str">
        <f>IFERROR(INDEX(ju_tgl,MATCH(ROW(J162),JURNAL!$O:$O,0)),"")</f>
        <v/>
      </c>
      <c r="C174" s="7" t="str">
        <f>IFERROR(INDEX(ju_ref,MATCH(ROW(J162),JURNAL!$O:$O,0)),"")</f>
        <v/>
      </c>
      <c r="D174" s="7" t="str">
        <f>IFERROR(INDEX(ju_ket,MATCH(ROW(J162),JURNAL!$O:$O,0)),"")</f>
        <v/>
      </c>
      <c r="E174" s="39" t="str">
        <f>IFERROR(IF(bb_akun=INDEX(ju_debet,MATCH(ROW(J162),JURNAL!$O:$O,0)),INDEX(ju_sld,MATCH(ROW(K162),JURNAL!$O:$O,0)),0),"")</f>
        <v/>
      </c>
      <c r="F174" s="39" t="str">
        <f>IFERROR(IF(bb_akun=INDEX(ju_kr,MATCH(ROW(J162),JURNAL!$O:$O,0)),INDEX(ju_sld,MATCH(ROW(K162),JURNAL!$O:$O,0)),0),"")</f>
        <v/>
      </c>
      <c r="G174" s="39" t="str">
        <f>IF(B174="","",IF(INDEX(typ_sn,MATCH($C$9,typ_ket,0))="db",$G$8+SUM($E$13:E174)-SUM($F$13:F174),$G$8+SUM($F$13:F174)-SUM($E$13:E174)))</f>
        <v/>
      </c>
    </row>
    <row r="175" spans="2:7" ht="23.1" customHeight="1">
      <c r="B175" s="45" t="str">
        <f>IFERROR(INDEX(ju_tgl,MATCH(ROW(J163),JURNAL!$O:$O,0)),"")</f>
        <v/>
      </c>
      <c r="C175" s="7" t="str">
        <f>IFERROR(INDEX(ju_ref,MATCH(ROW(J163),JURNAL!$O:$O,0)),"")</f>
        <v/>
      </c>
      <c r="D175" s="7" t="str">
        <f>IFERROR(INDEX(ju_ket,MATCH(ROW(J163),JURNAL!$O:$O,0)),"")</f>
        <v/>
      </c>
      <c r="E175" s="39" t="str">
        <f>IFERROR(IF(bb_akun=INDEX(ju_debet,MATCH(ROW(J163),JURNAL!$O:$O,0)),INDEX(ju_sld,MATCH(ROW(K163),JURNAL!$O:$O,0)),0),"")</f>
        <v/>
      </c>
      <c r="F175" s="39" t="str">
        <f>IFERROR(IF(bb_akun=INDEX(ju_kr,MATCH(ROW(J163),JURNAL!$O:$O,0)),INDEX(ju_sld,MATCH(ROW(K163),JURNAL!$O:$O,0)),0),"")</f>
        <v/>
      </c>
      <c r="G175" s="39" t="str">
        <f>IF(B175="","",IF(INDEX(typ_sn,MATCH($C$9,typ_ket,0))="db",$G$8+SUM($E$13:E175)-SUM($F$13:F175),$G$8+SUM($F$13:F175)-SUM($E$13:E175)))</f>
        <v/>
      </c>
    </row>
    <row r="176" spans="2:7" ht="23.1" customHeight="1">
      <c r="B176" s="45" t="str">
        <f>IFERROR(INDEX(ju_tgl,MATCH(ROW(J164),JURNAL!$O:$O,0)),"")</f>
        <v/>
      </c>
      <c r="C176" s="7" t="str">
        <f>IFERROR(INDEX(ju_ref,MATCH(ROW(J164),JURNAL!$O:$O,0)),"")</f>
        <v/>
      </c>
      <c r="D176" s="7" t="str">
        <f>IFERROR(INDEX(ju_ket,MATCH(ROW(J164),JURNAL!$O:$O,0)),"")</f>
        <v/>
      </c>
      <c r="E176" s="39" t="str">
        <f>IFERROR(IF(bb_akun=INDEX(ju_debet,MATCH(ROW(J164),JURNAL!$O:$O,0)),INDEX(ju_sld,MATCH(ROW(K164),JURNAL!$O:$O,0)),0),"")</f>
        <v/>
      </c>
      <c r="F176" s="39" t="str">
        <f>IFERROR(IF(bb_akun=INDEX(ju_kr,MATCH(ROW(J164),JURNAL!$O:$O,0)),INDEX(ju_sld,MATCH(ROW(K164),JURNAL!$O:$O,0)),0),"")</f>
        <v/>
      </c>
      <c r="G176" s="39" t="str">
        <f>IF(B176="","",IF(INDEX(typ_sn,MATCH($C$9,typ_ket,0))="db",$G$8+SUM($E$13:E176)-SUM($F$13:F176),$G$8+SUM($F$13:F176)-SUM($E$13:E176)))</f>
        <v/>
      </c>
    </row>
    <row r="177" spans="2:7" ht="23.1" customHeight="1">
      <c r="B177" s="45" t="str">
        <f>IFERROR(INDEX(ju_tgl,MATCH(ROW(J165),JURNAL!$O:$O,0)),"")</f>
        <v/>
      </c>
      <c r="C177" s="7" t="str">
        <f>IFERROR(INDEX(ju_ref,MATCH(ROW(J165),JURNAL!$O:$O,0)),"")</f>
        <v/>
      </c>
      <c r="D177" s="7" t="str">
        <f>IFERROR(INDEX(ju_ket,MATCH(ROW(J165),JURNAL!$O:$O,0)),"")</f>
        <v/>
      </c>
      <c r="E177" s="39" t="str">
        <f>IFERROR(IF(bb_akun=INDEX(ju_debet,MATCH(ROW(J165),JURNAL!$O:$O,0)),INDEX(ju_sld,MATCH(ROW(K165),JURNAL!$O:$O,0)),0),"")</f>
        <v/>
      </c>
      <c r="F177" s="39" t="str">
        <f>IFERROR(IF(bb_akun=INDEX(ju_kr,MATCH(ROW(J165),JURNAL!$O:$O,0)),INDEX(ju_sld,MATCH(ROW(K165),JURNAL!$O:$O,0)),0),"")</f>
        <v/>
      </c>
      <c r="G177" s="39" t="str">
        <f>IF(B177="","",IF(INDEX(typ_sn,MATCH($C$9,typ_ket,0))="db",$G$8+SUM($E$13:E177)-SUM($F$13:F177),$G$8+SUM($F$13:F177)-SUM($E$13:E177)))</f>
        <v/>
      </c>
    </row>
    <row r="178" spans="2:7" ht="23.1" customHeight="1">
      <c r="B178" s="45" t="str">
        <f>IFERROR(INDEX(ju_tgl,MATCH(ROW(J166),JURNAL!$O:$O,0)),"")</f>
        <v/>
      </c>
      <c r="C178" s="7" t="str">
        <f>IFERROR(INDEX(ju_ref,MATCH(ROW(J166),JURNAL!$O:$O,0)),"")</f>
        <v/>
      </c>
      <c r="D178" s="7" t="str">
        <f>IFERROR(INDEX(ju_ket,MATCH(ROW(J166),JURNAL!$O:$O,0)),"")</f>
        <v/>
      </c>
      <c r="E178" s="39" t="str">
        <f>IFERROR(IF(bb_akun=INDEX(ju_debet,MATCH(ROW(J166),JURNAL!$O:$O,0)),INDEX(ju_sld,MATCH(ROW(K166),JURNAL!$O:$O,0)),0),"")</f>
        <v/>
      </c>
      <c r="F178" s="39" t="str">
        <f>IFERROR(IF(bb_akun=INDEX(ju_kr,MATCH(ROW(J166),JURNAL!$O:$O,0)),INDEX(ju_sld,MATCH(ROW(K166),JURNAL!$O:$O,0)),0),"")</f>
        <v/>
      </c>
      <c r="G178" s="39" t="str">
        <f>IF(B178="","",IF(INDEX(typ_sn,MATCH($C$9,typ_ket,0))="db",$G$8+SUM($E$13:E178)-SUM($F$13:F178),$G$8+SUM($F$13:F178)-SUM($E$13:E178)))</f>
        <v/>
      </c>
    </row>
    <row r="179" spans="2:7" ht="23.1" customHeight="1">
      <c r="B179" s="45" t="str">
        <f>IFERROR(INDEX(ju_tgl,MATCH(ROW(J167),JURNAL!$O:$O,0)),"")</f>
        <v/>
      </c>
      <c r="C179" s="7" t="str">
        <f>IFERROR(INDEX(ju_ref,MATCH(ROW(J167),JURNAL!$O:$O,0)),"")</f>
        <v/>
      </c>
      <c r="D179" s="7" t="str">
        <f>IFERROR(INDEX(ju_ket,MATCH(ROW(J167),JURNAL!$O:$O,0)),"")</f>
        <v/>
      </c>
      <c r="E179" s="39" t="str">
        <f>IFERROR(IF(bb_akun=INDEX(ju_debet,MATCH(ROW(J167),JURNAL!$O:$O,0)),INDEX(ju_sld,MATCH(ROW(K167),JURNAL!$O:$O,0)),0),"")</f>
        <v/>
      </c>
      <c r="F179" s="39" t="str">
        <f>IFERROR(IF(bb_akun=INDEX(ju_kr,MATCH(ROW(J167),JURNAL!$O:$O,0)),INDEX(ju_sld,MATCH(ROW(K167),JURNAL!$O:$O,0)),0),"")</f>
        <v/>
      </c>
      <c r="G179" s="39" t="str">
        <f>IF(B179="","",IF(INDEX(typ_sn,MATCH($C$9,typ_ket,0))="db",$G$8+SUM($E$13:E179)-SUM($F$13:F179),$G$8+SUM($F$13:F179)-SUM($E$13:E179)))</f>
        <v/>
      </c>
    </row>
    <row r="180" spans="2:7" ht="23.1" customHeight="1">
      <c r="B180" s="45" t="str">
        <f>IFERROR(INDEX(ju_tgl,MATCH(ROW(J168),JURNAL!$O:$O,0)),"")</f>
        <v/>
      </c>
      <c r="C180" s="7" t="str">
        <f>IFERROR(INDEX(ju_ref,MATCH(ROW(J168),JURNAL!$O:$O,0)),"")</f>
        <v/>
      </c>
      <c r="D180" s="7" t="str">
        <f>IFERROR(INDEX(ju_ket,MATCH(ROW(J168),JURNAL!$O:$O,0)),"")</f>
        <v/>
      </c>
      <c r="E180" s="39" t="str">
        <f>IFERROR(IF(bb_akun=INDEX(ju_debet,MATCH(ROW(J168),JURNAL!$O:$O,0)),INDEX(ju_sld,MATCH(ROW(K168),JURNAL!$O:$O,0)),0),"")</f>
        <v/>
      </c>
      <c r="F180" s="39" t="str">
        <f>IFERROR(IF(bb_akun=INDEX(ju_kr,MATCH(ROW(J168),JURNAL!$O:$O,0)),INDEX(ju_sld,MATCH(ROW(K168),JURNAL!$O:$O,0)),0),"")</f>
        <v/>
      </c>
      <c r="G180" s="39" t="str">
        <f>IF(B180="","",IF(INDEX(typ_sn,MATCH($C$9,typ_ket,0))="db",$G$8+SUM($E$13:E180)-SUM($F$13:F180),$G$8+SUM($F$13:F180)-SUM($E$13:E180)))</f>
        <v/>
      </c>
    </row>
    <row r="181" spans="2:7" ht="23.1" customHeight="1">
      <c r="B181" s="45" t="str">
        <f>IFERROR(INDEX(ju_tgl,MATCH(ROW(J169),JURNAL!$O:$O,0)),"")</f>
        <v/>
      </c>
      <c r="C181" s="7" t="str">
        <f>IFERROR(INDEX(ju_ref,MATCH(ROW(J169),JURNAL!$O:$O,0)),"")</f>
        <v/>
      </c>
      <c r="D181" s="7" t="str">
        <f>IFERROR(INDEX(ju_ket,MATCH(ROW(J169),JURNAL!$O:$O,0)),"")</f>
        <v/>
      </c>
      <c r="E181" s="39" t="str">
        <f>IFERROR(IF(bb_akun=INDEX(ju_debet,MATCH(ROW(J169),JURNAL!$O:$O,0)),INDEX(ju_sld,MATCH(ROW(K169),JURNAL!$O:$O,0)),0),"")</f>
        <v/>
      </c>
      <c r="F181" s="39" t="str">
        <f>IFERROR(IF(bb_akun=INDEX(ju_kr,MATCH(ROW(J169),JURNAL!$O:$O,0)),INDEX(ju_sld,MATCH(ROW(K169),JURNAL!$O:$O,0)),0),"")</f>
        <v/>
      </c>
      <c r="G181" s="39" t="str">
        <f>IF(B181="","",IF(INDEX(typ_sn,MATCH($C$9,typ_ket,0))="db",$G$8+SUM($E$13:E181)-SUM($F$13:F181),$G$8+SUM($F$13:F181)-SUM($E$13:E181)))</f>
        <v/>
      </c>
    </row>
    <row r="182" spans="2:7" ht="23.1" customHeight="1">
      <c r="B182" s="45" t="str">
        <f>IFERROR(INDEX(ju_tgl,MATCH(ROW(J170),JURNAL!$O:$O,0)),"")</f>
        <v/>
      </c>
      <c r="C182" s="7" t="str">
        <f>IFERROR(INDEX(ju_ref,MATCH(ROW(J170),JURNAL!$O:$O,0)),"")</f>
        <v/>
      </c>
      <c r="D182" s="7" t="str">
        <f>IFERROR(INDEX(ju_ket,MATCH(ROW(J170),JURNAL!$O:$O,0)),"")</f>
        <v/>
      </c>
      <c r="E182" s="39" t="str">
        <f>IFERROR(IF(bb_akun=INDEX(ju_debet,MATCH(ROW(J170),JURNAL!$O:$O,0)),INDEX(ju_sld,MATCH(ROW(K170),JURNAL!$O:$O,0)),0),"")</f>
        <v/>
      </c>
      <c r="F182" s="39" t="str">
        <f>IFERROR(IF(bb_akun=INDEX(ju_kr,MATCH(ROW(J170),JURNAL!$O:$O,0)),INDEX(ju_sld,MATCH(ROW(K170),JURNAL!$O:$O,0)),0),"")</f>
        <v/>
      </c>
      <c r="G182" s="39" t="str">
        <f>IF(B182="","",IF(INDEX(typ_sn,MATCH($C$9,typ_ket,0))="db",$G$8+SUM($E$13:E182)-SUM($F$13:F182),$G$8+SUM($F$13:F182)-SUM($E$13:E182)))</f>
        <v/>
      </c>
    </row>
    <row r="183" spans="2:7" ht="23.1" customHeight="1">
      <c r="B183" s="45" t="str">
        <f>IFERROR(INDEX(ju_tgl,MATCH(ROW(J171),JURNAL!$O:$O,0)),"")</f>
        <v/>
      </c>
      <c r="C183" s="7" t="str">
        <f>IFERROR(INDEX(ju_ref,MATCH(ROW(J171),JURNAL!$O:$O,0)),"")</f>
        <v/>
      </c>
      <c r="D183" s="7" t="str">
        <f>IFERROR(INDEX(ju_ket,MATCH(ROW(J171),JURNAL!$O:$O,0)),"")</f>
        <v/>
      </c>
      <c r="E183" s="39" t="str">
        <f>IFERROR(IF(bb_akun=INDEX(ju_debet,MATCH(ROW(J171),JURNAL!$O:$O,0)),INDEX(ju_sld,MATCH(ROW(K171),JURNAL!$O:$O,0)),0),"")</f>
        <v/>
      </c>
      <c r="F183" s="39" t="str">
        <f>IFERROR(IF(bb_akun=INDEX(ju_kr,MATCH(ROW(J171),JURNAL!$O:$O,0)),INDEX(ju_sld,MATCH(ROW(K171),JURNAL!$O:$O,0)),0),"")</f>
        <v/>
      </c>
      <c r="G183" s="39" t="str">
        <f>IF(B183="","",IF(INDEX(typ_sn,MATCH($C$9,typ_ket,0))="db",$G$8+SUM($E$13:E183)-SUM($F$13:F183),$G$8+SUM($F$13:F183)-SUM($E$13:E183)))</f>
        <v/>
      </c>
    </row>
    <row r="184" spans="2:7" ht="23.1" customHeight="1">
      <c r="B184" s="45" t="str">
        <f>IFERROR(INDEX(ju_tgl,MATCH(ROW(J172),JURNAL!$O:$O,0)),"")</f>
        <v/>
      </c>
      <c r="C184" s="7" t="str">
        <f>IFERROR(INDEX(ju_ref,MATCH(ROW(J172),JURNAL!$O:$O,0)),"")</f>
        <v/>
      </c>
      <c r="D184" s="7" t="str">
        <f>IFERROR(INDEX(ju_ket,MATCH(ROW(J172),JURNAL!$O:$O,0)),"")</f>
        <v/>
      </c>
      <c r="E184" s="39" t="str">
        <f>IFERROR(IF(bb_akun=INDEX(ju_debet,MATCH(ROW(J172),JURNAL!$O:$O,0)),INDEX(ju_sld,MATCH(ROW(K172),JURNAL!$O:$O,0)),0),"")</f>
        <v/>
      </c>
      <c r="F184" s="39" t="str">
        <f>IFERROR(IF(bb_akun=INDEX(ju_kr,MATCH(ROW(J172),JURNAL!$O:$O,0)),INDEX(ju_sld,MATCH(ROW(K172),JURNAL!$O:$O,0)),0),"")</f>
        <v/>
      </c>
      <c r="G184" s="39" t="str">
        <f>IF(B184="","",IF(INDEX(typ_sn,MATCH($C$9,typ_ket,0))="db",$G$8+SUM($E$13:E184)-SUM($F$13:F184),$G$8+SUM($F$13:F184)-SUM($E$13:E184)))</f>
        <v/>
      </c>
    </row>
    <row r="185" spans="2:7" ht="23.1" customHeight="1">
      <c r="B185" s="45" t="str">
        <f>IFERROR(INDEX(ju_tgl,MATCH(ROW(J173),JURNAL!$O:$O,0)),"")</f>
        <v/>
      </c>
      <c r="C185" s="7" t="str">
        <f>IFERROR(INDEX(ju_ref,MATCH(ROW(J173),JURNAL!$O:$O,0)),"")</f>
        <v/>
      </c>
      <c r="D185" s="7" t="str">
        <f>IFERROR(INDEX(ju_ket,MATCH(ROW(J173),JURNAL!$O:$O,0)),"")</f>
        <v/>
      </c>
      <c r="E185" s="39" t="str">
        <f>IFERROR(IF(bb_akun=INDEX(ju_debet,MATCH(ROW(J173),JURNAL!$O:$O,0)),INDEX(ju_sld,MATCH(ROW(K173),JURNAL!$O:$O,0)),0),"")</f>
        <v/>
      </c>
      <c r="F185" s="39" t="str">
        <f>IFERROR(IF(bb_akun=INDEX(ju_kr,MATCH(ROW(J173),JURNAL!$O:$O,0)),INDEX(ju_sld,MATCH(ROW(K173),JURNAL!$O:$O,0)),0),"")</f>
        <v/>
      </c>
      <c r="G185" s="39" t="str">
        <f>IF(B185="","",IF(INDEX(typ_sn,MATCH($C$9,typ_ket,0))="db",$G$8+SUM($E$13:E185)-SUM($F$13:F185),$G$8+SUM($F$13:F185)-SUM($E$13:E185)))</f>
        <v/>
      </c>
    </row>
    <row r="186" spans="2:7" ht="23.1" customHeight="1">
      <c r="B186" s="45" t="str">
        <f>IFERROR(INDEX(ju_tgl,MATCH(ROW(J174),JURNAL!$O:$O,0)),"")</f>
        <v/>
      </c>
      <c r="C186" s="7" t="str">
        <f>IFERROR(INDEX(ju_ref,MATCH(ROW(J174),JURNAL!$O:$O,0)),"")</f>
        <v/>
      </c>
      <c r="D186" s="7" t="str">
        <f>IFERROR(INDEX(ju_ket,MATCH(ROW(J174),JURNAL!$O:$O,0)),"")</f>
        <v/>
      </c>
      <c r="E186" s="39" t="str">
        <f>IFERROR(IF(bb_akun=INDEX(ju_debet,MATCH(ROW(J174),JURNAL!$O:$O,0)),INDEX(ju_sld,MATCH(ROW(K174),JURNAL!$O:$O,0)),0),"")</f>
        <v/>
      </c>
      <c r="F186" s="39" t="str">
        <f>IFERROR(IF(bb_akun=INDEX(ju_kr,MATCH(ROW(J174),JURNAL!$O:$O,0)),INDEX(ju_sld,MATCH(ROW(K174),JURNAL!$O:$O,0)),0),"")</f>
        <v/>
      </c>
      <c r="G186" s="39" t="str">
        <f>IF(B186="","",IF(INDEX(typ_sn,MATCH($C$9,typ_ket,0))="db",$G$8+SUM($E$13:E186)-SUM($F$13:F186),$G$8+SUM($F$13:F186)-SUM($E$13:E186)))</f>
        <v/>
      </c>
    </row>
    <row r="187" spans="2:7" ht="23.1" customHeight="1">
      <c r="B187" s="45" t="str">
        <f>IFERROR(INDEX(ju_tgl,MATCH(ROW(J175),JURNAL!$O:$O,0)),"")</f>
        <v/>
      </c>
      <c r="C187" s="7" t="str">
        <f>IFERROR(INDEX(ju_ref,MATCH(ROW(J175),JURNAL!$O:$O,0)),"")</f>
        <v/>
      </c>
      <c r="D187" s="7" t="str">
        <f>IFERROR(INDEX(ju_ket,MATCH(ROW(J175),JURNAL!$O:$O,0)),"")</f>
        <v/>
      </c>
      <c r="E187" s="39" t="str">
        <f>IFERROR(IF(bb_akun=INDEX(ju_debet,MATCH(ROW(J175),JURNAL!$O:$O,0)),INDEX(ju_sld,MATCH(ROW(K175),JURNAL!$O:$O,0)),0),"")</f>
        <v/>
      </c>
      <c r="F187" s="39" t="str">
        <f>IFERROR(IF(bb_akun=INDEX(ju_kr,MATCH(ROW(J175),JURNAL!$O:$O,0)),INDEX(ju_sld,MATCH(ROW(K175),JURNAL!$O:$O,0)),0),"")</f>
        <v/>
      </c>
      <c r="G187" s="39" t="str">
        <f>IF(B187="","",IF(INDEX(typ_sn,MATCH($C$9,typ_ket,0))="db",$G$8+SUM($E$13:E187)-SUM($F$13:F187),$G$8+SUM($F$13:F187)-SUM($E$13:E187)))</f>
        <v/>
      </c>
    </row>
    <row r="188" spans="2:7" ht="23.1" customHeight="1">
      <c r="B188" s="45" t="str">
        <f>IFERROR(INDEX(ju_tgl,MATCH(ROW(J176),JURNAL!$O:$O,0)),"")</f>
        <v/>
      </c>
      <c r="C188" s="7" t="str">
        <f>IFERROR(INDEX(ju_ref,MATCH(ROW(J176),JURNAL!$O:$O,0)),"")</f>
        <v/>
      </c>
      <c r="D188" s="7" t="str">
        <f>IFERROR(INDEX(ju_ket,MATCH(ROW(J176),JURNAL!$O:$O,0)),"")</f>
        <v/>
      </c>
      <c r="E188" s="39" t="str">
        <f>IFERROR(IF(bb_akun=INDEX(ju_debet,MATCH(ROW(J176),JURNAL!$O:$O,0)),INDEX(ju_sld,MATCH(ROW(K176),JURNAL!$O:$O,0)),0),"")</f>
        <v/>
      </c>
      <c r="F188" s="39" t="str">
        <f>IFERROR(IF(bb_akun=INDEX(ju_kr,MATCH(ROW(J176),JURNAL!$O:$O,0)),INDEX(ju_sld,MATCH(ROW(K176),JURNAL!$O:$O,0)),0),"")</f>
        <v/>
      </c>
      <c r="G188" s="39" t="str">
        <f>IF(B188="","",IF(INDEX(typ_sn,MATCH($C$9,typ_ket,0))="db",$G$8+SUM($E$13:E188)-SUM($F$13:F188),$G$8+SUM($F$13:F188)-SUM($E$13:E188)))</f>
        <v/>
      </c>
    </row>
    <row r="189" spans="2:7" ht="23.1" customHeight="1">
      <c r="B189" s="45" t="str">
        <f>IFERROR(INDEX(ju_tgl,MATCH(ROW(J177),JURNAL!$O:$O,0)),"")</f>
        <v/>
      </c>
      <c r="C189" s="7" t="str">
        <f>IFERROR(INDEX(ju_ref,MATCH(ROW(J177),JURNAL!$O:$O,0)),"")</f>
        <v/>
      </c>
      <c r="D189" s="7" t="str">
        <f>IFERROR(INDEX(ju_ket,MATCH(ROW(J177),JURNAL!$O:$O,0)),"")</f>
        <v/>
      </c>
      <c r="E189" s="39" t="str">
        <f>IFERROR(IF(bb_akun=INDEX(ju_debet,MATCH(ROW(J177),JURNAL!$O:$O,0)),INDEX(ju_sld,MATCH(ROW(K177),JURNAL!$O:$O,0)),0),"")</f>
        <v/>
      </c>
      <c r="F189" s="39" t="str">
        <f>IFERROR(IF(bb_akun=INDEX(ju_kr,MATCH(ROW(J177),JURNAL!$O:$O,0)),INDEX(ju_sld,MATCH(ROW(K177),JURNAL!$O:$O,0)),0),"")</f>
        <v/>
      </c>
      <c r="G189" s="39" t="str">
        <f>IF(B189="","",IF(INDEX(typ_sn,MATCH($C$9,typ_ket,0))="db",$G$8+SUM($E$13:E189)-SUM($F$13:F189),$G$8+SUM($F$13:F189)-SUM($E$13:E189)))</f>
        <v/>
      </c>
    </row>
    <row r="190" spans="2:7" ht="23.1" customHeight="1">
      <c r="B190" s="45" t="str">
        <f>IFERROR(INDEX(ju_tgl,MATCH(ROW(J178),JURNAL!$O:$O,0)),"")</f>
        <v/>
      </c>
      <c r="C190" s="7" t="str">
        <f>IFERROR(INDEX(ju_ref,MATCH(ROW(J178),JURNAL!$O:$O,0)),"")</f>
        <v/>
      </c>
      <c r="D190" s="7" t="str">
        <f>IFERROR(INDEX(ju_ket,MATCH(ROW(J178),JURNAL!$O:$O,0)),"")</f>
        <v/>
      </c>
      <c r="E190" s="39" t="str">
        <f>IFERROR(IF(bb_akun=INDEX(ju_debet,MATCH(ROW(J178),JURNAL!$O:$O,0)),INDEX(ju_sld,MATCH(ROW(K178),JURNAL!$O:$O,0)),0),"")</f>
        <v/>
      </c>
      <c r="F190" s="39" t="str">
        <f>IFERROR(IF(bb_akun=INDEX(ju_kr,MATCH(ROW(J178),JURNAL!$O:$O,0)),INDEX(ju_sld,MATCH(ROW(K178),JURNAL!$O:$O,0)),0),"")</f>
        <v/>
      </c>
      <c r="G190" s="39" t="str">
        <f>IF(B190="","",IF(INDEX(typ_sn,MATCH($C$9,typ_ket,0))="db",$G$8+SUM($E$13:E190)-SUM($F$13:F190),$G$8+SUM($F$13:F190)-SUM($E$13:E190)))</f>
        <v/>
      </c>
    </row>
    <row r="191" spans="2:7" ht="23.1" customHeight="1">
      <c r="B191" s="45" t="str">
        <f>IFERROR(INDEX(ju_tgl,MATCH(ROW(J179),JURNAL!$O:$O,0)),"")</f>
        <v/>
      </c>
      <c r="C191" s="7" t="str">
        <f>IFERROR(INDEX(ju_ref,MATCH(ROW(J179),JURNAL!$O:$O,0)),"")</f>
        <v/>
      </c>
      <c r="D191" s="7" t="str">
        <f>IFERROR(INDEX(ju_ket,MATCH(ROW(J179),JURNAL!$O:$O,0)),"")</f>
        <v/>
      </c>
      <c r="E191" s="39" t="str">
        <f>IFERROR(IF(bb_akun=INDEX(ju_debet,MATCH(ROW(J179),JURNAL!$O:$O,0)),INDEX(ju_sld,MATCH(ROW(K179),JURNAL!$O:$O,0)),0),"")</f>
        <v/>
      </c>
      <c r="F191" s="39" t="str">
        <f>IFERROR(IF(bb_akun=INDEX(ju_kr,MATCH(ROW(J179),JURNAL!$O:$O,0)),INDEX(ju_sld,MATCH(ROW(K179),JURNAL!$O:$O,0)),0),"")</f>
        <v/>
      </c>
      <c r="G191" s="39" t="str">
        <f>IF(B191="","",IF(INDEX(typ_sn,MATCH($C$9,typ_ket,0))="db",$G$8+SUM($E$13:E191)-SUM($F$13:F191),$G$8+SUM($F$13:F191)-SUM($E$13:E191)))</f>
        <v/>
      </c>
    </row>
    <row r="192" spans="2:7" ht="23.1" customHeight="1">
      <c r="B192" s="45" t="str">
        <f>IFERROR(INDEX(ju_tgl,MATCH(ROW(J180),JURNAL!$O:$O,0)),"")</f>
        <v/>
      </c>
      <c r="C192" s="7" t="str">
        <f>IFERROR(INDEX(ju_ref,MATCH(ROW(J180),JURNAL!$O:$O,0)),"")</f>
        <v/>
      </c>
      <c r="D192" s="7" t="str">
        <f>IFERROR(INDEX(ju_ket,MATCH(ROW(J180),JURNAL!$O:$O,0)),"")</f>
        <v/>
      </c>
      <c r="E192" s="39" t="str">
        <f>IFERROR(IF(bb_akun=INDEX(ju_debet,MATCH(ROW(J180),JURNAL!$O:$O,0)),INDEX(ju_sld,MATCH(ROW(K180),JURNAL!$O:$O,0)),0),"")</f>
        <v/>
      </c>
      <c r="F192" s="39" t="str">
        <f>IFERROR(IF(bb_akun=INDEX(ju_kr,MATCH(ROW(J180),JURNAL!$O:$O,0)),INDEX(ju_sld,MATCH(ROW(K180),JURNAL!$O:$O,0)),0),"")</f>
        <v/>
      </c>
      <c r="G192" s="39" t="str">
        <f>IF(B192="","",IF(INDEX(typ_sn,MATCH($C$9,typ_ket,0))="db",$G$8+SUM($E$13:E192)-SUM($F$13:F192),$G$8+SUM($F$13:F192)-SUM($E$13:E192)))</f>
        <v/>
      </c>
    </row>
    <row r="193" spans="2:7" ht="23.1" customHeight="1">
      <c r="B193" s="45" t="str">
        <f>IFERROR(INDEX(ju_tgl,MATCH(ROW(J181),JURNAL!$O:$O,0)),"")</f>
        <v/>
      </c>
      <c r="C193" s="7" t="str">
        <f>IFERROR(INDEX(ju_ref,MATCH(ROW(J181),JURNAL!$O:$O,0)),"")</f>
        <v/>
      </c>
      <c r="D193" s="7" t="str">
        <f>IFERROR(INDEX(ju_ket,MATCH(ROW(J181),JURNAL!$O:$O,0)),"")</f>
        <v/>
      </c>
      <c r="E193" s="39" t="str">
        <f>IFERROR(IF(bb_akun=INDEX(ju_debet,MATCH(ROW(J181),JURNAL!$O:$O,0)),INDEX(ju_sld,MATCH(ROW(K181),JURNAL!$O:$O,0)),0),"")</f>
        <v/>
      </c>
      <c r="F193" s="39" t="str">
        <f>IFERROR(IF(bb_akun=INDEX(ju_kr,MATCH(ROW(J181),JURNAL!$O:$O,0)),INDEX(ju_sld,MATCH(ROW(K181),JURNAL!$O:$O,0)),0),"")</f>
        <v/>
      </c>
      <c r="G193" s="39" t="str">
        <f>IF(B193="","",IF(INDEX(typ_sn,MATCH($C$9,typ_ket,0))="db",$G$8+SUM($E$13:E193)-SUM($F$13:F193),$G$8+SUM($F$13:F193)-SUM($E$13:E193)))</f>
        <v/>
      </c>
    </row>
    <row r="194" spans="2:7" ht="23.1" customHeight="1">
      <c r="B194" s="45" t="str">
        <f>IFERROR(INDEX(ju_tgl,MATCH(ROW(J182),JURNAL!$O:$O,0)),"")</f>
        <v/>
      </c>
      <c r="C194" s="7" t="str">
        <f>IFERROR(INDEX(ju_ref,MATCH(ROW(J182),JURNAL!$O:$O,0)),"")</f>
        <v/>
      </c>
      <c r="D194" s="7" t="str">
        <f>IFERROR(INDEX(ju_ket,MATCH(ROW(J182),JURNAL!$O:$O,0)),"")</f>
        <v/>
      </c>
      <c r="E194" s="39" t="str">
        <f>IFERROR(IF(bb_akun=INDEX(ju_debet,MATCH(ROW(J182),JURNAL!$O:$O,0)),INDEX(ju_sld,MATCH(ROW(K182),JURNAL!$O:$O,0)),0),"")</f>
        <v/>
      </c>
      <c r="F194" s="39" t="str">
        <f>IFERROR(IF(bb_akun=INDEX(ju_kr,MATCH(ROW(J182),JURNAL!$O:$O,0)),INDEX(ju_sld,MATCH(ROW(K182),JURNAL!$O:$O,0)),0),"")</f>
        <v/>
      </c>
      <c r="G194" s="39" t="str">
        <f>IF(B194="","",IF(INDEX(typ_sn,MATCH($C$9,typ_ket,0))="db",$G$8+SUM($E$13:E194)-SUM($F$13:F194),$G$8+SUM($F$13:F194)-SUM($E$13:E194)))</f>
        <v/>
      </c>
    </row>
    <row r="195" spans="2:7" ht="23.1" customHeight="1">
      <c r="B195" s="45" t="str">
        <f>IFERROR(INDEX(ju_tgl,MATCH(ROW(J183),JURNAL!$O:$O,0)),"")</f>
        <v/>
      </c>
      <c r="C195" s="7" t="str">
        <f>IFERROR(INDEX(ju_ref,MATCH(ROW(J183),JURNAL!$O:$O,0)),"")</f>
        <v/>
      </c>
      <c r="D195" s="7" t="str">
        <f>IFERROR(INDEX(ju_ket,MATCH(ROW(J183),JURNAL!$O:$O,0)),"")</f>
        <v/>
      </c>
      <c r="E195" s="39" t="str">
        <f>IFERROR(IF(bb_akun=INDEX(ju_debet,MATCH(ROW(J183),JURNAL!$O:$O,0)),INDEX(ju_sld,MATCH(ROW(K183),JURNAL!$O:$O,0)),0),"")</f>
        <v/>
      </c>
      <c r="F195" s="39" t="str">
        <f>IFERROR(IF(bb_akun=INDEX(ju_kr,MATCH(ROW(J183),JURNAL!$O:$O,0)),INDEX(ju_sld,MATCH(ROW(K183),JURNAL!$O:$O,0)),0),"")</f>
        <v/>
      </c>
      <c r="G195" s="39" t="str">
        <f>IF(B195="","",IF(INDEX(typ_sn,MATCH($C$9,typ_ket,0))="db",$G$8+SUM($E$13:E195)-SUM($F$13:F195),$G$8+SUM($F$13:F195)-SUM($E$13:E195)))</f>
        <v/>
      </c>
    </row>
    <row r="196" spans="2:7" ht="23.1" customHeight="1">
      <c r="B196" s="45" t="str">
        <f>IFERROR(INDEX(ju_tgl,MATCH(ROW(J184),JURNAL!$O:$O,0)),"")</f>
        <v/>
      </c>
      <c r="C196" s="7" t="str">
        <f>IFERROR(INDEX(ju_ref,MATCH(ROW(J184),JURNAL!$O:$O,0)),"")</f>
        <v/>
      </c>
      <c r="D196" s="7" t="str">
        <f>IFERROR(INDEX(ju_ket,MATCH(ROW(J184),JURNAL!$O:$O,0)),"")</f>
        <v/>
      </c>
      <c r="E196" s="39" t="str">
        <f>IFERROR(IF(bb_akun=INDEX(ju_debet,MATCH(ROW(J184),JURNAL!$O:$O,0)),INDEX(ju_sld,MATCH(ROW(K184),JURNAL!$O:$O,0)),0),"")</f>
        <v/>
      </c>
      <c r="F196" s="39" t="str">
        <f>IFERROR(IF(bb_akun=INDEX(ju_kr,MATCH(ROW(J184),JURNAL!$O:$O,0)),INDEX(ju_sld,MATCH(ROW(K184),JURNAL!$O:$O,0)),0),"")</f>
        <v/>
      </c>
      <c r="G196" s="39" t="str">
        <f>IF(B196="","",IF(INDEX(typ_sn,MATCH($C$9,typ_ket,0))="db",$G$8+SUM($E$13:E196)-SUM($F$13:F196),$G$8+SUM($F$13:F196)-SUM($E$13:E196)))</f>
        <v/>
      </c>
    </row>
    <row r="197" spans="2:7" ht="23.1" customHeight="1">
      <c r="B197" s="45" t="str">
        <f>IFERROR(INDEX(ju_tgl,MATCH(ROW(J185),JURNAL!$O:$O,0)),"")</f>
        <v/>
      </c>
      <c r="C197" s="7" t="str">
        <f>IFERROR(INDEX(ju_ref,MATCH(ROW(J185),JURNAL!$O:$O,0)),"")</f>
        <v/>
      </c>
      <c r="D197" s="7" t="str">
        <f>IFERROR(INDEX(ju_ket,MATCH(ROW(J185),JURNAL!$O:$O,0)),"")</f>
        <v/>
      </c>
      <c r="E197" s="39" t="str">
        <f>IFERROR(IF(bb_akun=INDEX(ju_debet,MATCH(ROW(J185),JURNAL!$O:$O,0)),INDEX(ju_sld,MATCH(ROW(K185),JURNAL!$O:$O,0)),0),"")</f>
        <v/>
      </c>
      <c r="F197" s="39" t="str">
        <f>IFERROR(IF(bb_akun=INDEX(ju_kr,MATCH(ROW(J185),JURNAL!$O:$O,0)),INDEX(ju_sld,MATCH(ROW(K185),JURNAL!$O:$O,0)),0),"")</f>
        <v/>
      </c>
      <c r="G197" s="39" t="str">
        <f>IF(B197="","",IF(INDEX(typ_sn,MATCH($C$9,typ_ket,0))="db",$G$8+SUM($E$13:E197)-SUM($F$13:F197),$G$8+SUM($F$13:F197)-SUM($E$13:E197)))</f>
        <v/>
      </c>
    </row>
    <row r="198" spans="2:7" ht="23.1" customHeight="1">
      <c r="B198" s="45" t="str">
        <f>IFERROR(INDEX(ju_tgl,MATCH(ROW(J186),JURNAL!$O:$O,0)),"")</f>
        <v/>
      </c>
      <c r="C198" s="7" t="str">
        <f>IFERROR(INDEX(ju_ref,MATCH(ROW(J186),JURNAL!$O:$O,0)),"")</f>
        <v/>
      </c>
      <c r="D198" s="7" t="str">
        <f>IFERROR(INDEX(ju_ket,MATCH(ROW(J186),JURNAL!$O:$O,0)),"")</f>
        <v/>
      </c>
      <c r="E198" s="39" t="str">
        <f>IFERROR(IF(bb_akun=INDEX(ju_debet,MATCH(ROW(J186),JURNAL!$O:$O,0)),INDEX(ju_sld,MATCH(ROW(K186),JURNAL!$O:$O,0)),0),"")</f>
        <v/>
      </c>
      <c r="F198" s="39" t="str">
        <f>IFERROR(IF(bb_akun=INDEX(ju_kr,MATCH(ROW(J186),JURNAL!$O:$O,0)),INDEX(ju_sld,MATCH(ROW(K186),JURNAL!$O:$O,0)),0),"")</f>
        <v/>
      </c>
      <c r="G198" s="39" t="str">
        <f>IF(B198="","",IF(INDEX(typ_sn,MATCH($C$9,typ_ket,0))="db",$G$8+SUM($E$13:E198)-SUM($F$13:F198),$G$8+SUM($F$13:F198)-SUM($E$13:E198)))</f>
        <v/>
      </c>
    </row>
    <row r="199" spans="2:7" ht="23.1" customHeight="1">
      <c r="B199" s="45" t="str">
        <f>IFERROR(INDEX(ju_tgl,MATCH(ROW(J187),JURNAL!$O:$O,0)),"")</f>
        <v/>
      </c>
      <c r="C199" s="7" t="str">
        <f>IFERROR(INDEX(ju_ref,MATCH(ROW(J187),JURNAL!$O:$O,0)),"")</f>
        <v/>
      </c>
      <c r="D199" s="7" t="str">
        <f>IFERROR(INDEX(ju_ket,MATCH(ROW(J187),JURNAL!$O:$O,0)),"")</f>
        <v/>
      </c>
      <c r="E199" s="39" t="str">
        <f>IFERROR(IF(bb_akun=INDEX(ju_debet,MATCH(ROW(J187),JURNAL!$O:$O,0)),INDEX(ju_sld,MATCH(ROW(K187),JURNAL!$O:$O,0)),0),"")</f>
        <v/>
      </c>
      <c r="F199" s="39" t="str">
        <f>IFERROR(IF(bb_akun=INDEX(ju_kr,MATCH(ROW(J187),JURNAL!$O:$O,0)),INDEX(ju_sld,MATCH(ROW(K187),JURNAL!$O:$O,0)),0),"")</f>
        <v/>
      </c>
      <c r="G199" s="39" t="str">
        <f>IF(B199="","",IF(INDEX(typ_sn,MATCH($C$9,typ_ket,0))="db",$G$8+SUM($E$13:E199)-SUM($F$13:F199),$G$8+SUM($F$13:F199)-SUM($E$13:E199)))</f>
        <v/>
      </c>
    </row>
    <row r="200" spans="2:7" ht="23.1" customHeight="1">
      <c r="B200" s="45" t="str">
        <f>IFERROR(INDEX(ju_tgl,MATCH(ROW(J188),JURNAL!$O:$O,0)),"")</f>
        <v/>
      </c>
      <c r="C200" s="7" t="str">
        <f>IFERROR(INDEX(ju_ref,MATCH(ROW(J188),JURNAL!$O:$O,0)),"")</f>
        <v/>
      </c>
      <c r="D200" s="7" t="str">
        <f>IFERROR(INDEX(ju_ket,MATCH(ROW(J188),JURNAL!$O:$O,0)),"")</f>
        <v/>
      </c>
      <c r="E200" s="39" t="str">
        <f>IFERROR(IF(bb_akun=INDEX(ju_debet,MATCH(ROW(J188),JURNAL!$O:$O,0)),INDEX(ju_sld,MATCH(ROW(K188),JURNAL!$O:$O,0)),0),"")</f>
        <v/>
      </c>
      <c r="F200" s="39" t="str">
        <f>IFERROR(IF(bb_akun=INDEX(ju_kr,MATCH(ROW(J188),JURNAL!$O:$O,0)),INDEX(ju_sld,MATCH(ROW(K188),JURNAL!$O:$O,0)),0),"")</f>
        <v/>
      </c>
      <c r="G200" s="39" t="str">
        <f>IF(B200="","",IF(INDEX(typ_sn,MATCH($C$9,typ_ket,0))="db",$G$8+SUM($E$13:E200)-SUM($F$13:F200),$G$8+SUM($F$13:F200)-SUM($E$13:E200)))</f>
        <v/>
      </c>
    </row>
    <row r="201" spans="2:7" ht="23.1" customHeight="1">
      <c r="B201" s="45" t="str">
        <f>IFERROR(INDEX(ju_tgl,MATCH(ROW(J189),JURNAL!$O:$O,0)),"")</f>
        <v/>
      </c>
      <c r="C201" s="7" t="str">
        <f>IFERROR(INDEX(ju_ref,MATCH(ROW(J189),JURNAL!$O:$O,0)),"")</f>
        <v/>
      </c>
      <c r="D201" s="7" t="str">
        <f>IFERROR(INDEX(ju_ket,MATCH(ROW(J189),JURNAL!$O:$O,0)),"")</f>
        <v/>
      </c>
      <c r="E201" s="39" t="str">
        <f>IFERROR(IF(bb_akun=INDEX(ju_debet,MATCH(ROW(J189),JURNAL!$O:$O,0)),INDEX(ju_sld,MATCH(ROW(K189),JURNAL!$O:$O,0)),0),"")</f>
        <v/>
      </c>
      <c r="F201" s="39" t="str">
        <f>IFERROR(IF(bb_akun=INDEX(ju_kr,MATCH(ROW(J189),JURNAL!$O:$O,0)),INDEX(ju_sld,MATCH(ROW(K189),JURNAL!$O:$O,0)),0),"")</f>
        <v/>
      </c>
      <c r="G201" s="39" t="str">
        <f>IF(B201="","",IF(INDEX(typ_sn,MATCH($C$9,typ_ket,0))="db",$G$8+SUM($E$13:E201)-SUM($F$13:F201),$G$8+SUM($F$13:F201)-SUM($E$13:E201)))</f>
        <v/>
      </c>
    </row>
    <row r="202" spans="2:7" ht="23.1" customHeight="1">
      <c r="B202" s="45" t="str">
        <f>IFERROR(INDEX(ju_tgl,MATCH(ROW(J190),JURNAL!$O:$O,0)),"")</f>
        <v/>
      </c>
      <c r="C202" s="7" t="str">
        <f>IFERROR(INDEX(ju_ref,MATCH(ROW(J190),JURNAL!$O:$O,0)),"")</f>
        <v/>
      </c>
      <c r="D202" s="7" t="str">
        <f>IFERROR(INDEX(ju_ket,MATCH(ROW(J190),JURNAL!$O:$O,0)),"")</f>
        <v/>
      </c>
      <c r="E202" s="39" t="str">
        <f>IFERROR(IF(bb_akun=INDEX(ju_debet,MATCH(ROW(J190),JURNAL!$O:$O,0)),INDEX(ju_sld,MATCH(ROW(K190),JURNAL!$O:$O,0)),0),"")</f>
        <v/>
      </c>
      <c r="F202" s="39" t="str">
        <f>IFERROR(IF(bb_akun=INDEX(ju_kr,MATCH(ROW(J190),JURNAL!$O:$O,0)),INDEX(ju_sld,MATCH(ROW(K190),JURNAL!$O:$O,0)),0),"")</f>
        <v/>
      </c>
      <c r="G202" s="39" t="str">
        <f>IF(B202="","",IF(INDEX(typ_sn,MATCH($C$9,typ_ket,0))="db",$G$8+SUM($E$13:E202)-SUM($F$13:F202),$G$8+SUM($F$13:F202)-SUM($E$13:E202)))</f>
        <v/>
      </c>
    </row>
    <row r="203" spans="2:7" ht="23.1" customHeight="1">
      <c r="B203" s="45" t="str">
        <f>IFERROR(INDEX(ju_tgl,MATCH(ROW(J191),JURNAL!$O:$O,0)),"")</f>
        <v/>
      </c>
      <c r="C203" s="7" t="str">
        <f>IFERROR(INDEX(ju_ref,MATCH(ROW(J191),JURNAL!$O:$O,0)),"")</f>
        <v/>
      </c>
      <c r="D203" s="7" t="str">
        <f>IFERROR(INDEX(ju_ket,MATCH(ROW(J191),JURNAL!$O:$O,0)),"")</f>
        <v/>
      </c>
      <c r="E203" s="39" t="str">
        <f>IFERROR(IF(bb_akun=INDEX(ju_debet,MATCH(ROW(J191),JURNAL!$O:$O,0)),INDEX(ju_sld,MATCH(ROW(K191),JURNAL!$O:$O,0)),0),"")</f>
        <v/>
      </c>
      <c r="F203" s="39" t="str">
        <f>IFERROR(IF(bb_akun=INDEX(ju_kr,MATCH(ROW(J191),JURNAL!$O:$O,0)),INDEX(ju_sld,MATCH(ROW(K191),JURNAL!$O:$O,0)),0),"")</f>
        <v/>
      </c>
      <c r="G203" s="39" t="str">
        <f>IF(B203="","",IF(INDEX(typ_sn,MATCH($C$9,typ_ket,0))="db",$G$8+SUM($E$13:E203)-SUM($F$13:F203),$G$8+SUM($F$13:F203)-SUM($E$13:E203)))</f>
        <v/>
      </c>
    </row>
    <row r="204" spans="2:7" ht="23.1" customHeight="1">
      <c r="B204" s="45" t="str">
        <f>IFERROR(INDEX(ju_tgl,MATCH(ROW(J192),JURNAL!$O:$O,0)),"")</f>
        <v/>
      </c>
      <c r="C204" s="7" t="str">
        <f>IFERROR(INDEX(ju_ref,MATCH(ROW(J192),JURNAL!$O:$O,0)),"")</f>
        <v/>
      </c>
      <c r="D204" s="7" t="str">
        <f>IFERROR(INDEX(ju_ket,MATCH(ROW(J192),JURNAL!$O:$O,0)),"")</f>
        <v/>
      </c>
      <c r="E204" s="39" t="str">
        <f>IFERROR(IF(bb_akun=INDEX(ju_debet,MATCH(ROW(J192),JURNAL!$O:$O,0)),INDEX(ju_sld,MATCH(ROW(K192),JURNAL!$O:$O,0)),0),"")</f>
        <v/>
      </c>
      <c r="F204" s="39" t="str">
        <f>IFERROR(IF(bb_akun=INDEX(ju_kr,MATCH(ROW(J192),JURNAL!$O:$O,0)),INDEX(ju_sld,MATCH(ROW(K192),JURNAL!$O:$O,0)),0),"")</f>
        <v/>
      </c>
      <c r="G204" s="39" t="str">
        <f>IF(B204="","",IF(INDEX(typ_sn,MATCH($C$9,typ_ket,0))="db",$G$8+SUM($E$13:E204)-SUM($F$13:F204),$G$8+SUM($F$13:F204)-SUM($E$13:E204)))</f>
        <v/>
      </c>
    </row>
    <row r="205" spans="2:7" ht="23.1" customHeight="1">
      <c r="B205" s="45" t="str">
        <f>IFERROR(INDEX(ju_tgl,MATCH(ROW(J193),JURNAL!$O:$O,0)),"")</f>
        <v/>
      </c>
      <c r="C205" s="7" t="str">
        <f>IFERROR(INDEX(ju_ref,MATCH(ROW(J193),JURNAL!$O:$O,0)),"")</f>
        <v/>
      </c>
      <c r="D205" s="7" t="str">
        <f>IFERROR(INDEX(ju_ket,MATCH(ROW(J193),JURNAL!$O:$O,0)),"")</f>
        <v/>
      </c>
      <c r="E205" s="39" t="str">
        <f>IFERROR(IF(bb_akun=INDEX(ju_debet,MATCH(ROW(J193),JURNAL!$O:$O,0)),INDEX(ju_sld,MATCH(ROW(K193),JURNAL!$O:$O,0)),0),"")</f>
        <v/>
      </c>
      <c r="F205" s="39" t="str">
        <f>IFERROR(IF(bb_akun=INDEX(ju_kr,MATCH(ROW(J193),JURNAL!$O:$O,0)),INDEX(ju_sld,MATCH(ROW(K193),JURNAL!$O:$O,0)),0),"")</f>
        <v/>
      </c>
      <c r="G205" s="39" t="str">
        <f>IF(B205="","",IF(INDEX(typ_sn,MATCH($C$9,typ_ket,0))="db",$G$8+SUM($E$13:E205)-SUM($F$13:F205),$G$8+SUM($F$13:F205)-SUM($E$13:E205)))</f>
        <v/>
      </c>
    </row>
    <row r="206" spans="2:7" ht="23.1" customHeight="1">
      <c r="B206" s="45" t="str">
        <f>IFERROR(INDEX(ju_tgl,MATCH(ROW(J194),JURNAL!$O:$O,0)),"")</f>
        <v/>
      </c>
      <c r="C206" s="7" t="str">
        <f>IFERROR(INDEX(ju_ref,MATCH(ROW(J194),JURNAL!$O:$O,0)),"")</f>
        <v/>
      </c>
      <c r="D206" s="7" t="str">
        <f>IFERROR(INDEX(ju_ket,MATCH(ROW(J194),JURNAL!$O:$O,0)),"")</f>
        <v/>
      </c>
      <c r="E206" s="39" t="str">
        <f>IFERROR(IF(bb_akun=INDEX(ju_debet,MATCH(ROW(J194),JURNAL!$O:$O,0)),INDEX(ju_sld,MATCH(ROW(K194),JURNAL!$O:$O,0)),0),"")</f>
        <v/>
      </c>
      <c r="F206" s="39" t="str">
        <f>IFERROR(IF(bb_akun=INDEX(ju_kr,MATCH(ROW(J194),JURNAL!$O:$O,0)),INDEX(ju_sld,MATCH(ROW(K194),JURNAL!$O:$O,0)),0),"")</f>
        <v/>
      </c>
      <c r="G206" s="39" t="str">
        <f>IF(B206="","",IF(INDEX(typ_sn,MATCH($C$9,typ_ket,0))="db",$G$8+SUM($E$13:E206)-SUM($F$13:F206),$G$8+SUM($F$13:F206)-SUM($E$13:E206)))</f>
        <v/>
      </c>
    </row>
    <row r="207" spans="2:7" ht="23.1" customHeight="1">
      <c r="B207" s="45" t="str">
        <f>IFERROR(INDEX(ju_tgl,MATCH(ROW(J195),JURNAL!$O:$O,0)),"")</f>
        <v/>
      </c>
      <c r="C207" s="7" t="str">
        <f>IFERROR(INDEX(ju_ref,MATCH(ROW(J195),JURNAL!$O:$O,0)),"")</f>
        <v/>
      </c>
      <c r="D207" s="7" t="str">
        <f>IFERROR(INDEX(ju_ket,MATCH(ROW(J195),JURNAL!$O:$O,0)),"")</f>
        <v/>
      </c>
      <c r="E207" s="39" t="str">
        <f>IFERROR(IF(bb_akun=INDEX(ju_debet,MATCH(ROW(J195),JURNAL!$O:$O,0)),INDEX(ju_sld,MATCH(ROW(K195),JURNAL!$O:$O,0)),0),"")</f>
        <v/>
      </c>
      <c r="F207" s="39" t="str">
        <f>IFERROR(IF(bb_akun=INDEX(ju_kr,MATCH(ROW(J195),JURNAL!$O:$O,0)),INDEX(ju_sld,MATCH(ROW(K195),JURNAL!$O:$O,0)),0),"")</f>
        <v/>
      </c>
      <c r="G207" s="39" t="str">
        <f>IF(B207="","",IF(INDEX(typ_sn,MATCH($C$9,typ_ket,0))="db",$G$8+SUM($E$13:E207)-SUM($F$13:F207),$G$8+SUM($F$13:F207)-SUM($E$13:E207)))</f>
        <v/>
      </c>
    </row>
    <row r="208" spans="2:7" ht="23.1" customHeight="1">
      <c r="B208" s="45" t="str">
        <f>IFERROR(INDEX(ju_tgl,MATCH(ROW(J196),JURNAL!$O:$O,0)),"")</f>
        <v/>
      </c>
      <c r="C208" s="7" t="str">
        <f>IFERROR(INDEX(ju_ref,MATCH(ROW(J196),JURNAL!$O:$O,0)),"")</f>
        <v/>
      </c>
      <c r="D208" s="7" t="str">
        <f>IFERROR(INDEX(ju_ket,MATCH(ROW(J196),JURNAL!$O:$O,0)),"")</f>
        <v/>
      </c>
      <c r="E208" s="39" t="str">
        <f>IFERROR(IF(bb_akun=INDEX(ju_debet,MATCH(ROW(J196),JURNAL!$O:$O,0)),INDEX(ju_sld,MATCH(ROW(K196),JURNAL!$O:$O,0)),0),"")</f>
        <v/>
      </c>
      <c r="F208" s="39" t="str">
        <f>IFERROR(IF(bb_akun=INDEX(ju_kr,MATCH(ROW(J196),JURNAL!$O:$O,0)),INDEX(ju_sld,MATCH(ROW(K196),JURNAL!$O:$O,0)),0),"")</f>
        <v/>
      </c>
      <c r="G208" s="39" t="str">
        <f>IF(B208="","",IF(INDEX(typ_sn,MATCH($C$9,typ_ket,0))="db",$G$8+SUM($E$13:E208)-SUM($F$13:F208),$G$8+SUM($F$13:F208)-SUM($E$13:E208)))</f>
        <v/>
      </c>
    </row>
    <row r="209" spans="2:7" ht="23.1" customHeight="1">
      <c r="B209" s="45" t="str">
        <f>IFERROR(INDEX(ju_tgl,MATCH(ROW(J197),JURNAL!$O:$O,0)),"")</f>
        <v/>
      </c>
      <c r="C209" s="7" t="str">
        <f>IFERROR(INDEX(ju_ref,MATCH(ROW(J197),JURNAL!$O:$O,0)),"")</f>
        <v/>
      </c>
      <c r="D209" s="7" t="str">
        <f>IFERROR(INDEX(ju_ket,MATCH(ROW(J197),JURNAL!$O:$O,0)),"")</f>
        <v/>
      </c>
      <c r="E209" s="39" t="str">
        <f>IFERROR(IF(bb_akun=INDEX(ju_debet,MATCH(ROW(J197),JURNAL!$O:$O,0)),INDEX(ju_sld,MATCH(ROW(K197),JURNAL!$O:$O,0)),0),"")</f>
        <v/>
      </c>
      <c r="F209" s="39" t="str">
        <f>IFERROR(IF(bb_akun=INDEX(ju_kr,MATCH(ROW(J197),JURNAL!$O:$O,0)),INDEX(ju_sld,MATCH(ROW(K197),JURNAL!$O:$O,0)),0),"")</f>
        <v/>
      </c>
      <c r="G209" s="39" t="str">
        <f>IF(B209="","",IF(INDEX(typ_sn,MATCH($C$9,typ_ket,0))="db",$G$8+SUM($E$13:E209)-SUM($F$13:F209),$G$8+SUM($F$13:F209)-SUM($E$13:E209)))</f>
        <v/>
      </c>
    </row>
    <row r="210" spans="2:7" ht="23.1" customHeight="1">
      <c r="B210" s="45" t="str">
        <f>IFERROR(INDEX(ju_tgl,MATCH(ROW(J198),JURNAL!$O:$O,0)),"")</f>
        <v/>
      </c>
      <c r="C210" s="7" t="str">
        <f>IFERROR(INDEX(ju_ref,MATCH(ROW(J198),JURNAL!$O:$O,0)),"")</f>
        <v/>
      </c>
      <c r="D210" s="7" t="str">
        <f>IFERROR(INDEX(ju_ket,MATCH(ROW(J198),JURNAL!$O:$O,0)),"")</f>
        <v/>
      </c>
      <c r="E210" s="39" t="str">
        <f>IFERROR(IF(bb_akun=INDEX(ju_debet,MATCH(ROW(J198),JURNAL!$O:$O,0)),INDEX(ju_sld,MATCH(ROW(K198),JURNAL!$O:$O,0)),0),"")</f>
        <v/>
      </c>
      <c r="F210" s="39" t="str">
        <f>IFERROR(IF(bb_akun=INDEX(ju_kr,MATCH(ROW(J198),JURNAL!$O:$O,0)),INDEX(ju_sld,MATCH(ROW(K198),JURNAL!$O:$O,0)),0),"")</f>
        <v/>
      </c>
      <c r="G210" s="39" t="str">
        <f>IF(B210="","",IF(INDEX(typ_sn,MATCH($C$9,typ_ket,0))="db",$G$8+SUM($E$13:E210)-SUM($F$13:F210),$G$8+SUM($F$13:F210)-SUM($E$13:E210)))</f>
        <v/>
      </c>
    </row>
    <row r="211" spans="2:7" ht="23.1" customHeight="1">
      <c r="B211" s="45" t="str">
        <f>IFERROR(INDEX(ju_tgl,MATCH(ROW(J199),JURNAL!$O:$O,0)),"")</f>
        <v/>
      </c>
      <c r="C211" s="7" t="str">
        <f>IFERROR(INDEX(ju_ref,MATCH(ROW(J199),JURNAL!$O:$O,0)),"")</f>
        <v/>
      </c>
      <c r="D211" s="7" t="str">
        <f>IFERROR(INDEX(ju_ket,MATCH(ROW(J199),JURNAL!$O:$O,0)),"")</f>
        <v/>
      </c>
      <c r="E211" s="39" t="str">
        <f>IFERROR(IF(bb_akun=INDEX(ju_debet,MATCH(ROW(J199),JURNAL!$O:$O,0)),INDEX(ju_sld,MATCH(ROW(K199),JURNAL!$O:$O,0)),0),"")</f>
        <v/>
      </c>
      <c r="F211" s="39" t="str">
        <f>IFERROR(IF(bb_akun=INDEX(ju_kr,MATCH(ROW(J199),JURNAL!$O:$O,0)),INDEX(ju_sld,MATCH(ROW(K199),JURNAL!$O:$O,0)),0),"")</f>
        <v/>
      </c>
      <c r="G211" s="39" t="str">
        <f>IF(B211="","",IF(INDEX(typ_sn,MATCH($C$9,typ_ket,0))="db",$G$8+SUM($E$13:E211)-SUM($F$13:F211),$G$8+SUM($F$13:F211)-SUM($E$13:E211)))</f>
        <v/>
      </c>
    </row>
    <row r="212" spans="2:7" ht="23.1" customHeight="1">
      <c r="B212" s="45" t="str">
        <f>IFERROR(INDEX(ju_tgl,MATCH(ROW(J200),JURNAL!$O:$O,0)),"")</f>
        <v/>
      </c>
      <c r="C212" s="7" t="str">
        <f>IFERROR(INDEX(ju_ref,MATCH(ROW(J200),JURNAL!$O:$O,0)),"")</f>
        <v/>
      </c>
      <c r="D212" s="7" t="str">
        <f>IFERROR(INDEX(ju_ket,MATCH(ROW(J200),JURNAL!$O:$O,0)),"")</f>
        <v/>
      </c>
      <c r="E212" s="39" t="str">
        <f>IFERROR(IF(bb_akun=INDEX(ju_debet,MATCH(ROW(J200),JURNAL!$O:$O,0)),INDEX(ju_sld,MATCH(ROW(K200),JURNAL!$O:$O,0)),0),"")</f>
        <v/>
      </c>
      <c r="F212" s="39" t="str">
        <f>IFERROR(IF(bb_akun=INDEX(ju_kr,MATCH(ROW(J200),JURNAL!$O:$O,0)),INDEX(ju_sld,MATCH(ROW(K200),JURNAL!$O:$O,0)),0),"")</f>
        <v/>
      </c>
      <c r="G212" s="39" t="str">
        <f>IF(B212="","",IF(INDEX(typ_sn,MATCH($C$9,typ_ket,0))="db",$G$8+SUM($E$13:E212)-SUM($F$13:F212),$G$8+SUM($F$13:F212)-SUM($E$13:E212)))</f>
        <v/>
      </c>
    </row>
    <row r="213" spans="2:7" ht="23.1" customHeight="1">
      <c r="B213" s="45" t="str">
        <f>IFERROR(INDEX(ju_tgl,MATCH(ROW(J201),JURNAL!$O:$O,0)),"")</f>
        <v/>
      </c>
      <c r="C213" s="7" t="str">
        <f>IFERROR(INDEX(ju_ref,MATCH(ROW(J201),JURNAL!$O:$O,0)),"")</f>
        <v/>
      </c>
      <c r="D213" s="7" t="str">
        <f>IFERROR(INDEX(ju_ket,MATCH(ROW(J201),JURNAL!$O:$O,0)),"")</f>
        <v/>
      </c>
      <c r="E213" s="39" t="str">
        <f>IFERROR(IF(bb_akun=INDEX(ju_debet,MATCH(ROW(J201),JURNAL!$O:$O,0)),INDEX(ju_sld,MATCH(ROW(K201),JURNAL!$O:$O,0)),0),"")</f>
        <v/>
      </c>
      <c r="F213" s="39" t="str">
        <f>IFERROR(IF(bb_akun=INDEX(ju_kr,MATCH(ROW(J201),JURNAL!$O:$O,0)),INDEX(ju_sld,MATCH(ROW(K201),JURNAL!$O:$O,0)),0),"")</f>
        <v/>
      </c>
      <c r="G213" s="39" t="str">
        <f>IF(B213="","",IF(INDEX(typ_sn,MATCH($C$9,typ_ket,0))="db",$G$8+SUM($E$13:E213)-SUM($F$13:F213),$G$8+SUM($F$13:F213)-SUM($E$13:E213)))</f>
        <v/>
      </c>
    </row>
    <row r="214" spans="2:7" ht="23.1" customHeight="1">
      <c r="B214" s="45" t="str">
        <f>IFERROR(INDEX(ju_tgl,MATCH(ROW(J202),JURNAL!$O:$O,0)),"")</f>
        <v/>
      </c>
      <c r="C214" s="7" t="str">
        <f>IFERROR(INDEX(ju_ref,MATCH(ROW(J202),JURNAL!$O:$O,0)),"")</f>
        <v/>
      </c>
      <c r="D214" s="7" t="str">
        <f>IFERROR(INDEX(ju_ket,MATCH(ROW(J202),JURNAL!$O:$O,0)),"")</f>
        <v/>
      </c>
      <c r="E214" s="39" t="str">
        <f>IFERROR(IF(bb_akun=INDEX(ju_debet,MATCH(ROW(J202),JURNAL!$O:$O,0)),INDEX(ju_sld,MATCH(ROW(K202),JURNAL!$O:$O,0)),0),"")</f>
        <v/>
      </c>
      <c r="F214" s="39" t="str">
        <f>IFERROR(IF(bb_akun=INDEX(ju_kr,MATCH(ROW(J202),JURNAL!$O:$O,0)),INDEX(ju_sld,MATCH(ROW(K202),JURNAL!$O:$O,0)),0),"")</f>
        <v/>
      </c>
      <c r="G214" s="39" t="str">
        <f>IF(B214="","",IF(INDEX(typ_sn,MATCH($C$9,typ_ket,0))="db",$G$8+SUM($E$13:E214)-SUM($F$13:F214),$G$8+SUM($F$13:F214)-SUM($E$13:E214)))</f>
        <v/>
      </c>
    </row>
    <row r="215" spans="2:7" ht="23.1" customHeight="1">
      <c r="B215" s="45" t="str">
        <f>IFERROR(INDEX(ju_tgl,MATCH(ROW(J203),JURNAL!$O:$O,0)),"")</f>
        <v/>
      </c>
      <c r="C215" s="7" t="str">
        <f>IFERROR(INDEX(ju_ref,MATCH(ROW(J203),JURNAL!$O:$O,0)),"")</f>
        <v/>
      </c>
      <c r="D215" s="7" t="str">
        <f>IFERROR(INDEX(ju_ket,MATCH(ROW(J203),JURNAL!$O:$O,0)),"")</f>
        <v/>
      </c>
      <c r="E215" s="39" t="str">
        <f>IFERROR(IF(bb_akun=INDEX(ju_debet,MATCH(ROW(J203),JURNAL!$O:$O,0)),INDEX(ju_sld,MATCH(ROW(K203),JURNAL!$O:$O,0)),0),"")</f>
        <v/>
      </c>
      <c r="F215" s="39" t="str">
        <f>IFERROR(IF(bb_akun=INDEX(ju_kr,MATCH(ROW(J203),JURNAL!$O:$O,0)),INDEX(ju_sld,MATCH(ROW(K203),JURNAL!$O:$O,0)),0),"")</f>
        <v/>
      </c>
      <c r="G215" s="39" t="str">
        <f>IF(B215="","",IF(INDEX(typ_sn,MATCH($C$9,typ_ket,0))="db",$G$8+SUM($E$13:E215)-SUM($F$13:F215),$G$8+SUM($F$13:F215)-SUM($E$13:E215)))</f>
        <v/>
      </c>
    </row>
    <row r="216" spans="2:7" ht="23.1" customHeight="1">
      <c r="B216" s="45" t="str">
        <f>IFERROR(INDEX(ju_tgl,MATCH(ROW(J204),JURNAL!$O:$O,0)),"")</f>
        <v/>
      </c>
      <c r="C216" s="7" t="str">
        <f>IFERROR(INDEX(ju_ref,MATCH(ROW(J204),JURNAL!$O:$O,0)),"")</f>
        <v/>
      </c>
      <c r="D216" s="7" t="str">
        <f>IFERROR(INDEX(ju_ket,MATCH(ROW(J204),JURNAL!$O:$O,0)),"")</f>
        <v/>
      </c>
      <c r="E216" s="39" t="str">
        <f>IFERROR(IF(bb_akun=INDEX(ju_debet,MATCH(ROW(J204),JURNAL!$O:$O,0)),INDEX(ju_sld,MATCH(ROW(K204),JURNAL!$O:$O,0)),0),"")</f>
        <v/>
      </c>
      <c r="F216" s="39" t="str">
        <f>IFERROR(IF(bb_akun=INDEX(ju_kr,MATCH(ROW(J204),JURNAL!$O:$O,0)),INDEX(ju_sld,MATCH(ROW(K204),JURNAL!$O:$O,0)),0),"")</f>
        <v/>
      </c>
      <c r="G216" s="39" t="str">
        <f>IF(B216="","",IF(INDEX(typ_sn,MATCH($C$9,typ_ket,0))="db",$G$8+SUM($E$13:E216)-SUM($F$13:F216),$G$8+SUM($F$13:F216)-SUM($E$13:E216)))</f>
        <v/>
      </c>
    </row>
    <row r="217" spans="2:7" ht="23.1" customHeight="1">
      <c r="B217" s="45" t="str">
        <f>IFERROR(INDEX(ju_tgl,MATCH(ROW(J205),JURNAL!$O:$O,0)),"")</f>
        <v/>
      </c>
      <c r="C217" s="7" t="str">
        <f>IFERROR(INDEX(ju_ref,MATCH(ROW(J205),JURNAL!$O:$O,0)),"")</f>
        <v/>
      </c>
      <c r="D217" s="7" t="str">
        <f>IFERROR(INDEX(ju_ket,MATCH(ROW(J205),JURNAL!$O:$O,0)),"")</f>
        <v/>
      </c>
      <c r="E217" s="39" t="str">
        <f>IFERROR(IF(bb_akun=INDEX(ju_debet,MATCH(ROW(J205),JURNAL!$O:$O,0)),INDEX(ju_sld,MATCH(ROW(K205),JURNAL!$O:$O,0)),0),"")</f>
        <v/>
      </c>
      <c r="F217" s="39" t="str">
        <f>IFERROR(IF(bb_akun=INDEX(ju_kr,MATCH(ROW(J205),JURNAL!$O:$O,0)),INDEX(ju_sld,MATCH(ROW(K205),JURNAL!$O:$O,0)),0),"")</f>
        <v/>
      </c>
      <c r="G217" s="39" t="str">
        <f>IF(B217="","",IF(INDEX(typ_sn,MATCH($C$9,typ_ket,0))="db",$G$8+SUM($E$13:E217)-SUM($F$13:F217),$G$8+SUM($F$13:F217)-SUM($E$13:E217)))</f>
        <v/>
      </c>
    </row>
    <row r="218" spans="2:7" ht="23.1" customHeight="1">
      <c r="B218" s="45" t="str">
        <f>IFERROR(INDEX(ju_tgl,MATCH(ROW(J206),JURNAL!$O:$O,0)),"")</f>
        <v/>
      </c>
      <c r="C218" s="7" t="str">
        <f>IFERROR(INDEX(ju_ref,MATCH(ROW(J206),JURNAL!$O:$O,0)),"")</f>
        <v/>
      </c>
      <c r="D218" s="7" t="str">
        <f>IFERROR(INDEX(ju_ket,MATCH(ROW(J206),JURNAL!$O:$O,0)),"")</f>
        <v/>
      </c>
      <c r="E218" s="39" t="str">
        <f>IFERROR(IF(bb_akun=INDEX(ju_debet,MATCH(ROW(J206),JURNAL!$O:$O,0)),INDEX(ju_sld,MATCH(ROW(K206),JURNAL!$O:$O,0)),0),"")</f>
        <v/>
      </c>
      <c r="F218" s="39" t="str">
        <f>IFERROR(IF(bb_akun=INDEX(ju_kr,MATCH(ROW(J206),JURNAL!$O:$O,0)),INDEX(ju_sld,MATCH(ROW(K206),JURNAL!$O:$O,0)),0),"")</f>
        <v/>
      </c>
      <c r="G218" s="39" t="str">
        <f>IF(B218="","",IF(INDEX(typ_sn,MATCH($C$9,typ_ket,0))="db",$G$8+SUM($E$13:E218)-SUM($F$13:F218),$G$8+SUM($F$13:F218)-SUM($E$13:E218)))</f>
        <v/>
      </c>
    </row>
    <row r="219" spans="2:7" ht="23.1" customHeight="1">
      <c r="B219" s="45" t="str">
        <f>IFERROR(INDEX(ju_tgl,MATCH(ROW(J207),JURNAL!$O:$O,0)),"")</f>
        <v/>
      </c>
      <c r="C219" s="7" t="str">
        <f>IFERROR(INDEX(ju_ref,MATCH(ROW(J207),JURNAL!$O:$O,0)),"")</f>
        <v/>
      </c>
      <c r="D219" s="7" t="str">
        <f>IFERROR(INDEX(ju_ket,MATCH(ROW(J207),JURNAL!$O:$O,0)),"")</f>
        <v/>
      </c>
      <c r="E219" s="39" t="str">
        <f>IFERROR(IF(bb_akun=INDEX(ju_debet,MATCH(ROW(J207),JURNAL!$O:$O,0)),INDEX(ju_sld,MATCH(ROW(K207),JURNAL!$O:$O,0)),0),"")</f>
        <v/>
      </c>
      <c r="F219" s="39" t="str">
        <f>IFERROR(IF(bb_akun=INDEX(ju_kr,MATCH(ROW(J207),JURNAL!$O:$O,0)),INDEX(ju_sld,MATCH(ROW(K207),JURNAL!$O:$O,0)),0),"")</f>
        <v/>
      </c>
      <c r="G219" s="39" t="str">
        <f>IF(B219="","",IF(INDEX(typ_sn,MATCH($C$9,typ_ket,0))="db",$G$8+SUM($E$13:E219)-SUM($F$13:F219),$G$8+SUM($F$13:F219)-SUM($E$13:E219)))</f>
        <v/>
      </c>
    </row>
    <row r="220" spans="2:7" ht="23.1" customHeight="1">
      <c r="B220" s="45" t="str">
        <f>IFERROR(INDEX(ju_tgl,MATCH(ROW(J208),JURNAL!$O:$O,0)),"")</f>
        <v/>
      </c>
      <c r="C220" s="7" t="str">
        <f>IFERROR(INDEX(ju_ref,MATCH(ROW(J208),JURNAL!$O:$O,0)),"")</f>
        <v/>
      </c>
      <c r="D220" s="7" t="str">
        <f>IFERROR(INDEX(ju_ket,MATCH(ROW(J208),JURNAL!$O:$O,0)),"")</f>
        <v/>
      </c>
      <c r="E220" s="39" t="str">
        <f>IFERROR(IF(bb_akun=INDEX(ju_debet,MATCH(ROW(J208),JURNAL!$O:$O,0)),INDEX(ju_sld,MATCH(ROW(K208),JURNAL!$O:$O,0)),0),"")</f>
        <v/>
      </c>
      <c r="F220" s="39" t="str">
        <f>IFERROR(IF(bb_akun=INDEX(ju_kr,MATCH(ROW(J208),JURNAL!$O:$O,0)),INDEX(ju_sld,MATCH(ROW(K208),JURNAL!$O:$O,0)),0),"")</f>
        <v/>
      </c>
      <c r="G220" s="39" t="str">
        <f>IF(B220="","",IF(INDEX(typ_sn,MATCH($C$9,typ_ket,0))="db",$G$8+SUM($E$13:E220)-SUM($F$13:F220),$G$8+SUM($F$13:F220)-SUM($E$13:E220)))</f>
        <v/>
      </c>
    </row>
    <row r="221" spans="2:7" ht="23.1" customHeight="1">
      <c r="B221" s="45" t="str">
        <f>IFERROR(INDEX(ju_tgl,MATCH(ROW(J209),JURNAL!$O:$O,0)),"")</f>
        <v/>
      </c>
      <c r="C221" s="7" t="str">
        <f>IFERROR(INDEX(ju_ref,MATCH(ROW(J209),JURNAL!$O:$O,0)),"")</f>
        <v/>
      </c>
      <c r="D221" s="7" t="str">
        <f>IFERROR(INDEX(ju_ket,MATCH(ROW(J209),JURNAL!$O:$O,0)),"")</f>
        <v/>
      </c>
      <c r="E221" s="39" t="str">
        <f>IFERROR(IF(bb_akun=INDEX(ju_debet,MATCH(ROW(J209),JURNAL!$O:$O,0)),INDEX(ju_sld,MATCH(ROW(K209),JURNAL!$O:$O,0)),0),"")</f>
        <v/>
      </c>
      <c r="F221" s="39" t="str">
        <f>IFERROR(IF(bb_akun=INDEX(ju_kr,MATCH(ROW(J209),JURNAL!$O:$O,0)),INDEX(ju_sld,MATCH(ROW(K209),JURNAL!$O:$O,0)),0),"")</f>
        <v/>
      </c>
      <c r="G221" s="39" t="str">
        <f>IF(B221="","",IF(INDEX(typ_sn,MATCH($C$9,typ_ket,0))="db",$G$8+SUM($E$13:E221)-SUM($F$13:F221),$G$8+SUM($F$13:F221)-SUM($E$13:E221)))</f>
        <v/>
      </c>
    </row>
    <row r="222" spans="2:7" ht="23.1" customHeight="1">
      <c r="B222" s="45" t="str">
        <f>IFERROR(INDEX(ju_tgl,MATCH(ROW(J210),JURNAL!$O:$O,0)),"")</f>
        <v/>
      </c>
      <c r="C222" s="7" t="str">
        <f>IFERROR(INDEX(ju_ref,MATCH(ROW(J210),JURNAL!$O:$O,0)),"")</f>
        <v/>
      </c>
      <c r="D222" s="7" t="str">
        <f>IFERROR(INDEX(ju_ket,MATCH(ROW(J210),JURNAL!$O:$O,0)),"")</f>
        <v/>
      </c>
      <c r="E222" s="39" t="str">
        <f>IFERROR(IF(bb_akun=INDEX(ju_debet,MATCH(ROW(J210),JURNAL!$O:$O,0)),INDEX(ju_sld,MATCH(ROW(K210),JURNAL!$O:$O,0)),0),"")</f>
        <v/>
      </c>
      <c r="F222" s="39" t="str">
        <f>IFERROR(IF(bb_akun=INDEX(ju_kr,MATCH(ROW(J210),JURNAL!$O:$O,0)),INDEX(ju_sld,MATCH(ROW(K210),JURNAL!$O:$O,0)),0),"")</f>
        <v/>
      </c>
      <c r="G222" s="39" t="str">
        <f>IF(B222="","",IF(INDEX(typ_sn,MATCH($C$9,typ_ket,0))="db",$G$8+SUM($E$13:E222)-SUM($F$13:F222),$G$8+SUM($F$13:F222)-SUM($E$13:E222)))</f>
        <v/>
      </c>
    </row>
    <row r="223" spans="2:7" ht="23.1" customHeight="1">
      <c r="B223" s="45" t="str">
        <f>IFERROR(INDEX(ju_tgl,MATCH(ROW(J211),JURNAL!$O:$O,0)),"")</f>
        <v/>
      </c>
      <c r="C223" s="7" t="str">
        <f>IFERROR(INDEX(ju_ref,MATCH(ROW(J211),JURNAL!$O:$O,0)),"")</f>
        <v/>
      </c>
      <c r="D223" s="7" t="str">
        <f>IFERROR(INDEX(ju_ket,MATCH(ROW(J211),JURNAL!$O:$O,0)),"")</f>
        <v/>
      </c>
      <c r="E223" s="39" t="str">
        <f>IFERROR(IF(bb_akun=INDEX(ju_debet,MATCH(ROW(J211),JURNAL!$O:$O,0)),INDEX(ju_sld,MATCH(ROW(K211),JURNAL!$O:$O,0)),0),"")</f>
        <v/>
      </c>
      <c r="F223" s="39" t="str">
        <f>IFERROR(IF(bb_akun=INDEX(ju_kr,MATCH(ROW(J211),JURNAL!$O:$O,0)),INDEX(ju_sld,MATCH(ROW(K211),JURNAL!$O:$O,0)),0),"")</f>
        <v/>
      </c>
      <c r="G223" s="39" t="str">
        <f>IF(B223="","",IF(INDEX(typ_sn,MATCH($C$9,typ_ket,0))="db",$G$8+SUM($E$13:E223)-SUM($F$13:F223),$G$8+SUM($F$13:F223)-SUM($E$13:E223)))</f>
        <v/>
      </c>
    </row>
    <row r="224" spans="2:7" ht="23.1" customHeight="1">
      <c r="B224" s="45" t="str">
        <f>IFERROR(INDEX(ju_tgl,MATCH(ROW(J212),JURNAL!$O:$O,0)),"")</f>
        <v/>
      </c>
      <c r="C224" s="7" t="str">
        <f>IFERROR(INDEX(ju_ref,MATCH(ROW(J212),JURNAL!$O:$O,0)),"")</f>
        <v/>
      </c>
      <c r="D224" s="7" t="str">
        <f>IFERROR(INDEX(ju_ket,MATCH(ROW(J212),JURNAL!$O:$O,0)),"")</f>
        <v/>
      </c>
      <c r="E224" s="39" t="str">
        <f>IFERROR(IF(bb_akun=INDEX(ju_debet,MATCH(ROW(J212),JURNAL!$O:$O,0)),INDEX(ju_sld,MATCH(ROW(K212),JURNAL!$O:$O,0)),0),"")</f>
        <v/>
      </c>
      <c r="F224" s="39" t="str">
        <f>IFERROR(IF(bb_akun=INDEX(ju_kr,MATCH(ROW(J212),JURNAL!$O:$O,0)),INDEX(ju_sld,MATCH(ROW(K212),JURNAL!$O:$O,0)),0),"")</f>
        <v/>
      </c>
      <c r="G224" s="39" t="str">
        <f>IF(B224="","",IF(INDEX(typ_sn,MATCH($C$9,typ_ket,0))="db",$G$8+SUM($E$13:E224)-SUM($F$13:F224),$G$8+SUM($F$13:F224)-SUM($E$13:E224)))</f>
        <v/>
      </c>
    </row>
    <row r="225" spans="2:7" ht="23.1" customHeight="1">
      <c r="B225" s="45" t="str">
        <f>IFERROR(INDEX(ju_tgl,MATCH(ROW(J213),JURNAL!$O:$O,0)),"")</f>
        <v/>
      </c>
      <c r="C225" s="7" t="str">
        <f>IFERROR(INDEX(ju_ref,MATCH(ROW(J213),JURNAL!$O:$O,0)),"")</f>
        <v/>
      </c>
      <c r="D225" s="7" t="str">
        <f>IFERROR(INDEX(ju_ket,MATCH(ROW(J213),JURNAL!$O:$O,0)),"")</f>
        <v/>
      </c>
      <c r="E225" s="39" t="str">
        <f>IFERROR(IF(bb_akun=INDEX(ju_debet,MATCH(ROW(J213),JURNAL!$O:$O,0)),INDEX(ju_sld,MATCH(ROW(K213),JURNAL!$O:$O,0)),0),"")</f>
        <v/>
      </c>
      <c r="F225" s="39" t="str">
        <f>IFERROR(IF(bb_akun=INDEX(ju_kr,MATCH(ROW(J213),JURNAL!$O:$O,0)),INDEX(ju_sld,MATCH(ROW(K213),JURNAL!$O:$O,0)),0),"")</f>
        <v/>
      </c>
      <c r="G225" s="39" t="str">
        <f>IF(B225="","",IF(INDEX(typ_sn,MATCH($C$9,typ_ket,0))="db",$G$8+SUM($E$13:E225)-SUM($F$13:F225),$G$8+SUM($F$13:F225)-SUM($E$13:E225)))</f>
        <v/>
      </c>
    </row>
    <row r="226" spans="2:7" ht="23.1" customHeight="1">
      <c r="B226" s="45" t="str">
        <f>IFERROR(INDEX(ju_tgl,MATCH(ROW(J214),JURNAL!$O:$O,0)),"")</f>
        <v/>
      </c>
      <c r="C226" s="7" t="str">
        <f>IFERROR(INDEX(ju_ref,MATCH(ROW(J214),JURNAL!$O:$O,0)),"")</f>
        <v/>
      </c>
      <c r="D226" s="7" t="str">
        <f>IFERROR(INDEX(ju_ket,MATCH(ROW(J214),JURNAL!$O:$O,0)),"")</f>
        <v/>
      </c>
      <c r="E226" s="39" t="str">
        <f>IFERROR(IF(bb_akun=INDEX(ju_debet,MATCH(ROW(J214),JURNAL!$O:$O,0)),INDEX(ju_sld,MATCH(ROW(K214),JURNAL!$O:$O,0)),0),"")</f>
        <v/>
      </c>
      <c r="F226" s="39" t="str">
        <f>IFERROR(IF(bb_akun=INDEX(ju_kr,MATCH(ROW(J214),JURNAL!$O:$O,0)),INDEX(ju_sld,MATCH(ROW(K214),JURNAL!$O:$O,0)),0),"")</f>
        <v/>
      </c>
      <c r="G226" s="39" t="str">
        <f>IF(B226="","",IF(INDEX(typ_sn,MATCH($C$9,typ_ket,0))="db",$G$8+SUM($E$13:E226)-SUM($F$13:F226),$G$8+SUM($F$13:F226)-SUM($E$13:E226)))</f>
        <v/>
      </c>
    </row>
    <row r="227" spans="2:7" ht="23.1" customHeight="1">
      <c r="B227" s="45" t="str">
        <f>IFERROR(INDEX(ju_tgl,MATCH(ROW(J215),JURNAL!$O:$O,0)),"")</f>
        <v/>
      </c>
      <c r="C227" s="7" t="str">
        <f>IFERROR(INDEX(ju_ref,MATCH(ROW(J215),JURNAL!$O:$O,0)),"")</f>
        <v/>
      </c>
      <c r="D227" s="7" t="str">
        <f>IFERROR(INDEX(ju_ket,MATCH(ROW(J215),JURNAL!$O:$O,0)),"")</f>
        <v/>
      </c>
      <c r="E227" s="39" t="str">
        <f>IFERROR(IF(bb_akun=INDEX(ju_debet,MATCH(ROW(J215),JURNAL!$O:$O,0)),INDEX(ju_sld,MATCH(ROW(K215),JURNAL!$O:$O,0)),0),"")</f>
        <v/>
      </c>
      <c r="F227" s="39" t="str">
        <f>IFERROR(IF(bb_akun=INDEX(ju_kr,MATCH(ROW(J215),JURNAL!$O:$O,0)),INDEX(ju_sld,MATCH(ROW(K215),JURNAL!$O:$O,0)),0),"")</f>
        <v/>
      </c>
      <c r="G227" s="39" t="str">
        <f>IF(B227="","",IF(INDEX(typ_sn,MATCH($C$9,typ_ket,0))="db",$G$8+SUM($E$13:E227)-SUM($F$13:F227),$G$8+SUM($F$13:F227)-SUM($E$13:E227)))</f>
        <v/>
      </c>
    </row>
    <row r="228" spans="2:7" ht="23.1" customHeight="1">
      <c r="B228" s="45" t="str">
        <f>IFERROR(INDEX(ju_tgl,MATCH(ROW(J216),JURNAL!$O:$O,0)),"")</f>
        <v/>
      </c>
      <c r="C228" s="7" t="str">
        <f>IFERROR(INDEX(ju_ref,MATCH(ROW(J216),JURNAL!$O:$O,0)),"")</f>
        <v/>
      </c>
      <c r="D228" s="7" t="str">
        <f>IFERROR(INDEX(ju_ket,MATCH(ROW(J216),JURNAL!$O:$O,0)),"")</f>
        <v/>
      </c>
      <c r="E228" s="39" t="str">
        <f>IFERROR(IF(bb_akun=INDEX(ju_debet,MATCH(ROW(J216),JURNAL!$O:$O,0)),INDEX(ju_sld,MATCH(ROW(K216),JURNAL!$O:$O,0)),0),"")</f>
        <v/>
      </c>
      <c r="F228" s="39" t="str">
        <f>IFERROR(IF(bb_akun=INDEX(ju_kr,MATCH(ROW(J216),JURNAL!$O:$O,0)),INDEX(ju_sld,MATCH(ROW(K216),JURNAL!$O:$O,0)),0),"")</f>
        <v/>
      </c>
      <c r="G228" s="39" t="str">
        <f>IF(B228="","",IF(INDEX(typ_sn,MATCH($C$9,typ_ket,0))="db",$G$8+SUM($E$13:E228)-SUM($F$13:F228),$G$8+SUM($F$13:F228)-SUM($E$13:E228)))</f>
        <v/>
      </c>
    </row>
    <row r="229" spans="2:7" ht="23.1" customHeight="1">
      <c r="B229" s="45" t="str">
        <f>IFERROR(INDEX(ju_tgl,MATCH(ROW(J217),JURNAL!$O:$O,0)),"")</f>
        <v/>
      </c>
      <c r="C229" s="7" t="str">
        <f>IFERROR(INDEX(ju_ref,MATCH(ROW(J217),JURNAL!$O:$O,0)),"")</f>
        <v/>
      </c>
      <c r="D229" s="7" t="str">
        <f>IFERROR(INDEX(ju_ket,MATCH(ROW(J217),JURNAL!$O:$O,0)),"")</f>
        <v/>
      </c>
      <c r="E229" s="39" t="str">
        <f>IFERROR(IF(bb_akun=INDEX(ju_debet,MATCH(ROW(J217),JURNAL!$O:$O,0)),INDEX(ju_sld,MATCH(ROW(K217),JURNAL!$O:$O,0)),0),"")</f>
        <v/>
      </c>
      <c r="F229" s="39" t="str">
        <f>IFERROR(IF(bb_akun=INDEX(ju_kr,MATCH(ROW(J217),JURNAL!$O:$O,0)),INDEX(ju_sld,MATCH(ROW(K217),JURNAL!$O:$O,0)),0),"")</f>
        <v/>
      </c>
      <c r="G229" s="39" t="str">
        <f>IF(B229="","",IF(INDEX(typ_sn,MATCH($C$9,typ_ket,0))="db",$G$8+SUM($E$13:E229)-SUM($F$13:F229),$G$8+SUM($F$13:F229)-SUM($E$13:E229)))</f>
        <v/>
      </c>
    </row>
    <row r="230" spans="2:7" ht="23.1" customHeight="1">
      <c r="B230" s="45" t="str">
        <f>IFERROR(INDEX(ju_tgl,MATCH(ROW(J218),JURNAL!$O:$O,0)),"")</f>
        <v/>
      </c>
      <c r="C230" s="7" t="str">
        <f>IFERROR(INDEX(ju_ref,MATCH(ROW(J218),JURNAL!$O:$O,0)),"")</f>
        <v/>
      </c>
      <c r="D230" s="7" t="str">
        <f>IFERROR(INDEX(ju_ket,MATCH(ROW(J218),JURNAL!$O:$O,0)),"")</f>
        <v/>
      </c>
      <c r="E230" s="39" t="str">
        <f>IFERROR(IF(bb_akun=INDEX(ju_debet,MATCH(ROW(J218),JURNAL!$O:$O,0)),INDEX(ju_sld,MATCH(ROW(K218),JURNAL!$O:$O,0)),0),"")</f>
        <v/>
      </c>
      <c r="F230" s="39" t="str">
        <f>IFERROR(IF(bb_akun=INDEX(ju_kr,MATCH(ROW(J218),JURNAL!$O:$O,0)),INDEX(ju_sld,MATCH(ROW(K218),JURNAL!$O:$O,0)),0),"")</f>
        <v/>
      </c>
      <c r="G230" s="39" t="str">
        <f>IF(B230="","",IF(INDEX(typ_sn,MATCH($C$9,typ_ket,0))="db",$G$8+SUM($E$13:E230)-SUM($F$13:F230),$G$8+SUM($F$13:F230)-SUM($E$13:E230)))</f>
        <v/>
      </c>
    </row>
    <row r="231" spans="2:7" ht="23.1" customHeight="1">
      <c r="B231" s="45" t="str">
        <f>IFERROR(INDEX(ju_tgl,MATCH(ROW(J219),JURNAL!$O:$O,0)),"")</f>
        <v/>
      </c>
      <c r="C231" s="7" t="str">
        <f>IFERROR(INDEX(ju_ref,MATCH(ROW(J219),JURNAL!$O:$O,0)),"")</f>
        <v/>
      </c>
      <c r="D231" s="7" t="str">
        <f>IFERROR(INDEX(ju_ket,MATCH(ROW(J219),JURNAL!$O:$O,0)),"")</f>
        <v/>
      </c>
      <c r="E231" s="39" t="str">
        <f>IFERROR(IF(bb_akun=INDEX(ju_debet,MATCH(ROW(J219),JURNAL!$O:$O,0)),INDEX(ju_sld,MATCH(ROW(K219),JURNAL!$O:$O,0)),0),"")</f>
        <v/>
      </c>
      <c r="F231" s="39" t="str">
        <f>IFERROR(IF(bb_akun=INDEX(ju_kr,MATCH(ROW(J219),JURNAL!$O:$O,0)),INDEX(ju_sld,MATCH(ROW(K219),JURNAL!$O:$O,0)),0),"")</f>
        <v/>
      </c>
      <c r="G231" s="39" t="str">
        <f>IF(B231="","",IF(INDEX(typ_sn,MATCH($C$9,typ_ket,0))="db",$G$8+SUM($E$13:E231)-SUM($F$13:F231),$G$8+SUM($F$13:F231)-SUM($E$13:E231)))</f>
        <v/>
      </c>
    </row>
    <row r="232" spans="2:7" ht="23.1" customHeight="1">
      <c r="B232" s="45" t="str">
        <f>IFERROR(INDEX(ju_tgl,MATCH(ROW(J220),JURNAL!$O:$O,0)),"")</f>
        <v/>
      </c>
      <c r="C232" s="7" t="str">
        <f>IFERROR(INDEX(ju_ref,MATCH(ROW(J220),JURNAL!$O:$O,0)),"")</f>
        <v/>
      </c>
      <c r="D232" s="7" t="str">
        <f>IFERROR(INDEX(ju_ket,MATCH(ROW(J220),JURNAL!$O:$O,0)),"")</f>
        <v/>
      </c>
      <c r="E232" s="39" t="str">
        <f>IFERROR(IF(bb_akun=INDEX(ju_debet,MATCH(ROW(J220),JURNAL!$O:$O,0)),INDEX(ju_sld,MATCH(ROW(K220),JURNAL!$O:$O,0)),0),"")</f>
        <v/>
      </c>
      <c r="F232" s="39" t="str">
        <f>IFERROR(IF(bb_akun=INDEX(ju_kr,MATCH(ROW(J220),JURNAL!$O:$O,0)),INDEX(ju_sld,MATCH(ROW(K220),JURNAL!$O:$O,0)),0),"")</f>
        <v/>
      </c>
      <c r="G232" s="39" t="str">
        <f>IF(B232="","",IF(INDEX(typ_sn,MATCH($C$9,typ_ket,0))="db",$G$8+SUM($E$13:E232)-SUM($F$13:F232),$G$8+SUM($F$13:F232)-SUM($E$13:E232)))</f>
        <v/>
      </c>
    </row>
    <row r="233" spans="2:7" ht="23.1" customHeight="1">
      <c r="B233" s="45" t="str">
        <f>IFERROR(INDEX(ju_tgl,MATCH(ROW(J221),JURNAL!$O:$O,0)),"")</f>
        <v/>
      </c>
      <c r="C233" s="7" t="str">
        <f>IFERROR(INDEX(ju_ref,MATCH(ROW(J221),JURNAL!$O:$O,0)),"")</f>
        <v/>
      </c>
      <c r="D233" s="7" t="str">
        <f>IFERROR(INDEX(ju_ket,MATCH(ROW(J221),JURNAL!$O:$O,0)),"")</f>
        <v/>
      </c>
      <c r="E233" s="39" t="str">
        <f>IFERROR(IF(bb_akun=INDEX(ju_debet,MATCH(ROW(J221),JURNAL!$O:$O,0)),INDEX(ju_sld,MATCH(ROW(K221),JURNAL!$O:$O,0)),0),"")</f>
        <v/>
      </c>
      <c r="F233" s="39" t="str">
        <f>IFERROR(IF(bb_akun=INDEX(ju_kr,MATCH(ROW(J221),JURNAL!$O:$O,0)),INDEX(ju_sld,MATCH(ROW(K221),JURNAL!$O:$O,0)),0),"")</f>
        <v/>
      </c>
      <c r="G233" s="39" t="str">
        <f>IF(B233="","",IF(INDEX(typ_sn,MATCH($C$9,typ_ket,0))="db",$G$8+SUM($E$13:E233)-SUM($F$13:F233),$G$8+SUM($F$13:F233)-SUM($E$13:E233)))</f>
        <v/>
      </c>
    </row>
    <row r="234" spans="2:7" ht="23.1" customHeight="1">
      <c r="B234" s="45" t="str">
        <f>IFERROR(INDEX(ju_tgl,MATCH(ROW(J222),JURNAL!$O:$O,0)),"")</f>
        <v/>
      </c>
      <c r="C234" s="7" t="str">
        <f>IFERROR(INDEX(ju_ref,MATCH(ROW(J222),JURNAL!$O:$O,0)),"")</f>
        <v/>
      </c>
      <c r="D234" s="7" t="str">
        <f>IFERROR(INDEX(ju_ket,MATCH(ROW(J222),JURNAL!$O:$O,0)),"")</f>
        <v/>
      </c>
      <c r="E234" s="39" t="str">
        <f>IFERROR(IF(bb_akun=INDEX(ju_debet,MATCH(ROW(J222),JURNAL!$O:$O,0)),INDEX(ju_sld,MATCH(ROW(K222),JURNAL!$O:$O,0)),0),"")</f>
        <v/>
      </c>
      <c r="F234" s="39" t="str">
        <f>IFERROR(IF(bb_akun=INDEX(ju_kr,MATCH(ROW(J222),JURNAL!$O:$O,0)),INDEX(ju_sld,MATCH(ROW(K222),JURNAL!$O:$O,0)),0),"")</f>
        <v/>
      </c>
      <c r="G234" s="39" t="str">
        <f>IF(B234="","",IF(INDEX(typ_sn,MATCH($C$9,typ_ket,0))="db",$G$8+SUM($E$13:E234)-SUM($F$13:F234),$G$8+SUM($F$13:F234)-SUM($E$13:E234)))</f>
        <v/>
      </c>
    </row>
    <row r="235" spans="2:7" ht="23.1" customHeight="1">
      <c r="B235" s="45" t="str">
        <f>IFERROR(INDEX(ju_tgl,MATCH(ROW(J223),JURNAL!$O:$O,0)),"")</f>
        <v/>
      </c>
      <c r="C235" s="7" t="str">
        <f>IFERROR(INDEX(ju_ref,MATCH(ROW(J223),JURNAL!$O:$O,0)),"")</f>
        <v/>
      </c>
      <c r="D235" s="7" t="str">
        <f>IFERROR(INDEX(ju_ket,MATCH(ROW(J223),JURNAL!$O:$O,0)),"")</f>
        <v/>
      </c>
      <c r="E235" s="39" t="str">
        <f>IFERROR(IF(bb_akun=INDEX(ju_debet,MATCH(ROW(J223),JURNAL!$O:$O,0)),INDEX(ju_sld,MATCH(ROW(K223),JURNAL!$O:$O,0)),0),"")</f>
        <v/>
      </c>
      <c r="F235" s="39" t="str">
        <f>IFERROR(IF(bb_akun=INDEX(ju_kr,MATCH(ROW(J223),JURNAL!$O:$O,0)),INDEX(ju_sld,MATCH(ROW(K223),JURNAL!$O:$O,0)),0),"")</f>
        <v/>
      </c>
      <c r="G235" s="39" t="str">
        <f>IF(B235="","",IF(INDEX(typ_sn,MATCH($C$9,typ_ket,0))="db",$G$8+SUM($E$13:E235)-SUM($F$13:F235),$G$8+SUM($F$13:F235)-SUM($E$13:E235)))</f>
        <v/>
      </c>
    </row>
    <row r="236" spans="2:7" ht="23.1" customHeight="1">
      <c r="B236" s="45" t="str">
        <f>IFERROR(INDEX(ju_tgl,MATCH(ROW(J224),JURNAL!$O:$O,0)),"")</f>
        <v/>
      </c>
      <c r="C236" s="7" t="str">
        <f>IFERROR(INDEX(ju_ref,MATCH(ROW(J224),JURNAL!$O:$O,0)),"")</f>
        <v/>
      </c>
      <c r="D236" s="7" t="str">
        <f>IFERROR(INDEX(ju_ket,MATCH(ROW(J224),JURNAL!$O:$O,0)),"")</f>
        <v/>
      </c>
      <c r="E236" s="39" t="str">
        <f>IFERROR(IF(bb_akun=INDEX(ju_debet,MATCH(ROW(J224),JURNAL!$O:$O,0)),INDEX(ju_sld,MATCH(ROW(K224),JURNAL!$O:$O,0)),0),"")</f>
        <v/>
      </c>
      <c r="F236" s="39" t="str">
        <f>IFERROR(IF(bb_akun=INDEX(ju_kr,MATCH(ROW(J224),JURNAL!$O:$O,0)),INDEX(ju_sld,MATCH(ROW(K224),JURNAL!$O:$O,0)),0),"")</f>
        <v/>
      </c>
      <c r="G236" s="39" t="str">
        <f>IF(B236="","",IF(INDEX(typ_sn,MATCH($C$9,typ_ket,0))="db",$G$8+SUM($E$13:E236)-SUM($F$13:F236),$G$8+SUM($F$13:F236)-SUM($E$13:E236)))</f>
        <v/>
      </c>
    </row>
    <row r="237" spans="2:7" ht="23.1" customHeight="1">
      <c r="B237" s="45" t="str">
        <f>IFERROR(INDEX(ju_tgl,MATCH(ROW(J225),JURNAL!$O:$O,0)),"")</f>
        <v/>
      </c>
      <c r="C237" s="7" t="str">
        <f>IFERROR(INDEX(ju_ref,MATCH(ROW(J225),JURNAL!$O:$O,0)),"")</f>
        <v/>
      </c>
      <c r="D237" s="7" t="str">
        <f>IFERROR(INDEX(ju_ket,MATCH(ROW(J225),JURNAL!$O:$O,0)),"")</f>
        <v/>
      </c>
      <c r="E237" s="39" t="str">
        <f>IFERROR(IF(bb_akun=INDEX(ju_debet,MATCH(ROW(J225),JURNAL!$O:$O,0)),INDEX(ju_sld,MATCH(ROW(K225),JURNAL!$O:$O,0)),0),"")</f>
        <v/>
      </c>
      <c r="F237" s="39" t="str">
        <f>IFERROR(IF(bb_akun=INDEX(ju_kr,MATCH(ROW(J225),JURNAL!$O:$O,0)),INDEX(ju_sld,MATCH(ROW(K225),JURNAL!$O:$O,0)),0),"")</f>
        <v/>
      </c>
      <c r="G237" s="39" t="str">
        <f>IF(B237="","",IF(INDEX(typ_sn,MATCH($C$9,typ_ket,0))="db",$G$8+SUM($E$13:E237)-SUM($F$13:F237),$G$8+SUM($F$13:F237)-SUM($E$13:E237)))</f>
        <v/>
      </c>
    </row>
    <row r="238" spans="2:7" ht="23.1" customHeight="1">
      <c r="B238" s="45" t="str">
        <f>IFERROR(INDEX(ju_tgl,MATCH(ROW(J226),JURNAL!$O:$O,0)),"")</f>
        <v/>
      </c>
      <c r="C238" s="7" t="str">
        <f>IFERROR(INDEX(ju_ref,MATCH(ROW(J226),JURNAL!$O:$O,0)),"")</f>
        <v/>
      </c>
      <c r="D238" s="7" t="str">
        <f>IFERROR(INDEX(ju_ket,MATCH(ROW(J226),JURNAL!$O:$O,0)),"")</f>
        <v/>
      </c>
      <c r="E238" s="39" t="str">
        <f>IFERROR(IF(bb_akun=INDEX(ju_debet,MATCH(ROW(J226),JURNAL!$O:$O,0)),INDEX(ju_sld,MATCH(ROW(K226),JURNAL!$O:$O,0)),0),"")</f>
        <v/>
      </c>
      <c r="F238" s="39" t="str">
        <f>IFERROR(IF(bb_akun=INDEX(ju_kr,MATCH(ROW(J226),JURNAL!$O:$O,0)),INDEX(ju_sld,MATCH(ROW(K226),JURNAL!$O:$O,0)),0),"")</f>
        <v/>
      </c>
      <c r="G238" s="39" t="str">
        <f>IF(B238="","",IF(INDEX(typ_sn,MATCH($C$9,typ_ket,0))="db",$G$8+SUM($E$13:E238)-SUM($F$13:F238),$G$8+SUM($F$13:F238)-SUM($E$13:E238)))</f>
        <v/>
      </c>
    </row>
    <row r="239" spans="2:7" ht="23.1" customHeight="1">
      <c r="B239" s="45" t="str">
        <f>IFERROR(INDEX(ju_tgl,MATCH(ROW(J227),JURNAL!$O:$O,0)),"")</f>
        <v/>
      </c>
      <c r="C239" s="7" t="str">
        <f>IFERROR(INDEX(ju_ref,MATCH(ROW(J227),JURNAL!$O:$O,0)),"")</f>
        <v/>
      </c>
      <c r="D239" s="7" t="str">
        <f>IFERROR(INDEX(ju_ket,MATCH(ROW(J227),JURNAL!$O:$O,0)),"")</f>
        <v/>
      </c>
      <c r="E239" s="39" t="str">
        <f>IFERROR(IF(bb_akun=INDEX(ju_debet,MATCH(ROW(J227),JURNAL!$O:$O,0)),INDEX(ju_sld,MATCH(ROW(K227),JURNAL!$O:$O,0)),0),"")</f>
        <v/>
      </c>
      <c r="F239" s="39" t="str">
        <f>IFERROR(IF(bb_akun=INDEX(ju_kr,MATCH(ROW(J227),JURNAL!$O:$O,0)),INDEX(ju_sld,MATCH(ROW(K227),JURNAL!$O:$O,0)),0),"")</f>
        <v/>
      </c>
      <c r="G239" s="39" t="str">
        <f>IF(B239="","",IF(INDEX(typ_sn,MATCH($C$9,typ_ket,0))="db",$G$8+SUM($E$13:E239)-SUM($F$13:F239),$G$8+SUM($F$13:F239)-SUM($E$13:E239)))</f>
        <v/>
      </c>
    </row>
    <row r="240" spans="2:7" ht="23.1" customHeight="1">
      <c r="B240" s="45" t="str">
        <f>IFERROR(INDEX(ju_tgl,MATCH(ROW(J228),JURNAL!$O:$O,0)),"")</f>
        <v/>
      </c>
      <c r="C240" s="7" t="str">
        <f>IFERROR(INDEX(ju_ref,MATCH(ROW(J228),JURNAL!$O:$O,0)),"")</f>
        <v/>
      </c>
      <c r="D240" s="7" t="str">
        <f>IFERROR(INDEX(ju_ket,MATCH(ROW(J228),JURNAL!$O:$O,0)),"")</f>
        <v/>
      </c>
      <c r="E240" s="39" t="str">
        <f>IFERROR(IF(bb_akun=INDEX(ju_debet,MATCH(ROW(J228),JURNAL!$O:$O,0)),INDEX(ju_sld,MATCH(ROW(K228),JURNAL!$O:$O,0)),0),"")</f>
        <v/>
      </c>
      <c r="F240" s="39" t="str">
        <f>IFERROR(IF(bb_akun=INDEX(ju_kr,MATCH(ROW(J228),JURNAL!$O:$O,0)),INDEX(ju_sld,MATCH(ROW(K228),JURNAL!$O:$O,0)),0),"")</f>
        <v/>
      </c>
      <c r="G240" s="39" t="str">
        <f>IF(B240="","",IF(INDEX(typ_sn,MATCH($C$9,typ_ket,0))="db",$G$8+SUM($E$13:E240)-SUM($F$13:F240),$G$8+SUM($F$13:F240)-SUM($E$13:E240)))</f>
        <v/>
      </c>
    </row>
    <row r="241" spans="2:7" ht="23.1" customHeight="1">
      <c r="B241" s="45" t="str">
        <f>IFERROR(INDEX(ju_tgl,MATCH(ROW(J229),JURNAL!$O:$O,0)),"")</f>
        <v/>
      </c>
      <c r="C241" s="7" t="str">
        <f>IFERROR(INDEX(ju_ref,MATCH(ROW(J229),JURNAL!$O:$O,0)),"")</f>
        <v/>
      </c>
      <c r="D241" s="7" t="str">
        <f>IFERROR(INDEX(ju_ket,MATCH(ROW(J229),JURNAL!$O:$O,0)),"")</f>
        <v/>
      </c>
      <c r="E241" s="39" t="str">
        <f>IFERROR(IF(bb_akun=INDEX(ju_debet,MATCH(ROW(J229),JURNAL!$O:$O,0)),INDEX(ju_sld,MATCH(ROW(K229),JURNAL!$O:$O,0)),0),"")</f>
        <v/>
      </c>
      <c r="F241" s="39" t="str">
        <f>IFERROR(IF(bb_akun=INDEX(ju_kr,MATCH(ROW(J229),JURNAL!$O:$O,0)),INDEX(ju_sld,MATCH(ROW(K229),JURNAL!$O:$O,0)),0),"")</f>
        <v/>
      </c>
      <c r="G241" s="39" t="str">
        <f>IF(B241="","",IF(INDEX(typ_sn,MATCH($C$9,typ_ket,0))="db",$G$8+SUM($E$13:E241)-SUM($F$13:F241),$G$8+SUM($F$13:F241)-SUM($E$13:E241)))</f>
        <v/>
      </c>
    </row>
    <row r="242" spans="2:7" ht="23.1" customHeight="1">
      <c r="B242" s="45" t="str">
        <f>IFERROR(INDEX(ju_tgl,MATCH(ROW(J230),JURNAL!$O:$O,0)),"")</f>
        <v/>
      </c>
      <c r="C242" s="7" t="str">
        <f>IFERROR(INDEX(ju_ref,MATCH(ROW(J230),JURNAL!$O:$O,0)),"")</f>
        <v/>
      </c>
      <c r="D242" s="7" t="str">
        <f>IFERROR(INDEX(ju_ket,MATCH(ROW(J230),JURNAL!$O:$O,0)),"")</f>
        <v/>
      </c>
      <c r="E242" s="39" t="str">
        <f>IFERROR(IF(bb_akun=INDEX(ju_debet,MATCH(ROW(J230),JURNAL!$O:$O,0)),INDEX(ju_sld,MATCH(ROW(K230),JURNAL!$O:$O,0)),0),"")</f>
        <v/>
      </c>
      <c r="F242" s="39" t="str">
        <f>IFERROR(IF(bb_akun=INDEX(ju_kr,MATCH(ROW(J230),JURNAL!$O:$O,0)),INDEX(ju_sld,MATCH(ROW(K230),JURNAL!$O:$O,0)),0),"")</f>
        <v/>
      </c>
      <c r="G242" s="39" t="str">
        <f>IF(B242="","",IF(INDEX(typ_sn,MATCH($C$9,typ_ket,0))="db",$G$8+SUM($E$13:E242)-SUM($F$13:F242),$G$8+SUM($F$13:F242)-SUM($E$13:E242)))</f>
        <v/>
      </c>
    </row>
    <row r="243" spans="2:7" ht="23.1" customHeight="1">
      <c r="B243" s="45" t="str">
        <f>IFERROR(INDEX(ju_tgl,MATCH(ROW(J231),JURNAL!$O:$O,0)),"")</f>
        <v/>
      </c>
      <c r="C243" s="7" t="str">
        <f>IFERROR(INDEX(ju_ref,MATCH(ROW(J231),JURNAL!$O:$O,0)),"")</f>
        <v/>
      </c>
      <c r="D243" s="7" t="str">
        <f>IFERROR(INDEX(ju_ket,MATCH(ROW(J231),JURNAL!$O:$O,0)),"")</f>
        <v/>
      </c>
      <c r="E243" s="39" t="str">
        <f>IFERROR(IF(bb_akun=INDEX(ju_debet,MATCH(ROW(J231),JURNAL!$O:$O,0)),INDEX(ju_sld,MATCH(ROW(K231),JURNAL!$O:$O,0)),0),"")</f>
        <v/>
      </c>
      <c r="F243" s="39" t="str">
        <f>IFERROR(IF(bb_akun=INDEX(ju_kr,MATCH(ROW(J231),JURNAL!$O:$O,0)),INDEX(ju_sld,MATCH(ROW(K231),JURNAL!$O:$O,0)),0),"")</f>
        <v/>
      </c>
      <c r="G243" s="39" t="str">
        <f>IF(B243="","",IF(INDEX(typ_sn,MATCH($C$9,typ_ket,0))="db",$G$8+SUM($E$13:E243)-SUM($F$13:F243),$G$8+SUM($F$13:F243)-SUM($E$13:E243)))</f>
        <v/>
      </c>
    </row>
    <row r="244" spans="2:7" ht="23.1" customHeight="1">
      <c r="B244" s="45" t="str">
        <f>IFERROR(INDEX(ju_tgl,MATCH(ROW(J232),JURNAL!$O:$O,0)),"")</f>
        <v/>
      </c>
      <c r="C244" s="7" t="str">
        <f>IFERROR(INDEX(ju_ref,MATCH(ROW(J232),JURNAL!$O:$O,0)),"")</f>
        <v/>
      </c>
      <c r="D244" s="7" t="str">
        <f>IFERROR(INDEX(ju_ket,MATCH(ROW(J232),JURNAL!$O:$O,0)),"")</f>
        <v/>
      </c>
      <c r="E244" s="39" t="str">
        <f>IFERROR(IF(bb_akun=INDEX(ju_debet,MATCH(ROW(J232),JURNAL!$O:$O,0)),INDEX(ju_sld,MATCH(ROW(K232),JURNAL!$O:$O,0)),0),"")</f>
        <v/>
      </c>
      <c r="F244" s="39" t="str">
        <f>IFERROR(IF(bb_akun=INDEX(ju_kr,MATCH(ROW(J232),JURNAL!$O:$O,0)),INDEX(ju_sld,MATCH(ROW(K232),JURNAL!$O:$O,0)),0),"")</f>
        <v/>
      </c>
      <c r="G244" s="39" t="str">
        <f>IF(B244="","",IF(INDEX(typ_sn,MATCH($C$9,typ_ket,0))="db",$G$8+SUM($E$13:E244)-SUM($F$13:F244),$G$8+SUM($F$13:F244)-SUM($E$13:E244)))</f>
        <v/>
      </c>
    </row>
    <row r="245" spans="2:7" ht="23.1" customHeight="1">
      <c r="B245" s="45" t="str">
        <f>IFERROR(INDEX(ju_tgl,MATCH(ROW(J233),JURNAL!$O:$O,0)),"")</f>
        <v/>
      </c>
      <c r="C245" s="7" t="str">
        <f>IFERROR(INDEX(ju_ref,MATCH(ROW(J233),JURNAL!$O:$O,0)),"")</f>
        <v/>
      </c>
      <c r="D245" s="7" t="str">
        <f>IFERROR(INDEX(ju_ket,MATCH(ROW(J233),JURNAL!$O:$O,0)),"")</f>
        <v/>
      </c>
      <c r="E245" s="39" t="str">
        <f>IFERROR(IF(bb_akun=INDEX(ju_debet,MATCH(ROW(J233),JURNAL!$O:$O,0)),INDEX(ju_sld,MATCH(ROW(K233),JURNAL!$O:$O,0)),0),"")</f>
        <v/>
      </c>
      <c r="F245" s="39" t="str">
        <f>IFERROR(IF(bb_akun=INDEX(ju_kr,MATCH(ROW(J233),JURNAL!$O:$O,0)),INDEX(ju_sld,MATCH(ROW(K233),JURNAL!$O:$O,0)),0),"")</f>
        <v/>
      </c>
      <c r="G245" s="39" t="str">
        <f>IF(B245="","",IF(INDEX(typ_sn,MATCH($C$9,typ_ket,0))="db",$G$8+SUM($E$13:E245)-SUM($F$13:F245),$G$8+SUM($F$13:F245)-SUM($E$13:E245)))</f>
        <v/>
      </c>
    </row>
    <row r="246" spans="2:7" ht="23.1" customHeight="1">
      <c r="B246" s="45" t="str">
        <f>IFERROR(INDEX(ju_tgl,MATCH(ROW(J234),JURNAL!$O:$O,0)),"")</f>
        <v/>
      </c>
      <c r="C246" s="7" t="str">
        <f>IFERROR(INDEX(ju_ref,MATCH(ROW(J234),JURNAL!$O:$O,0)),"")</f>
        <v/>
      </c>
      <c r="D246" s="7" t="str">
        <f>IFERROR(INDEX(ju_ket,MATCH(ROW(J234),JURNAL!$O:$O,0)),"")</f>
        <v/>
      </c>
      <c r="E246" s="39" t="str">
        <f>IFERROR(IF(bb_akun=INDEX(ju_debet,MATCH(ROW(J234),JURNAL!$O:$O,0)),INDEX(ju_sld,MATCH(ROW(K234),JURNAL!$O:$O,0)),0),"")</f>
        <v/>
      </c>
      <c r="F246" s="39" t="str">
        <f>IFERROR(IF(bb_akun=INDEX(ju_kr,MATCH(ROW(J234),JURNAL!$O:$O,0)),INDEX(ju_sld,MATCH(ROW(K234),JURNAL!$O:$O,0)),0),"")</f>
        <v/>
      </c>
      <c r="G246" s="39" t="str">
        <f>IF(B246="","",IF(INDEX(typ_sn,MATCH($C$9,typ_ket,0))="db",$G$8+SUM($E$13:E246)-SUM($F$13:F246),$G$8+SUM($F$13:F246)-SUM($E$13:E246)))</f>
        <v/>
      </c>
    </row>
    <row r="247" spans="2:7" ht="23.1" customHeight="1">
      <c r="B247" s="45" t="str">
        <f>IFERROR(INDEX(ju_tgl,MATCH(ROW(J235),JURNAL!$O:$O,0)),"")</f>
        <v/>
      </c>
      <c r="C247" s="7" t="str">
        <f>IFERROR(INDEX(ju_ref,MATCH(ROW(J235),JURNAL!$O:$O,0)),"")</f>
        <v/>
      </c>
      <c r="D247" s="7" t="str">
        <f>IFERROR(INDEX(ju_ket,MATCH(ROW(J235),JURNAL!$O:$O,0)),"")</f>
        <v/>
      </c>
      <c r="E247" s="39" t="str">
        <f>IFERROR(IF(bb_akun=INDEX(ju_debet,MATCH(ROW(J235),JURNAL!$O:$O,0)),INDEX(ju_sld,MATCH(ROW(K235),JURNAL!$O:$O,0)),0),"")</f>
        <v/>
      </c>
      <c r="F247" s="39" t="str">
        <f>IFERROR(IF(bb_akun=INDEX(ju_kr,MATCH(ROW(J235),JURNAL!$O:$O,0)),INDEX(ju_sld,MATCH(ROW(K235),JURNAL!$O:$O,0)),0),"")</f>
        <v/>
      </c>
      <c r="G247" s="39" t="str">
        <f>IF(B247="","",IF(INDEX(typ_sn,MATCH($C$9,typ_ket,0))="db",$G$8+SUM($E$13:E247)-SUM($F$13:F247),$G$8+SUM($F$13:F247)-SUM($E$13:E247)))</f>
        <v/>
      </c>
    </row>
    <row r="248" spans="2:7" ht="23.1" customHeight="1">
      <c r="B248" s="45" t="str">
        <f>IFERROR(INDEX(ju_tgl,MATCH(ROW(J236),JURNAL!$O:$O,0)),"")</f>
        <v/>
      </c>
      <c r="C248" s="7" t="str">
        <f>IFERROR(INDEX(ju_ref,MATCH(ROW(J236),JURNAL!$O:$O,0)),"")</f>
        <v/>
      </c>
      <c r="D248" s="7" t="str">
        <f>IFERROR(INDEX(ju_ket,MATCH(ROW(J236),JURNAL!$O:$O,0)),"")</f>
        <v/>
      </c>
      <c r="E248" s="39" t="str">
        <f>IFERROR(IF(bb_akun=INDEX(ju_debet,MATCH(ROW(J236),JURNAL!$O:$O,0)),INDEX(ju_sld,MATCH(ROW(K236),JURNAL!$O:$O,0)),0),"")</f>
        <v/>
      </c>
      <c r="F248" s="39" t="str">
        <f>IFERROR(IF(bb_akun=INDEX(ju_kr,MATCH(ROW(J236),JURNAL!$O:$O,0)),INDEX(ju_sld,MATCH(ROW(K236),JURNAL!$O:$O,0)),0),"")</f>
        <v/>
      </c>
      <c r="G248" s="39" t="str">
        <f>IF(B248="","",IF(INDEX(typ_sn,MATCH($C$9,typ_ket,0))="db",$G$8+SUM($E$13:E248)-SUM($F$13:F248),$G$8+SUM($F$13:F248)-SUM($E$13:E248)))</f>
        <v/>
      </c>
    </row>
    <row r="249" spans="2:7" ht="23.1" customHeight="1">
      <c r="B249" s="45" t="str">
        <f>IFERROR(INDEX(ju_tgl,MATCH(ROW(J237),JURNAL!$O:$O,0)),"")</f>
        <v/>
      </c>
      <c r="C249" s="7" t="str">
        <f>IFERROR(INDEX(ju_ref,MATCH(ROW(J237),JURNAL!$O:$O,0)),"")</f>
        <v/>
      </c>
      <c r="D249" s="7" t="str">
        <f>IFERROR(INDEX(ju_ket,MATCH(ROW(J237),JURNAL!$O:$O,0)),"")</f>
        <v/>
      </c>
      <c r="E249" s="39" t="str">
        <f>IFERROR(IF(bb_akun=INDEX(ju_debet,MATCH(ROW(J237),JURNAL!$O:$O,0)),INDEX(ju_sld,MATCH(ROW(K237),JURNAL!$O:$O,0)),0),"")</f>
        <v/>
      </c>
      <c r="F249" s="39" t="str">
        <f>IFERROR(IF(bb_akun=INDEX(ju_kr,MATCH(ROW(J237),JURNAL!$O:$O,0)),INDEX(ju_sld,MATCH(ROW(K237),JURNAL!$O:$O,0)),0),"")</f>
        <v/>
      </c>
      <c r="G249" s="39" t="str">
        <f>IF(B249="","",IF(INDEX(typ_sn,MATCH($C$9,typ_ket,0))="db",$G$8+SUM($E$13:E249)-SUM($F$13:F249),$G$8+SUM($F$13:F249)-SUM($E$13:E249)))</f>
        <v/>
      </c>
    </row>
    <row r="250" spans="2:7" ht="23.1" customHeight="1">
      <c r="B250" s="45" t="str">
        <f>IFERROR(INDEX(ju_tgl,MATCH(ROW(J238),JURNAL!$O:$O,0)),"")</f>
        <v/>
      </c>
      <c r="C250" s="7" t="str">
        <f>IFERROR(INDEX(ju_ref,MATCH(ROW(J238),JURNAL!$O:$O,0)),"")</f>
        <v/>
      </c>
      <c r="D250" s="7" t="str">
        <f>IFERROR(INDEX(ju_ket,MATCH(ROW(J238),JURNAL!$O:$O,0)),"")</f>
        <v/>
      </c>
      <c r="E250" s="39" t="str">
        <f>IFERROR(IF(bb_akun=INDEX(ju_debet,MATCH(ROW(J238),JURNAL!$O:$O,0)),INDEX(ju_sld,MATCH(ROW(K238),JURNAL!$O:$O,0)),0),"")</f>
        <v/>
      </c>
      <c r="F250" s="39" t="str">
        <f>IFERROR(IF(bb_akun=INDEX(ju_kr,MATCH(ROW(J238),JURNAL!$O:$O,0)),INDEX(ju_sld,MATCH(ROW(K238),JURNAL!$O:$O,0)),0),"")</f>
        <v/>
      </c>
      <c r="G250" s="39" t="str">
        <f>IF(B250="","",IF(INDEX(typ_sn,MATCH($C$9,typ_ket,0))="db",$G$8+SUM($E$13:E250)-SUM($F$13:F250),$G$8+SUM($F$13:F250)-SUM($E$13:E250)))</f>
        <v/>
      </c>
    </row>
    <row r="251" spans="2:7" ht="23.1" customHeight="1">
      <c r="B251" s="45" t="str">
        <f>IFERROR(INDEX(ju_tgl,MATCH(ROW(J239),JURNAL!$O:$O,0)),"")</f>
        <v/>
      </c>
      <c r="C251" s="7" t="str">
        <f>IFERROR(INDEX(ju_ref,MATCH(ROW(J239),JURNAL!$O:$O,0)),"")</f>
        <v/>
      </c>
      <c r="D251" s="7" t="str">
        <f>IFERROR(INDEX(ju_ket,MATCH(ROW(J239),JURNAL!$O:$O,0)),"")</f>
        <v/>
      </c>
      <c r="E251" s="39" t="str">
        <f>IFERROR(IF(bb_akun=INDEX(ju_debet,MATCH(ROW(J239),JURNAL!$O:$O,0)),INDEX(ju_sld,MATCH(ROW(K239),JURNAL!$O:$O,0)),0),"")</f>
        <v/>
      </c>
      <c r="F251" s="39" t="str">
        <f>IFERROR(IF(bb_akun=INDEX(ju_kr,MATCH(ROW(J239),JURNAL!$O:$O,0)),INDEX(ju_sld,MATCH(ROW(K239),JURNAL!$O:$O,0)),0),"")</f>
        <v/>
      </c>
      <c r="G251" s="39" t="str">
        <f>IF(B251="","",IF(INDEX(typ_sn,MATCH($C$9,typ_ket,0))="db",$G$8+SUM($E$13:E251)-SUM($F$13:F251),$G$8+SUM($F$13:F251)-SUM($E$13:E251)))</f>
        <v/>
      </c>
    </row>
    <row r="252" spans="2:7" ht="23.1" customHeight="1">
      <c r="B252" s="45" t="str">
        <f>IFERROR(INDEX(ju_tgl,MATCH(ROW(J240),JURNAL!$O:$O,0)),"")</f>
        <v/>
      </c>
      <c r="C252" s="7" t="str">
        <f>IFERROR(INDEX(ju_ref,MATCH(ROW(J240),JURNAL!$O:$O,0)),"")</f>
        <v/>
      </c>
      <c r="D252" s="7" t="str">
        <f>IFERROR(INDEX(ju_ket,MATCH(ROW(J240),JURNAL!$O:$O,0)),"")</f>
        <v/>
      </c>
      <c r="E252" s="39" t="str">
        <f>IFERROR(IF(bb_akun=INDEX(ju_debet,MATCH(ROW(J240),JURNAL!$O:$O,0)),INDEX(ju_sld,MATCH(ROW(K240),JURNAL!$O:$O,0)),0),"")</f>
        <v/>
      </c>
      <c r="F252" s="39" t="str">
        <f>IFERROR(IF(bb_akun=INDEX(ju_kr,MATCH(ROW(J240),JURNAL!$O:$O,0)),INDEX(ju_sld,MATCH(ROW(K240),JURNAL!$O:$O,0)),0),"")</f>
        <v/>
      </c>
      <c r="G252" s="39" t="str">
        <f>IF(B252="","",IF(INDEX(typ_sn,MATCH($C$9,typ_ket,0))="db",$G$8+SUM($E$13:E252)-SUM($F$13:F252),$G$8+SUM($F$13:F252)-SUM($E$13:E252)))</f>
        <v/>
      </c>
    </row>
    <row r="253" spans="2:7" ht="23.1" customHeight="1">
      <c r="B253" s="45" t="str">
        <f>IFERROR(INDEX(ju_tgl,MATCH(ROW(J241),JURNAL!$O:$O,0)),"")</f>
        <v/>
      </c>
      <c r="C253" s="7" t="str">
        <f>IFERROR(INDEX(ju_ref,MATCH(ROW(J241),JURNAL!$O:$O,0)),"")</f>
        <v/>
      </c>
      <c r="D253" s="7" t="str">
        <f>IFERROR(INDEX(ju_ket,MATCH(ROW(J241),JURNAL!$O:$O,0)),"")</f>
        <v/>
      </c>
      <c r="E253" s="39" t="str">
        <f>IFERROR(IF(bb_akun=INDEX(ju_debet,MATCH(ROW(J241),JURNAL!$O:$O,0)),INDEX(ju_sld,MATCH(ROW(K241),JURNAL!$O:$O,0)),0),"")</f>
        <v/>
      </c>
      <c r="F253" s="39" t="str">
        <f>IFERROR(IF(bb_akun=INDEX(ju_kr,MATCH(ROW(J241),JURNAL!$O:$O,0)),INDEX(ju_sld,MATCH(ROW(K241),JURNAL!$O:$O,0)),0),"")</f>
        <v/>
      </c>
      <c r="G253" s="39" t="str">
        <f>IF(B253="","",IF(INDEX(typ_sn,MATCH($C$9,typ_ket,0))="db",$G$8+SUM($E$13:E253)-SUM($F$13:F253),$G$8+SUM($F$13:F253)-SUM($E$13:E253)))</f>
        <v/>
      </c>
    </row>
    <row r="254" spans="2:7" ht="23.1" customHeight="1">
      <c r="B254" s="45" t="str">
        <f>IFERROR(INDEX(ju_tgl,MATCH(ROW(J242),JURNAL!$O:$O,0)),"")</f>
        <v/>
      </c>
      <c r="C254" s="7" t="str">
        <f>IFERROR(INDEX(ju_ref,MATCH(ROW(J242),JURNAL!$O:$O,0)),"")</f>
        <v/>
      </c>
      <c r="D254" s="7" t="str">
        <f>IFERROR(INDEX(ju_ket,MATCH(ROW(J242),JURNAL!$O:$O,0)),"")</f>
        <v/>
      </c>
      <c r="E254" s="39" t="str">
        <f>IFERROR(IF(bb_akun=INDEX(ju_debet,MATCH(ROW(J242),JURNAL!$O:$O,0)),INDEX(ju_sld,MATCH(ROW(K242),JURNAL!$O:$O,0)),0),"")</f>
        <v/>
      </c>
      <c r="F254" s="39" t="str">
        <f>IFERROR(IF(bb_akun=INDEX(ju_kr,MATCH(ROW(J242),JURNAL!$O:$O,0)),INDEX(ju_sld,MATCH(ROW(K242),JURNAL!$O:$O,0)),0),"")</f>
        <v/>
      </c>
      <c r="G254" s="39" t="str">
        <f>IF(B254="","",IF(INDEX(typ_sn,MATCH($C$9,typ_ket,0))="db",$G$8+SUM($E$13:E254)-SUM($F$13:F254),$G$8+SUM($F$13:F254)-SUM($E$13:E254)))</f>
        <v/>
      </c>
    </row>
    <row r="255" spans="2:7" ht="23.1" customHeight="1">
      <c r="B255" s="45" t="str">
        <f>IFERROR(INDEX(ju_tgl,MATCH(ROW(J243),JURNAL!$O:$O,0)),"")</f>
        <v/>
      </c>
      <c r="C255" s="7" t="str">
        <f>IFERROR(INDEX(ju_ref,MATCH(ROW(J243),JURNAL!$O:$O,0)),"")</f>
        <v/>
      </c>
      <c r="D255" s="7" t="str">
        <f>IFERROR(INDEX(ju_ket,MATCH(ROW(J243),JURNAL!$O:$O,0)),"")</f>
        <v/>
      </c>
      <c r="E255" s="39" t="str">
        <f>IFERROR(IF(bb_akun=INDEX(ju_debet,MATCH(ROW(J243),JURNAL!$O:$O,0)),INDEX(ju_sld,MATCH(ROW(K243),JURNAL!$O:$O,0)),0),"")</f>
        <v/>
      </c>
      <c r="F255" s="39" t="str">
        <f>IFERROR(IF(bb_akun=INDEX(ju_kr,MATCH(ROW(J243),JURNAL!$O:$O,0)),INDEX(ju_sld,MATCH(ROW(K243),JURNAL!$O:$O,0)),0),"")</f>
        <v/>
      </c>
      <c r="G255" s="39" t="str">
        <f>IF(B255="","",IF(INDEX(typ_sn,MATCH($C$9,typ_ket,0))="db",$G$8+SUM($E$13:E255)-SUM($F$13:F255),$G$8+SUM($F$13:F255)-SUM($E$13:E255)))</f>
        <v/>
      </c>
    </row>
    <row r="256" spans="2:7" ht="23.1" customHeight="1">
      <c r="B256" s="45" t="str">
        <f>IFERROR(INDEX(ju_tgl,MATCH(ROW(J244),JURNAL!$O:$O,0)),"")</f>
        <v/>
      </c>
      <c r="C256" s="7" t="str">
        <f>IFERROR(INDEX(ju_ref,MATCH(ROW(J244),JURNAL!$O:$O,0)),"")</f>
        <v/>
      </c>
      <c r="D256" s="7" t="str">
        <f>IFERROR(INDEX(ju_ket,MATCH(ROW(J244),JURNAL!$O:$O,0)),"")</f>
        <v/>
      </c>
      <c r="E256" s="39" t="str">
        <f>IFERROR(IF(bb_akun=INDEX(ju_debet,MATCH(ROW(J244),JURNAL!$O:$O,0)),INDEX(ju_sld,MATCH(ROW(K244),JURNAL!$O:$O,0)),0),"")</f>
        <v/>
      </c>
      <c r="F256" s="39" t="str">
        <f>IFERROR(IF(bb_akun=INDEX(ju_kr,MATCH(ROW(J244),JURNAL!$O:$O,0)),INDEX(ju_sld,MATCH(ROW(K244),JURNAL!$O:$O,0)),0),"")</f>
        <v/>
      </c>
      <c r="G256" s="39" t="str">
        <f>IF(B256="","",IF(INDEX(typ_sn,MATCH($C$9,typ_ket,0))="db",$G$8+SUM($E$13:E256)-SUM($F$13:F256),$G$8+SUM($F$13:F256)-SUM($E$13:E256)))</f>
        <v/>
      </c>
    </row>
    <row r="257" spans="2:7" ht="23.1" customHeight="1">
      <c r="B257" s="45" t="str">
        <f>IFERROR(INDEX(ju_tgl,MATCH(ROW(J245),JURNAL!$O:$O,0)),"")</f>
        <v/>
      </c>
      <c r="C257" s="7" t="str">
        <f>IFERROR(INDEX(ju_ref,MATCH(ROW(J245),JURNAL!$O:$O,0)),"")</f>
        <v/>
      </c>
      <c r="D257" s="7" t="str">
        <f>IFERROR(INDEX(ju_ket,MATCH(ROW(J245),JURNAL!$O:$O,0)),"")</f>
        <v/>
      </c>
      <c r="E257" s="39" t="str">
        <f>IFERROR(IF(bb_akun=INDEX(ju_debet,MATCH(ROW(J245),JURNAL!$O:$O,0)),INDEX(ju_sld,MATCH(ROW(K245),JURNAL!$O:$O,0)),0),"")</f>
        <v/>
      </c>
      <c r="F257" s="39" t="str">
        <f>IFERROR(IF(bb_akun=INDEX(ju_kr,MATCH(ROW(J245),JURNAL!$O:$O,0)),INDEX(ju_sld,MATCH(ROW(K245),JURNAL!$O:$O,0)),0),"")</f>
        <v/>
      </c>
      <c r="G257" s="39" t="str">
        <f>IF(B257="","",IF(INDEX(typ_sn,MATCH($C$9,typ_ket,0))="db",$G$8+SUM($E$13:E257)-SUM($F$13:F257),$G$8+SUM($F$13:F257)-SUM($E$13:E257)))</f>
        <v/>
      </c>
    </row>
    <row r="258" spans="2:7" ht="23.1" customHeight="1">
      <c r="B258" s="45" t="str">
        <f>IFERROR(INDEX(ju_tgl,MATCH(ROW(J246),JURNAL!$O:$O,0)),"")</f>
        <v/>
      </c>
      <c r="C258" s="7" t="str">
        <f>IFERROR(INDEX(ju_ref,MATCH(ROW(J246),JURNAL!$O:$O,0)),"")</f>
        <v/>
      </c>
      <c r="D258" s="7" t="str">
        <f>IFERROR(INDEX(ju_ket,MATCH(ROW(J246),JURNAL!$O:$O,0)),"")</f>
        <v/>
      </c>
      <c r="E258" s="39" t="str">
        <f>IFERROR(IF(bb_akun=INDEX(ju_debet,MATCH(ROW(J246),JURNAL!$O:$O,0)),INDEX(ju_sld,MATCH(ROW(K246),JURNAL!$O:$O,0)),0),"")</f>
        <v/>
      </c>
      <c r="F258" s="39" t="str">
        <f>IFERROR(IF(bb_akun=INDEX(ju_kr,MATCH(ROW(J246),JURNAL!$O:$O,0)),INDEX(ju_sld,MATCH(ROW(K246),JURNAL!$O:$O,0)),0),"")</f>
        <v/>
      </c>
      <c r="G258" s="39" t="str">
        <f>IF(B258="","",IF(INDEX(typ_sn,MATCH($C$9,typ_ket,0))="db",$G$8+SUM($E$13:E258)-SUM($F$13:F258),$G$8+SUM($F$13:F258)-SUM($E$13:E258)))</f>
        <v/>
      </c>
    </row>
    <row r="259" spans="2:7" ht="23.1" customHeight="1">
      <c r="B259" s="45" t="str">
        <f>IFERROR(INDEX(ju_tgl,MATCH(ROW(J247),JURNAL!$O:$O,0)),"")</f>
        <v/>
      </c>
      <c r="C259" s="7" t="str">
        <f>IFERROR(INDEX(ju_ref,MATCH(ROW(J247),JURNAL!$O:$O,0)),"")</f>
        <v/>
      </c>
      <c r="D259" s="7" t="str">
        <f>IFERROR(INDEX(ju_ket,MATCH(ROW(J247),JURNAL!$O:$O,0)),"")</f>
        <v/>
      </c>
      <c r="E259" s="39" t="str">
        <f>IFERROR(IF(bb_akun=INDEX(ju_debet,MATCH(ROW(J247),JURNAL!$O:$O,0)),INDEX(ju_sld,MATCH(ROW(K247),JURNAL!$O:$O,0)),0),"")</f>
        <v/>
      </c>
      <c r="F259" s="39" t="str">
        <f>IFERROR(IF(bb_akun=INDEX(ju_kr,MATCH(ROW(J247),JURNAL!$O:$O,0)),INDEX(ju_sld,MATCH(ROW(K247),JURNAL!$O:$O,0)),0),"")</f>
        <v/>
      </c>
      <c r="G259" s="39" t="str">
        <f>IF(B259="","",IF(INDEX(typ_sn,MATCH($C$9,typ_ket,0))="db",$G$8+SUM($E$13:E259)-SUM($F$13:F259),$G$8+SUM($F$13:F259)-SUM($E$13:E259)))</f>
        <v/>
      </c>
    </row>
    <row r="260" spans="2:7" ht="23.1" customHeight="1">
      <c r="B260" s="45" t="str">
        <f>IFERROR(INDEX(ju_tgl,MATCH(ROW(J248),JURNAL!$O:$O,0)),"")</f>
        <v/>
      </c>
      <c r="C260" s="7" t="str">
        <f>IFERROR(INDEX(ju_ref,MATCH(ROW(J248),JURNAL!$O:$O,0)),"")</f>
        <v/>
      </c>
      <c r="D260" s="7" t="str">
        <f>IFERROR(INDEX(ju_ket,MATCH(ROW(J248),JURNAL!$O:$O,0)),"")</f>
        <v/>
      </c>
      <c r="E260" s="39" t="str">
        <f>IFERROR(IF(bb_akun=INDEX(ju_debet,MATCH(ROW(J248),JURNAL!$O:$O,0)),INDEX(ju_sld,MATCH(ROW(K248),JURNAL!$O:$O,0)),0),"")</f>
        <v/>
      </c>
      <c r="F260" s="39" t="str">
        <f>IFERROR(IF(bb_akun=INDEX(ju_kr,MATCH(ROW(J248),JURNAL!$O:$O,0)),INDEX(ju_sld,MATCH(ROW(K248),JURNAL!$O:$O,0)),0),"")</f>
        <v/>
      </c>
      <c r="G260" s="39" t="str">
        <f>IF(B260="","",IF(INDEX(typ_sn,MATCH($C$9,typ_ket,0))="db",$G$8+SUM($E$13:E260)-SUM($F$13:F260),$G$8+SUM($F$13:F260)-SUM($E$13:E260)))</f>
        <v/>
      </c>
    </row>
    <row r="261" spans="2:7" ht="23.1" customHeight="1">
      <c r="B261" s="45" t="str">
        <f>IFERROR(INDEX(ju_tgl,MATCH(ROW(J249),JURNAL!$O:$O,0)),"")</f>
        <v/>
      </c>
      <c r="C261" s="7" t="str">
        <f>IFERROR(INDEX(ju_ref,MATCH(ROW(J249),JURNAL!$O:$O,0)),"")</f>
        <v/>
      </c>
      <c r="D261" s="7" t="str">
        <f>IFERROR(INDEX(ju_ket,MATCH(ROW(J249),JURNAL!$O:$O,0)),"")</f>
        <v/>
      </c>
      <c r="E261" s="39" t="str">
        <f>IFERROR(IF(bb_akun=INDEX(ju_debet,MATCH(ROW(J249),JURNAL!$O:$O,0)),INDEX(ju_sld,MATCH(ROW(K249),JURNAL!$O:$O,0)),0),"")</f>
        <v/>
      </c>
      <c r="F261" s="39" t="str">
        <f>IFERROR(IF(bb_akun=INDEX(ju_kr,MATCH(ROW(J249),JURNAL!$O:$O,0)),INDEX(ju_sld,MATCH(ROW(K249),JURNAL!$O:$O,0)),0),"")</f>
        <v/>
      </c>
      <c r="G261" s="39" t="str">
        <f>IF(B261="","",IF(INDEX(typ_sn,MATCH($C$9,typ_ket,0))="db",$G$8+SUM($E$13:E261)-SUM($F$13:F261),$G$8+SUM($F$13:F261)-SUM($E$13:E261)))</f>
        <v/>
      </c>
    </row>
    <row r="262" spans="2:7" ht="23.1" customHeight="1">
      <c r="B262" s="45" t="str">
        <f>IFERROR(INDEX(ju_tgl,MATCH(ROW(J250),JURNAL!$O:$O,0)),"")</f>
        <v/>
      </c>
      <c r="C262" s="7" t="str">
        <f>IFERROR(INDEX(ju_ref,MATCH(ROW(J250),JURNAL!$O:$O,0)),"")</f>
        <v/>
      </c>
      <c r="D262" s="7" t="str">
        <f>IFERROR(INDEX(ju_ket,MATCH(ROW(J250),JURNAL!$O:$O,0)),"")</f>
        <v/>
      </c>
      <c r="E262" s="39" t="str">
        <f>IFERROR(IF(bb_akun=INDEX(ju_debet,MATCH(ROW(J250),JURNAL!$O:$O,0)),INDEX(ju_sld,MATCH(ROW(K250),JURNAL!$O:$O,0)),0),"")</f>
        <v/>
      </c>
      <c r="F262" s="39" t="str">
        <f>IFERROR(IF(bb_akun=INDEX(ju_kr,MATCH(ROW(J250),JURNAL!$O:$O,0)),INDEX(ju_sld,MATCH(ROW(K250),JURNAL!$O:$O,0)),0),"")</f>
        <v/>
      </c>
      <c r="G262" s="39" t="str">
        <f>IF(B262="","",IF(INDEX(typ_sn,MATCH($C$9,typ_ket,0))="db",$G$8+SUM($E$13:E262)-SUM($F$13:F262),$G$8+SUM($F$13:F262)-SUM($E$13:E262)))</f>
        <v/>
      </c>
    </row>
    <row r="263" spans="2:7" ht="23.1" customHeight="1">
      <c r="B263" s="45" t="str">
        <f>IFERROR(INDEX(ju_tgl,MATCH(ROW(J251),JURNAL!$O:$O,0)),"")</f>
        <v/>
      </c>
      <c r="C263" s="7" t="str">
        <f>IFERROR(INDEX(ju_ref,MATCH(ROW(J251),JURNAL!$O:$O,0)),"")</f>
        <v/>
      </c>
      <c r="D263" s="7" t="str">
        <f>IFERROR(INDEX(ju_ket,MATCH(ROW(J251),JURNAL!$O:$O,0)),"")</f>
        <v/>
      </c>
      <c r="E263" s="39" t="str">
        <f>IFERROR(IF(bb_akun=INDEX(ju_debet,MATCH(ROW(J251),JURNAL!$O:$O,0)),INDEX(ju_sld,MATCH(ROW(K251),JURNAL!$O:$O,0)),0),"")</f>
        <v/>
      </c>
      <c r="F263" s="39" t="str">
        <f>IFERROR(IF(bb_akun=INDEX(ju_kr,MATCH(ROW(J251),JURNAL!$O:$O,0)),INDEX(ju_sld,MATCH(ROW(K251),JURNAL!$O:$O,0)),0),"")</f>
        <v/>
      </c>
      <c r="G263" s="39" t="str">
        <f>IF(B263="","",IF(INDEX(typ_sn,MATCH($C$9,typ_ket,0))="db",$G$8+SUM($E$13:E263)-SUM($F$13:F263),$G$8+SUM($F$13:F263)-SUM($E$13:E263)))</f>
        <v/>
      </c>
    </row>
    <row r="264" spans="2:7" ht="23.1" customHeight="1">
      <c r="B264" s="45" t="str">
        <f>IFERROR(INDEX(ju_tgl,MATCH(ROW(J252),JURNAL!$O:$O,0)),"")</f>
        <v/>
      </c>
      <c r="C264" s="7" t="str">
        <f>IFERROR(INDEX(ju_ref,MATCH(ROW(J252),JURNAL!$O:$O,0)),"")</f>
        <v/>
      </c>
      <c r="D264" s="7" t="str">
        <f>IFERROR(INDEX(ju_ket,MATCH(ROW(J252),JURNAL!$O:$O,0)),"")</f>
        <v/>
      </c>
      <c r="E264" s="39" t="str">
        <f>IFERROR(IF(bb_akun=INDEX(ju_debet,MATCH(ROW(J252),JURNAL!$O:$O,0)),INDEX(ju_sld,MATCH(ROW(K252),JURNAL!$O:$O,0)),0),"")</f>
        <v/>
      </c>
      <c r="F264" s="39" t="str">
        <f>IFERROR(IF(bb_akun=INDEX(ju_kr,MATCH(ROW(J252),JURNAL!$O:$O,0)),INDEX(ju_sld,MATCH(ROW(K252),JURNAL!$O:$O,0)),0),"")</f>
        <v/>
      </c>
      <c r="G264" s="39" t="str">
        <f>IF(B264="","",IF(INDEX(typ_sn,MATCH($C$9,typ_ket,0))="db",$G$8+SUM($E$13:E264)-SUM($F$13:F264),$G$8+SUM($F$13:F264)-SUM($E$13:E264)))</f>
        <v/>
      </c>
    </row>
    <row r="265" spans="2:7" ht="23.1" customHeight="1">
      <c r="B265" s="45" t="str">
        <f>IFERROR(INDEX(ju_tgl,MATCH(ROW(J253),JURNAL!$O:$O,0)),"")</f>
        <v/>
      </c>
      <c r="C265" s="7" t="str">
        <f>IFERROR(INDEX(ju_ref,MATCH(ROW(J253),JURNAL!$O:$O,0)),"")</f>
        <v/>
      </c>
      <c r="D265" s="7" t="str">
        <f>IFERROR(INDEX(ju_ket,MATCH(ROW(J253),JURNAL!$O:$O,0)),"")</f>
        <v/>
      </c>
      <c r="E265" s="39" t="str">
        <f>IFERROR(IF(bb_akun=INDEX(ju_debet,MATCH(ROW(J253),JURNAL!$O:$O,0)),INDEX(ju_sld,MATCH(ROW(K253),JURNAL!$O:$O,0)),0),"")</f>
        <v/>
      </c>
      <c r="F265" s="39" t="str">
        <f>IFERROR(IF(bb_akun=INDEX(ju_kr,MATCH(ROW(J253),JURNAL!$O:$O,0)),INDEX(ju_sld,MATCH(ROW(K253),JURNAL!$O:$O,0)),0),"")</f>
        <v/>
      </c>
      <c r="G265" s="39" t="str">
        <f>IF(B265="","",IF(INDEX(typ_sn,MATCH($C$9,typ_ket,0))="db",$G$8+SUM($E$13:E265)-SUM($F$13:F265),$G$8+SUM($F$13:F265)-SUM($E$13:E265)))</f>
        <v/>
      </c>
    </row>
    <row r="266" spans="2:7" ht="23.1" customHeight="1">
      <c r="B266" s="45" t="str">
        <f>IFERROR(INDEX(ju_tgl,MATCH(ROW(J254),JURNAL!$O:$O,0)),"")</f>
        <v/>
      </c>
      <c r="C266" s="7" t="str">
        <f>IFERROR(INDEX(ju_ref,MATCH(ROW(J254),JURNAL!$O:$O,0)),"")</f>
        <v/>
      </c>
      <c r="D266" s="7" t="str">
        <f>IFERROR(INDEX(ju_ket,MATCH(ROW(J254),JURNAL!$O:$O,0)),"")</f>
        <v/>
      </c>
      <c r="E266" s="39" t="str">
        <f>IFERROR(IF(bb_akun=INDEX(ju_debet,MATCH(ROW(J254),JURNAL!$O:$O,0)),INDEX(ju_sld,MATCH(ROW(K254),JURNAL!$O:$O,0)),0),"")</f>
        <v/>
      </c>
      <c r="F266" s="39" t="str">
        <f>IFERROR(IF(bb_akun=INDEX(ju_kr,MATCH(ROW(J254),JURNAL!$O:$O,0)),INDEX(ju_sld,MATCH(ROW(K254),JURNAL!$O:$O,0)),0),"")</f>
        <v/>
      </c>
      <c r="G266" s="39" t="str">
        <f>IF(B266="","",IF(INDEX(typ_sn,MATCH($C$9,typ_ket,0))="db",$G$8+SUM($E$13:E266)-SUM($F$13:F266),$G$8+SUM($F$13:F266)-SUM($E$13:E266)))</f>
        <v/>
      </c>
    </row>
    <row r="267" spans="2:7" ht="23.1" customHeight="1">
      <c r="B267" s="45" t="str">
        <f>IFERROR(INDEX(ju_tgl,MATCH(ROW(J255),JURNAL!$O:$O,0)),"")</f>
        <v/>
      </c>
      <c r="C267" s="7" t="str">
        <f>IFERROR(INDEX(ju_ref,MATCH(ROW(J255),JURNAL!$O:$O,0)),"")</f>
        <v/>
      </c>
      <c r="D267" s="7" t="str">
        <f>IFERROR(INDEX(ju_ket,MATCH(ROW(J255),JURNAL!$O:$O,0)),"")</f>
        <v/>
      </c>
      <c r="E267" s="39" t="str">
        <f>IFERROR(IF(bb_akun=INDEX(ju_debet,MATCH(ROW(J255),JURNAL!$O:$O,0)),INDEX(ju_sld,MATCH(ROW(K255),JURNAL!$O:$O,0)),0),"")</f>
        <v/>
      </c>
      <c r="F267" s="39" t="str">
        <f>IFERROR(IF(bb_akun=INDEX(ju_kr,MATCH(ROW(J255),JURNAL!$O:$O,0)),INDEX(ju_sld,MATCH(ROW(K255),JURNAL!$O:$O,0)),0),"")</f>
        <v/>
      </c>
      <c r="G267" s="39" t="str">
        <f>IF(B267="","",IF(INDEX(typ_sn,MATCH($C$9,typ_ket,0))="db",$G$8+SUM($E$13:E267)-SUM($F$13:F267),$G$8+SUM($F$13:F267)-SUM($E$13:E267)))</f>
        <v/>
      </c>
    </row>
    <row r="268" spans="2:7" ht="23.1" customHeight="1">
      <c r="B268" s="45" t="str">
        <f>IFERROR(INDEX(ju_tgl,MATCH(ROW(J256),JURNAL!$O:$O,0)),"")</f>
        <v/>
      </c>
      <c r="C268" s="7" t="str">
        <f>IFERROR(INDEX(ju_ref,MATCH(ROW(J256),JURNAL!$O:$O,0)),"")</f>
        <v/>
      </c>
      <c r="D268" s="7" t="str">
        <f>IFERROR(INDEX(ju_ket,MATCH(ROW(J256),JURNAL!$O:$O,0)),"")</f>
        <v/>
      </c>
      <c r="E268" s="39" t="str">
        <f>IFERROR(IF(bb_akun=INDEX(ju_debet,MATCH(ROW(J256),JURNAL!$O:$O,0)),INDEX(ju_sld,MATCH(ROW(K256),JURNAL!$O:$O,0)),0),"")</f>
        <v/>
      </c>
      <c r="F268" s="39" t="str">
        <f>IFERROR(IF(bb_akun=INDEX(ju_kr,MATCH(ROW(J256),JURNAL!$O:$O,0)),INDEX(ju_sld,MATCH(ROW(K256),JURNAL!$O:$O,0)),0),"")</f>
        <v/>
      </c>
      <c r="G268" s="39" t="str">
        <f>IF(B268="","",IF(INDEX(typ_sn,MATCH($C$9,typ_ket,0))="db",$G$8+SUM($E$13:E268)-SUM($F$13:F268),$G$8+SUM($F$13:F268)-SUM($E$13:E268)))</f>
        <v/>
      </c>
    </row>
    <row r="269" spans="2:7" ht="23.1" customHeight="1">
      <c r="B269" s="45" t="str">
        <f>IFERROR(INDEX(ju_tgl,MATCH(ROW(J257),JURNAL!$O:$O,0)),"")</f>
        <v/>
      </c>
      <c r="C269" s="7" t="str">
        <f>IFERROR(INDEX(ju_ref,MATCH(ROW(J257),JURNAL!$O:$O,0)),"")</f>
        <v/>
      </c>
      <c r="D269" s="7" t="str">
        <f>IFERROR(INDEX(ju_ket,MATCH(ROW(J257),JURNAL!$O:$O,0)),"")</f>
        <v/>
      </c>
      <c r="E269" s="39" t="str">
        <f>IFERROR(IF(bb_akun=INDEX(ju_debet,MATCH(ROW(J257),JURNAL!$O:$O,0)),INDEX(ju_sld,MATCH(ROW(K257),JURNAL!$O:$O,0)),0),"")</f>
        <v/>
      </c>
      <c r="F269" s="39" t="str">
        <f>IFERROR(IF(bb_akun=INDEX(ju_kr,MATCH(ROW(J257),JURNAL!$O:$O,0)),INDEX(ju_sld,MATCH(ROW(K257),JURNAL!$O:$O,0)),0),"")</f>
        <v/>
      </c>
      <c r="G269" s="39" t="str">
        <f>IF(B269="","",IF(INDEX(typ_sn,MATCH($C$9,typ_ket,0))="db",$G$8+SUM($E$13:E269)-SUM($F$13:F269),$G$8+SUM($F$13:F269)-SUM($E$13:E269)))</f>
        <v/>
      </c>
    </row>
    <row r="270" spans="2:7" ht="23.1" customHeight="1">
      <c r="B270" s="45" t="str">
        <f>IFERROR(INDEX(ju_tgl,MATCH(ROW(J258),JURNAL!$O:$O,0)),"")</f>
        <v/>
      </c>
      <c r="C270" s="7" t="str">
        <f>IFERROR(INDEX(ju_ref,MATCH(ROW(J258),JURNAL!$O:$O,0)),"")</f>
        <v/>
      </c>
      <c r="D270" s="7" t="str">
        <f>IFERROR(INDEX(ju_ket,MATCH(ROW(J258),JURNAL!$O:$O,0)),"")</f>
        <v/>
      </c>
      <c r="E270" s="39" t="str">
        <f>IFERROR(IF(bb_akun=INDEX(ju_debet,MATCH(ROW(J258),JURNAL!$O:$O,0)),INDEX(ju_sld,MATCH(ROW(K258),JURNAL!$O:$O,0)),0),"")</f>
        <v/>
      </c>
      <c r="F270" s="39" t="str">
        <f>IFERROR(IF(bb_akun=INDEX(ju_kr,MATCH(ROW(J258),JURNAL!$O:$O,0)),INDEX(ju_sld,MATCH(ROW(K258),JURNAL!$O:$O,0)),0),"")</f>
        <v/>
      </c>
      <c r="G270" s="39" t="str">
        <f>IF(B270="","",IF(INDEX(typ_sn,MATCH($C$9,typ_ket,0))="db",$G$8+SUM($E$13:E270)-SUM($F$13:F270),$G$8+SUM($F$13:F270)-SUM($E$13:E270)))</f>
        <v/>
      </c>
    </row>
    <row r="271" spans="2:7" ht="23.1" customHeight="1">
      <c r="B271" s="45" t="str">
        <f>IFERROR(INDEX(ju_tgl,MATCH(ROW(J259),JURNAL!$O:$O,0)),"")</f>
        <v/>
      </c>
      <c r="C271" s="7" t="str">
        <f>IFERROR(INDEX(ju_ref,MATCH(ROW(J259),JURNAL!$O:$O,0)),"")</f>
        <v/>
      </c>
      <c r="D271" s="7" t="str">
        <f>IFERROR(INDEX(ju_ket,MATCH(ROW(J259),JURNAL!$O:$O,0)),"")</f>
        <v/>
      </c>
      <c r="E271" s="39" t="str">
        <f>IFERROR(IF(bb_akun=INDEX(ju_debet,MATCH(ROW(J259),JURNAL!$O:$O,0)),INDEX(ju_sld,MATCH(ROW(K259),JURNAL!$O:$O,0)),0),"")</f>
        <v/>
      </c>
      <c r="F271" s="39" t="str">
        <f>IFERROR(IF(bb_akun=INDEX(ju_kr,MATCH(ROW(J259),JURNAL!$O:$O,0)),INDEX(ju_sld,MATCH(ROW(K259),JURNAL!$O:$O,0)),0),"")</f>
        <v/>
      </c>
      <c r="G271" s="39" t="str">
        <f>IF(B271="","",IF(INDEX(typ_sn,MATCH($C$9,typ_ket,0))="db",$G$8+SUM($E$13:E271)-SUM($F$13:F271),$G$8+SUM($F$13:F271)-SUM($E$13:E271)))</f>
        <v/>
      </c>
    </row>
    <row r="272" spans="2:7" ht="23.1" customHeight="1">
      <c r="B272" s="45" t="str">
        <f>IFERROR(INDEX(ju_tgl,MATCH(ROW(J260),JURNAL!$O:$O,0)),"")</f>
        <v/>
      </c>
      <c r="C272" s="7" t="str">
        <f>IFERROR(INDEX(ju_ref,MATCH(ROW(J260),JURNAL!$O:$O,0)),"")</f>
        <v/>
      </c>
      <c r="D272" s="7" t="str">
        <f>IFERROR(INDEX(ju_ket,MATCH(ROW(J260),JURNAL!$O:$O,0)),"")</f>
        <v/>
      </c>
      <c r="E272" s="39" t="str">
        <f>IFERROR(IF(bb_akun=INDEX(ju_debet,MATCH(ROW(J260),JURNAL!$O:$O,0)),INDEX(ju_sld,MATCH(ROW(K260),JURNAL!$O:$O,0)),0),"")</f>
        <v/>
      </c>
      <c r="F272" s="39" t="str">
        <f>IFERROR(IF(bb_akun=INDEX(ju_kr,MATCH(ROW(J260),JURNAL!$O:$O,0)),INDEX(ju_sld,MATCH(ROW(K260),JURNAL!$O:$O,0)),0),"")</f>
        <v/>
      </c>
      <c r="G272" s="39" t="str">
        <f>IF(B272="","",IF(INDEX(typ_sn,MATCH($C$9,typ_ket,0))="db",$G$8+SUM($E$13:E272)-SUM($F$13:F272),$G$8+SUM($F$13:F272)-SUM($E$13:E272)))</f>
        <v/>
      </c>
    </row>
    <row r="273" spans="2:7" ht="23.1" customHeight="1">
      <c r="B273" s="45" t="str">
        <f>IFERROR(INDEX(ju_tgl,MATCH(ROW(J261),JURNAL!$O:$O,0)),"")</f>
        <v/>
      </c>
      <c r="C273" s="7" t="str">
        <f>IFERROR(INDEX(ju_ref,MATCH(ROW(J261),JURNAL!$O:$O,0)),"")</f>
        <v/>
      </c>
      <c r="D273" s="7" t="str">
        <f>IFERROR(INDEX(ju_ket,MATCH(ROW(J261),JURNAL!$O:$O,0)),"")</f>
        <v/>
      </c>
      <c r="E273" s="39" t="str">
        <f>IFERROR(IF(bb_akun=INDEX(ju_debet,MATCH(ROW(J261),JURNAL!$O:$O,0)),INDEX(ju_sld,MATCH(ROW(K261),JURNAL!$O:$O,0)),0),"")</f>
        <v/>
      </c>
      <c r="F273" s="39" t="str">
        <f>IFERROR(IF(bb_akun=INDEX(ju_kr,MATCH(ROW(J261),JURNAL!$O:$O,0)),INDEX(ju_sld,MATCH(ROW(K261),JURNAL!$O:$O,0)),0),"")</f>
        <v/>
      </c>
      <c r="G273" s="39" t="str">
        <f>IF(B273="","",IF(INDEX(typ_sn,MATCH($C$9,typ_ket,0))="db",$G$8+SUM($E$13:E273)-SUM($F$13:F273),$G$8+SUM($F$13:F273)-SUM($E$13:E273)))</f>
        <v/>
      </c>
    </row>
    <row r="274" spans="2:7" ht="23.1" customHeight="1">
      <c r="B274" s="45" t="str">
        <f>IFERROR(INDEX(ju_tgl,MATCH(ROW(J262),JURNAL!$O:$O,0)),"")</f>
        <v/>
      </c>
      <c r="C274" s="7" t="str">
        <f>IFERROR(INDEX(ju_ref,MATCH(ROW(J262),JURNAL!$O:$O,0)),"")</f>
        <v/>
      </c>
      <c r="D274" s="7" t="str">
        <f>IFERROR(INDEX(ju_ket,MATCH(ROW(J262),JURNAL!$O:$O,0)),"")</f>
        <v/>
      </c>
      <c r="E274" s="39" t="str">
        <f>IFERROR(IF(bb_akun=INDEX(ju_debet,MATCH(ROW(J262),JURNAL!$O:$O,0)),INDEX(ju_sld,MATCH(ROW(K262),JURNAL!$O:$O,0)),0),"")</f>
        <v/>
      </c>
      <c r="F274" s="39" t="str">
        <f>IFERROR(IF(bb_akun=INDEX(ju_kr,MATCH(ROW(J262),JURNAL!$O:$O,0)),INDEX(ju_sld,MATCH(ROW(K262),JURNAL!$O:$O,0)),0),"")</f>
        <v/>
      </c>
      <c r="G274" s="39" t="str">
        <f>IF(B274="","",IF(INDEX(typ_sn,MATCH($C$9,typ_ket,0))="db",$G$8+SUM($E$13:E274)-SUM($F$13:F274),$G$8+SUM($F$13:F274)-SUM($E$13:E274)))</f>
        <v/>
      </c>
    </row>
    <row r="275" spans="2:7" ht="23.1" customHeight="1">
      <c r="B275" s="45" t="str">
        <f>IFERROR(INDEX(ju_tgl,MATCH(ROW(J263),JURNAL!$O:$O,0)),"")</f>
        <v/>
      </c>
      <c r="C275" s="7" t="str">
        <f>IFERROR(INDEX(ju_ref,MATCH(ROW(J263),JURNAL!$O:$O,0)),"")</f>
        <v/>
      </c>
      <c r="D275" s="7" t="str">
        <f>IFERROR(INDEX(ju_ket,MATCH(ROW(J263),JURNAL!$O:$O,0)),"")</f>
        <v/>
      </c>
      <c r="E275" s="39" t="str">
        <f>IFERROR(IF(bb_akun=INDEX(ju_debet,MATCH(ROW(J263),JURNAL!$O:$O,0)),INDEX(ju_sld,MATCH(ROW(K263),JURNAL!$O:$O,0)),0),"")</f>
        <v/>
      </c>
      <c r="F275" s="39" t="str">
        <f>IFERROR(IF(bb_akun=INDEX(ju_kr,MATCH(ROW(J263),JURNAL!$O:$O,0)),INDEX(ju_sld,MATCH(ROW(K263),JURNAL!$O:$O,0)),0),"")</f>
        <v/>
      </c>
      <c r="G275" s="39" t="str">
        <f>IF(B275="","",IF(INDEX(typ_sn,MATCH($C$9,typ_ket,0))="db",$G$8+SUM($E$13:E275)-SUM($F$13:F275),$G$8+SUM($F$13:F275)-SUM($E$13:E275)))</f>
        <v/>
      </c>
    </row>
    <row r="276" spans="2:7" ht="23.1" customHeight="1">
      <c r="B276" s="45" t="str">
        <f>IFERROR(INDEX(ju_tgl,MATCH(ROW(J264),JURNAL!$O:$O,0)),"")</f>
        <v/>
      </c>
      <c r="C276" s="7" t="str">
        <f>IFERROR(INDEX(ju_ref,MATCH(ROW(J264),JURNAL!$O:$O,0)),"")</f>
        <v/>
      </c>
      <c r="D276" s="7" t="str">
        <f>IFERROR(INDEX(ju_ket,MATCH(ROW(J264),JURNAL!$O:$O,0)),"")</f>
        <v/>
      </c>
      <c r="E276" s="39" t="str">
        <f>IFERROR(IF(bb_akun=INDEX(ju_debet,MATCH(ROW(J264),JURNAL!$O:$O,0)),INDEX(ju_sld,MATCH(ROW(K264),JURNAL!$O:$O,0)),0),"")</f>
        <v/>
      </c>
      <c r="F276" s="39" t="str">
        <f>IFERROR(IF(bb_akun=INDEX(ju_kr,MATCH(ROW(J264),JURNAL!$O:$O,0)),INDEX(ju_sld,MATCH(ROW(K264),JURNAL!$O:$O,0)),0),"")</f>
        <v/>
      </c>
      <c r="G276" s="39" t="str">
        <f>IF(B276="","",IF(INDEX(typ_sn,MATCH($C$9,typ_ket,0))="db",$G$8+SUM($E$13:E276)-SUM($F$13:F276),$G$8+SUM($F$13:F276)-SUM($E$13:E276)))</f>
        <v/>
      </c>
    </row>
    <row r="277" spans="2:7" ht="23.1" customHeight="1">
      <c r="B277" s="45" t="str">
        <f>IFERROR(INDEX(ju_tgl,MATCH(ROW(J265),JURNAL!$O:$O,0)),"")</f>
        <v/>
      </c>
      <c r="C277" s="7" t="str">
        <f>IFERROR(INDEX(ju_ref,MATCH(ROW(J265),JURNAL!$O:$O,0)),"")</f>
        <v/>
      </c>
      <c r="D277" s="7" t="str">
        <f>IFERROR(INDEX(ju_ket,MATCH(ROW(J265),JURNAL!$O:$O,0)),"")</f>
        <v/>
      </c>
      <c r="E277" s="39" t="str">
        <f>IFERROR(IF(bb_akun=INDEX(ju_debet,MATCH(ROW(J265),JURNAL!$O:$O,0)),INDEX(ju_sld,MATCH(ROW(K265),JURNAL!$O:$O,0)),0),"")</f>
        <v/>
      </c>
      <c r="F277" s="39" t="str">
        <f>IFERROR(IF(bb_akun=INDEX(ju_kr,MATCH(ROW(J265),JURNAL!$O:$O,0)),INDEX(ju_sld,MATCH(ROW(K265),JURNAL!$O:$O,0)),0),"")</f>
        <v/>
      </c>
      <c r="G277" s="39" t="str">
        <f>IF(B277="","",IF(INDEX(typ_sn,MATCH($C$9,typ_ket,0))="db",$G$8+SUM($E$13:E277)-SUM($F$13:F277),$G$8+SUM($F$13:F277)-SUM($E$13:E277)))</f>
        <v/>
      </c>
    </row>
    <row r="278" spans="2:7" ht="23.1" customHeight="1">
      <c r="B278" s="45" t="str">
        <f>IFERROR(INDEX(ju_tgl,MATCH(ROW(J266),JURNAL!$O:$O,0)),"")</f>
        <v/>
      </c>
      <c r="C278" s="7" t="str">
        <f>IFERROR(INDEX(ju_ref,MATCH(ROW(J266),JURNAL!$O:$O,0)),"")</f>
        <v/>
      </c>
      <c r="D278" s="7" t="str">
        <f>IFERROR(INDEX(ju_ket,MATCH(ROW(J266),JURNAL!$O:$O,0)),"")</f>
        <v/>
      </c>
      <c r="E278" s="39" t="str">
        <f>IFERROR(IF(bb_akun=INDEX(ju_debet,MATCH(ROW(J266),JURNAL!$O:$O,0)),INDEX(ju_sld,MATCH(ROW(K266),JURNAL!$O:$O,0)),0),"")</f>
        <v/>
      </c>
      <c r="F278" s="39" t="str">
        <f>IFERROR(IF(bb_akun=INDEX(ju_kr,MATCH(ROW(J266),JURNAL!$O:$O,0)),INDEX(ju_sld,MATCH(ROW(K266),JURNAL!$O:$O,0)),0),"")</f>
        <v/>
      </c>
      <c r="G278" s="39" t="str">
        <f>IF(B278="","",IF(INDEX(typ_sn,MATCH($C$9,typ_ket,0))="db",$G$8+SUM($E$13:E278)-SUM($F$13:F278),$G$8+SUM($F$13:F278)-SUM($E$13:E278)))</f>
        <v/>
      </c>
    </row>
    <row r="279" spans="2:7" ht="23.1" customHeight="1">
      <c r="B279" s="45" t="str">
        <f>IFERROR(INDEX(ju_tgl,MATCH(ROW(J267),JURNAL!$O:$O,0)),"")</f>
        <v/>
      </c>
      <c r="C279" s="7" t="str">
        <f>IFERROR(INDEX(ju_ref,MATCH(ROW(J267),JURNAL!$O:$O,0)),"")</f>
        <v/>
      </c>
      <c r="D279" s="7" t="str">
        <f>IFERROR(INDEX(ju_ket,MATCH(ROW(J267),JURNAL!$O:$O,0)),"")</f>
        <v/>
      </c>
      <c r="E279" s="39" t="str">
        <f>IFERROR(IF(bb_akun=INDEX(ju_debet,MATCH(ROW(J267),JURNAL!$O:$O,0)),INDEX(ju_sld,MATCH(ROW(K267),JURNAL!$O:$O,0)),0),"")</f>
        <v/>
      </c>
      <c r="F279" s="39" t="str">
        <f>IFERROR(IF(bb_akun=INDEX(ju_kr,MATCH(ROW(J267),JURNAL!$O:$O,0)),INDEX(ju_sld,MATCH(ROW(K267),JURNAL!$O:$O,0)),0),"")</f>
        <v/>
      </c>
      <c r="G279" s="39" t="str">
        <f>IF(B279="","",IF(INDEX(typ_sn,MATCH($C$9,typ_ket,0))="db",$G$8+SUM($E$13:E279)-SUM($F$13:F279),$G$8+SUM($F$13:F279)-SUM($E$13:E279)))</f>
        <v/>
      </c>
    </row>
    <row r="280" spans="2:7" ht="23.1" customHeight="1">
      <c r="B280" s="45" t="str">
        <f>IFERROR(INDEX(ju_tgl,MATCH(ROW(J268),JURNAL!$O:$O,0)),"")</f>
        <v/>
      </c>
      <c r="C280" s="7" t="str">
        <f>IFERROR(INDEX(ju_ref,MATCH(ROW(J268),JURNAL!$O:$O,0)),"")</f>
        <v/>
      </c>
      <c r="D280" s="7" t="str">
        <f>IFERROR(INDEX(ju_ket,MATCH(ROW(J268),JURNAL!$O:$O,0)),"")</f>
        <v/>
      </c>
      <c r="E280" s="39" t="str">
        <f>IFERROR(IF(bb_akun=INDEX(ju_debet,MATCH(ROW(J268),JURNAL!$O:$O,0)),INDEX(ju_sld,MATCH(ROW(K268),JURNAL!$O:$O,0)),0),"")</f>
        <v/>
      </c>
      <c r="F280" s="39" t="str">
        <f>IFERROR(IF(bb_akun=INDEX(ju_kr,MATCH(ROW(J268),JURNAL!$O:$O,0)),INDEX(ju_sld,MATCH(ROW(K268),JURNAL!$O:$O,0)),0),"")</f>
        <v/>
      </c>
      <c r="G280" s="39" t="str">
        <f>IF(B280="","",IF(INDEX(typ_sn,MATCH($C$9,typ_ket,0))="db",$G$8+SUM($E$13:E280)-SUM($F$13:F280),$G$8+SUM($F$13:F280)-SUM($E$13:E280)))</f>
        <v/>
      </c>
    </row>
    <row r="281" spans="2:7" ht="23.1" customHeight="1">
      <c r="B281" s="45" t="str">
        <f>IFERROR(INDEX(ju_tgl,MATCH(ROW(J269),JURNAL!$O:$O,0)),"")</f>
        <v/>
      </c>
      <c r="C281" s="7" t="str">
        <f>IFERROR(INDEX(ju_ref,MATCH(ROW(J269),JURNAL!$O:$O,0)),"")</f>
        <v/>
      </c>
      <c r="D281" s="7" t="str">
        <f>IFERROR(INDEX(ju_ket,MATCH(ROW(J269),JURNAL!$O:$O,0)),"")</f>
        <v/>
      </c>
      <c r="E281" s="39" t="str">
        <f>IFERROR(IF(bb_akun=INDEX(ju_debet,MATCH(ROW(J269),JURNAL!$O:$O,0)),INDEX(ju_sld,MATCH(ROW(K269),JURNAL!$O:$O,0)),0),"")</f>
        <v/>
      </c>
      <c r="F281" s="39" t="str">
        <f>IFERROR(IF(bb_akun=INDEX(ju_kr,MATCH(ROW(J269),JURNAL!$O:$O,0)),INDEX(ju_sld,MATCH(ROW(K269),JURNAL!$O:$O,0)),0),"")</f>
        <v/>
      </c>
      <c r="G281" s="39" t="str">
        <f>IF(B281="","",IF(INDEX(typ_sn,MATCH($C$9,typ_ket,0))="db",$G$8+SUM($E$13:E281)-SUM($F$13:F281),$G$8+SUM($F$13:F281)-SUM($E$13:E281)))</f>
        <v/>
      </c>
    </row>
    <row r="282" spans="2:7" ht="23.1" customHeight="1">
      <c r="B282" s="45" t="str">
        <f>IFERROR(INDEX(ju_tgl,MATCH(ROW(J270),JURNAL!$O:$O,0)),"")</f>
        <v/>
      </c>
      <c r="C282" s="7" t="str">
        <f>IFERROR(INDEX(ju_ref,MATCH(ROW(J270),JURNAL!$O:$O,0)),"")</f>
        <v/>
      </c>
      <c r="D282" s="7" t="str">
        <f>IFERROR(INDEX(ju_ket,MATCH(ROW(J270),JURNAL!$O:$O,0)),"")</f>
        <v/>
      </c>
      <c r="E282" s="39" t="str">
        <f>IFERROR(IF(bb_akun=INDEX(ju_debet,MATCH(ROW(J270),JURNAL!$O:$O,0)),INDEX(ju_sld,MATCH(ROW(K270),JURNAL!$O:$O,0)),0),"")</f>
        <v/>
      </c>
      <c r="F282" s="39" t="str">
        <f>IFERROR(IF(bb_akun=INDEX(ju_kr,MATCH(ROW(J270),JURNAL!$O:$O,0)),INDEX(ju_sld,MATCH(ROW(K270),JURNAL!$O:$O,0)),0),"")</f>
        <v/>
      </c>
      <c r="G282" s="39" t="str">
        <f>IF(B282="","",IF(INDEX(typ_sn,MATCH($C$9,typ_ket,0))="db",$G$8+SUM($E$13:E282)-SUM($F$13:F282),$G$8+SUM($F$13:F282)-SUM($E$13:E282)))</f>
        <v/>
      </c>
    </row>
    <row r="283" spans="2:7" ht="23.1" customHeight="1">
      <c r="B283" s="45" t="str">
        <f>IFERROR(INDEX(ju_tgl,MATCH(ROW(J271),JURNAL!$O:$O,0)),"")</f>
        <v/>
      </c>
      <c r="C283" s="7" t="str">
        <f>IFERROR(INDEX(ju_ref,MATCH(ROW(J271),JURNAL!$O:$O,0)),"")</f>
        <v/>
      </c>
      <c r="D283" s="7" t="str">
        <f>IFERROR(INDEX(ju_ket,MATCH(ROW(J271),JURNAL!$O:$O,0)),"")</f>
        <v/>
      </c>
      <c r="E283" s="39" t="str">
        <f>IFERROR(IF(bb_akun=INDEX(ju_debet,MATCH(ROW(J271),JURNAL!$O:$O,0)),INDEX(ju_sld,MATCH(ROW(K271),JURNAL!$O:$O,0)),0),"")</f>
        <v/>
      </c>
      <c r="F283" s="39" t="str">
        <f>IFERROR(IF(bb_akun=INDEX(ju_kr,MATCH(ROW(J271),JURNAL!$O:$O,0)),INDEX(ju_sld,MATCH(ROW(K271),JURNAL!$O:$O,0)),0),"")</f>
        <v/>
      </c>
      <c r="G283" s="39" t="str">
        <f>IF(B283="","",IF(INDEX(typ_sn,MATCH($C$9,typ_ket,0))="db",$G$8+SUM($E$13:E283)-SUM($F$13:F283),$G$8+SUM($F$13:F283)-SUM($E$13:E283)))</f>
        <v/>
      </c>
    </row>
    <row r="284" spans="2:7" ht="23.1" customHeight="1">
      <c r="B284" s="45" t="str">
        <f>IFERROR(INDEX(ju_tgl,MATCH(ROW(J272),JURNAL!$O:$O,0)),"")</f>
        <v/>
      </c>
      <c r="C284" s="7" t="str">
        <f>IFERROR(INDEX(ju_ref,MATCH(ROW(J272),JURNAL!$O:$O,0)),"")</f>
        <v/>
      </c>
      <c r="D284" s="7" t="str">
        <f>IFERROR(INDEX(ju_ket,MATCH(ROW(J272),JURNAL!$O:$O,0)),"")</f>
        <v/>
      </c>
      <c r="E284" s="39" t="str">
        <f>IFERROR(IF(bb_akun=INDEX(ju_debet,MATCH(ROW(J272),JURNAL!$O:$O,0)),INDEX(ju_sld,MATCH(ROW(K272),JURNAL!$O:$O,0)),0),"")</f>
        <v/>
      </c>
      <c r="F284" s="39" t="str">
        <f>IFERROR(IF(bb_akun=INDEX(ju_kr,MATCH(ROW(J272),JURNAL!$O:$O,0)),INDEX(ju_sld,MATCH(ROW(K272),JURNAL!$O:$O,0)),0),"")</f>
        <v/>
      </c>
      <c r="G284" s="39" t="str">
        <f>IF(B284="","",IF(INDEX(typ_sn,MATCH($C$9,typ_ket,0))="db",$G$8+SUM($E$13:E284)-SUM($F$13:F284),$G$8+SUM($F$13:F284)-SUM($E$13:E284)))</f>
        <v/>
      </c>
    </row>
    <row r="285" spans="2:7" ht="23.1" customHeight="1">
      <c r="B285" s="45" t="str">
        <f>IFERROR(INDEX(ju_tgl,MATCH(ROW(J273),JURNAL!$O:$O,0)),"")</f>
        <v/>
      </c>
      <c r="C285" s="7" t="str">
        <f>IFERROR(INDEX(ju_ref,MATCH(ROW(J273),JURNAL!$O:$O,0)),"")</f>
        <v/>
      </c>
      <c r="D285" s="7" t="str">
        <f>IFERROR(INDEX(ju_ket,MATCH(ROW(J273),JURNAL!$O:$O,0)),"")</f>
        <v/>
      </c>
      <c r="E285" s="39" t="str">
        <f>IFERROR(IF(bb_akun=INDEX(ju_debet,MATCH(ROW(J273),JURNAL!$O:$O,0)),INDEX(ju_sld,MATCH(ROW(K273),JURNAL!$O:$O,0)),0),"")</f>
        <v/>
      </c>
      <c r="F285" s="39" t="str">
        <f>IFERROR(IF(bb_akun=INDEX(ju_kr,MATCH(ROW(J273),JURNAL!$O:$O,0)),INDEX(ju_sld,MATCH(ROW(K273),JURNAL!$O:$O,0)),0),"")</f>
        <v/>
      </c>
      <c r="G285" s="39" t="str">
        <f>IF(B285="","",IF(INDEX(typ_sn,MATCH($C$9,typ_ket,0))="db",$G$8+SUM($E$13:E285)-SUM($F$13:F285),$G$8+SUM($F$13:F285)-SUM($E$13:E285)))</f>
        <v/>
      </c>
    </row>
    <row r="286" spans="2:7" ht="23.1" customHeight="1">
      <c r="B286" s="45" t="str">
        <f>IFERROR(INDEX(ju_tgl,MATCH(ROW(J274),JURNAL!$O:$O,0)),"")</f>
        <v/>
      </c>
      <c r="C286" s="7" t="str">
        <f>IFERROR(INDEX(ju_ref,MATCH(ROW(J274),JURNAL!$O:$O,0)),"")</f>
        <v/>
      </c>
      <c r="D286" s="7" t="str">
        <f>IFERROR(INDEX(ju_ket,MATCH(ROW(J274),JURNAL!$O:$O,0)),"")</f>
        <v/>
      </c>
      <c r="E286" s="39" t="str">
        <f>IFERROR(IF(bb_akun=INDEX(ju_debet,MATCH(ROW(J274),JURNAL!$O:$O,0)),INDEX(ju_sld,MATCH(ROW(K274),JURNAL!$O:$O,0)),0),"")</f>
        <v/>
      </c>
      <c r="F286" s="39" t="str">
        <f>IFERROR(IF(bb_akun=INDEX(ju_kr,MATCH(ROW(J274),JURNAL!$O:$O,0)),INDEX(ju_sld,MATCH(ROW(K274),JURNAL!$O:$O,0)),0),"")</f>
        <v/>
      </c>
      <c r="G286" s="39" t="str">
        <f>IF(B286="","",IF(INDEX(typ_sn,MATCH($C$9,typ_ket,0))="db",$G$8+SUM($E$13:E286)-SUM($F$13:F286),$G$8+SUM($F$13:F286)-SUM($E$13:E286)))</f>
        <v/>
      </c>
    </row>
    <row r="287" spans="2:7" ht="23.1" customHeight="1">
      <c r="B287" s="45" t="str">
        <f>IFERROR(INDEX(ju_tgl,MATCH(ROW(J275),JURNAL!$O:$O,0)),"")</f>
        <v/>
      </c>
      <c r="C287" s="7" t="str">
        <f>IFERROR(INDEX(ju_ref,MATCH(ROW(J275),JURNAL!$O:$O,0)),"")</f>
        <v/>
      </c>
      <c r="D287" s="7" t="str">
        <f>IFERROR(INDEX(ju_ket,MATCH(ROW(J275),JURNAL!$O:$O,0)),"")</f>
        <v/>
      </c>
      <c r="E287" s="39" t="str">
        <f>IFERROR(IF(bb_akun=INDEX(ju_debet,MATCH(ROW(J275),JURNAL!$O:$O,0)),INDEX(ju_sld,MATCH(ROW(K275),JURNAL!$O:$O,0)),0),"")</f>
        <v/>
      </c>
      <c r="F287" s="39" t="str">
        <f>IFERROR(IF(bb_akun=INDEX(ju_kr,MATCH(ROW(J275),JURNAL!$O:$O,0)),INDEX(ju_sld,MATCH(ROW(K275),JURNAL!$O:$O,0)),0),"")</f>
        <v/>
      </c>
      <c r="G287" s="39" t="str">
        <f>IF(B287="","",IF(INDEX(typ_sn,MATCH($C$9,typ_ket,0))="db",$G$8+SUM($E$13:E287)-SUM($F$13:F287),$G$8+SUM($F$13:F287)-SUM($E$13:E287)))</f>
        <v/>
      </c>
    </row>
    <row r="288" spans="2:7" ht="23.1" customHeight="1">
      <c r="B288" s="45" t="str">
        <f>IFERROR(INDEX(ju_tgl,MATCH(ROW(J276),JURNAL!$O:$O,0)),"")</f>
        <v/>
      </c>
      <c r="C288" s="7" t="str">
        <f>IFERROR(INDEX(ju_ref,MATCH(ROW(J276),JURNAL!$O:$O,0)),"")</f>
        <v/>
      </c>
      <c r="D288" s="7" t="str">
        <f>IFERROR(INDEX(ju_ket,MATCH(ROW(J276),JURNAL!$O:$O,0)),"")</f>
        <v/>
      </c>
      <c r="E288" s="39" t="str">
        <f>IFERROR(IF(bb_akun=INDEX(ju_debet,MATCH(ROW(J276),JURNAL!$O:$O,0)),INDEX(ju_sld,MATCH(ROW(K276),JURNAL!$O:$O,0)),0),"")</f>
        <v/>
      </c>
      <c r="F288" s="39" t="str">
        <f>IFERROR(IF(bb_akun=INDEX(ju_kr,MATCH(ROW(J276),JURNAL!$O:$O,0)),INDEX(ju_sld,MATCH(ROW(K276),JURNAL!$O:$O,0)),0),"")</f>
        <v/>
      </c>
      <c r="G288" s="39" t="str">
        <f>IF(B288="","",IF(INDEX(typ_sn,MATCH($C$9,typ_ket,0))="db",$G$8+SUM($E$13:E288)-SUM($F$13:F288),$G$8+SUM($F$13:F288)-SUM($E$13:E288)))</f>
        <v/>
      </c>
    </row>
    <row r="289" spans="2:7" ht="23.1" customHeight="1">
      <c r="B289" s="45" t="str">
        <f>IFERROR(INDEX(ju_tgl,MATCH(ROW(J277),JURNAL!$O:$O,0)),"")</f>
        <v/>
      </c>
      <c r="C289" s="7" t="str">
        <f>IFERROR(INDEX(ju_ref,MATCH(ROW(J277),JURNAL!$O:$O,0)),"")</f>
        <v/>
      </c>
      <c r="D289" s="7" t="str">
        <f>IFERROR(INDEX(ju_ket,MATCH(ROW(J277),JURNAL!$O:$O,0)),"")</f>
        <v/>
      </c>
      <c r="E289" s="39" t="str">
        <f>IFERROR(IF(bb_akun=INDEX(ju_debet,MATCH(ROW(J277),JURNAL!$O:$O,0)),INDEX(ju_sld,MATCH(ROW(K277),JURNAL!$O:$O,0)),0),"")</f>
        <v/>
      </c>
      <c r="F289" s="39" t="str">
        <f>IFERROR(IF(bb_akun=INDEX(ju_kr,MATCH(ROW(J277),JURNAL!$O:$O,0)),INDEX(ju_sld,MATCH(ROW(K277),JURNAL!$O:$O,0)),0),"")</f>
        <v/>
      </c>
      <c r="G289" s="39" t="str">
        <f>IF(B289="","",IF(INDEX(typ_sn,MATCH($C$9,typ_ket,0))="db",$G$8+SUM($E$13:E289)-SUM($F$13:F289),$G$8+SUM($F$13:F289)-SUM($E$13:E289)))</f>
        <v/>
      </c>
    </row>
    <row r="290" spans="2:7" ht="23.1" customHeight="1">
      <c r="B290" s="45" t="str">
        <f>IFERROR(INDEX(ju_tgl,MATCH(ROW(J278),JURNAL!$O:$O,0)),"")</f>
        <v/>
      </c>
      <c r="C290" s="7" t="str">
        <f>IFERROR(INDEX(ju_ref,MATCH(ROW(J278),JURNAL!$O:$O,0)),"")</f>
        <v/>
      </c>
      <c r="D290" s="7" t="str">
        <f>IFERROR(INDEX(ju_ket,MATCH(ROW(J278),JURNAL!$O:$O,0)),"")</f>
        <v/>
      </c>
      <c r="E290" s="39" t="str">
        <f>IFERROR(IF(bb_akun=INDEX(ju_debet,MATCH(ROW(J278),JURNAL!$O:$O,0)),INDEX(ju_sld,MATCH(ROW(K278),JURNAL!$O:$O,0)),0),"")</f>
        <v/>
      </c>
      <c r="F290" s="39" t="str">
        <f>IFERROR(IF(bb_akun=INDEX(ju_kr,MATCH(ROW(J278),JURNAL!$O:$O,0)),INDEX(ju_sld,MATCH(ROW(K278),JURNAL!$O:$O,0)),0),"")</f>
        <v/>
      </c>
      <c r="G290" s="39" t="str">
        <f>IF(B290="","",IF(INDEX(typ_sn,MATCH($C$9,typ_ket,0))="db",$G$8+SUM($E$13:E290)-SUM($F$13:F290),$G$8+SUM($F$13:F290)-SUM($E$13:E290)))</f>
        <v/>
      </c>
    </row>
    <row r="291" spans="2:7" ht="23.1" customHeight="1">
      <c r="B291" s="45" t="str">
        <f>IFERROR(INDEX(ju_tgl,MATCH(ROW(J279),JURNAL!$O:$O,0)),"")</f>
        <v/>
      </c>
      <c r="C291" s="7" t="str">
        <f>IFERROR(INDEX(ju_ref,MATCH(ROW(J279),JURNAL!$O:$O,0)),"")</f>
        <v/>
      </c>
      <c r="D291" s="7" t="str">
        <f>IFERROR(INDEX(ju_ket,MATCH(ROW(J279),JURNAL!$O:$O,0)),"")</f>
        <v/>
      </c>
      <c r="E291" s="39" t="str">
        <f>IFERROR(IF(bb_akun=INDEX(ju_debet,MATCH(ROW(J279),JURNAL!$O:$O,0)),INDEX(ju_sld,MATCH(ROW(K279),JURNAL!$O:$O,0)),0),"")</f>
        <v/>
      </c>
      <c r="F291" s="39" t="str">
        <f>IFERROR(IF(bb_akun=INDEX(ju_kr,MATCH(ROW(J279),JURNAL!$O:$O,0)),INDEX(ju_sld,MATCH(ROW(K279),JURNAL!$O:$O,0)),0),"")</f>
        <v/>
      </c>
      <c r="G291" s="39" t="str">
        <f>IF(B291="","",IF(INDEX(typ_sn,MATCH($C$9,typ_ket,0))="db",$G$8+SUM($E$13:E291)-SUM($F$13:F291),$G$8+SUM($F$13:F291)-SUM($E$13:E291)))</f>
        <v/>
      </c>
    </row>
    <row r="292" spans="2:7" ht="23.1" customHeight="1">
      <c r="B292" s="45" t="str">
        <f>IFERROR(INDEX(ju_tgl,MATCH(ROW(J280),JURNAL!$O:$O,0)),"")</f>
        <v/>
      </c>
      <c r="C292" s="7" t="str">
        <f>IFERROR(INDEX(ju_ref,MATCH(ROW(J280),JURNAL!$O:$O,0)),"")</f>
        <v/>
      </c>
      <c r="D292" s="7" t="str">
        <f>IFERROR(INDEX(ju_ket,MATCH(ROW(J280),JURNAL!$O:$O,0)),"")</f>
        <v/>
      </c>
      <c r="E292" s="39" t="str">
        <f>IFERROR(IF(bb_akun=INDEX(ju_debet,MATCH(ROW(J280),JURNAL!$O:$O,0)),INDEX(ju_sld,MATCH(ROW(K280),JURNAL!$O:$O,0)),0),"")</f>
        <v/>
      </c>
      <c r="F292" s="39" t="str">
        <f>IFERROR(IF(bb_akun=INDEX(ju_kr,MATCH(ROW(J280),JURNAL!$O:$O,0)),INDEX(ju_sld,MATCH(ROW(K280),JURNAL!$O:$O,0)),0),"")</f>
        <v/>
      </c>
      <c r="G292" s="39" t="str">
        <f>IF(B292="","",IF(INDEX(typ_sn,MATCH($C$9,typ_ket,0))="db",$G$8+SUM($E$13:E292)-SUM($F$13:F292),$G$8+SUM($F$13:F292)-SUM($E$13:E292)))</f>
        <v/>
      </c>
    </row>
    <row r="293" spans="2:7" ht="23.1" customHeight="1">
      <c r="B293" s="45" t="str">
        <f>IFERROR(INDEX(ju_tgl,MATCH(ROW(J281),JURNAL!$O:$O,0)),"")</f>
        <v/>
      </c>
      <c r="C293" s="7" t="str">
        <f>IFERROR(INDEX(ju_ref,MATCH(ROW(J281),JURNAL!$O:$O,0)),"")</f>
        <v/>
      </c>
      <c r="D293" s="7" t="str">
        <f>IFERROR(INDEX(ju_ket,MATCH(ROW(J281),JURNAL!$O:$O,0)),"")</f>
        <v/>
      </c>
      <c r="E293" s="39" t="str">
        <f>IFERROR(IF(bb_akun=INDEX(ju_debet,MATCH(ROW(J281),JURNAL!$O:$O,0)),INDEX(ju_sld,MATCH(ROW(K281),JURNAL!$O:$O,0)),0),"")</f>
        <v/>
      </c>
      <c r="F293" s="39" t="str">
        <f>IFERROR(IF(bb_akun=INDEX(ju_kr,MATCH(ROW(J281),JURNAL!$O:$O,0)),INDEX(ju_sld,MATCH(ROW(K281),JURNAL!$O:$O,0)),0),"")</f>
        <v/>
      </c>
      <c r="G293" s="39" t="str">
        <f>IF(B293="","",IF(INDEX(typ_sn,MATCH($C$9,typ_ket,0))="db",$G$8+SUM($E$13:E293)-SUM($F$13:F293),$G$8+SUM($F$13:F293)-SUM($E$13:E293)))</f>
        <v/>
      </c>
    </row>
    <row r="294" spans="2:7" ht="23.1" customHeight="1">
      <c r="B294" s="45" t="str">
        <f>IFERROR(INDEX(ju_tgl,MATCH(ROW(J282),JURNAL!$O:$O,0)),"")</f>
        <v/>
      </c>
      <c r="C294" s="7" t="str">
        <f>IFERROR(INDEX(ju_ref,MATCH(ROW(J282),JURNAL!$O:$O,0)),"")</f>
        <v/>
      </c>
      <c r="D294" s="7" t="str">
        <f>IFERROR(INDEX(ju_ket,MATCH(ROW(J282),JURNAL!$O:$O,0)),"")</f>
        <v/>
      </c>
      <c r="E294" s="39" t="str">
        <f>IFERROR(IF(bb_akun=INDEX(ju_debet,MATCH(ROW(J282),JURNAL!$O:$O,0)),INDEX(ju_sld,MATCH(ROW(K282),JURNAL!$O:$O,0)),0),"")</f>
        <v/>
      </c>
      <c r="F294" s="39" t="str">
        <f>IFERROR(IF(bb_akun=INDEX(ju_kr,MATCH(ROW(J282),JURNAL!$O:$O,0)),INDEX(ju_sld,MATCH(ROW(K282),JURNAL!$O:$O,0)),0),"")</f>
        <v/>
      </c>
      <c r="G294" s="39" t="str">
        <f>IF(B294="","",IF(INDEX(typ_sn,MATCH($C$9,typ_ket,0))="db",$G$8+SUM($E$13:E294)-SUM($F$13:F294),$G$8+SUM($F$13:F294)-SUM($E$13:E294)))</f>
        <v/>
      </c>
    </row>
    <row r="295" spans="2:7" ht="23.1" customHeight="1">
      <c r="B295" s="45" t="str">
        <f>IFERROR(INDEX(ju_tgl,MATCH(ROW(J283),JURNAL!$O:$O,0)),"")</f>
        <v/>
      </c>
      <c r="C295" s="7" t="str">
        <f>IFERROR(INDEX(ju_ref,MATCH(ROW(J283),JURNAL!$O:$O,0)),"")</f>
        <v/>
      </c>
      <c r="D295" s="7" t="str">
        <f>IFERROR(INDEX(ju_ket,MATCH(ROW(J283),JURNAL!$O:$O,0)),"")</f>
        <v/>
      </c>
      <c r="E295" s="39" t="str">
        <f>IFERROR(IF(bb_akun=INDEX(ju_debet,MATCH(ROW(J283),JURNAL!$O:$O,0)),INDEX(ju_sld,MATCH(ROW(K283),JURNAL!$O:$O,0)),0),"")</f>
        <v/>
      </c>
      <c r="F295" s="39" t="str">
        <f>IFERROR(IF(bb_akun=INDEX(ju_kr,MATCH(ROW(J283),JURNAL!$O:$O,0)),INDEX(ju_sld,MATCH(ROW(K283),JURNAL!$O:$O,0)),0),"")</f>
        <v/>
      </c>
      <c r="G295" s="39" t="str">
        <f>IF(B295="","",IF(INDEX(typ_sn,MATCH($C$9,typ_ket,0))="db",$G$8+SUM($E$13:E295)-SUM($F$13:F295),$G$8+SUM($F$13:F295)-SUM($E$13:E295)))</f>
        <v/>
      </c>
    </row>
    <row r="296" spans="2:7" ht="23.1" customHeight="1">
      <c r="B296" s="45" t="str">
        <f>IFERROR(INDEX(ju_tgl,MATCH(ROW(J284),JURNAL!$O:$O,0)),"")</f>
        <v/>
      </c>
      <c r="C296" s="7" t="str">
        <f>IFERROR(INDEX(ju_ref,MATCH(ROW(J284),JURNAL!$O:$O,0)),"")</f>
        <v/>
      </c>
      <c r="D296" s="7" t="str">
        <f>IFERROR(INDEX(ju_ket,MATCH(ROW(J284),JURNAL!$O:$O,0)),"")</f>
        <v/>
      </c>
      <c r="E296" s="39" t="str">
        <f>IFERROR(IF(bb_akun=INDEX(ju_debet,MATCH(ROW(J284),JURNAL!$O:$O,0)),INDEX(ju_sld,MATCH(ROW(K284),JURNAL!$O:$O,0)),0),"")</f>
        <v/>
      </c>
      <c r="F296" s="39" t="str">
        <f>IFERROR(IF(bb_akun=INDEX(ju_kr,MATCH(ROW(J284),JURNAL!$O:$O,0)),INDEX(ju_sld,MATCH(ROW(K284),JURNAL!$O:$O,0)),0),"")</f>
        <v/>
      </c>
      <c r="G296" s="39" t="str">
        <f>IF(B296="","",IF(INDEX(typ_sn,MATCH($C$9,typ_ket,0))="db",$G$8+SUM($E$13:E296)-SUM($F$13:F296),$G$8+SUM($F$13:F296)-SUM($E$13:E296)))</f>
        <v/>
      </c>
    </row>
    <row r="297" spans="2:7" ht="23.1" customHeight="1">
      <c r="B297" s="45" t="str">
        <f>IFERROR(INDEX(ju_tgl,MATCH(ROW(J285),JURNAL!$O:$O,0)),"")</f>
        <v/>
      </c>
      <c r="C297" s="7" t="str">
        <f>IFERROR(INDEX(ju_ref,MATCH(ROW(J285),JURNAL!$O:$O,0)),"")</f>
        <v/>
      </c>
      <c r="D297" s="7" t="str">
        <f>IFERROR(INDEX(ju_ket,MATCH(ROW(J285),JURNAL!$O:$O,0)),"")</f>
        <v/>
      </c>
      <c r="E297" s="39" t="str">
        <f>IFERROR(IF(bb_akun=INDEX(ju_debet,MATCH(ROW(J285),JURNAL!$O:$O,0)),INDEX(ju_sld,MATCH(ROW(K285),JURNAL!$O:$O,0)),0),"")</f>
        <v/>
      </c>
      <c r="F297" s="39" t="str">
        <f>IFERROR(IF(bb_akun=INDEX(ju_kr,MATCH(ROW(J285),JURNAL!$O:$O,0)),INDEX(ju_sld,MATCH(ROW(K285),JURNAL!$O:$O,0)),0),"")</f>
        <v/>
      </c>
      <c r="G297" s="39" t="str">
        <f>IF(B297="","",IF(INDEX(typ_sn,MATCH($C$9,typ_ket,0))="db",$G$8+SUM($E$13:E297)-SUM($F$13:F297),$G$8+SUM($F$13:F297)-SUM($E$13:E297)))</f>
        <v/>
      </c>
    </row>
    <row r="298" spans="2:7" ht="23.1" customHeight="1">
      <c r="B298" s="45" t="str">
        <f>IFERROR(INDEX(ju_tgl,MATCH(ROW(J286),JURNAL!$O:$O,0)),"")</f>
        <v/>
      </c>
      <c r="C298" s="7" t="str">
        <f>IFERROR(INDEX(ju_ref,MATCH(ROW(J286),JURNAL!$O:$O,0)),"")</f>
        <v/>
      </c>
      <c r="D298" s="7" t="str">
        <f>IFERROR(INDEX(ju_ket,MATCH(ROW(J286),JURNAL!$O:$O,0)),"")</f>
        <v/>
      </c>
      <c r="E298" s="39" t="str">
        <f>IFERROR(IF(bb_akun=INDEX(ju_debet,MATCH(ROW(J286),JURNAL!$O:$O,0)),INDEX(ju_sld,MATCH(ROW(K286),JURNAL!$O:$O,0)),0),"")</f>
        <v/>
      </c>
      <c r="F298" s="39" t="str">
        <f>IFERROR(IF(bb_akun=INDEX(ju_kr,MATCH(ROW(J286),JURNAL!$O:$O,0)),INDEX(ju_sld,MATCH(ROW(K286),JURNAL!$O:$O,0)),0),"")</f>
        <v/>
      </c>
      <c r="G298" s="39" t="str">
        <f>IF(B298="","",IF(INDEX(typ_sn,MATCH($C$9,typ_ket,0))="db",$G$8+SUM($E$13:E298)-SUM($F$13:F298),$G$8+SUM($F$13:F298)-SUM($E$13:E298)))</f>
        <v/>
      </c>
    </row>
    <row r="299" spans="2:7" ht="23.1" customHeight="1">
      <c r="B299" s="45" t="str">
        <f>IFERROR(INDEX(ju_tgl,MATCH(ROW(J287),JURNAL!$O:$O,0)),"")</f>
        <v/>
      </c>
      <c r="C299" s="7" t="str">
        <f>IFERROR(INDEX(ju_ref,MATCH(ROW(J287),JURNAL!$O:$O,0)),"")</f>
        <v/>
      </c>
      <c r="D299" s="7" t="str">
        <f>IFERROR(INDEX(ju_ket,MATCH(ROW(J287),JURNAL!$O:$O,0)),"")</f>
        <v/>
      </c>
      <c r="E299" s="39" t="str">
        <f>IFERROR(IF(bb_akun=INDEX(ju_debet,MATCH(ROW(J287),JURNAL!$O:$O,0)),INDEX(ju_sld,MATCH(ROW(K287),JURNAL!$O:$O,0)),0),"")</f>
        <v/>
      </c>
      <c r="F299" s="39" t="str">
        <f>IFERROR(IF(bb_akun=INDEX(ju_kr,MATCH(ROW(J287),JURNAL!$O:$O,0)),INDEX(ju_sld,MATCH(ROW(K287),JURNAL!$O:$O,0)),0),"")</f>
        <v/>
      </c>
      <c r="G299" s="39" t="str">
        <f>IF(B299="","",IF(INDEX(typ_sn,MATCH($C$9,typ_ket,0))="db",$G$8+SUM($E$13:E299)-SUM($F$13:F299),$G$8+SUM($F$13:F299)-SUM($E$13:E299)))</f>
        <v/>
      </c>
    </row>
    <row r="300" spans="2:7" ht="23.1" customHeight="1">
      <c r="B300" s="45" t="str">
        <f>IFERROR(INDEX(ju_tgl,MATCH(ROW(J288),JURNAL!$O:$O,0)),"")</f>
        <v/>
      </c>
      <c r="C300" s="7" t="str">
        <f>IFERROR(INDEX(ju_ref,MATCH(ROW(J288),JURNAL!$O:$O,0)),"")</f>
        <v/>
      </c>
      <c r="D300" s="7" t="str">
        <f>IFERROR(INDEX(ju_ket,MATCH(ROW(J288),JURNAL!$O:$O,0)),"")</f>
        <v/>
      </c>
      <c r="E300" s="39" t="str">
        <f>IFERROR(IF(bb_akun=INDEX(ju_debet,MATCH(ROW(J288),JURNAL!$O:$O,0)),INDEX(ju_sld,MATCH(ROW(K288),JURNAL!$O:$O,0)),0),"")</f>
        <v/>
      </c>
      <c r="F300" s="39" t="str">
        <f>IFERROR(IF(bb_akun=INDEX(ju_kr,MATCH(ROW(J288),JURNAL!$O:$O,0)),INDEX(ju_sld,MATCH(ROW(K288),JURNAL!$O:$O,0)),0),"")</f>
        <v/>
      </c>
      <c r="G300" s="39" t="str">
        <f>IF(B300="","",IF(INDEX(typ_sn,MATCH($C$9,typ_ket,0))="db",$G$8+SUM($E$13:E300)-SUM($F$13:F300),$G$8+SUM($F$13:F300)-SUM($E$13:E300)))</f>
        <v/>
      </c>
    </row>
    <row r="301" spans="2:7" ht="23.1" customHeight="1">
      <c r="B301" s="45" t="str">
        <f>IFERROR(INDEX(ju_tgl,MATCH(ROW(J289),JURNAL!$O:$O,0)),"")</f>
        <v/>
      </c>
      <c r="C301" s="7" t="str">
        <f>IFERROR(INDEX(ju_ref,MATCH(ROW(J289),JURNAL!$O:$O,0)),"")</f>
        <v/>
      </c>
      <c r="D301" s="7" t="str">
        <f>IFERROR(INDEX(ju_ket,MATCH(ROW(J289),JURNAL!$O:$O,0)),"")</f>
        <v/>
      </c>
      <c r="E301" s="39" t="str">
        <f>IFERROR(IF(bb_akun=INDEX(ju_debet,MATCH(ROW(J289),JURNAL!$O:$O,0)),INDEX(ju_sld,MATCH(ROW(K289),JURNAL!$O:$O,0)),0),"")</f>
        <v/>
      </c>
      <c r="F301" s="39" t="str">
        <f>IFERROR(IF(bb_akun=INDEX(ju_kr,MATCH(ROW(J289),JURNAL!$O:$O,0)),INDEX(ju_sld,MATCH(ROW(K289),JURNAL!$O:$O,0)),0),"")</f>
        <v/>
      </c>
      <c r="G301" s="39" t="str">
        <f>IF(B301="","",IF(INDEX(typ_sn,MATCH($C$9,typ_ket,0))="db",$G$8+SUM($E$13:E301)-SUM($F$13:F301),$G$8+SUM($F$13:F301)-SUM($E$13:E301)))</f>
        <v/>
      </c>
    </row>
    <row r="302" spans="2:7" ht="23.1" customHeight="1">
      <c r="B302" s="45" t="str">
        <f>IFERROR(INDEX(ju_tgl,MATCH(ROW(J290),JURNAL!$O:$O,0)),"")</f>
        <v/>
      </c>
      <c r="C302" s="7" t="str">
        <f>IFERROR(INDEX(ju_ref,MATCH(ROW(J290),JURNAL!$O:$O,0)),"")</f>
        <v/>
      </c>
      <c r="D302" s="7" t="str">
        <f>IFERROR(INDEX(ju_ket,MATCH(ROW(J290),JURNAL!$O:$O,0)),"")</f>
        <v/>
      </c>
      <c r="E302" s="39" t="str">
        <f>IFERROR(IF(bb_akun=INDEX(ju_debet,MATCH(ROW(J290),JURNAL!$O:$O,0)),INDEX(ju_sld,MATCH(ROW(K290),JURNAL!$O:$O,0)),0),"")</f>
        <v/>
      </c>
      <c r="F302" s="39" t="str">
        <f>IFERROR(IF(bb_akun=INDEX(ju_kr,MATCH(ROW(J290),JURNAL!$O:$O,0)),INDEX(ju_sld,MATCH(ROW(K290),JURNAL!$O:$O,0)),0),"")</f>
        <v/>
      </c>
      <c r="G302" s="39" t="str">
        <f>IF(B302="","",IF(INDEX(typ_sn,MATCH($C$9,typ_ket,0))="db",$G$8+SUM($E$13:E302)-SUM($F$13:F302),$G$8+SUM($F$13:F302)-SUM($E$13:E302)))</f>
        <v/>
      </c>
    </row>
    <row r="303" spans="2:7" ht="23.1" customHeight="1">
      <c r="B303" s="45" t="str">
        <f>IFERROR(INDEX(ju_tgl,MATCH(ROW(J291),JURNAL!$O:$O,0)),"")</f>
        <v/>
      </c>
      <c r="C303" s="7" t="str">
        <f>IFERROR(INDEX(ju_ref,MATCH(ROW(J291),JURNAL!$O:$O,0)),"")</f>
        <v/>
      </c>
      <c r="D303" s="7" t="str">
        <f>IFERROR(INDEX(ju_ket,MATCH(ROW(J291),JURNAL!$O:$O,0)),"")</f>
        <v/>
      </c>
      <c r="E303" s="39" t="str">
        <f>IFERROR(IF(bb_akun=INDEX(ju_debet,MATCH(ROW(J291),JURNAL!$O:$O,0)),INDEX(ju_sld,MATCH(ROW(K291),JURNAL!$O:$O,0)),0),"")</f>
        <v/>
      </c>
      <c r="F303" s="39" t="str">
        <f>IFERROR(IF(bb_akun=INDEX(ju_kr,MATCH(ROW(J291),JURNAL!$O:$O,0)),INDEX(ju_sld,MATCH(ROW(K291),JURNAL!$O:$O,0)),0),"")</f>
        <v/>
      </c>
      <c r="G303" s="39" t="str">
        <f>IF(B303="","",IF(INDEX(typ_sn,MATCH($C$9,typ_ket,0))="db",$G$8+SUM($E$13:E303)-SUM($F$13:F303),$G$8+SUM($F$13:F303)-SUM($E$13:E303)))</f>
        <v/>
      </c>
    </row>
    <row r="304" spans="2:7" ht="23.1" customHeight="1">
      <c r="B304" s="45" t="str">
        <f>IFERROR(INDEX(ju_tgl,MATCH(ROW(J292),JURNAL!$O:$O,0)),"")</f>
        <v/>
      </c>
      <c r="C304" s="7" t="str">
        <f>IFERROR(INDEX(ju_ref,MATCH(ROW(J292),JURNAL!$O:$O,0)),"")</f>
        <v/>
      </c>
      <c r="D304" s="7" t="str">
        <f>IFERROR(INDEX(ju_ket,MATCH(ROW(J292),JURNAL!$O:$O,0)),"")</f>
        <v/>
      </c>
      <c r="E304" s="39" t="str">
        <f>IFERROR(IF(bb_akun=INDEX(ju_debet,MATCH(ROW(J292),JURNAL!$O:$O,0)),INDEX(ju_sld,MATCH(ROW(K292),JURNAL!$O:$O,0)),0),"")</f>
        <v/>
      </c>
      <c r="F304" s="39" t="str">
        <f>IFERROR(IF(bb_akun=INDEX(ju_kr,MATCH(ROW(J292),JURNAL!$O:$O,0)),INDEX(ju_sld,MATCH(ROW(K292),JURNAL!$O:$O,0)),0),"")</f>
        <v/>
      </c>
      <c r="G304" s="39" t="str">
        <f>IF(B304="","",IF(INDEX(typ_sn,MATCH($C$9,typ_ket,0))="db",$G$8+SUM($E$13:E304)-SUM($F$13:F304),$G$8+SUM($F$13:F304)-SUM($E$13:E304)))</f>
        <v/>
      </c>
    </row>
    <row r="305" spans="2:7" ht="23.1" customHeight="1">
      <c r="B305" s="45" t="str">
        <f>IFERROR(INDEX(ju_tgl,MATCH(ROW(J293),JURNAL!$O:$O,0)),"")</f>
        <v/>
      </c>
      <c r="C305" s="7" t="str">
        <f>IFERROR(INDEX(ju_ref,MATCH(ROW(J293),JURNAL!$O:$O,0)),"")</f>
        <v/>
      </c>
      <c r="D305" s="7" t="str">
        <f>IFERROR(INDEX(ju_ket,MATCH(ROW(J293),JURNAL!$O:$O,0)),"")</f>
        <v/>
      </c>
      <c r="E305" s="39" t="str">
        <f>IFERROR(IF(bb_akun=INDEX(ju_debet,MATCH(ROW(J293),JURNAL!$O:$O,0)),INDEX(ju_sld,MATCH(ROW(K293),JURNAL!$O:$O,0)),0),"")</f>
        <v/>
      </c>
      <c r="F305" s="39" t="str">
        <f>IFERROR(IF(bb_akun=INDEX(ju_kr,MATCH(ROW(J293),JURNAL!$O:$O,0)),INDEX(ju_sld,MATCH(ROW(K293),JURNAL!$O:$O,0)),0),"")</f>
        <v/>
      </c>
      <c r="G305" s="39" t="str">
        <f>IF(B305="","",IF(INDEX(typ_sn,MATCH($C$9,typ_ket,0))="db",$G$8+SUM($E$13:E305)-SUM($F$13:F305),$G$8+SUM($F$13:F305)-SUM($E$13:E305)))</f>
        <v/>
      </c>
    </row>
    <row r="306" spans="2:7" ht="23.1" customHeight="1">
      <c r="B306" s="45" t="str">
        <f>IFERROR(INDEX(ju_tgl,MATCH(ROW(J294),JURNAL!$O:$O,0)),"")</f>
        <v/>
      </c>
      <c r="C306" s="7" t="str">
        <f>IFERROR(INDEX(ju_ref,MATCH(ROW(J294),JURNAL!$O:$O,0)),"")</f>
        <v/>
      </c>
      <c r="D306" s="7" t="str">
        <f>IFERROR(INDEX(ju_ket,MATCH(ROW(J294),JURNAL!$O:$O,0)),"")</f>
        <v/>
      </c>
      <c r="E306" s="39" t="str">
        <f>IFERROR(IF(bb_akun=INDEX(ju_debet,MATCH(ROW(J294),JURNAL!$O:$O,0)),INDEX(ju_sld,MATCH(ROW(K294),JURNAL!$O:$O,0)),0),"")</f>
        <v/>
      </c>
      <c r="F306" s="39" t="str">
        <f>IFERROR(IF(bb_akun=INDEX(ju_kr,MATCH(ROW(J294),JURNAL!$O:$O,0)),INDEX(ju_sld,MATCH(ROW(K294),JURNAL!$O:$O,0)),0),"")</f>
        <v/>
      </c>
      <c r="G306" s="39" t="str">
        <f>IF(B306="","",IF(INDEX(typ_sn,MATCH($C$9,typ_ket,0))="db",$G$8+SUM($E$13:E306)-SUM($F$13:F306),$G$8+SUM($F$13:F306)-SUM($E$13:E306)))</f>
        <v/>
      </c>
    </row>
    <row r="307" spans="2:7" ht="23.1" customHeight="1">
      <c r="B307" s="45" t="str">
        <f>IFERROR(INDEX(ju_tgl,MATCH(ROW(J295),JURNAL!$O:$O,0)),"")</f>
        <v/>
      </c>
      <c r="C307" s="7" t="str">
        <f>IFERROR(INDEX(ju_ref,MATCH(ROW(J295),JURNAL!$O:$O,0)),"")</f>
        <v/>
      </c>
      <c r="D307" s="7" t="str">
        <f>IFERROR(INDEX(ju_ket,MATCH(ROW(J295),JURNAL!$O:$O,0)),"")</f>
        <v/>
      </c>
      <c r="E307" s="39" t="str">
        <f>IFERROR(IF(bb_akun=INDEX(ju_debet,MATCH(ROW(J295),JURNAL!$O:$O,0)),INDEX(ju_sld,MATCH(ROW(K295),JURNAL!$O:$O,0)),0),"")</f>
        <v/>
      </c>
      <c r="F307" s="39" t="str">
        <f>IFERROR(IF(bb_akun=INDEX(ju_kr,MATCH(ROW(J295),JURNAL!$O:$O,0)),INDEX(ju_sld,MATCH(ROW(K295),JURNAL!$O:$O,0)),0),"")</f>
        <v/>
      </c>
      <c r="G307" s="39" t="str">
        <f>IF(B307="","",IF(INDEX(typ_sn,MATCH($C$9,typ_ket,0))="db",$G$8+SUM($E$13:E307)-SUM($F$13:F307),$G$8+SUM($F$13:F307)-SUM($E$13:E307)))</f>
        <v/>
      </c>
    </row>
    <row r="308" spans="2:7" ht="23.1" customHeight="1">
      <c r="B308" s="45" t="str">
        <f>IFERROR(INDEX(ju_tgl,MATCH(ROW(J296),JURNAL!$O:$O,0)),"")</f>
        <v/>
      </c>
      <c r="C308" s="7" t="str">
        <f>IFERROR(INDEX(ju_ref,MATCH(ROW(J296),JURNAL!$O:$O,0)),"")</f>
        <v/>
      </c>
      <c r="D308" s="7" t="str">
        <f>IFERROR(INDEX(ju_ket,MATCH(ROW(J296),JURNAL!$O:$O,0)),"")</f>
        <v/>
      </c>
      <c r="E308" s="39" t="str">
        <f>IFERROR(IF(bb_akun=INDEX(ju_debet,MATCH(ROW(J296),JURNAL!$O:$O,0)),INDEX(ju_sld,MATCH(ROW(K296),JURNAL!$O:$O,0)),0),"")</f>
        <v/>
      </c>
      <c r="F308" s="39" t="str">
        <f>IFERROR(IF(bb_akun=INDEX(ju_kr,MATCH(ROW(J296),JURNAL!$O:$O,0)),INDEX(ju_sld,MATCH(ROW(K296),JURNAL!$O:$O,0)),0),"")</f>
        <v/>
      </c>
      <c r="G308" s="39" t="str">
        <f>IF(B308="","",IF(INDEX(typ_sn,MATCH($C$9,typ_ket,0))="db",$G$8+SUM($E$13:E308)-SUM($F$13:F308),$G$8+SUM($F$13:F308)-SUM($E$13:E308)))</f>
        <v/>
      </c>
    </row>
    <row r="309" spans="2:7" ht="23.1" customHeight="1">
      <c r="B309" s="45" t="str">
        <f>IFERROR(INDEX(ju_tgl,MATCH(ROW(J297),JURNAL!$O:$O,0)),"")</f>
        <v/>
      </c>
      <c r="C309" s="7" t="str">
        <f>IFERROR(INDEX(ju_ref,MATCH(ROW(J297),JURNAL!$O:$O,0)),"")</f>
        <v/>
      </c>
      <c r="D309" s="7" t="str">
        <f>IFERROR(INDEX(ju_ket,MATCH(ROW(J297),JURNAL!$O:$O,0)),"")</f>
        <v/>
      </c>
      <c r="E309" s="39" t="str">
        <f>IFERROR(IF(bb_akun=INDEX(ju_debet,MATCH(ROW(J297),JURNAL!$O:$O,0)),INDEX(ju_sld,MATCH(ROW(K297),JURNAL!$O:$O,0)),0),"")</f>
        <v/>
      </c>
      <c r="F309" s="39" t="str">
        <f>IFERROR(IF(bb_akun=INDEX(ju_kr,MATCH(ROW(J297),JURNAL!$O:$O,0)),INDEX(ju_sld,MATCH(ROW(K297),JURNAL!$O:$O,0)),0),"")</f>
        <v/>
      </c>
      <c r="G309" s="39" t="str">
        <f>IF(B309="","",IF(INDEX(typ_sn,MATCH($C$9,typ_ket,0))="db",$G$8+SUM($E$13:E309)-SUM($F$13:F309),$G$8+SUM($F$13:F309)-SUM($E$13:E309)))</f>
        <v/>
      </c>
    </row>
    <row r="310" spans="2:7" ht="23.1" customHeight="1">
      <c r="B310" s="45" t="str">
        <f>IFERROR(INDEX(ju_tgl,MATCH(ROW(J298),JURNAL!$O:$O,0)),"")</f>
        <v/>
      </c>
      <c r="C310" s="7" t="str">
        <f>IFERROR(INDEX(ju_ref,MATCH(ROW(J298),JURNAL!$O:$O,0)),"")</f>
        <v/>
      </c>
      <c r="D310" s="7" t="str">
        <f>IFERROR(INDEX(ju_ket,MATCH(ROW(J298),JURNAL!$O:$O,0)),"")</f>
        <v/>
      </c>
      <c r="E310" s="39" t="str">
        <f>IFERROR(IF(bb_akun=INDEX(ju_debet,MATCH(ROW(J298),JURNAL!$O:$O,0)),INDEX(ju_sld,MATCH(ROW(K298),JURNAL!$O:$O,0)),0),"")</f>
        <v/>
      </c>
      <c r="F310" s="39" t="str">
        <f>IFERROR(IF(bb_akun=INDEX(ju_kr,MATCH(ROW(J298),JURNAL!$O:$O,0)),INDEX(ju_sld,MATCH(ROW(K298),JURNAL!$O:$O,0)),0),"")</f>
        <v/>
      </c>
      <c r="G310" s="39" t="str">
        <f>IF(B310="","",IF(INDEX(typ_sn,MATCH($C$9,typ_ket,0))="db",$G$8+SUM($E$13:E310)-SUM($F$13:F310),$G$8+SUM($F$13:F310)-SUM($E$13:E310)))</f>
        <v/>
      </c>
    </row>
    <row r="311" spans="2:7" ht="23.1" customHeight="1">
      <c r="B311" s="45" t="str">
        <f>IFERROR(INDEX(ju_tgl,MATCH(ROW(J299),JURNAL!$O:$O,0)),"")</f>
        <v/>
      </c>
      <c r="C311" s="7" t="str">
        <f>IFERROR(INDEX(ju_ref,MATCH(ROW(J299),JURNAL!$O:$O,0)),"")</f>
        <v/>
      </c>
      <c r="D311" s="7" t="str">
        <f>IFERROR(INDEX(ju_ket,MATCH(ROW(J299),JURNAL!$O:$O,0)),"")</f>
        <v/>
      </c>
      <c r="E311" s="39" t="str">
        <f>IFERROR(IF(bb_akun=INDEX(ju_debet,MATCH(ROW(J299),JURNAL!$O:$O,0)),INDEX(ju_sld,MATCH(ROW(K299),JURNAL!$O:$O,0)),0),"")</f>
        <v/>
      </c>
      <c r="F311" s="39" t="str">
        <f>IFERROR(IF(bb_akun=INDEX(ju_kr,MATCH(ROW(J299),JURNAL!$O:$O,0)),INDEX(ju_sld,MATCH(ROW(K299),JURNAL!$O:$O,0)),0),"")</f>
        <v/>
      </c>
      <c r="G311" s="39" t="str">
        <f>IF(B311="","",IF(INDEX(typ_sn,MATCH($C$9,typ_ket,0))="db",$G$8+SUM($E$13:E311)-SUM($F$13:F311),$G$8+SUM($F$13:F311)-SUM($E$13:E311)))</f>
        <v/>
      </c>
    </row>
    <row r="312" spans="2:7" ht="23.1" customHeight="1">
      <c r="B312" s="45" t="str">
        <f>IFERROR(INDEX(ju_tgl,MATCH(ROW(J300),JURNAL!$O:$O,0)),"")</f>
        <v/>
      </c>
      <c r="C312" s="7" t="str">
        <f>IFERROR(INDEX(ju_ref,MATCH(ROW(J300),JURNAL!$O:$O,0)),"")</f>
        <v/>
      </c>
      <c r="D312" s="7" t="str">
        <f>IFERROR(INDEX(ju_ket,MATCH(ROW(J300),JURNAL!$O:$O,0)),"")</f>
        <v/>
      </c>
      <c r="E312" s="39" t="str">
        <f>IFERROR(IF(bb_akun=INDEX(ju_debet,MATCH(ROW(J300),JURNAL!$O:$O,0)),INDEX(ju_sld,MATCH(ROW(K300),JURNAL!$O:$O,0)),0),"")</f>
        <v/>
      </c>
      <c r="F312" s="39" t="str">
        <f>IFERROR(IF(bb_akun=INDEX(ju_kr,MATCH(ROW(J300),JURNAL!$O:$O,0)),INDEX(ju_sld,MATCH(ROW(K300),JURNAL!$O:$O,0)),0),"")</f>
        <v/>
      </c>
      <c r="G312" s="39" t="str">
        <f>IF(B312="","",IF(INDEX(typ_sn,MATCH($C$9,typ_ket,0))="db",$G$8+SUM($E$13:E312)-SUM($F$13:F312),$G$8+SUM($F$13:F312)-SUM($E$13:E312)))</f>
        <v/>
      </c>
    </row>
    <row r="313" spans="2:7" ht="23.1" customHeight="1">
      <c r="B313" s="45" t="str">
        <f>IFERROR(INDEX(ju_tgl,MATCH(ROW(J301),JURNAL!$O:$O,0)),"")</f>
        <v/>
      </c>
      <c r="C313" s="7" t="str">
        <f>IFERROR(INDEX(ju_ref,MATCH(ROW(J301),JURNAL!$O:$O,0)),"")</f>
        <v/>
      </c>
      <c r="D313" s="7" t="str">
        <f>IFERROR(INDEX(ju_ket,MATCH(ROW(J301),JURNAL!$O:$O,0)),"")</f>
        <v/>
      </c>
      <c r="E313" s="39" t="str">
        <f>IFERROR(IF(bb_akun=INDEX(ju_debet,MATCH(ROW(J301),JURNAL!$O:$O,0)),INDEX(ju_sld,MATCH(ROW(K301),JURNAL!$O:$O,0)),0),"")</f>
        <v/>
      </c>
      <c r="F313" s="39" t="str">
        <f>IFERROR(IF(bb_akun=INDEX(ju_kr,MATCH(ROW(J301),JURNAL!$O:$O,0)),INDEX(ju_sld,MATCH(ROW(K301),JURNAL!$O:$O,0)),0),"")</f>
        <v/>
      </c>
      <c r="G313" s="39" t="str">
        <f>IF(B313="","",IF(INDEX(typ_sn,MATCH($C$9,typ_ket,0))="db",$G$8+SUM($E$13:E313)-SUM($F$13:F313),$G$8+SUM($F$13:F313)-SUM($E$13:E313)))</f>
        <v/>
      </c>
    </row>
    <row r="314" spans="2:7" ht="23.1" customHeight="1">
      <c r="B314" s="45" t="str">
        <f>IFERROR(INDEX(ju_tgl,MATCH(ROW(J302),JURNAL!$O:$O,0)),"")</f>
        <v/>
      </c>
      <c r="C314" s="7" t="str">
        <f>IFERROR(INDEX(ju_ref,MATCH(ROW(J302),JURNAL!$O:$O,0)),"")</f>
        <v/>
      </c>
      <c r="D314" s="7" t="str">
        <f>IFERROR(INDEX(ju_ket,MATCH(ROW(J302),JURNAL!$O:$O,0)),"")</f>
        <v/>
      </c>
      <c r="E314" s="39" t="str">
        <f>IFERROR(IF(bb_akun=INDEX(ju_debet,MATCH(ROW(J302),JURNAL!$O:$O,0)),INDEX(ju_sld,MATCH(ROW(K302),JURNAL!$O:$O,0)),0),"")</f>
        <v/>
      </c>
      <c r="F314" s="39" t="str">
        <f>IFERROR(IF(bb_akun=INDEX(ju_kr,MATCH(ROW(J302),JURNAL!$O:$O,0)),INDEX(ju_sld,MATCH(ROW(K302),JURNAL!$O:$O,0)),0),"")</f>
        <v/>
      </c>
      <c r="G314" s="39" t="str">
        <f>IF(B314="","",IF(INDEX(typ_sn,MATCH($C$9,typ_ket,0))="db",$G$8+SUM($E$13:E314)-SUM($F$13:F314),$G$8+SUM($F$13:F314)-SUM($E$13:E314)))</f>
        <v/>
      </c>
    </row>
    <row r="315" spans="2:7" ht="23.1" customHeight="1">
      <c r="B315" s="45" t="str">
        <f>IFERROR(INDEX(ju_tgl,MATCH(ROW(J303),JURNAL!$O:$O,0)),"")</f>
        <v/>
      </c>
      <c r="C315" s="7" t="str">
        <f>IFERROR(INDEX(ju_ref,MATCH(ROW(J303),JURNAL!$O:$O,0)),"")</f>
        <v/>
      </c>
      <c r="D315" s="7" t="str">
        <f>IFERROR(INDEX(ju_ket,MATCH(ROW(J303),JURNAL!$O:$O,0)),"")</f>
        <v/>
      </c>
      <c r="E315" s="39" t="str">
        <f>IFERROR(IF(bb_akun=INDEX(ju_debet,MATCH(ROW(J303),JURNAL!$O:$O,0)),INDEX(ju_sld,MATCH(ROW(K303),JURNAL!$O:$O,0)),0),"")</f>
        <v/>
      </c>
      <c r="F315" s="39" t="str">
        <f>IFERROR(IF(bb_akun=INDEX(ju_kr,MATCH(ROW(J303),JURNAL!$O:$O,0)),INDEX(ju_sld,MATCH(ROW(K303),JURNAL!$O:$O,0)),0),"")</f>
        <v/>
      </c>
      <c r="G315" s="39" t="str">
        <f>IF(B315="","",IF(INDEX(typ_sn,MATCH($C$9,typ_ket,0))="db",$G$8+SUM($E$13:E315)-SUM($F$13:F315),$G$8+SUM($F$13:F315)-SUM($E$13:E315)))</f>
        <v/>
      </c>
    </row>
    <row r="316" spans="2:7" ht="23.1" customHeight="1">
      <c r="B316" s="45" t="str">
        <f>IFERROR(INDEX(ju_tgl,MATCH(ROW(J304),JURNAL!$O:$O,0)),"")</f>
        <v/>
      </c>
      <c r="C316" s="7" t="str">
        <f>IFERROR(INDEX(ju_ref,MATCH(ROW(J304),JURNAL!$O:$O,0)),"")</f>
        <v/>
      </c>
      <c r="D316" s="7" t="str">
        <f>IFERROR(INDEX(ju_ket,MATCH(ROW(J304),JURNAL!$O:$O,0)),"")</f>
        <v/>
      </c>
      <c r="E316" s="39" t="str">
        <f>IFERROR(IF(bb_akun=INDEX(ju_debet,MATCH(ROW(J304),JURNAL!$O:$O,0)),INDEX(ju_sld,MATCH(ROW(K304),JURNAL!$O:$O,0)),0),"")</f>
        <v/>
      </c>
      <c r="F316" s="39" t="str">
        <f>IFERROR(IF(bb_akun=INDEX(ju_kr,MATCH(ROW(J304),JURNAL!$O:$O,0)),INDEX(ju_sld,MATCH(ROW(K304),JURNAL!$O:$O,0)),0),"")</f>
        <v/>
      </c>
      <c r="G316" s="39" t="str">
        <f>IF(B316="","",IF(INDEX(typ_sn,MATCH($C$9,typ_ket,0))="db",$G$8+SUM($E$13:E316)-SUM($F$13:F316),$G$8+SUM($F$13:F316)-SUM($E$13:E316)))</f>
        <v/>
      </c>
    </row>
    <row r="317" spans="2:7" ht="23.1" customHeight="1">
      <c r="B317" s="45" t="str">
        <f>IFERROR(INDEX(ju_tgl,MATCH(ROW(J305),JURNAL!$O:$O,0)),"")</f>
        <v/>
      </c>
      <c r="C317" s="7" t="str">
        <f>IFERROR(INDEX(ju_ref,MATCH(ROW(J305),JURNAL!$O:$O,0)),"")</f>
        <v/>
      </c>
      <c r="D317" s="7" t="str">
        <f>IFERROR(INDEX(ju_ket,MATCH(ROW(J305),JURNAL!$O:$O,0)),"")</f>
        <v/>
      </c>
      <c r="E317" s="39" t="str">
        <f>IFERROR(IF(bb_akun=INDEX(ju_debet,MATCH(ROW(J305),JURNAL!$O:$O,0)),INDEX(ju_sld,MATCH(ROW(K305),JURNAL!$O:$O,0)),0),"")</f>
        <v/>
      </c>
      <c r="F317" s="39" t="str">
        <f>IFERROR(IF(bb_akun=INDEX(ju_kr,MATCH(ROW(J305),JURNAL!$O:$O,0)),INDEX(ju_sld,MATCH(ROW(K305),JURNAL!$O:$O,0)),0),"")</f>
        <v/>
      </c>
      <c r="G317" s="39" t="str">
        <f>IF(B317="","",IF(INDEX(typ_sn,MATCH($C$9,typ_ket,0))="db",$G$8+SUM($E$13:E317)-SUM($F$13:F317),$G$8+SUM($F$13:F317)-SUM($E$13:E317)))</f>
        <v/>
      </c>
    </row>
    <row r="318" spans="2:7" ht="23.1" customHeight="1">
      <c r="B318" s="45" t="str">
        <f>IFERROR(INDEX(ju_tgl,MATCH(ROW(J306),JURNAL!$O:$O,0)),"")</f>
        <v/>
      </c>
      <c r="C318" s="7" t="str">
        <f>IFERROR(INDEX(ju_ref,MATCH(ROW(J306),JURNAL!$O:$O,0)),"")</f>
        <v/>
      </c>
      <c r="D318" s="7" t="str">
        <f>IFERROR(INDEX(ju_ket,MATCH(ROW(J306),JURNAL!$O:$O,0)),"")</f>
        <v/>
      </c>
      <c r="E318" s="39" t="str">
        <f>IFERROR(IF(bb_akun=INDEX(ju_debet,MATCH(ROW(J306),JURNAL!$O:$O,0)),INDEX(ju_sld,MATCH(ROW(K306),JURNAL!$O:$O,0)),0),"")</f>
        <v/>
      </c>
      <c r="F318" s="39" t="str">
        <f>IFERROR(IF(bb_akun=INDEX(ju_kr,MATCH(ROW(J306),JURNAL!$O:$O,0)),INDEX(ju_sld,MATCH(ROW(K306),JURNAL!$O:$O,0)),0),"")</f>
        <v/>
      </c>
      <c r="G318" s="39" t="str">
        <f>IF(B318="","",IF(INDEX(typ_sn,MATCH($C$9,typ_ket,0))="db",$G$8+SUM($E$13:E318)-SUM($F$13:F318),$G$8+SUM($F$13:F318)-SUM($E$13:E318)))</f>
        <v/>
      </c>
    </row>
    <row r="319" spans="2:7" ht="23.1" customHeight="1">
      <c r="B319" s="45" t="str">
        <f>IFERROR(INDEX(ju_tgl,MATCH(ROW(J307),JURNAL!$O:$O,0)),"")</f>
        <v/>
      </c>
      <c r="C319" s="7" t="str">
        <f>IFERROR(INDEX(ju_ref,MATCH(ROW(J307),JURNAL!$O:$O,0)),"")</f>
        <v/>
      </c>
      <c r="D319" s="7" t="str">
        <f>IFERROR(INDEX(ju_ket,MATCH(ROW(J307),JURNAL!$O:$O,0)),"")</f>
        <v/>
      </c>
      <c r="E319" s="39" t="str">
        <f>IFERROR(IF(bb_akun=INDEX(ju_debet,MATCH(ROW(J307),JURNAL!$O:$O,0)),INDEX(ju_sld,MATCH(ROW(K307),JURNAL!$O:$O,0)),0),"")</f>
        <v/>
      </c>
      <c r="F319" s="39" t="str">
        <f>IFERROR(IF(bb_akun=INDEX(ju_kr,MATCH(ROW(J307),JURNAL!$O:$O,0)),INDEX(ju_sld,MATCH(ROW(K307),JURNAL!$O:$O,0)),0),"")</f>
        <v/>
      </c>
      <c r="G319" s="39" t="str">
        <f>IF(B319="","",IF(INDEX(typ_sn,MATCH($C$9,typ_ket,0))="db",$G$8+SUM($E$13:E319)-SUM($F$13:F319),$G$8+SUM($F$13:F319)-SUM($E$13:E319)))</f>
        <v/>
      </c>
    </row>
    <row r="320" spans="2:7" ht="23.1" customHeight="1">
      <c r="B320" s="45" t="str">
        <f>IFERROR(INDEX(ju_tgl,MATCH(ROW(J308),JURNAL!$O:$O,0)),"")</f>
        <v/>
      </c>
      <c r="C320" s="7" t="str">
        <f>IFERROR(INDEX(ju_ref,MATCH(ROW(J308),JURNAL!$O:$O,0)),"")</f>
        <v/>
      </c>
      <c r="D320" s="7" t="str">
        <f>IFERROR(INDEX(ju_ket,MATCH(ROW(J308),JURNAL!$O:$O,0)),"")</f>
        <v/>
      </c>
      <c r="E320" s="39" t="str">
        <f>IFERROR(IF(bb_akun=INDEX(ju_debet,MATCH(ROW(J308),JURNAL!$O:$O,0)),INDEX(ju_sld,MATCH(ROW(K308),JURNAL!$O:$O,0)),0),"")</f>
        <v/>
      </c>
      <c r="F320" s="39" t="str">
        <f>IFERROR(IF(bb_akun=INDEX(ju_kr,MATCH(ROW(J308),JURNAL!$O:$O,0)),INDEX(ju_sld,MATCH(ROW(K308),JURNAL!$O:$O,0)),0),"")</f>
        <v/>
      </c>
      <c r="G320" s="39" t="str">
        <f>IF(B320="","",IF(INDEX(typ_sn,MATCH($C$9,typ_ket,0))="db",$G$8+SUM($E$13:E320)-SUM($F$13:F320),$G$8+SUM($F$13:F320)-SUM($E$13:E320)))</f>
        <v/>
      </c>
    </row>
    <row r="321" spans="2:7" ht="23.1" customHeight="1">
      <c r="B321" s="45" t="str">
        <f>IFERROR(INDEX(ju_tgl,MATCH(ROW(J309),JURNAL!$O:$O,0)),"")</f>
        <v/>
      </c>
      <c r="C321" s="7" t="str">
        <f>IFERROR(INDEX(ju_ref,MATCH(ROW(J309),JURNAL!$O:$O,0)),"")</f>
        <v/>
      </c>
      <c r="D321" s="7" t="str">
        <f>IFERROR(INDEX(ju_ket,MATCH(ROW(J309),JURNAL!$O:$O,0)),"")</f>
        <v/>
      </c>
      <c r="E321" s="39" t="str">
        <f>IFERROR(IF(bb_akun=INDEX(ju_debet,MATCH(ROW(J309),JURNAL!$O:$O,0)),INDEX(ju_sld,MATCH(ROW(K309),JURNAL!$O:$O,0)),0),"")</f>
        <v/>
      </c>
      <c r="F321" s="39" t="str">
        <f>IFERROR(IF(bb_akun=INDEX(ju_kr,MATCH(ROW(J309),JURNAL!$O:$O,0)),INDEX(ju_sld,MATCH(ROW(K309),JURNAL!$O:$O,0)),0),"")</f>
        <v/>
      </c>
      <c r="G321" s="39" t="str">
        <f>IF(B321="","",IF(INDEX(typ_sn,MATCH($C$9,typ_ket,0))="db",$G$8+SUM($E$13:E321)-SUM($F$13:F321),$G$8+SUM($F$13:F321)-SUM($E$13:E321)))</f>
        <v/>
      </c>
    </row>
    <row r="322" spans="2:7" ht="23.1" customHeight="1">
      <c r="B322" s="45" t="str">
        <f>IFERROR(INDEX(ju_tgl,MATCH(ROW(J310),JURNAL!$O:$O,0)),"")</f>
        <v/>
      </c>
      <c r="C322" s="7" t="str">
        <f>IFERROR(INDEX(ju_ref,MATCH(ROW(J310),JURNAL!$O:$O,0)),"")</f>
        <v/>
      </c>
      <c r="D322" s="7" t="str">
        <f>IFERROR(INDEX(ju_ket,MATCH(ROW(J310),JURNAL!$O:$O,0)),"")</f>
        <v/>
      </c>
      <c r="E322" s="39" t="str">
        <f>IFERROR(IF(bb_akun=INDEX(ju_debet,MATCH(ROW(J310),JURNAL!$O:$O,0)),INDEX(ju_sld,MATCH(ROW(K310),JURNAL!$O:$O,0)),0),"")</f>
        <v/>
      </c>
      <c r="F322" s="39" t="str">
        <f>IFERROR(IF(bb_akun=INDEX(ju_kr,MATCH(ROW(J310),JURNAL!$O:$O,0)),INDEX(ju_sld,MATCH(ROW(K310),JURNAL!$O:$O,0)),0),"")</f>
        <v/>
      </c>
      <c r="G322" s="39" t="str">
        <f>IF(B322="","",IF(INDEX(typ_sn,MATCH($C$9,typ_ket,0))="db",$G$8+SUM($E$13:E322)-SUM($F$13:F322),$G$8+SUM($F$13:F322)-SUM($E$13:E322)))</f>
        <v/>
      </c>
    </row>
    <row r="323" spans="2:7" ht="23.1" customHeight="1">
      <c r="B323" s="45" t="str">
        <f>IFERROR(INDEX(ju_tgl,MATCH(ROW(J311),JURNAL!$O:$O,0)),"")</f>
        <v/>
      </c>
      <c r="C323" s="7" t="str">
        <f>IFERROR(INDEX(ju_ref,MATCH(ROW(J311),JURNAL!$O:$O,0)),"")</f>
        <v/>
      </c>
      <c r="D323" s="7" t="str">
        <f>IFERROR(INDEX(ju_ket,MATCH(ROW(J311),JURNAL!$O:$O,0)),"")</f>
        <v/>
      </c>
      <c r="E323" s="39" t="str">
        <f>IFERROR(IF(bb_akun=INDEX(ju_debet,MATCH(ROW(J311),JURNAL!$O:$O,0)),INDEX(ju_sld,MATCH(ROW(K311),JURNAL!$O:$O,0)),0),"")</f>
        <v/>
      </c>
      <c r="F323" s="39" t="str">
        <f>IFERROR(IF(bb_akun=INDEX(ju_kr,MATCH(ROW(J311),JURNAL!$O:$O,0)),INDEX(ju_sld,MATCH(ROW(K311),JURNAL!$O:$O,0)),0),"")</f>
        <v/>
      </c>
      <c r="G323" s="39" t="str">
        <f>IF(B323="","",IF(INDEX(typ_sn,MATCH($C$9,typ_ket,0))="db",$G$8+SUM($E$13:E323)-SUM($F$13:F323),$G$8+SUM($F$13:F323)-SUM($E$13:E323)))</f>
        <v/>
      </c>
    </row>
    <row r="324" spans="2:7" ht="23.1" customHeight="1">
      <c r="B324" s="45" t="str">
        <f>IFERROR(INDEX(ju_tgl,MATCH(ROW(J312),JURNAL!$O:$O,0)),"")</f>
        <v/>
      </c>
      <c r="C324" s="7" t="str">
        <f>IFERROR(INDEX(ju_ref,MATCH(ROW(J312),JURNAL!$O:$O,0)),"")</f>
        <v/>
      </c>
      <c r="D324" s="7" t="str">
        <f>IFERROR(INDEX(ju_ket,MATCH(ROW(J312),JURNAL!$O:$O,0)),"")</f>
        <v/>
      </c>
      <c r="E324" s="39" t="str">
        <f>IFERROR(IF(bb_akun=INDEX(ju_debet,MATCH(ROW(J312),JURNAL!$O:$O,0)),INDEX(ju_sld,MATCH(ROW(K312),JURNAL!$O:$O,0)),0),"")</f>
        <v/>
      </c>
      <c r="F324" s="39" t="str">
        <f>IFERROR(IF(bb_akun=INDEX(ju_kr,MATCH(ROW(J312),JURNAL!$O:$O,0)),INDEX(ju_sld,MATCH(ROW(K312),JURNAL!$O:$O,0)),0),"")</f>
        <v/>
      </c>
      <c r="G324" s="39" t="str">
        <f>IF(B324="","",IF(INDEX(typ_sn,MATCH($C$9,typ_ket,0))="db",$G$8+SUM($E$13:E324)-SUM($F$13:F324),$G$8+SUM($F$13:F324)-SUM($E$13:E324)))</f>
        <v/>
      </c>
    </row>
    <row r="325" spans="2:7" ht="23.1" customHeight="1">
      <c r="B325" s="45" t="str">
        <f>IFERROR(INDEX(ju_tgl,MATCH(ROW(J313),JURNAL!$O:$O,0)),"")</f>
        <v/>
      </c>
      <c r="C325" s="7" t="str">
        <f>IFERROR(INDEX(ju_ref,MATCH(ROW(J313),JURNAL!$O:$O,0)),"")</f>
        <v/>
      </c>
      <c r="D325" s="7" t="str">
        <f>IFERROR(INDEX(ju_ket,MATCH(ROW(J313),JURNAL!$O:$O,0)),"")</f>
        <v/>
      </c>
      <c r="E325" s="39" t="str">
        <f>IFERROR(IF(bb_akun=INDEX(ju_debet,MATCH(ROW(J313),JURNAL!$O:$O,0)),INDEX(ju_sld,MATCH(ROW(K313),JURNAL!$O:$O,0)),0),"")</f>
        <v/>
      </c>
      <c r="F325" s="39" t="str">
        <f>IFERROR(IF(bb_akun=INDEX(ju_kr,MATCH(ROW(J313),JURNAL!$O:$O,0)),INDEX(ju_sld,MATCH(ROW(K313),JURNAL!$O:$O,0)),0),"")</f>
        <v/>
      </c>
      <c r="G325" s="39" t="str">
        <f>IF(B325="","",IF(INDEX(typ_sn,MATCH($C$9,typ_ket,0))="db",$G$8+SUM($E$13:E325)-SUM($F$13:F325),$G$8+SUM($F$13:F325)-SUM($E$13:E325)))</f>
        <v/>
      </c>
    </row>
    <row r="326" spans="2:7" ht="23.1" customHeight="1">
      <c r="B326" s="45" t="str">
        <f>IFERROR(INDEX(ju_tgl,MATCH(ROW(J314),JURNAL!$O:$O,0)),"")</f>
        <v/>
      </c>
      <c r="C326" s="7" t="str">
        <f>IFERROR(INDEX(ju_ref,MATCH(ROW(J314),JURNAL!$O:$O,0)),"")</f>
        <v/>
      </c>
      <c r="D326" s="7" t="str">
        <f>IFERROR(INDEX(ju_ket,MATCH(ROW(J314),JURNAL!$O:$O,0)),"")</f>
        <v/>
      </c>
      <c r="E326" s="39" t="str">
        <f>IFERROR(IF(bb_akun=INDEX(ju_debet,MATCH(ROW(J314),JURNAL!$O:$O,0)),INDEX(ju_sld,MATCH(ROW(K314),JURNAL!$O:$O,0)),0),"")</f>
        <v/>
      </c>
      <c r="F326" s="39" t="str">
        <f>IFERROR(IF(bb_akun=INDEX(ju_kr,MATCH(ROW(J314),JURNAL!$O:$O,0)),INDEX(ju_sld,MATCH(ROW(K314),JURNAL!$O:$O,0)),0),"")</f>
        <v/>
      </c>
      <c r="G326" s="39" t="str">
        <f>IF(B326="","",IF(INDEX(typ_sn,MATCH($C$9,typ_ket,0))="db",$G$8+SUM($E$13:E326)-SUM($F$13:F326),$G$8+SUM($F$13:F326)-SUM($E$13:E326)))</f>
        <v/>
      </c>
    </row>
    <row r="327" spans="2:7" ht="23.1" customHeight="1">
      <c r="B327" s="45" t="str">
        <f>IFERROR(INDEX(ju_tgl,MATCH(ROW(J315),JURNAL!$O:$O,0)),"")</f>
        <v/>
      </c>
      <c r="C327" s="7" t="str">
        <f>IFERROR(INDEX(ju_ref,MATCH(ROW(J315),JURNAL!$O:$O,0)),"")</f>
        <v/>
      </c>
      <c r="D327" s="7" t="str">
        <f>IFERROR(INDEX(ju_ket,MATCH(ROW(J315),JURNAL!$O:$O,0)),"")</f>
        <v/>
      </c>
      <c r="E327" s="39" t="str">
        <f>IFERROR(IF(bb_akun=INDEX(ju_debet,MATCH(ROW(J315),JURNAL!$O:$O,0)),INDEX(ju_sld,MATCH(ROW(K315),JURNAL!$O:$O,0)),0),"")</f>
        <v/>
      </c>
      <c r="F327" s="39" t="str">
        <f>IFERROR(IF(bb_akun=INDEX(ju_kr,MATCH(ROW(J315),JURNAL!$O:$O,0)),INDEX(ju_sld,MATCH(ROW(K315),JURNAL!$O:$O,0)),0),"")</f>
        <v/>
      </c>
      <c r="G327" s="39" t="str">
        <f>IF(B327="","",IF(INDEX(typ_sn,MATCH($C$9,typ_ket,0))="db",$G$8+SUM($E$13:E327)-SUM($F$13:F327),$G$8+SUM($F$13:F327)-SUM($E$13:E327)))</f>
        <v/>
      </c>
    </row>
    <row r="328" spans="2:7" ht="23.1" customHeight="1">
      <c r="B328" s="45" t="str">
        <f>IFERROR(INDEX(ju_tgl,MATCH(ROW(J316),JURNAL!$O:$O,0)),"")</f>
        <v/>
      </c>
      <c r="C328" s="7" t="str">
        <f>IFERROR(INDEX(ju_ref,MATCH(ROW(J316),JURNAL!$O:$O,0)),"")</f>
        <v/>
      </c>
      <c r="D328" s="7" t="str">
        <f>IFERROR(INDEX(ju_ket,MATCH(ROW(J316),JURNAL!$O:$O,0)),"")</f>
        <v/>
      </c>
      <c r="E328" s="39" t="str">
        <f>IFERROR(IF(bb_akun=INDEX(ju_debet,MATCH(ROW(J316),JURNAL!$O:$O,0)),INDEX(ju_sld,MATCH(ROW(K316),JURNAL!$O:$O,0)),0),"")</f>
        <v/>
      </c>
      <c r="F328" s="39" t="str">
        <f>IFERROR(IF(bb_akun=INDEX(ju_kr,MATCH(ROW(J316),JURNAL!$O:$O,0)),INDEX(ju_sld,MATCH(ROW(K316),JURNAL!$O:$O,0)),0),"")</f>
        <v/>
      </c>
      <c r="G328" s="39" t="str">
        <f>IF(B328="","",IF(INDEX(typ_sn,MATCH($C$9,typ_ket,0))="db",$G$8+SUM($E$13:E328)-SUM($F$13:F328),$G$8+SUM($F$13:F328)-SUM($E$13:E328)))</f>
        <v/>
      </c>
    </row>
    <row r="329" spans="2:7" ht="23.1" customHeight="1">
      <c r="B329" s="45" t="str">
        <f>IFERROR(INDEX(ju_tgl,MATCH(ROW(J317),JURNAL!$O:$O,0)),"")</f>
        <v/>
      </c>
      <c r="C329" s="7" t="str">
        <f>IFERROR(INDEX(ju_ref,MATCH(ROW(J317),JURNAL!$O:$O,0)),"")</f>
        <v/>
      </c>
      <c r="D329" s="7" t="str">
        <f>IFERROR(INDEX(ju_ket,MATCH(ROW(J317),JURNAL!$O:$O,0)),"")</f>
        <v/>
      </c>
      <c r="E329" s="39" t="str">
        <f>IFERROR(IF(bb_akun=INDEX(ju_debet,MATCH(ROW(J317),JURNAL!$O:$O,0)),INDEX(ju_sld,MATCH(ROW(K317),JURNAL!$O:$O,0)),0),"")</f>
        <v/>
      </c>
      <c r="F329" s="39" t="str">
        <f>IFERROR(IF(bb_akun=INDEX(ju_kr,MATCH(ROW(J317),JURNAL!$O:$O,0)),INDEX(ju_sld,MATCH(ROW(K317),JURNAL!$O:$O,0)),0),"")</f>
        <v/>
      </c>
      <c r="G329" s="39" t="str">
        <f>IF(B329="","",IF(INDEX(typ_sn,MATCH($C$9,typ_ket,0))="db",$G$8+SUM($E$13:E329)-SUM($F$13:F329),$G$8+SUM($F$13:F329)-SUM($E$13:E329)))</f>
        <v/>
      </c>
    </row>
    <row r="330" spans="2:7" ht="23.1" customHeight="1">
      <c r="B330" s="45" t="str">
        <f>IFERROR(INDEX(ju_tgl,MATCH(ROW(J318),JURNAL!$O:$O,0)),"")</f>
        <v/>
      </c>
      <c r="C330" s="7" t="str">
        <f>IFERROR(INDEX(ju_ref,MATCH(ROW(J318),JURNAL!$O:$O,0)),"")</f>
        <v/>
      </c>
      <c r="D330" s="7" t="str">
        <f>IFERROR(INDEX(ju_ket,MATCH(ROW(J318),JURNAL!$O:$O,0)),"")</f>
        <v/>
      </c>
      <c r="E330" s="39" t="str">
        <f>IFERROR(IF(bb_akun=INDEX(ju_debet,MATCH(ROW(J318),JURNAL!$O:$O,0)),INDEX(ju_sld,MATCH(ROW(K318),JURNAL!$O:$O,0)),0),"")</f>
        <v/>
      </c>
      <c r="F330" s="39" t="str">
        <f>IFERROR(IF(bb_akun=INDEX(ju_kr,MATCH(ROW(J318),JURNAL!$O:$O,0)),INDEX(ju_sld,MATCH(ROW(K318),JURNAL!$O:$O,0)),0),"")</f>
        <v/>
      </c>
      <c r="G330" s="39" t="str">
        <f>IF(B330="","",IF(INDEX(typ_sn,MATCH($C$9,typ_ket,0))="db",$G$8+SUM($E$13:E330)-SUM($F$13:F330),$G$8+SUM($F$13:F330)-SUM($E$13:E330)))</f>
        <v/>
      </c>
    </row>
    <row r="331" spans="2:7" ht="23.1" customHeight="1">
      <c r="B331" s="45" t="str">
        <f>IFERROR(INDEX(ju_tgl,MATCH(ROW(J319),JURNAL!$O:$O,0)),"")</f>
        <v/>
      </c>
      <c r="C331" s="7" t="str">
        <f>IFERROR(INDEX(ju_ref,MATCH(ROW(J319),JURNAL!$O:$O,0)),"")</f>
        <v/>
      </c>
      <c r="D331" s="7" t="str">
        <f>IFERROR(INDEX(ju_ket,MATCH(ROW(J319),JURNAL!$O:$O,0)),"")</f>
        <v/>
      </c>
      <c r="E331" s="39" t="str">
        <f>IFERROR(IF(bb_akun=INDEX(ju_debet,MATCH(ROW(J319),JURNAL!$O:$O,0)),INDEX(ju_sld,MATCH(ROW(K319),JURNAL!$O:$O,0)),0),"")</f>
        <v/>
      </c>
      <c r="F331" s="39" t="str">
        <f>IFERROR(IF(bb_akun=INDEX(ju_kr,MATCH(ROW(J319),JURNAL!$O:$O,0)),INDEX(ju_sld,MATCH(ROW(K319),JURNAL!$O:$O,0)),0),"")</f>
        <v/>
      </c>
      <c r="G331" s="39" t="str">
        <f>IF(B331="","",IF(INDEX(typ_sn,MATCH($C$9,typ_ket,0))="db",$G$8+SUM($E$13:E331)-SUM($F$13:F331),$G$8+SUM($F$13:F331)-SUM($E$13:E331)))</f>
        <v/>
      </c>
    </row>
    <row r="332" spans="2:7" ht="23.1" customHeight="1">
      <c r="B332" s="45" t="str">
        <f>IFERROR(INDEX(ju_tgl,MATCH(ROW(J320),JURNAL!$O:$O,0)),"")</f>
        <v/>
      </c>
      <c r="C332" s="7" t="str">
        <f>IFERROR(INDEX(ju_ref,MATCH(ROW(J320),JURNAL!$O:$O,0)),"")</f>
        <v/>
      </c>
      <c r="D332" s="7" t="str">
        <f>IFERROR(INDEX(ju_ket,MATCH(ROW(J320),JURNAL!$O:$O,0)),"")</f>
        <v/>
      </c>
      <c r="E332" s="39" t="str">
        <f>IFERROR(IF(bb_akun=INDEX(ju_debet,MATCH(ROW(J320),JURNAL!$O:$O,0)),INDEX(ju_sld,MATCH(ROW(K320),JURNAL!$O:$O,0)),0),"")</f>
        <v/>
      </c>
      <c r="F332" s="39" t="str">
        <f>IFERROR(IF(bb_akun=INDEX(ju_kr,MATCH(ROW(J320),JURNAL!$O:$O,0)),INDEX(ju_sld,MATCH(ROW(K320),JURNAL!$O:$O,0)),0),"")</f>
        <v/>
      </c>
      <c r="G332" s="39" t="str">
        <f>IF(B332="","",IF(INDEX(typ_sn,MATCH($C$9,typ_ket,0))="db",$G$8+SUM($E$13:E332)-SUM($F$13:F332),$G$8+SUM($F$13:F332)-SUM($E$13:E332)))</f>
        <v/>
      </c>
    </row>
    <row r="333" spans="2:7" ht="23.1" customHeight="1">
      <c r="B333" s="45" t="str">
        <f>IFERROR(INDEX(ju_tgl,MATCH(ROW(J321),JURNAL!$O:$O,0)),"")</f>
        <v/>
      </c>
      <c r="C333" s="7" t="str">
        <f>IFERROR(INDEX(ju_ref,MATCH(ROW(J321),JURNAL!$O:$O,0)),"")</f>
        <v/>
      </c>
      <c r="D333" s="331" t="str">
        <f>IFERROR(INDEX(ju_ket,MATCH(ROW(J321),JURNAL!$O:$O,0)),"")</f>
        <v/>
      </c>
      <c r="E333" s="332" t="str">
        <f>IFERROR(IF(bb_akun=INDEX(ju_debet,MATCH(ROW(J321),JURNAL!$O:$O,0)),INDEX(ju_sld,MATCH(ROW(K321),JURNAL!$O:$O,0)),0),"")</f>
        <v/>
      </c>
      <c r="F333" s="332" t="str">
        <f>IFERROR(IF(bb_akun=INDEX(ju_kr,MATCH(ROW(J321),JURNAL!$O:$O,0)),INDEX(ju_sld,MATCH(ROW(K321),JURNAL!$O:$O,0)),0),"")</f>
        <v/>
      </c>
      <c r="G333" s="39" t="str">
        <f>IF(B333="","",IF(INDEX(typ_sn,MATCH($C$9,typ_ket,0))="db",$G$8+SUM($E$13:E333)-SUM($F$13:F333),$G$8+SUM($F$13:F333)-SUM($E$13:E333)))</f>
        <v/>
      </c>
    </row>
    <row r="334" spans="2:7" ht="23.1" customHeight="1">
      <c r="B334" s="45" t="str">
        <f>IFERROR(INDEX(ju_tgl,MATCH(ROW(J322),JURNAL!$O:$O,0)),"")</f>
        <v/>
      </c>
      <c r="C334" s="7" t="str">
        <f>IFERROR(INDEX(ju_ref,MATCH(ROW(J322),JURNAL!$O:$O,0)),"")</f>
        <v/>
      </c>
      <c r="D334" s="7" t="str">
        <f>IFERROR(INDEX(ju_ket,MATCH(ROW(J322),JURNAL!$O:$O,0)),"")</f>
        <v/>
      </c>
      <c r="E334" s="39" t="str">
        <f>IFERROR(IF(bb_akun=INDEX(ju_debet,MATCH(ROW(J322),JURNAL!$O:$O,0)),INDEX(ju_sld,MATCH(ROW(K322),JURNAL!$O:$O,0)),0),"")</f>
        <v/>
      </c>
      <c r="F334" s="39" t="str">
        <f>IFERROR(IF(bb_akun=INDEX(ju_kr,MATCH(ROW(J322),JURNAL!$O:$O,0)),INDEX(ju_sld,MATCH(ROW(K322),JURNAL!$O:$O,0)),0),"")</f>
        <v/>
      </c>
      <c r="G334" s="39" t="str">
        <f>IF(B334="","",IF(INDEX(typ_sn,MATCH($C$9,typ_ket,0))="db",$G$8+SUM($E$13:E334)-SUM($F$13:F334),$G$8+SUM($F$13:F334)-SUM($E$13:E334)))</f>
        <v/>
      </c>
    </row>
    <row r="335" spans="2:7" ht="23.1" customHeight="1">
      <c r="B335" s="45" t="str">
        <f>IFERROR(INDEX(ju_tgl,MATCH(ROW(J323),JURNAL!$O:$O,0)),"")</f>
        <v/>
      </c>
      <c r="C335" s="7" t="str">
        <f>IFERROR(INDEX(ju_ref,MATCH(ROW(J323),JURNAL!$O:$O,0)),"")</f>
        <v/>
      </c>
      <c r="D335" s="7" t="str">
        <f>IFERROR(INDEX(ju_ket,MATCH(ROW(J323),JURNAL!$O:$O,0)),"")</f>
        <v/>
      </c>
      <c r="E335" s="39" t="str">
        <f>IFERROR(IF(bb_akun=INDEX(ju_debet,MATCH(ROW(J323),JURNAL!$O:$O,0)),INDEX(ju_sld,MATCH(ROW(K323),JURNAL!$O:$O,0)),0),"")</f>
        <v/>
      </c>
      <c r="F335" s="39" t="str">
        <f>IFERROR(IF(bb_akun=INDEX(ju_kr,MATCH(ROW(J323),JURNAL!$O:$O,0)),INDEX(ju_sld,MATCH(ROW(K323),JURNAL!$O:$O,0)),0),"")</f>
        <v/>
      </c>
      <c r="G335" s="39" t="str">
        <f>IF(B335="","",IF(INDEX(typ_sn,MATCH($C$9,typ_ket,0))="db",$G$8+SUM($E$13:E335)-SUM($F$13:F335),$G$8+SUM($F$13:F335)-SUM($E$13:E335)))</f>
        <v/>
      </c>
    </row>
    <row r="336" spans="2:7" ht="23.1" customHeight="1">
      <c r="B336" s="45" t="str">
        <f>IFERROR(INDEX(ju_tgl,MATCH(ROW(J324),JURNAL!$O:$O,0)),"")</f>
        <v/>
      </c>
      <c r="C336" s="7" t="str">
        <f>IFERROR(INDEX(ju_ref,MATCH(ROW(J324),JURNAL!$O:$O,0)),"")</f>
        <v/>
      </c>
      <c r="D336" s="7" t="str">
        <f>IFERROR(INDEX(ju_ket,MATCH(ROW(J324),JURNAL!$O:$O,0)),"")</f>
        <v/>
      </c>
      <c r="E336" s="39" t="str">
        <f>IFERROR(IF(bb_akun=INDEX(ju_debet,MATCH(ROW(J324),JURNAL!$O:$O,0)),INDEX(ju_sld,MATCH(ROW(K324),JURNAL!$O:$O,0)),0),"")</f>
        <v/>
      </c>
      <c r="F336" s="39" t="str">
        <f>IFERROR(IF(bb_akun=INDEX(ju_kr,MATCH(ROW(J324),JURNAL!$O:$O,0)),INDEX(ju_sld,MATCH(ROW(K324),JURNAL!$O:$O,0)),0),"")</f>
        <v/>
      </c>
      <c r="G336" s="39" t="str">
        <f>IF(B336="","",IF(INDEX(typ_sn,MATCH($C$9,typ_ket,0))="db",$G$8+SUM($E$13:E336)-SUM($F$13:F336),$G$8+SUM($F$13:F336)-SUM($E$13:E336)))</f>
        <v/>
      </c>
    </row>
    <row r="337" spans="2:7" ht="23.1" customHeight="1">
      <c r="B337" s="45" t="str">
        <f>IFERROR(INDEX(ju_tgl,MATCH(ROW(J325),JURNAL!$O:$O,0)),"")</f>
        <v/>
      </c>
      <c r="C337" s="7" t="str">
        <f>IFERROR(INDEX(ju_ref,MATCH(ROW(J325),JURNAL!$O:$O,0)),"")</f>
        <v/>
      </c>
      <c r="D337" s="7" t="str">
        <f>IFERROR(INDEX(ju_ket,MATCH(ROW(J325),JURNAL!$O:$O,0)),"")</f>
        <v/>
      </c>
      <c r="E337" s="39" t="str">
        <f>IFERROR(IF(bb_akun=INDEX(ju_debet,MATCH(ROW(J325),JURNAL!$O:$O,0)),INDEX(ju_sld,MATCH(ROW(K325),JURNAL!$O:$O,0)),0),"")</f>
        <v/>
      </c>
      <c r="F337" s="39" t="str">
        <f>IFERROR(IF(bb_akun=INDEX(ju_kr,MATCH(ROW(J325),JURNAL!$O:$O,0)),INDEX(ju_sld,MATCH(ROW(K325),JURNAL!$O:$O,0)),0),"")</f>
        <v/>
      </c>
      <c r="G337" s="39" t="str">
        <f>IF(B337="","",IF(INDEX(typ_sn,MATCH($C$9,typ_ket,0))="db",$G$8+SUM($E$13:E337)-SUM($F$13:F337),$G$8+SUM($F$13:F337)-SUM($E$13:E337)))</f>
        <v/>
      </c>
    </row>
    <row r="338" spans="2:7" ht="23.1" customHeight="1">
      <c r="B338" s="45" t="str">
        <f>IFERROR(INDEX(ju_tgl,MATCH(ROW(J326),JURNAL!$O:$O,0)),"")</f>
        <v/>
      </c>
      <c r="C338" s="7" t="str">
        <f>IFERROR(INDEX(ju_ref,MATCH(ROW(J326),JURNAL!$O:$O,0)),"")</f>
        <v/>
      </c>
      <c r="D338" s="7" t="str">
        <f>IFERROR(INDEX(ju_ket,MATCH(ROW(J326),JURNAL!$O:$O,0)),"")</f>
        <v/>
      </c>
      <c r="E338" s="39" t="str">
        <f>IFERROR(IF(bb_akun=INDEX(ju_debet,MATCH(ROW(J326),JURNAL!$O:$O,0)),INDEX(ju_sld,MATCH(ROW(K326),JURNAL!$O:$O,0)),0),"")</f>
        <v/>
      </c>
      <c r="F338" s="39" t="str">
        <f>IFERROR(IF(bb_akun=INDEX(ju_kr,MATCH(ROW(J326),JURNAL!$O:$O,0)),INDEX(ju_sld,MATCH(ROW(K326),JURNAL!$O:$O,0)),0),"")</f>
        <v/>
      </c>
      <c r="G338" s="39" t="str">
        <f>IF(B338="","",IF(INDEX(typ_sn,MATCH($C$9,typ_ket,0))="db",$G$8+SUM($E$13:E338)-SUM($F$13:F338),$G$8+SUM($F$13:F338)-SUM($E$13:E338)))</f>
        <v/>
      </c>
    </row>
    <row r="339" spans="2:7" ht="23.1" customHeight="1">
      <c r="B339" s="45" t="str">
        <f>IFERROR(INDEX(ju_tgl,MATCH(ROW(J327),JURNAL!$O:$O,0)),"")</f>
        <v/>
      </c>
      <c r="C339" s="7" t="str">
        <f>IFERROR(INDEX(ju_ref,MATCH(ROW(J327),JURNAL!$O:$O,0)),"")</f>
        <v/>
      </c>
      <c r="D339" s="7" t="str">
        <f>IFERROR(INDEX(ju_ket,MATCH(ROW(J327),JURNAL!$O:$O,0)),"")</f>
        <v/>
      </c>
      <c r="E339" s="39" t="str">
        <f>IFERROR(IF(bb_akun=INDEX(ju_debet,MATCH(ROW(J327),JURNAL!$O:$O,0)),INDEX(ju_sld,MATCH(ROW(K327),JURNAL!$O:$O,0)),0),"")</f>
        <v/>
      </c>
      <c r="F339" s="39" t="str">
        <f>IFERROR(IF(bb_akun=INDEX(ju_kr,MATCH(ROW(J327),JURNAL!$O:$O,0)),INDEX(ju_sld,MATCH(ROW(K327),JURNAL!$O:$O,0)),0),"")</f>
        <v/>
      </c>
      <c r="G339" s="39" t="str">
        <f>IF(B339="","",IF(INDEX(typ_sn,MATCH($C$9,typ_ket,0))="db",$G$8+SUM($E$13:E339)-SUM($F$13:F339),$G$8+SUM($F$13:F339)-SUM($E$13:E339)))</f>
        <v/>
      </c>
    </row>
    <row r="340" spans="2:7" ht="23.1" customHeight="1">
      <c r="B340" s="45" t="str">
        <f>IFERROR(INDEX(ju_tgl,MATCH(ROW(J328),JURNAL!$O:$O,0)),"")</f>
        <v/>
      </c>
      <c r="C340" s="7" t="str">
        <f>IFERROR(INDEX(ju_ref,MATCH(ROW(J328),JURNAL!$O:$O,0)),"")</f>
        <v/>
      </c>
      <c r="D340" s="7" t="str">
        <f>IFERROR(INDEX(ju_ket,MATCH(ROW(J328),JURNAL!$O:$O,0)),"")</f>
        <v/>
      </c>
      <c r="E340" s="39" t="str">
        <f>IFERROR(IF(bb_akun=INDEX(ju_debet,MATCH(ROW(J328),JURNAL!$O:$O,0)),INDEX(ju_sld,MATCH(ROW(K328),JURNAL!$O:$O,0)),0),"")</f>
        <v/>
      </c>
      <c r="F340" s="39" t="str">
        <f>IFERROR(IF(bb_akun=INDEX(ju_kr,MATCH(ROW(J328),JURNAL!$O:$O,0)),INDEX(ju_sld,MATCH(ROW(K328),JURNAL!$O:$O,0)),0),"")</f>
        <v/>
      </c>
      <c r="G340" s="39" t="str">
        <f>IF(B340="","",IF(INDEX(typ_sn,MATCH($C$9,typ_ket,0))="db",$G$8+SUM($E$13:E340)-SUM($F$13:F340),$G$8+SUM($F$13:F340)-SUM($E$13:E340)))</f>
        <v/>
      </c>
    </row>
    <row r="341" spans="2:7" ht="23.1" customHeight="1">
      <c r="B341" s="45" t="str">
        <f>IFERROR(INDEX(ju_tgl,MATCH(ROW(J329),JURNAL!$O:$O,0)),"")</f>
        <v/>
      </c>
      <c r="C341" s="7" t="str">
        <f>IFERROR(INDEX(ju_ref,MATCH(ROW(J329),JURNAL!$O:$O,0)),"")</f>
        <v/>
      </c>
      <c r="D341" s="7" t="str">
        <f>IFERROR(INDEX(ju_ket,MATCH(ROW(J329),JURNAL!$O:$O,0)),"")</f>
        <v/>
      </c>
      <c r="E341" s="39" t="str">
        <f>IFERROR(IF(bb_akun=INDEX(ju_debet,MATCH(ROW(J329),JURNAL!$O:$O,0)),INDEX(ju_sld,MATCH(ROW(K329),JURNAL!$O:$O,0)),0),"")</f>
        <v/>
      </c>
      <c r="F341" s="39" t="str">
        <f>IFERROR(IF(bb_akun=INDEX(ju_kr,MATCH(ROW(J329),JURNAL!$O:$O,0)),INDEX(ju_sld,MATCH(ROW(K329),JURNAL!$O:$O,0)),0),"")</f>
        <v/>
      </c>
      <c r="G341" s="39" t="str">
        <f>IF(B341="","",IF(INDEX(typ_sn,MATCH($C$9,typ_ket,0))="db",$G$8+SUM($E$13:E341)-SUM($F$13:F341),$G$8+SUM($F$13:F341)-SUM($E$13:E341)))</f>
        <v/>
      </c>
    </row>
    <row r="342" spans="2:7" ht="23.1" customHeight="1">
      <c r="B342" s="45" t="str">
        <f>IFERROR(INDEX(ju_tgl,MATCH(ROW(J330),JURNAL!$O:$O,0)),"")</f>
        <v/>
      </c>
      <c r="C342" s="7" t="str">
        <f>IFERROR(INDEX(ju_ref,MATCH(ROW(J330),JURNAL!$O:$O,0)),"")</f>
        <v/>
      </c>
      <c r="D342" s="7" t="str">
        <f>IFERROR(INDEX(ju_ket,MATCH(ROW(J330),JURNAL!$O:$O,0)),"")</f>
        <v/>
      </c>
      <c r="E342" s="39" t="str">
        <f>IFERROR(IF(bb_akun=INDEX(ju_debet,MATCH(ROW(J330),JURNAL!$O:$O,0)),INDEX(ju_sld,MATCH(ROW(K330),JURNAL!$O:$O,0)),0),"")</f>
        <v/>
      </c>
      <c r="F342" s="39" t="str">
        <f>IFERROR(IF(bb_akun=INDEX(ju_kr,MATCH(ROW(J330),JURNAL!$O:$O,0)),INDEX(ju_sld,MATCH(ROW(K330),JURNAL!$O:$O,0)),0),"")</f>
        <v/>
      </c>
      <c r="G342" s="39" t="str">
        <f>IF(B342="","",IF(INDEX(typ_sn,MATCH($C$9,typ_ket,0))="db",$G$8+SUM($E$13:E342)-SUM($F$13:F342),$G$8+SUM($F$13:F342)-SUM($E$13:E342)))</f>
        <v/>
      </c>
    </row>
    <row r="343" spans="2:7" ht="23.1" customHeight="1">
      <c r="B343" s="45" t="str">
        <f>IFERROR(INDEX(ju_tgl,MATCH(ROW(J331),JURNAL!$O:$O,0)),"")</f>
        <v/>
      </c>
      <c r="C343" s="7" t="str">
        <f>IFERROR(INDEX(ju_ref,MATCH(ROW(J331),JURNAL!$O:$O,0)),"")</f>
        <v/>
      </c>
      <c r="D343" s="7" t="str">
        <f>IFERROR(INDEX(ju_ket,MATCH(ROW(J331),JURNAL!$O:$O,0)),"")</f>
        <v/>
      </c>
      <c r="E343" s="39" t="str">
        <f>IFERROR(IF(bb_akun=INDEX(ju_debet,MATCH(ROW(J331),JURNAL!$O:$O,0)),INDEX(ju_sld,MATCH(ROW(K331),JURNAL!$O:$O,0)),0),"")</f>
        <v/>
      </c>
      <c r="F343" s="39" t="str">
        <f>IFERROR(IF(bb_akun=INDEX(ju_kr,MATCH(ROW(J331),JURNAL!$O:$O,0)),INDEX(ju_sld,MATCH(ROW(K331),JURNAL!$O:$O,0)),0),"")</f>
        <v/>
      </c>
      <c r="G343" s="39" t="str">
        <f>IF(B343="","",IF(INDEX(typ_sn,MATCH($C$9,typ_ket,0))="db",$G$8+SUM($E$13:E343)-SUM($F$13:F343),$G$8+SUM($F$13:F343)-SUM($E$13:E343)))</f>
        <v/>
      </c>
    </row>
    <row r="344" spans="2:7" ht="23.1" customHeight="1">
      <c r="B344" s="45" t="str">
        <f>IFERROR(INDEX(ju_tgl,MATCH(ROW(J332),JURNAL!$O:$O,0)),"")</f>
        <v/>
      </c>
      <c r="C344" s="7" t="str">
        <f>IFERROR(INDEX(ju_ref,MATCH(ROW(J332),JURNAL!$O:$O,0)),"")</f>
        <v/>
      </c>
      <c r="D344" s="7" t="str">
        <f>IFERROR(INDEX(ju_ket,MATCH(ROW(J332),JURNAL!$O:$O,0)),"")</f>
        <v/>
      </c>
      <c r="E344" s="39" t="str">
        <f>IFERROR(IF(bb_akun=INDEX(ju_debet,MATCH(ROW(J332),JURNAL!$O:$O,0)),INDEX(ju_sld,MATCH(ROW(K332),JURNAL!$O:$O,0)),0),"")</f>
        <v/>
      </c>
      <c r="F344" s="39" t="str">
        <f>IFERROR(IF(bb_akun=INDEX(ju_kr,MATCH(ROW(J332),JURNAL!$O:$O,0)),INDEX(ju_sld,MATCH(ROW(K332),JURNAL!$O:$O,0)),0),"")</f>
        <v/>
      </c>
      <c r="G344" s="39" t="str">
        <f>IF(B344="","",IF(INDEX(typ_sn,MATCH($C$9,typ_ket,0))="db",$G$8+SUM($E$13:E344)-SUM($F$13:F344),$G$8+SUM($F$13:F344)-SUM($E$13:E344)))</f>
        <v/>
      </c>
    </row>
    <row r="345" spans="2:7" ht="23.1" customHeight="1">
      <c r="B345" s="45" t="str">
        <f>IFERROR(INDEX(ju_tgl,MATCH(ROW(J333),JURNAL!$O:$O,0)),"")</f>
        <v/>
      </c>
      <c r="C345" s="7" t="str">
        <f>IFERROR(INDEX(ju_ref,MATCH(ROW(J333),JURNAL!$O:$O,0)),"")</f>
        <v/>
      </c>
      <c r="D345" s="7" t="str">
        <f>IFERROR(INDEX(ju_ket,MATCH(ROW(J333),JURNAL!$O:$O,0)),"")</f>
        <v/>
      </c>
      <c r="E345" s="39" t="str">
        <f>IFERROR(IF(bb_akun=INDEX(ju_debet,MATCH(ROW(J333),JURNAL!$O:$O,0)),INDEX(ju_sld,MATCH(ROW(K333),JURNAL!$O:$O,0)),0),"")</f>
        <v/>
      </c>
      <c r="F345" s="39" t="str">
        <f>IFERROR(IF(bb_akun=INDEX(ju_kr,MATCH(ROW(J333),JURNAL!$O:$O,0)),INDEX(ju_sld,MATCH(ROW(K333),JURNAL!$O:$O,0)),0),"")</f>
        <v/>
      </c>
      <c r="G345" s="39" t="str">
        <f>IF(B345="","",IF(INDEX(typ_sn,MATCH($C$9,typ_ket,0))="db",$G$8+SUM($E$13:E345)-SUM($F$13:F345),$G$8+SUM($F$13:F345)-SUM($E$13:E345)))</f>
        <v/>
      </c>
    </row>
    <row r="346" spans="2:7" ht="23.1" customHeight="1">
      <c r="B346" s="45" t="str">
        <f>IFERROR(INDEX(ju_tgl,MATCH(ROW(J334),JURNAL!$O:$O,0)),"")</f>
        <v/>
      </c>
      <c r="C346" s="7" t="str">
        <f>IFERROR(INDEX(ju_ref,MATCH(ROW(J334),JURNAL!$O:$O,0)),"")</f>
        <v/>
      </c>
      <c r="D346" s="7" t="str">
        <f>IFERROR(INDEX(ju_ket,MATCH(ROW(J334),JURNAL!$O:$O,0)),"")</f>
        <v/>
      </c>
      <c r="E346" s="39" t="str">
        <f>IFERROR(IF(bb_akun=INDEX(ju_debet,MATCH(ROW(J334),JURNAL!$O:$O,0)),INDEX(ju_sld,MATCH(ROW(K334),JURNAL!$O:$O,0)),0),"")</f>
        <v/>
      </c>
      <c r="F346" s="39" t="str">
        <f>IFERROR(IF(bb_akun=INDEX(ju_kr,MATCH(ROW(J334),JURNAL!$O:$O,0)),INDEX(ju_sld,MATCH(ROW(K334),JURNAL!$O:$O,0)),0),"")</f>
        <v/>
      </c>
      <c r="G346" s="39" t="str">
        <f>IF(B346="","",IF(INDEX(typ_sn,MATCH($C$9,typ_ket,0))="db",$G$8+SUM($E$13:E346)-SUM($F$13:F346),$G$8+SUM($F$13:F346)-SUM($E$13:E346)))</f>
        <v/>
      </c>
    </row>
    <row r="347" spans="2:7" ht="23.1" customHeight="1">
      <c r="B347" s="45" t="str">
        <f>IFERROR(INDEX(ju_tgl,MATCH(ROW(J335),JURNAL!$O:$O,0)),"")</f>
        <v/>
      </c>
      <c r="C347" s="7" t="str">
        <f>IFERROR(INDEX(ju_ref,MATCH(ROW(J335),JURNAL!$O:$O,0)),"")</f>
        <v/>
      </c>
      <c r="D347" s="7" t="str">
        <f>IFERROR(INDEX(ju_ket,MATCH(ROW(J335),JURNAL!$O:$O,0)),"")</f>
        <v/>
      </c>
      <c r="E347" s="39" t="str">
        <f>IFERROR(IF(bb_akun=INDEX(ju_debet,MATCH(ROW(J335),JURNAL!$O:$O,0)),INDEX(ju_sld,MATCH(ROW(K335),JURNAL!$O:$O,0)),0),"")</f>
        <v/>
      </c>
      <c r="F347" s="39" t="str">
        <f>IFERROR(IF(bb_akun=INDEX(ju_kr,MATCH(ROW(J335),JURNAL!$O:$O,0)),INDEX(ju_sld,MATCH(ROW(K335),JURNAL!$O:$O,0)),0),"")</f>
        <v/>
      </c>
      <c r="G347" s="39" t="str">
        <f>IF(B347="","",IF(INDEX(typ_sn,MATCH($C$9,typ_ket,0))="db",$G$8+SUM($E$13:E347)-SUM($F$13:F347),$G$8+SUM($F$13:F347)-SUM($E$13:E347)))</f>
        <v/>
      </c>
    </row>
    <row r="348" spans="2:7" ht="23.1" customHeight="1">
      <c r="B348" s="45" t="str">
        <f>IFERROR(INDEX(ju_tgl,MATCH(ROW(J336),JURNAL!$O:$O,0)),"")</f>
        <v/>
      </c>
      <c r="C348" s="7" t="str">
        <f>IFERROR(INDEX(ju_ref,MATCH(ROW(J336),JURNAL!$O:$O,0)),"")</f>
        <v/>
      </c>
      <c r="D348" s="7" t="str">
        <f>IFERROR(INDEX(ju_ket,MATCH(ROW(J336),JURNAL!$O:$O,0)),"")</f>
        <v/>
      </c>
      <c r="E348" s="39" t="str">
        <f>IFERROR(IF(bb_akun=INDEX(ju_debet,MATCH(ROW(J336),JURNAL!$O:$O,0)),INDEX(ju_sld,MATCH(ROW(K336),JURNAL!$O:$O,0)),0),"")</f>
        <v/>
      </c>
      <c r="F348" s="39" t="str">
        <f>IFERROR(IF(bb_akun=INDEX(ju_kr,MATCH(ROW(J336),JURNAL!$O:$O,0)),INDEX(ju_sld,MATCH(ROW(K336),JURNAL!$O:$O,0)),0),"")</f>
        <v/>
      </c>
      <c r="G348" s="39" t="str">
        <f>IF(B348="","",IF(INDEX(typ_sn,MATCH($C$9,typ_ket,0))="db",$G$8+SUM($E$13:E348)-SUM($F$13:F348),$G$8+SUM($F$13:F348)-SUM($E$13:E348)))</f>
        <v/>
      </c>
    </row>
    <row r="349" spans="2:7" ht="23.1" customHeight="1">
      <c r="B349" s="45" t="str">
        <f>IFERROR(INDEX(ju_tgl,MATCH(ROW(J337),JURNAL!$O:$O,0)),"")</f>
        <v/>
      </c>
      <c r="C349" s="7" t="str">
        <f>IFERROR(INDEX(ju_ref,MATCH(ROW(J337),JURNAL!$O:$O,0)),"")</f>
        <v/>
      </c>
      <c r="D349" s="7" t="str">
        <f>IFERROR(INDEX(ju_ket,MATCH(ROW(J337),JURNAL!$O:$O,0)),"")</f>
        <v/>
      </c>
      <c r="E349" s="39" t="str">
        <f>IFERROR(IF(bb_akun=INDEX(ju_debet,MATCH(ROW(J337),JURNAL!$O:$O,0)),INDEX(ju_sld,MATCH(ROW(K337),JURNAL!$O:$O,0)),0),"")</f>
        <v/>
      </c>
      <c r="F349" s="39" t="str">
        <f>IFERROR(IF(bb_akun=INDEX(ju_kr,MATCH(ROW(J337),JURNAL!$O:$O,0)),INDEX(ju_sld,MATCH(ROW(K337),JURNAL!$O:$O,0)),0),"")</f>
        <v/>
      </c>
      <c r="G349" s="39" t="str">
        <f>IF(B349="","",IF(INDEX(typ_sn,MATCH($C$9,typ_ket,0))="db",$G$8+SUM($E$13:E349)-SUM($F$13:F349),$G$8+SUM($F$13:F349)-SUM($E$13:E349)))</f>
        <v/>
      </c>
    </row>
    <row r="350" spans="2:7" ht="23.1" customHeight="1">
      <c r="B350" s="45" t="str">
        <f>IFERROR(INDEX(ju_tgl,MATCH(ROW(J338),JURNAL!$O:$O,0)),"")</f>
        <v/>
      </c>
      <c r="C350" s="7" t="str">
        <f>IFERROR(INDEX(ju_ref,MATCH(ROW(J338),JURNAL!$O:$O,0)),"")</f>
        <v/>
      </c>
      <c r="D350" s="7" t="str">
        <f>IFERROR(INDEX(ju_ket,MATCH(ROW(J338),JURNAL!$O:$O,0)),"")</f>
        <v/>
      </c>
      <c r="E350" s="39" t="str">
        <f>IFERROR(IF(bb_akun=INDEX(ju_debet,MATCH(ROW(J338),JURNAL!$O:$O,0)),INDEX(ju_sld,MATCH(ROW(K338),JURNAL!$O:$O,0)),0),"")</f>
        <v/>
      </c>
      <c r="F350" s="39" t="str">
        <f>IFERROR(IF(bb_akun=INDEX(ju_kr,MATCH(ROW(J338),JURNAL!$O:$O,0)),INDEX(ju_sld,MATCH(ROW(K338),JURNAL!$O:$O,0)),0),"")</f>
        <v/>
      </c>
      <c r="G350" s="39" t="str">
        <f>IF(B350="","",IF(INDEX(typ_sn,MATCH($C$9,typ_ket,0))="db",$G$8+SUM($E$13:E350)-SUM($F$13:F350),$G$8+SUM($F$13:F350)-SUM($E$13:E350)))</f>
        <v/>
      </c>
    </row>
    <row r="351" spans="2:7" ht="23.1" customHeight="1">
      <c r="B351" s="45" t="str">
        <f>IFERROR(INDEX(ju_tgl,MATCH(ROW(J339),JURNAL!$O:$O,0)),"")</f>
        <v/>
      </c>
      <c r="C351" s="7" t="str">
        <f>IFERROR(INDEX(ju_ref,MATCH(ROW(J339),JURNAL!$O:$O,0)),"")</f>
        <v/>
      </c>
      <c r="D351" s="7" t="str">
        <f>IFERROR(INDEX(ju_ket,MATCH(ROW(J339),JURNAL!$O:$O,0)),"")</f>
        <v/>
      </c>
      <c r="E351" s="39" t="str">
        <f>IFERROR(IF(bb_akun=INDEX(ju_debet,MATCH(ROW(J339),JURNAL!$O:$O,0)),INDEX(ju_sld,MATCH(ROW(K339),JURNAL!$O:$O,0)),0),"")</f>
        <v/>
      </c>
      <c r="F351" s="39" t="str">
        <f>IFERROR(IF(bb_akun=INDEX(ju_kr,MATCH(ROW(J339),JURNAL!$O:$O,0)),INDEX(ju_sld,MATCH(ROW(K339),JURNAL!$O:$O,0)),0),"")</f>
        <v/>
      </c>
      <c r="G351" s="39" t="str">
        <f>IF(B351="","",IF(INDEX(typ_sn,MATCH($C$9,typ_ket,0))="db",$G$8+SUM($E$13:E351)-SUM($F$13:F351),$G$8+SUM($F$13:F351)-SUM($E$13:E351)))</f>
        <v/>
      </c>
    </row>
    <row r="352" spans="2:7" ht="23.1" customHeight="1">
      <c r="B352" s="45" t="str">
        <f>IFERROR(INDEX(ju_tgl,MATCH(ROW(J340),JURNAL!$O:$O,0)),"")</f>
        <v/>
      </c>
      <c r="C352" s="7" t="str">
        <f>IFERROR(INDEX(ju_ref,MATCH(ROW(J340),JURNAL!$O:$O,0)),"")</f>
        <v/>
      </c>
      <c r="D352" s="7" t="str">
        <f>IFERROR(INDEX(ju_ket,MATCH(ROW(J340),JURNAL!$O:$O,0)),"")</f>
        <v/>
      </c>
      <c r="E352" s="39" t="str">
        <f>IFERROR(IF(bb_akun=INDEX(ju_debet,MATCH(ROW(J340),JURNAL!$O:$O,0)),INDEX(ju_sld,MATCH(ROW(K340),JURNAL!$O:$O,0)),0),"")</f>
        <v/>
      </c>
      <c r="F352" s="39" t="str">
        <f>IFERROR(IF(bb_akun=INDEX(ju_kr,MATCH(ROW(J340),JURNAL!$O:$O,0)),INDEX(ju_sld,MATCH(ROW(K340),JURNAL!$O:$O,0)),0),"")</f>
        <v/>
      </c>
      <c r="G352" s="39" t="str">
        <f>IF(B352="","",IF(INDEX(typ_sn,MATCH($C$9,typ_ket,0))="db",$G$8+SUM($E$13:E352)-SUM($F$13:F352),$G$8+SUM($F$13:F352)-SUM($E$13:E352)))</f>
        <v/>
      </c>
    </row>
    <row r="353" spans="2:7" ht="23.1" customHeight="1">
      <c r="B353" s="45" t="str">
        <f>IFERROR(INDEX(ju_tgl,MATCH(ROW(J341),JURNAL!$O:$O,0)),"")</f>
        <v/>
      </c>
      <c r="C353" s="7" t="str">
        <f>IFERROR(INDEX(ju_ref,MATCH(ROW(J341),JURNAL!$O:$O,0)),"")</f>
        <v/>
      </c>
      <c r="D353" s="7" t="str">
        <f>IFERROR(INDEX(ju_ket,MATCH(ROW(J341),JURNAL!$O:$O,0)),"")</f>
        <v/>
      </c>
      <c r="E353" s="39" t="str">
        <f>IFERROR(IF(bb_akun=INDEX(ju_debet,MATCH(ROW(J341),JURNAL!$O:$O,0)),INDEX(ju_sld,MATCH(ROW(K341),JURNAL!$O:$O,0)),0),"")</f>
        <v/>
      </c>
      <c r="F353" s="39" t="str">
        <f>IFERROR(IF(bb_akun=INDEX(ju_kr,MATCH(ROW(J341),JURNAL!$O:$O,0)),INDEX(ju_sld,MATCH(ROW(K341),JURNAL!$O:$O,0)),0),"")</f>
        <v/>
      </c>
      <c r="G353" s="39" t="str">
        <f>IF(B353="","",IF(INDEX(typ_sn,MATCH($C$9,typ_ket,0))="db",$G$8+SUM($E$13:E353)-SUM($F$13:F353),$G$8+SUM($F$13:F353)-SUM($E$13:E353)))</f>
        <v/>
      </c>
    </row>
    <row r="354" spans="2:7" ht="23.1" customHeight="1">
      <c r="B354" s="45" t="str">
        <f>IFERROR(INDEX(ju_tgl,MATCH(ROW(J342),JURNAL!$O:$O,0)),"")</f>
        <v/>
      </c>
      <c r="C354" s="7" t="str">
        <f>IFERROR(INDEX(ju_ref,MATCH(ROW(J342),JURNAL!$O:$O,0)),"")</f>
        <v/>
      </c>
      <c r="D354" s="7" t="str">
        <f>IFERROR(INDEX(ju_ket,MATCH(ROW(J342),JURNAL!$O:$O,0)),"")</f>
        <v/>
      </c>
      <c r="E354" s="39" t="str">
        <f>IFERROR(IF(bb_akun=INDEX(ju_debet,MATCH(ROW(J342),JURNAL!$O:$O,0)),INDEX(ju_sld,MATCH(ROW(K342),JURNAL!$O:$O,0)),0),"")</f>
        <v/>
      </c>
      <c r="F354" s="39" t="str">
        <f>IFERROR(IF(bb_akun=INDEX(ju_kr,MATCH(ROW(J342),JURNAL!$O:$O,0)),INDEX(ju_sld,MATCH(ROW(K342),JURNAL!$O:$O,0)),0),"")</f>
        <v/>
      </c>
      <c r="G354" s="39" t="str">
        <f>IF(B354="","",IF(INDEX(typ_sn,MATCH($C$9,typ_ket,0))="db",$G$8+SUM($E$13:E354)-SUM($F$13:F354),$G$8+SUM($F$13:F354)-SUM($E$13:E354)))</f>
        <v/>
      </c>
    </row>
    <row r="355" spans="2:7" ht="23.1" customHeight="1">
      <c r="B355" s="45" t="str">
        <f>IFERROR(INDEX(ju_tgl,MATCH(ROW(J343),JURNAL!$O:$O,0)),"")</f>
        <v/>
      </c>
      <c r="C355" s="7" t="str">
        <f>IFERROR(INDEX(ju_ref,MATCH(ROW(J343),JURNAL!$O:$O,0)),"")</f>
        <v/>
      </c>
      <c r="D355" s="7" t="str">
        <f>IFERROR(INDEX(ju_ket,MATCH(ROW(J343),JURNAL!$O:$O,0)),"")</f>
        <v/>
      </c>
      <c r="E355" s="39" t="str">
        <f>IFERROR(IF(bb_akun=INDEX(ju_debet,MATCH(ROW(J343),JURNAL!$O:$O,0)),INDEX(ju_sld,MATCH(ROW(K343),JURNAL!$O:$O,0)),0),"")</f>
        <v/>
      </c>
      <c r="F355" s="39" t="str">
        <f>IFERROR(IF(bb_akun=INDEX(ju_kr,MATCH(ROW(J343),JURNAL!$O:$O,0)),INDEX(ju_sld,MATCH(ROW(K343),JURNAL!$O:$O,0)),0),"")</f>
        <v/>
      </c>
      <c r="G355" s="39" t="str">
        <f>IF(B355="","",IF(INDEX(typ_sn,MATCH($C$9,typ_ket,0))="db",$G$8+SUM($E$13:E355)-SUM($F$13:F355),$G$8+SUM($F$13:F355)-SUM($E$13:E355)))</f>
        <v/>
      </c>
    </row>
    <row r="356" spans="2:7" ht="23.1" customHeight="1">
      <c r="B356" s="45" t="str">
        <f>IFERROR(INDEX(ju_tgl,MATCH(ROW(J344),JURNAL!$O:$O,0)),"")</f>
        <v/>
      </c>
      <c r="C356" s="7" t="str">
        <f>IFERROR(INDEX(ju_ref,MATCH(ROW(J344),JURNAL!$O:$O,0)),"")</f>
        <v/>
      </c>
      <c r="D356" s="7" t="str">
        <f>IFERROR(INDEX(ju_ket,MATCH(ROW(J344),JURNAL!$O:$O,0)),"")</f>
        <v/>
      </c>
      <c r="E356" s="39" t="str">
        <f>IFERROR(IF(bb_akun=INDEX(ju_debet,MATCH(ROW(J344),JURNAL!$O:$O,0)),INDEX(ju_sld,MATCH(ROW(K344),JURNAL!$O:$O,0)),0),"")</f>
        <v/>
      </c>
      <c r="F356" s="39" t="str">
        <f>IFERROR(IF(bb_akun=INDEX(ju_kr,MATCH(ROW(J344),JURNAL!$O:$O,0)),INDEX(ju_sld,MATCH(ROW(K344),JURNAL!$O:$O,0)),0),"")</f>
        <v/>
      </c>
      <c r="G356" s="39" t="str">
        <f>IF(B356="","",IF(INDEX(typ_sn,MATCH($C$9,typ_ket,0))="db",$G$8+SUM($E$13:E356)-SUM($F$13:F356),$G$8+SUM($F$13:F356)-SUM($E$13:E356)))</f>
        <v/>
      </c>
    </row>
    <row r="357" spans="2:7" ht="23.1" customHeight="1">
      <c r="B357" s="45" t="str">
        <f>IFERROR(INDEX(ju_tgl,MATCH(ROW(J345),JURNAL!$O:$O,0)),"")</f>
        <v/>
      </c>
      <c r="C357" s="7" t="str">
        <f>IFERROR(INDEX(ju_ref,MATCH(ROW(J345),JURNAL!$O:$O,0)),"")</f>
        <v/>
      </c>
      <c r="D357" s="7" t="str">
        <f>IFERROR(INDEX(ju_ket,MATCH(ROW(J345),JURNAL!$O:$O,0)),"")</f>
        <v/>
      </c>
      <c r="E357" s="39" t="str">
        <f>IFERROR(IF(bb_akun=INDEX(ju_debet,MATCH(ROW(J345),JURNAL!$O:$O,0)),INDEX(ju_sld,MATCH(ROW(K345),JURNAL!$O:$O,0)),0),"")</f>
        <v/>
      </c>
      <c r="F357" s="39" t="str">
        <f>IFERROR(IF(bb_akun=INDEX(ju_kr,MATCH(ROW(J345),JURNAL!$O:$O,0)),INDEX(ju_sld,MATCH(ROW(K345),JURNAL!$O:$O,0)),0),"")</f>
        <v/>
      </c>
      <c r="G357" s="39" t="str">
        <f>IF(B357="","",IF(INDEX(typ_sn,MATCH($C$9,typ_ket,0))="db",$G$8+SUM($E$13:E357)-SUM($F$13:F357),$G$8+SUM($F$13:F357)-SUM($E$13:E357)))</f>
        <v/>
      </c>
    </row>
    <row r="358" spans="2:7" ht="23.1" customHeight="1">
      <c r="B358" s="45" t="str">
        <f>IFERROR(INDEX(ju_tgl,MATCH(ROW(J346),JURNAL!$O:$O,0)),"")</f>
        <v/>
      </c>
      <c r="C358" s="7" t="str">
        <f>IFERROR(INDEX(ju_ref,MATCH(ROW(J346),JURNAL!$O:$O,0)),"")</f>
        <v/>
      </c>
      <c r="D358" s="7" t="str">
        <f>IFERROR(INDEX(ju_ket,MATCH(ROW(J346),JURNAL!$O:$O,0)),"")</f>
        <v/>
      </c>
      <c r="E358" s="39" t="str">
        <f>IFERROR(IF(bb_akun=INDEX(ju_debet,MATCH(ROW(J346),JURNAL!$O:$O,0)),INDEX(ju_sld,MATCH(ROW(K346),JURNAL!$O:$O,0)),0),"")</f>
        <v/>
      </c>
      <c r="F358" s="39" t="str">
        <f>IFERROR(IF(bb_akun=INDEX(ju_kr,MATCH(ROW(J346),JURNAL!$O:$O,0)),INDEX(ju_sld,MATCH(ROW(K346),JURNAL!$O:$O,0)),0),"")</f>
        <v/>
      </c>
      <c r="G358" s="39" t="str">
        <f>IF(B358="","",IF(INDEX(typ_sn,MATCH($C$9,typ_ket,0))="db",$G$8+SUM($E$13:E358)-SUM($F$13:F358),$G$8+SUM($F$13:F358)-SUM($E$13:E358)))</f>
        <v/>
      </c>
    </row>
    <row r="359" spans="2:7" ht="23.1" customHeight="1">
      <c r="B359" s="45" t="str">
        <f>IFERROR(INDEX(ju_tgl,MATCH(ROW(J347),JURNAL!$O:$O,0)),"")</f>
        <v/>
      </c>
      <c r="C359" s="7" t="str">
        <f>IFERROR(INDEX(ju_ref,MATCH(ROW(J347),JURNAL!$O:$O,0)),"")</f>
        <v/>
      </c>
      <c r="D359" s="7" t="str">
        <f>IFERROR(INDEX(ju_ket,MATCH(ROW(J347),JURNAL!$O:$O,0)),"")</f>
        <v/>
      </c>
      <c r="E359" s="39" t="str">
        <f>IFERROR(IF(bb_akun=INDEX(ju_debet,MATCH(ROW(J347),JURNAL!$O:$O,0)),INDEX(ju_sld,MATCH(ROW(K347),JURNAL!$O:$O,0)),0),"")</f>
        <v/>
      </c>
      <c r="F359" s="39" t="str">
        <f>IFERROR(IF(bb_akun=INDEX(ju_kr,MATCH(ROW(J347),JURNAL!$O:$O,0)),INDEX(ju_sld,MATCH(ROW(K347),JURNAL!$O:$O,0)),0),"")</f>
        <v/>
      </c>
      <c r="G359" s="39" t="str">
        <f>IF(B359="","",IF(INDEX(typ_sn,MATCH($C$9,typ_ket,0))="db",$G$8+SUM($E$13:E359)-SUM($F$13:F359),$G$8+SUM($F$13:F359)-SUM($E$13:E359)))</f>
        <v/>
      </c>
    </row>
    <row r="360" spans="2:7" ht="23.1" customHeight="1">
      <c r="B360" s="45" t="str">
        <f>IFERROR(INDEX(ju_tgl,MATCH(ROW(J348),JURNAL!$O:$O,0)),"")</f>
        <v/>
      </c>
      <c r="C360" s="7" t="str">
        <f>IFERROR(INDEX(ju_ref,MATCH(ROW(J348),JURNAL!$O:$O,0)),"")</f>
        <v/>
      </c>
      <c r="D360" s="7" t="str">
        <f>IFERROR(INDEX(ju_ket,MATCH(ROW(J348),JURNAL!$O:$O,0)),"")</f>
        <v/>
      </c>
      <c r="E360" s="39" t="str">
        <f>IFERROR(IF(bb_akun=INDEX(ju_debet,MATCH(ROW(J348),JURNAL!$O:$O,0)),INDEX(ju_sld,MATCH(ROW(K348),JURNAL!$O:$O,0)),0),"")</f>
        <v/>
      </c>
      <c r="F360" s="39" t="str">
        <f>IFERROR(IF(bb_akun=INDEX(ju_kr,MATCH(ROW(J348),JURNAL!$O:$O,0)),INDEX(ju_sld,MATCH(ROW(K348),JURNAL!$O:$O,0)),0),"")</f>
        <v/>
      </c>
      <c r="G360" s="39" t="str">
        <f>IF(B360="","",IF(INDEX(typ_sn,MATCH($C$9,typ_ket,0))="db",$G$8+SUM($E$13:E360)-SUM($F$13:F360),$G$8+SUM($F$13:F360)-SUM($E$13:E360)))</f>
        <v/>
      </c>
    </row>
    <row r="361" spans="2:7" ht="23.1" customHeight="1">
      <c r="B361" s="45" t="str">
        <f>IFERROR(INDEX(ju_tgl,MATCH(ROW(J349),JURNAL!$O:$O,0)),"")</f>
        <v/>
      </c>
      <c r="C361" s="7" t="str">
        <f>IFERROR(INDEX(ju_ref,MATCH(ROW(J349),JURNAL!$O:$O,0)),"")</f>
        <v/>
      </c>
      <c r="D361" s="7" t="str">
        <f>IFERROR(INDEX(ju_ket,MATCH(ROW(J349),JURNAL!$O:$O,0)),"")</f>
        <v/>
      </c>
      <c r="E361" s="39" t="str">
        <f>IFERROR(IF(bb_akun=INDEX(ju_debet,MATCH(ROW(J349),JURNAL!$O:$O,0)),INDEX(ju_sld,MATCH(ROW(K349),JURNAL!$O:$O,0)),0),"")</f>
        <v/>
      </c>
      <c r="F361" s="39" t="str">
        <f>IFERROR(IF(bb_akun=INDEX(ju_kr,MATCH(ROW(J349),JURNAL!$O:$O,0)),INDEX(ju_sld,MATCH(ROW(K349),JURNAL!$O:$O,0)),0),"")</f>
        <v/>
      </c>
      <c r="G361" s="39" t="str">
        <f>IF(B361="","",IF(INDEX(typ_sn,MATCH($C$9,typ_ket,0))="db",$G$8+SUM($E$13:E361)-SUM($F$13:F361),$G$8+SUM($F$13:F361)-SUM($E$13:E361)))</f>
        <v/>
      </c>
    </row>
    <row r="362" spans="2:7" ht="23.1" customHeight="1">
      <c r="B362" s="45" t="str">
        <f>IFERROR(INDEX(ju_tgl,MATCH(ROW(J350),JURNAL!$O:$O,0)),"")</f>
        <v/>
      </c>
      <c r="C362" s="7" t="str">
        <f>IFERROR(INDEX(ju_ref,MATCH(ROW(J350),JURNAL!$O:$O,0)),"")</f>
        <v/>
      </c>
      <c r="D362" s="7" t="str">
        <f>IFERROR(INDEX(ju_ket,MATCH(ROW(J350),JURNAL!$O:$O,0)),"")</f>
        <v/>
      </c>
      <c r="E362" s="39" t="str">
        <f>IFERROR(IF(bb_akun=INDEX(ju_debet,MATCH(ROW(J350),JURNAL!$O:$O,0)),INDEX(ju_sld,MATCH(ROW(K350),JURNAL!$O:$O,0)),0),"")</f>
        <v/>
      </c>
      <c r="F362" s="39" t="str">
        <f>IFERROR(IF(bb_akun=INDEX(ju_kr,MATCH(ROW(J350),JURNAL!$O:$O,0)),INDEX(ju_sld,MATCH(ROW(K350),JURNAL!$O:$O,0)),0),"")</f>
        <v/>
      </c>
      <c r="G362" s="39" t="str">
        <f>IF(B362="","",IF(INDEX(typ_sn,MATCH($C$9,typ_ket,0))="db",$G$8+SUM($E$13:E362)-SUM($F$13:F362),$G$8+SUM($F$13:F362)-SUM($E$13:E362)))</f>
        <v/>
      </c>
    </row>
    <row r="363" spans="2:7" ht="23.1" customHeight="1">
      <c r="B363" s="45" t="str">
        <f>IFERROR(INDEX(ju_tgl,MATCH(ROW(J351),JURNAL!$O:$O,0)),"")</f>
        <v/>
      </c>
      <c r="C363" s="7" t="str">
        <f>IFERROR(INDEX(ju_ref,MATCH(ROW(J351),JURNAL!$O:$O,0)),"")</f>
        <v/>
      </c>
      <c r="D363" s="7" t="str">
        <f>IFERROR(INDEX(ju_ket,MATCH(ROW(J351),JURNAL!$O:$O,0)),"")</f>
        <v/>
      </c>
      <c r="E363" s="39" t="str">
        <f>IFERROR(IF(bb_akun=INDEX(ju_debet,MATCH(ROW(J351),JURNAL!$O:$O,0)),INDEX(ju_sld,MATCH(ROW(K351),JURNAL!$O:$O,0)),0),"")</f>
        <v/>
      </c>
      <c r="F363" s="39" t="str">
        <f>IFERROR(IF(bb_akun=INDEX(ju_kr,MATCH(ROW(J351),JURNAL!$O:$O,0)),INDEX(ju_sld,MATCH(ROW(K351),JURNAL!$O:$O,0)),0),"")</f>
        <v/>
      </c>
      <c r="G363" s="39" t="str">
        <f>IF(B363="","",IF(INDEX(typ_sn,MATCH($C$9,typ_ket,0))="db",$G$8+SUM($E$13:E363)-SUM($F$13:F363),$G$8+SUM($F$13:F363)-SUM($E$13:E363)))</f>
        <v/>
      </c>
    </row>
    <row r="364" spans="2:7" ht="23.1" customHeight="1">
      <c r="B364" s="45" t="str">
        <f>IFERROR(INDEX(ju_tgl,MATCH(ROW(J352),JURNAL!$O:$O,0)),"")</f>
        <v/>
      </c>
      <c r="C364" s="7" t="str">
        <f>IFERROR(INDEX(ju_ref,MATCH(ROW(J352),JURNAL!$O:$O,0)),"")</f>
        <v/>
      </c>
      <c r="D364" s="7" t="str">
        <f>IFERROR(INDEX(ju_ket,MATCH(ROW(J352),JURNAL!$O:$O,0)),"")</f>
        <v/>
      </c>
      <c r="E364" s="39" t="str">
        <f>IFERROR(IF(bb_akun=INDEX(ju_debet,MATCH(ROW(J352),JURNAL!$O:$O,0)),INDEX(ju_sld,MATCH(ROW(K352),JURNAL!$O:$O,0)),0),"")</f>
        <v/>
      </c>
      <c r="F364" s="39" t="str">
        <f>IFERROR(IF(bb_akun=INDEX(ju_kr,MATCH(ROW(J352),JURNAL!$O:$O,0)),INDEX(ju_sld,MATCH(ROW(K352),JURNAL!$O:$O,0)),0),"")</f>
        <v/>
      </c>
      <c r="G364" s="39" t="str">
        <f>IF(B364="","",IF(INDEX(typ_sn,MATCH($C$9,typ_ket,0))="db",$G$8+SUM($E$13:E364)-SUM($F$13:F364),$G$8+SUM($F$13:F364)-SUM($E$13:E364)))</f>
        <v/>
      </c>
    </row>
    <row r="365" spans="2:7" ht="23.1" customHeight="1">
      <c r="B365" s="45" t="str">
        <f>IFERROR(INDEX(ju_tgl,MATCH(ROW(J353),JURNAL!$O:$O,0)),"")</f>
        <v/>
      </c>
      <c r="C365" s="7" t="str">
        <f>IFERROR(INDEX(ju_ref,MATCH(ROW(J353),JURNAL!$O:$O,0)),"")</f>
        <v/>
      </c>
      <c r="D365" s="331" t="str">
        <f>IFERROR(INDEX(ju_ket,MATCH(ROW(J353),JURNAL!$O:$O,0)),"")</f>
        <v/>
      </c>
      <c r="E365" s="332" t="str">
        <f>IFERROR(IF(bb_akun=INDEX(ju_debet,MATCH(ROW(J353),JURNAL!$O:$O,0)),INDEX(ju_sld,MATCH(ROW(K353),JURNAL!$O:$O,0)),0),"")</f>
        <v/>
      </c>
      <c r="F365" s="332" t="str">
        <f>IFERROR(IF(bb_akun=INDEX(ju_kr,MATCH(ROW(J353),JURNAL!$O:$O,0)),INDEX(ju_sld,MATCH(ROW(K353),JURNAL!$O:$O,0)),0),"")</f>
        <v/>
      </c>
      <c r="G365" s="39" t="str">
        <f>IF(B365="","",IF(INDEX(typ_sn,MATCH($C$9,typ_ket,0))="db",$G$8+SUM($E$13:E365)-SUM($F$13:F365),$G$8+SUM($F$13:F365)-SUM($E$13:E365)))</f>
        <v/>
      </c>
    </row>
    <row r="366" spans="2:7" ht="23.1" customHeight="1">
      <c r="B366" s="45" t="str">
        <f>IFERROR(INDEX(ju_tgl,MATCH(ROW(J354),JURNAL!$O:$O,0)),"")</f>
        <v/>
      </c>
      <c r="C366" s="7" t="str">
        <f>IFERROR(INDEX(ju_ref,MATCH(ROW(J354),JURNAL!$O:$O,0)),"")</f>
        <v/>
      </c>
      <c r="D366" s="7" t="str">
        <f>IFERROR(INDEX(ju_ket,MATCH(ROW(J354),JURNAL!$O:$O,0)),"")</f>
        <v/>
      </c>
      <c r="E366" s="39" t="str">
        <f>IFERROR(IF(bb_akun=INDEX(ju_debet,MATCH(ROW(J354),JURNAL!$O:$O,0)),INDEX(ju_sld,MATCH(ROW(K354),JURNAL!$O:$O,0)),0),"")</f>
        <v/>
      </c>
      <c r="F366" s="39" t="str">
        <f>IFERROR(IF(bb_akun=INDEX(ju_kr,MATCH(ROW(J354),JURNAL!$O:$O,0)),INDEX(ju_sld,MATCH(ROW(K354),JURNAL!$O:$O,0)),0),"")</f>
        <v/>
      </c>
      <c r="G366" s="39" t="str">
        <f>IF(B366="","",IF(INDEX(typ_sn,MATCH($C$9,typ_ket,0))="db",$G$8+SUM($E$13:E366)-SUM($F$13:F366),$G$8+SUM($F$13:F366)-SUM($E$13:E366)))</f>
        <v/>
      </c>
    </row>
    <row r="367" spans="2:7" ht="23.1" customHeight="1">
      <c r="B367" s="45" t="str">
        <f>IFERROR(INDEX(ju_tgl,MATCH(ROW(J355),JURNAL!$O:$O,0)),"")</f>
        <v/>
      </c>
      <c r="C367" s="7" t="str">
        <f>IFERROR(INDEX(ju_ref,MATCH(ROW(J355),JURNAL!$O:$O,0)),"")</f>
        <v/>
      </c>
      <c r="D367" s="7" t="str">
        <f>IFERROR(INDEX(ju_ket,MATCH(ROW(J355),JURNAL!$O:$O,0)),"")</f>
        <v/>
      </c>
      <c r="E367" s="39" t="str">
        <f>IFERROR(IF(bb_akun=INDEX(ju_debet,MATCH(ROW(J355),JURNAL!$O:$O,0)),INDEX(ju_sld,MATCH(ROW(K355),JURNAL!$O:$O,0)),0),"")</f>
        <v/>
      </c>
      <c r="F367" s="39" t="str">
        <f>IFERROR(IF(bb_akun=INDEX(ju_kr,MATCH(ROW(J355),JURNAL!$O:$O,0)),INDEX(ju_sld,MATCH(ROW(K355),JURNAL!$O:$O,0)),0),"")</f>
        <v/>
      </c>
      <c r="G367" s="39" t="str">
        <f>IF(B367="","",IF(INDEX(typ_sn,MATCH($C$9,typ_ket,0))="db",$G$8+SUM($E$13:E367)-SUM($F$13:F367),$G$8+SUM($F$13:F367)-SUM($E$13:E367)))</f>
        <v/>
      </c>
    </row>
    <row r="368" spans="2:7" ht="23.1" customHeight="1">
      <c r="B368" s="45" t="str">
        <f>IFERROR(INDEX(ju_tgl,MATCH(ROW(J356),JURNAL!$O:$O,0)),"")</f>
        <v/>
      </c>
      <c r="C368" s="7" t="str">
        <f>IFERROR(INDEX(ju_ref,MATCH(ROW(J356),JURNAL!$O:$O,0)),"")</f>
        <v/>
      </c>
      <c r="D368" s="7" t="str">
        <f>IFERROR(INDEX(ju_ket,MATCH(ROW(J356),JURNAL!$O:$O,0)),"")</f>
        <v/>
      </c>
      <c r="E368" s="39" t="str">
        <f>IFERROR(IF(bb_akun=INDEX(ju_debet,MATCH(ROW(J356),JURNAL!$O:$O,0)),INDEX(ju_sld,MATCH(ROW(K356),JURNAL!$O:$O,0)),0),"")</f>
        <v/>
      </c>
      <c r="F368" s="39" t="str">
        <f>IFERROR(IF(bb_akun=INDEX(ju_kr,MATCH(ROW(J356),JURNAL!$O:$O,0)),INDEX(ju_sld,MATCH(ROW(K356),JURNAL!$O:$O,0)),0),"")</f>
        <v/>
      </c>
      <c r="G368" s="39" t="str">
        <f>IF(B368="","",IF(INDEX(typ_sn,MATCH($C$9,typ_ket,0))="db",$G$8+SUM($E$13:E368)-SUM($F$13:F368),$G$8+SUM($F$13:F368)-SUM($E$13:E368)))</f>
        <v/>
      </c>
    </row>
    <row r="369" spans="2:7" ht="23.1" customHeight="1">
      <c r="B369" s="45" t="str">
        <f>IFERROR(INDEX(ju_tgl,MATCH(ROW(J357),JURNAL!$O:$O,0)),"")</f>
        <v/>
      </c>
      <c r="C369" s="7" t="str">
        <f>IFERROR(INDEX(ju_ref,MATCH(ROW(J357),JURNAL!$O:$O,0)),"")</f>
        <v/>
      </c>
      <c r="D369" s="7" t="str">
        <f>IFERROR(INDEX(ju_ket,MATCH(ROW(J357),JURNAL!$O:$O,0)),"")</f>
        <v/>
      </c>
      <c r="E369" s="39" t="str">
        <f>IFERROR(IF(bb_akun=INDEX(ju_debet,MATCH(ROW(J357),JURNAL!$O:$O,0)),INDEX(ju_sld,MATCH(ROW(K357),JURNAL!$O:$O,0)),0),"")</f>
        <v/>
      </c>
      <c r="F369" s="39" t="str">
        <f>IFERROR(IF(bb_akun=INDEX(ju_kr,MATCH(ROW(J357),JURNAL!$O:$O,0)),INDEX(ju_sld,MATCH(ROW(K357),JURNAL!$O:$O,0)),0),"")</f>
        <v/>
      </c>
      <c r="G369" s="39" t="str">
        <f>IF(B369="","",IF(INDEX(typ_sn,MATCH($C$9,typ_ket,0))="db",$G$8+SUM($E$13:E369)-SUM($F$13:F369),$G$8+SUM($F$13:F369)-SUM($E$13:E369)))</f>
        <v/>
      </c>
    </row>
    <row r="370" spans="2:7" ht="23.1" customHeight="1">
      <c r="B370" s="45" t="str">
        <f>IFERROR(INDEX(ju_tgl,MATCH(ROW(J358),JURNAL!$O:$O,0)),"")</f>
        <v/>
      </c>
      <c r="C370" s="7" t="str">
        <f>IFERROR(INDEX(ju_ref,MATCH(ROW(J358),JURNAL!$O:$O,0)),"")</f>
        <v/>
      </c>
      <c r="D370" s="7" t="str">
        <f>IFERROR(INDEX(ju_ket,MATCH(ROW(J358),JURNAL!$O:$O,0)),"")</f>
        <v/>
      </c>
      <c r="E370" s="39" t="str">
        <f>IFERROR(IF(bb_akun=INDEX(ju_debet,MATCH(ROW(J358),JURNAL!$O:$O,0)),INDEX(ju_sld,MATCH(ROW(K358),JURNAL!$O:$O,0)),0),"")</f>
        <v/>
      </c>
      <c r="F370" s="39" t="str">
        <f>IFERROR(IF(bb_akun=INDEX(ju_kr,MATCH(ROW(J358),JURNAL!$O:$O,0)),INDEX(ju_sld,MATCH(ROW(K358),JURNAL!$O:$O,0)),0),"")</f>
        <v/>
      </c>
      <c r="G370" s="39" t="str">
        <f>IF(B370="","",IF(INDEX(typ_sn,MATCH($C$9,typ_ket,0))="db",$G$8+SUM($E$13:E370)-SUM($F$13:F370),$G$8+SUM($F$13:F370)-SUM($E$13:E370)))</f>
        <v/>
      </c>
    </row>
    <row r="371" spans="2:7" ht="23.1" customHeight="1">
      <c r="B371" s="45" t="str">
        <f>IFERROR(INDEX(ju_tgl,MATCH(ROW(J359),JURNAL!$O:$O,0)),"")</f>
        <v/>
      </c>
      <c r="C371" s="7" t="str">
        <f>IFERROR(INDEX(ju_ref,MATCH(ROW(J359),JURNAL!$O:$O,0)),"")</f>
        <v/>
      </c>
      <c r="D371" s="7" t="str">
        <f>IFERROR(INDEX(ju_ket,MATCH(ROW(J359),JURNAL!$O:$O,0)),"")</f>
        <v/>
      </c>
      <c r="E371" s="39" t="str">
        <f>IFERROR(IF(bb_akun=INDEX(ju_debet,MATCH(ROW(J359),JURNAL!$O:$O,0)),INDEX(ju_sld,MATCH(ROW(K359),JURNAL!$O:$O,0)),0),"")</f>
        <v/>
      </c>
      <c r="F371" s="39" t="str">
        <f>IFERROR(IF(bb_akun=INDEX(ju_kr,MATCH(ROW(J359),JURNAL!$O:$O,0)),INDEX(ju_sld,MATCH(ROW(K359),JURNAL!$O:$O,0)),0),"")</f>
        <v/>
      </c>
      <c r="G371" s="39" t="str">
        <f>IF(B371="","",IF(INDEX(typ_sn,MATCH($C$9,typ_ket,0))="db",$G$8+SUM($E$13:E371)-SUM($F$13:F371),$G$8+SUM($F$13:F371)-SUM($E$13:E371)))</f>
        <v/>
      </c>
    </row>
    <row r="372" spans="2:7" ht="23.1" customHeight="1">
      <c r="B372" s="45" t="str">
        <f>IFERROR(INDEX(ju_tgl,MATCH(ROW(J360),JURNAL!$O:$O,0)),"")</f>
        <v/>
      </c>
      <c r="C372" s="7" t="str">
        <f>IFERROR(INDEX(ju_ref,MATCH(ROW(J360),JURNAL!$O:$O,0)),"")</f>
        <v/>
      </c>
      <c r="D372" s="7" t="str">
        <f>IFERROR(INDEX(ju_ket,MATCH(ROW(J360),JURNAL!$O:$O,0)),"")</f>
        <v/>
      </c>
      <c r="E372" s="39" t="str">
        <f>IFERROR(IF(bb_akun=INDEX(ju_debet,MATCH(ROW(J360),JURNAL!$O:$O,0)),INDEX(ju_sld,MATCH(ROW(K360),JURNAL!$O:$O,0)),0),"")</f>
        <v/>
      </c>
      <c r="F372" s="39" t="str">
        <f>IFERROR(IF(bb_akun=INDEX(ju_kr,MATCH(ROW(J360),JURNAL!$O:$O,0)),INDEX(ju_sld,MATCH(ROW(K360),JURNAL!$O:$O,0)),0),"")</f>
        <v/>
      </c>
      <c r="G372" s="39" t="str">
        <f>IF(B372="","",IF(INDEX(typ_sn,MATCH($C$9,typ_ket,0))="db",$G$8+SUM($E$13:E372)-SUM($F$13:F372),$G$8+SUM($F$13:F372)-SUM($E$13:E372)))</f>
        <v/>
      </c>
    </row>
    <row r="373" spans="2:7" ht="23.1" customHeight="1">
      <c r="B373" s="45" t="str">
        <f>IFERROR(INDEX(ju_tgl,MATCH(ROW(J361),JURNAL!$O:$O,0)),"")</f>
        <v/>
      </c>
      <c r="C373" s="7" t="str">
        <f>IFERROR(INDEX(ju_ref,MATCH(ROW(J361),JURNAL!$O:$O,0)),"")</f>
        <v/>
      </c>
      <c r="D373" s="7" t="str">
        <f>IFERROR(INDEX(ju_ket,MATCH(ROW(J361),JURNAL!$O:$O,0)),"")</f>
        <v/>
      </c>
      <c r="E373" s="39" t="str">
        <f>IFERROR(IF(bb_akun=INDEX(ju_debet,MATCH(ROW(J361),JURNAL!$O:$O,0)),INDEX(ju_sld,MATCH(ROW(K361),JURNAL!$O:$O,0)),0),"")</f>
        <v/>
      </c>
      <c r="F373" s="39" t="str">
        <f>IFERROR(IF(bb_akun=INDEX(ju_kr,MATCH(ROW(J361),JURNAL!$O:$O,0)),INDEX(ju_sld,MATCH(ROW(K361),JURNAL!$O:$O,0)),0),"")</f>
        <v/>
      </c>
      <c r="G373" s="39" t="str">
        <f>IF(B373="","",IF(INDEX(typ_sn,MATCH($C$9,typ_ket,0))="db",$G$8+SUM($E$13:E373)-SUM($F$13:F373),$G$8+SUM($F$13:F373)-SUM($E$13:E373)))</f>
        <v/>
      </c>
    </row>
    <row r="374" spans="2:7" ht="23.1" customHeight="1">
      <c r="B374" s="45" t="str">
        <f>IFERROR(INDEX(ju_tgl,MATCH(ROW(J362),JURNAL!$O:$O,0)),"")</f>
        <v/>
      </c>
      <c r="C374" s="7" t="str">
        <f>IFERROR(INDEX(ju_ref,MATCH(ROW(J362),JURNAL!$O:$O,0)),"")</f>
        <v/>
      </c>
      <c r="D374" s="7" t="str">
        <f>IFERROR(INDEX(ju_ket,MATCH(ROW(J362),JURNAL!$O:$O,0)),"")</f>
        <v/>
      </c>
      <c r="E374" s="39" t="str">
        <f>IFERROR(IF(bb_akun=INDEX(ju_debet,MATCH(ROW(J362),JURNAL!$O:$O,0)),INDEX(ju_sld,MATCH(ROW(K362),JURNAL!$O:$O,0)),0),"")</f>
        <v/>
      </c>
      <c r="F374" s="39" t="str">
        <f>IFERROR(IF(bb_akun=INDEX(ju_kr,MATCH(ROW(J362),JURNAL!$O:$O,0)),INDEX(ju_sld,MATCH(ROW(K362),JURNAL!$O:$O,0)),0),"")</f>
        <v/>
      </c>
      <c r="G374" s="39" t="str">
        <f>IF(B374="","",IF(INDEX(typ_sn,MATCH($C$9,typ_ket,0))="db",$G$8+SUM($E$13:E374)-SUM($F$13:F374),$G$8+SUM($F$13:F374)-SUM($E$13:E374)))</f>
        <v/>
      </c>
    </row>
    <row r="375" spans="2:7" ht="23.1" customHeight="1">
      <c r="B375" s="45" t="str">
        <f>IFERROR(INDEX(ju_tgl,MATCH(ROW(J363),JURNAL!$O:$O,0)),"")</f>
        <v/>
      </c>
      <c r="C375" s="7" t="str">
        <f>IFERROR(INDEX(ju_ref,MATCH(ROW(J363),JURNAL!$O:$O,0)),"")</f>
        <v/>
      </c>
      <c r="D375" s="7" t="str">
        <f>IFERROR(INDEX(ju_ket,MATCH(ROW(J363),JURNAL!$O:$O,0)),"")</f>
        <v/>
      </c>
      <c r="E375" s="39" t="str">
        <f>IFERROR(IF(bb_akun=INDEX(ju_debet,MATCH(ROW(J363),JURNAL!$O:$O,0)),INDEX(ju_sld,MATCH(ROW(K363),JURNAL!$O:$O,0)),0),"")</f>
        <v/>
      </c>
      <c r="F375" s="39" t="str">
        <f>IFERROR(IF(bb_akun=INDEX(ju_kr,MATCH(ROW(J363),JURNAL!$O:$O,0)),INDEX(ju_sld,MATCH(ROW(K363),JURNAL!$O:$O,0)),0),"")</f>
        <v/>
      </c>
      <c r="G375" s="39" t="str">
        <f>IF(B375="","",IF(INDEX(typ_sn,MATCH($C$9,typ_ket,0))="db",$G$8+SUM($E$13:E375)-SUM($F$13:F375),$G$8+SUM($F$13:F375)-SUM($E$13:E375)))</f>
        <v/>
      </c>
    </row>
    <row r="376" spans="2:7" ht="23.1" customHeight="1">
      <c r="B376" s="45" t="str">
        <f>IFERROR(INDEX(ju_tgl,MATCH(ROW(J364),JURNAL!$O:$O,0)),"")</f>
        <v/>
      </c>
      <c r="C376" s="7" t="str">
        <f>IFERROR(INDEX(ju_ref,MATCH(ROW(J364),JURNAL!$O:$O,0)),"")</f>
        <v/>
      </c>
      <c r="D376" s="7" t="str">
        <f>IFERROR(INDEX(ju_ket,MATCH(ROW(J364),JURNAL!$O:$O,0)),"")</f>
        <v/>
      </c>
      <c r="E376" s="39" t="str">
        <f>IFERROR(IF(bb_akun=INDEX(ju_debet,MATCH(ROW(J364),JURNAL!$O:$O,0)),INDEX(ju_sld,MATCH(ROW(K364),JURNAL!$O:$O,0)),0),"")</f>
        <v/>
      </c>
      <c r="F376" s="39" t="str">
        <f>IFERROR(IF(bb_akun=INDEX(ju_kr,MATCH(ROW(J364),JURNAL!$O:$O,0)),INDEX(ju_sld,MATCH(ROW(K364),JURNAL!$O:$O,0)),0),"")</f>
        <v/>
      </c>
      <c r="G376" s="39" t="str">
        <f>IF(B376="","",IF(INDEX(typ_sn,MATCH($C$9,typ_ket,0))="db",$G$8+SUM($E$13:E376)-SUM($F$13:F376),$G$8+SUM($F$13:F376)-SUM($E$13:E376)))</f>
        <v/>
      </c>
    </row>
    <row r="377" spans="2:7" ht="23.1" customHeight="1">
      <c r="B377" s="45" t="str">
        <f>IFERROR(INDEX(ju_tgl,MATCH(ROW(J365),JURNAL!$O:$O,0)),"")</f>
        <v/>
      </c>
      <c r="C377" s="7" t="str">
        <f>IFERROR(INDEX(ju_ref,MATCH(ROW(J365),JURNAL!$O:$O,0)),"")</f>
        <v/>
      </c>
      <c r="D377" s="7" t="str">
        <f>IFERROR(INDEX(ju_ket,MATCH(ROW(J365),JURNAL!$O:$O,0)),"")</f>
        <v/>
      </c>
      <c r="E377" s="39" t="str">
        <f>IFERROR(IF(bb_akun=INDEX(ju_debet,MATCH(ROW(J365),JURNAL!$O:$O,0)),INDEX(ju_sld,MATCH(ROW(K365),JURNAL!$O:$O,0)),0),"")</f>
        <v/>
      </c>
      <c r="F377" s="39" t="str">
        <f>IFERROR(IF(bb_akun=INDEX(ju_kr,MATCH(ROW(J365),JURNAL!$O:$O,0)),INDEX(ju_sld,MATCH(ROW(K365),JURNAL!$O:$O,0)),0),"")</f>
        <v/>
      </c>
      <c r="G377" s="39" t="str">
        <f>IF(B377="","",IF(INDEX(typ_sn,MATCH($C$9,typ_ket,0))="db",$G$8+SUM($E$13:E377)-SUM($F$13:F377),$G$8+SUM($F$13:F377)-SUM($E$13:E377)))</f>
        <v/>
      </c>
    </row>
    <row r="378" spans="2:7" ht="23.1" customHeight="1">
      <c r="B378" s="45" t="str">
        <f>IFERROR(INDEX(ju_tgl,MATCH(ROW(J366),JURNAL!$O:$O,0)),"")</f>
        <v/>
      </c>
      <c r="C378" s="7" t="str">
        <f>IFERROR(INDEX(ju_ref,MATCH(ROW(J366),JURNAL!$O:$O,0)),"")</f>
        <v/>
      </c>
      <c r="D378" s="7" t="str">
        <f>IFERROR(INDEX(ju_ket,MATCH(ROW(J366),JURNAL!$O:$O,0)),"")</f>
        <v/>
      </c>
      <c r="E378" s="39" t="str">
        <f>IFERROR(IF(bb_akun=INDEX(ju_debet,MATCH(ROW(J366),JURNAL!$O:$O,0)),INDEX(ju_sld,MATCH(ROW(K366),JURNAL!$O:$O,0)),0),"")</f>
        <v/>
      </c>
      <c r="F378" s="39" t="str">
        <f>IFERROR(IF(bb_akun=INDEX(ju_kr,MATCH(ROW(J366),JURNAL!$O:$O,0)),INDEX(ju_sld,MATCH(ROW(K366),JURNAL!$O:$O,0)),0),"")</f>
        <v/>
      </c>
      <c r="G378" s="39" t="str">
        <f>IF(B378="","",IF(INDEX(typ_sn,MATCH($C$9,typ_ket,0))="db",$G$8+SUM($E$13:E378)-SUM($F$13:F378),$G$8+SUM($F$13:F378)-SUM($E$13:E378)))</f>
        <v/>
      </c>
    </row>
    <row r="379" spans="2:7" ht="23.1" customHeight="1">
      <c r="B379" s="45" t="str">
        <f>IFERROR(INDEX(ju_tgl,MATCH(ROW(J367),JURNAL!$O:$O,0)),"")</f>
        <v/>
      </c>
      <c r="C379" s="7" t="str">
        <f>IFERROR(INDEX(ju_ref,MATCH(ROW(J367),JURNAL!$O:$O,0)),"")</f>
        <v/>
      </c>
      <c r="D379" s="7" t="str">
        <f>IFERROR(INDEX(ju_ket,MATCH(ROW(J367),JURNAL!$O:$O,0)),"")</f>
        <v/>
      </c>
      <c r="E379" s="39" t="str">
        <f>IFERROR(IF(bb_akun=INDEX(ju_debet,MATCH(ROW(J367),JURNAL!$O:$O,0)),INDEX(ju_sld,MATCH(ROW(K367),JURNAL!$O:$O,0)),0),"")</f>
        <v/>
      </c>
      <c r="F379" s="39" t="str">
        <f>IFERROR(IF(bb_akun=INDEX(ju_kr,MATCH(ROW(J367),JURNAL!$O:$O,0)),INDEX(ju_sld,MATCH(ROW(K367),JURNAL!$O:$O,0)),0),"")</f>
        <v/>
      </c>
      <c r="G379" s="39" t="str">
        <f>IF(B379="","",IF(INDEX(typ_sn,MATCH($C$9,typ_ket,0))="db",$G$8+SUM($E$13:E379)-SUM($F$13:F379),$G$8+SUM($F$13:F379)-SUM($E$13:E379)))</f>
        <v/>
      </c>
    </row>
    <row r="380" spans="2:7" ht="23.1" customHeight="1">
      <c r="B380" s="45" t="str">
        <f>IFERROR(INDEX(ju_tgl,MATCH(ROW(J368),JURNAL!$O:$O,0)),"")</f>
        <v/>
      </c>
      <c r="C380" s="7" t="str">
        <f>IFERROR(INDEX(ju_ref,MATCH(ROW(J368),JURNAL!$O:$O,0)),"")</f>
        <v/>
      </c>
      <c r="D380" s="7" t="str">
        <f>IFERROR(INDEX(ju_ket,MATCH(ROW(J368),JURNAL!$O:$O,0)),"")</f>
        <v/>
      </c>
      <c r="E380" s="39" t="str">
        <f>IFERROR(IF(bb_akun=INDEX(ju_debet,MATCH(ROW(J368),JURNAL!$O:$O,0)),INDEX(ju_sld,MATCH(ROW(K368),JURNAL!$O:$O,0)),0),"")</f>
        <v/>
      </c>
      <c r="F380" s="39" t="str">
        <f>IFERROR(IF(bb_akun=INDEX(ju_kr,MATCH(ROW(J368),JURNAL!$O:$O,0)),INDEX(ju_sld,MATCH(ROW(K368),JURNAL!$O:$O,0)),0),"")</f>
        <v/>
      </c>
      <c r="G380" s="39" t="str">
        <f>IF(B380="","",IF(INDEX(typ_sn,MATCH($C$9,typ_ket,0))="db",$G$8+SUM($E$13:E380)-SUM($F$13:F380),$G$8+SUM($F$13:F380)-SUM($E$13:E380)))</f>
        <v/>
      </c>
    </row>
    <row r="381" spans="2:7" ht="23.1" customHeight="1">
      <c r="B381" s="45" t="str">
        <f>IFERROR(INDEX(ju_tgl,MATCH(ROW(J369),JURNAL!$O:$O,0)),"")</f>
        <v/>
      </c>
      <c r="C381" s="7" t="str">
        <f>IFERROR(INDEX(ju_ref,MATCH(ROW(J369),JURNAL!$O:$O,0)),"")</f>
        <v/>
      </c>
      <c r="D381" s="7" t="str">
        <f>IFERROR(INDEX(ju_ket,MATCH(ROW(J369),JURNAL!$O:$O,0)),"")</f>
        <v/>
      </c>
      <c r="E381" s="39" t="str">
        <f>IFERROR(IF(bb_akun=INDEX(ju_debet,MATCH(ROW(J369),JURNAL!$O:$O,0)),INDEX(ju_sld,MATCH(ROW(K369),JURNAL!$O:$O,0)),0),"")</f>
        <v/>
      </c>
      <c r="F381" s="39" t="str">
        <f>IFERROR(IF(bb_akun=INDEX(ju_kr,MATCH(ROW(J369),JURNAL!$O:$O,0)),INDEX(ju_sld,MATCH(ROW(K369),JURNAL!$O:$O,0)),0),"")</f>
        <v/>
      </c>
      <c r="G381" s="39" t="str">
        <f>IF(B381="","",IF(INDEX(typ_sn,MATCH($C$9,typ_ket,0))="db",$G$8+SUM($E$13:E381)-SUM($F$13:F381),$G$8+SUM($F$13:F381)-SUM($E$13:E381)))</f>
        <v/>
      </c>
    </row>
    <row r="382" spans="2:7" ht="23.1" customHeight="1">
      <c r="B382" s="45" t="str">
        <f>IFERROR(INDEX(ju_tgl,MATCH(ROW(J370),JURNAL!$O:$O,0)),"")</f>
        <v/>
      </c>
      <c r="C382" s="7" t="str">
        <f>IFERROR(INDEX(ju_ref,MATCH(ROW(J370),JURNAL!$O:$O,0)),"")</f>
        <v/>
      </c>
      <c r="D382" s="7" t="str">
        <f>IFERROR(INDEX(ju_ket,MATCH(ROW(J370),JURNAL!$O:$O,0)),"")</f>
        <v/>
      </c>
      <c r="E382" s="39" t="str">
        <f>IFERROR(IF(bb_akun=INDEX(ju_debet,MATCH(ROW(J370),JURNAL!$O:$O,0)),INDEX(ju_sld,MATCH(ROW(K370),JURNAL!$O:$O,0)),0),"")</f>
        <v/>
      </c>
      <c r="F382" s="39" t="str">
        <f>IFERROR(IF(bb_akun=INDEX(ju_kr,MATCH(ROW(J370),JURNAL!$O:$O,0)),INDEX(ju_sld,MATCH(ROW(K370),JURNAL!$O:$O,0)),0),"")</f>
        <v/>
      </c>
      <c r="G382" s="39" t="str">
        <f>IF(B382="","",IF(INDEX(typ_sn,MATCH($C$9,typ_ket,0))="db",$G$8+SUM($E$13:E382)-SUM($F$13:F382),$G$8+SUM($F$13:F382)-SUM($E$13:E382)))</f>
        <v/>
      </c>
    </row>
    <row r="383" spans="2:7" ht="23.1" customHeight="1">
      <c r="B383" s="45" t="str">
        <f>IFERROR(INDEX(ju_tgl,MATCH(ROW(J371),JURNAL!$O:$O,0)),"")</f>
        <v/>
      </c>
      <c r="C383" s="7" t="str">
        <f>IFERROR(INDEX(ju_ref,MATCH(ROW(J371),JURNAL!$O:$O,0)),"")</f>
        <v/>
      </c>
      <c r="D383" s="7" t="str">
        <f>IFERROR(INDEX(ju_ket,MATCH(ROW(J371),JURNAL!$O:$O,0)),"")</f>
        <v/>
      </c>
      <c r="E383" s="39" t="str">
        <f>IFERROR(IF(bb_akun=INDEX(ju_debet,MATCH(ROW(J371),JURNAL!$O:$O,0)),INDEX(ju_sld,MATCH(ROW(K371),JURNAL!$O:$O,0)),0),"")</f>
        <v/>
      </c>
      <c r="F383" s="39" t="str">
        <f>IFERROR(IF(bb_akun=INDEX(ju_kr,MATCH(ROW(J371),JURNAL!$O:$O,0)),INDEX(ju_sld,MATCH(ROW(K371),JURNAL!$O:$O,0)),0),"")</f>
        <v/>
      </c>
      <c r="G383" s="39" t="str">
        <f>IF(B383="","",IF(INDEX(typ_sn,MATCH($C$9,typ_ket,0))="db",$G$8+SUM($E$13:E383)-SUM($F$13:F383),$G$8+SUM($F$13:F383)-SUM($E$13:E383)))</f>
        <v/>
      </c>
    </row>
    <row r="384" spans="2:7" ht="23.1" customHeight="1">
      <c r="B384" s="45" t="str">
        <f>IFERROR(INDEX(ju_tgl,MATCH(ROW(J372),JURNAL!$O:$O,0)),"")</f>
        <v/>
      </c>
      <c r="C384" s="7" t="str">
        <f>IFERROR(INDEX(ju_ref,MATCH(ROW(J372),JURNAL!$O:$O,0)),"")</f>
        <v/>
      </c>
      <c r="D384" s="7" t="str">
        <f>IFERROR(INDEX(ju_ket,MATCH(ROW(J372),JURNAL!$O:$O,0)),"")</f>
        <v/>
      </c>
      <c r="E384" s="39" t="str">
        <f>IFERROR(IF(bb_akun=INDEX(ju_debet,MATCH(ROW(J372),JURNAL!$O:$O,0)),INDEX(ju_sld,MATCH(ROW(K372),JURNAL!$O:$O,0)),0),"")</f>
        <v/>
      </c>
      <c r="F384" s="39" t="str">
        <f>IFERROR(IF(bb_akun=INDEX(ju_kr,MATCH(ROW(J372),JURNAL!$O:$O,0)),INDEX(ju_sld,MATCH(ROW(K372),JURNAL!$O:$O,0)),0),"")</f>
        <v/>
      </c>
      <c r="G384" s="39" t="str">
        <f>IF(B384="","",IF(INDEX(typ_sn,MATCH($C$9,typ_ket,0))="db",$G$8+SUM($E$13:E384)-SUM($F$13:F384),$G$8+SUM($F$13:F384)-SUM($E$13:E384)))</f>
        <v/>
      </c>
    </row>
    <row r="385" spans="2:7" ht="23.1" customHeight="1">
      <c r="B385" s="45" t="str">
        <f>IFERROR(INDEX(ju_tgl,MATCH(ROW(J373),JURNAL!$O:$O,0)),"")</f>
        <v/>
      </c>
      <c r="C385" s="7" t="str">
        <f>IFERROR(INDEX(ju_ref,MATCH(ROW(J373),JURNAL!$O:$O,0)),"")</f>
        <v/>
      </c>
      <c r="D385" s="7" t="str">
        <f>IFERROR(INDEX(ju_ket,MATCH(ROW(J373),JURNAL!$O:$O,0)),"")</f>
        <v/>
      </c>
      <c r="E385" s="39" t="str">
        <f>IFERROR(IF(bb_akun=INDEX(ju_debet,MATCH(ROW(J373),JURNAL!$O:$O,0)),INDEX(ju_sld,MATCH(ROW(K373),JURNAL!$O:$O,0)),0),"")</f>
        <v/>
      </c>
      <c r="F385" s="39" t="str">
        <f>IFERROR(IF(bb_akun=INDEX(ju_kr,MATCH(ROW(J373),JURNAL!$O:$O,0)),INDEX(ju_sld,MATCH(ROW(K373),JURNAL!$O:$O,0)),0),"")</f>
        <v/>
      </c>
      <c r="G385" s="39" t="str">
        <f>IF(B385="","",IF(INDEX(typ_sn,MATCH($C$9,typ_ket,0))="db",$G$8+SUM($E$13:E385)-SUM($F$13:F385),$G$8+SUM($F$13:F385)-SUM($E$13:E385)))</f>
        <v/>
      </c>
    </row>
    <row r="386" spans="2:7" ht="23.1" customHeight="1">
      <c r="B386" s="45" t="str">
        <f>IFERROR(INDEX(ju_tgl,MATCH(ROW(J374),JURNAL!$O:$O,0)),"")</f>
        <v/>
      </c>
      <c r="C386" s="7" t="str">
        <f>IFERROR(INDEX(ju_ref,MATCH(ROW(J374),JURNAL!$O:$O,0)),"")</f>
        <v/>
      </c>
      <c r="D386" s="7" t="str">
        <f>IFERROR(INDEX(ju_ket,MATCH(ROW(J374),JURNAL!$O:$O,0)),"")</f>
        <v/>
      </c>
      <c r="E386" s="39" t="str">
        <f>IFERROR(IF(bb_akun=INDEX(ju_debet,MATCH(ROW(J374),JURNAL!$O:$O,0)),INDEX(ju_sld,MATCH(ROW(K374),JURNAL!$O:$O,0)),0),"")</f>
        <v/>
      </c>
      <c r="F386" s="39" t="str">
        <f>IFERROR(IF(bb_akun=INDEX(ju_kr,MATCH(ROW(J374),JURNAL!$O:$O,0)),INDEX(ju_sld,MATCH(ROW(K374),JURNAL!$O:$O,0)),0),"")</f>
        <v/>
      </c>
      <c r="G386" s="39" t="str">
        <f>IF(B386="","",IF(INDEX(typ_sn,MATCH($C$9,typ_ket,0))="db",$G$8+SUM($E$13:E386)-SUM($F$13:F386),$G$8+SUM($F$13:F386)-SUM($E$13:E386)))</f>
        <v/>
      </c>
    </row>
    <row r="387" spans="2:7" ht="23.1" customHeight="1">
      <c r="B387" s="45" t="str">
        <f>IFERROR(INDEX(ju_tgl,MATCH(ROW(J375),JURNAL!$O:$O,0)),"")</f>
        <v/>
      </c>
      <c r="C387" s="7" t="str">
        <f>IFERROR(INDEX(ju_ref,MATCH(ROW(J375),JURNAL!$O:$O,0)),"")</f>
        <v/>
      </c>
      <c r="D387" s="7" t="str">
        <f>IFERROR(INDEX(ju_ket,MATCH(ROW(J375),JURNAL!$O:$O,0)),"")</f>
        <v/>
      </c>
      <c r="E387" s="39" t="str">
        <f>IFERROR(IF(bb_akun=INDEX(ju_debet,MATCH(ROW(J375),JURNAL!$O:$O,0)),INDEX(ju_sld,MATCH(ROW(K375),JURNAL!$O:$O,0)),0),"")</f>
        <v/>
      </c>
      <c r="F387" s="39" t="str">
        <f>IFERROR(IF(bb_akun=INDEX(ju_kr,MATCH(ROW(J375),JURNAL!$O:$O,0)),INDEX(ju_sld,MATCH(ROW(K375),JURNAL!$O:$O,0)),0),"")</f>
        <v/>
      </c>
      <c r="G387" s="39" t="str">
        <f>IF(B387="","",IF(INDEX(typ_sn,MATCH($C$9,typ_ket,0))="db",$G$8+SUM($E$13:E387)-SUM($F$13:F387),$G$8+SUM($F$13:F387)-SUM($E$13:E387)))</f>
        <v/>
      </c>
    </row>
    <row r="388" spans="2:7" ht="23.1" customHeight="1">
      <c r="B388" s="45" t="str">
        <f>IFERROR(INDEX(ju_tgl,MATCH(ROW(J376),JURNAL!$O:$O,0)),"")</f>
        <v/>
      </c>
      <c r="C388" s="7" t="str">
        <f>IFERROR(INDEX(ju_ref,MATCH(ROW(J376),JURNAL!$O:$O,0)),"")</f>
        <v/>
      </c>
      <c r="D388" s="7" t="str">
        <f>IFERROR(INDEX(ju_ket,MATCH(ROW(J376),JURNAL!$O:$O,0)),"")</f>
        <v/>
      </c>
      <c r="E388" s="39" t="str">
        <f>IFERROR(IF(bb_akun=INDEX(ju_debet,MATCH(ROW(J376),JURNAL!$O:$O,0)),INDEX(ju_sld,MATCH(ROW(K376),JURNAL!$O:$O,0)),0),"")</f>
        <v/>
      </c>
      <c r="F388" s="39" t="str">
        <f>IFERROR(IF(bb_akun=INDEX(ju_kr,MATCH(ROW(J376),JURNAL!$O:$O,0)),INDEX(ju_sld,MATCH(ROW(K376),JURNAL!$O:$O,0)),0),"")</f>
        <v/>
      </c>
      <c r="G388" s="39" t="str">
        <f>IF(B388="","",IF(INDEX(typ_sn,MATCH($C$9,typ_ket,0))="db",$G$8+SUM($E$13:E388)-SUM($F$13:F388),$G$8+SUM($F$13:F388)-SUM($E$13:E388)))</f>
        <v/>
      </c>
    </row>
    <row r="389" spans="2:7" ht="23.1" customHeight="1">
      <c r="B389" s="45" t="str">
        <f>IFERROR(INDEX(ju_tgl,MATCH(ROW(J377),JURNAL!$O:$O,0)),"")</f>
        <v/>
      </c>
      <c r="C389" s="7" t="str">
        <f>IFERROR(INDEX(ju_ref,MATCH(ROW(J377),JURNAL!$O:$O,0)),"")</f>
        <v/>
      </c>
      <c r="D389" s="7" t="str">
        <f>IFERROR(INDEX(ju_ket,MATCH(ROW(J377),JURNAL!$O:$O,0)),"")</f>
        <v/>
      </c>
      <c r="E389" s="39" t="str">
        <f>IFERROR(IF(bb_akun=INDEX(ju_debet,MATCH(ROW(J377),JURNAL!$O:$O,0)),INDEX(ju_sld,MATCH(ROW(K377),JURNAL!$O:$O,0)),0),"")</f>
        <v/>
      </c>
      <c r="F389" s="39" t="str">
        <f>IFERROR(IF(bb_akun=INDEX(ju_kr,MATCH(ROW(J377),JURNAL!$O:$O,0)),INDEX(ju_sld,MATCH(ROW(K377),JURNAL!$O:$O,0)),0),"")</f>
        <v/>
      </c>
      <c r="G389" s="39" t="str">
        <f>IF(B389="","",IF(INDEX(typ_sn,MATCH($C$9,typ_ket,0))="db",$G$8+SUM($E$13:E389)-SUM($F$13:F389),$G$8+SUM($F$13:F389)-SUM($E$13:E389)))</f>
        <v/>
      </c>
    </row>
    <row r="390" spans="2:7" ht="23.1" customHeight="1">
      <c r="B390" s="45" t="str">
        <f>IFERROR(INDEX(ju_tgl,MATCH(ROW(J378),JURNAL!$O:$O,0)),"")</f>
        <v/>
      </c>
      <c r="C390" s="7" t="str">
        <f>IFERROR(INDEX(ju_ref,MATCH(ROW(J378),JURNAL!$O:$O,0)),"")</f>
        <v/>
      </c>
      <c r="D390" s="7" t="str">
        <f>IFERROR(INDEX(ju_ket,MATCH(ROW(J378),JURNAL!$O:$O,0)),"")</f>
        <v/>
      </c>
      <c r="E390" s="39" t="str">
        <f>IFERROR(IF(bb_akun=INDEX(ju_debet,MATCH(ROW(J378),JURNAL!$O:$O,0)),INDEX(ju_sld,MATCH(ROW(K378),JURNAL!$O:$O,0)),0),"")</f>
        <v/>
      </c>
      <c r="F390" s="39" t="str">
        <f>IFERROR(IF(bb_akun=INDEX(ju_kr,MATCH(ROW(J378),JURNAL!$O:$O,0)),INDEX(ju_sld,MATCH(ROW(K378),JURNAL!$O:$O,0)),0),"")</f>
        <v/>
      </c>
      <c r="G390" s="39" t="str">
        <f>IF(B390="","",IF(INDEX(typ_sn,MATCH($C$9,typ_ket,0))="db",$G$8+SUM($E$13:E390)-SUM($F$13:F390),$G$8+SUM($F$13:F390)-SUM($E$13:E390)))</f>
        <v/>
      </c>
    </row>
    <row r="391" spans="2:7" ht="23.1" customHeight="1">
      <c r="B391" s="45" t="str">
        <f>IFERROR(INDEX(ju_tgl,MATCH(ROW(J379),JURNAL!$O:$O,0)),"")</f>
        <v/>
      </c>
      <c r="C391" s="7" t="str">
        <f>IFERROR(INDEX(ju_ref,MATCH(ROW(J379),JURNAL!$O:$O,0)),"")</f>
        <v/>
      </c>
      <c r="D391" s="7" t="str">
        <f>IFERROR(INDEX(ju_ket,MATCH(ROW(J379),JURNAL!$O:$O,0)),"")</f>
        <v/>
      </c>
      <c r="E391" s="39" t="str">
        <f>IFERROR(IF(bb_akun=INDEX(ju_debet,MATCH(ROW(J379),JURNAL!$O:$O,0)),INDEX(ju_sld,MATCH(ROW(K379),JURNAL!$O:$O,0)),0),"")</f>
        <v/>
      </c>
      <c r="F391" s="39" t="str">
        <f>IFERROR(IF(bb_akun=INDEX(ju_kr,MATCH(ROW(J379),JURNAL!$O:$O,0)),INDEX(ju_sld,MATCH(ROW(K379),JURNAL!$O:$O,0)),0),"")</f>
        <v/>
      </c>
      <c r="G391" s="39" t="str">
        <f>IF(B391="","",IF(INDEX(typ_sn,MATCH($C$9,typ_ket,0))="db",$G$8+SUM($E$13:E391)-SUM($F$13:F391),$G$8+SUM($F$13:F391)-SUM($E$13:E391)))</f>
        <v/>
      </c>
    </row>
    <row r="392" spans="2:7" ht="23.1" customHeight="1">
      <c r="B392" s="45" t="str">
        <f>IFERROR(INDEX(ju_tgl,MATCH(ROW(J380),JURNAL!$O:$O,0)),"")</f>
        <v/>
      </c>
      <c r="C392" s="7" t="str">
        <f>IFERROR(INDEX(ju_ref,MATCH(ROW(J380),JURNAL!$O:$O,0)),"")</f>
        <v/>
      </c>
      <c r="D392" s="7" t="str">
        <f>IFERROR(INDEX(ju_ket,MATCH(ROW(J380),JURNAL!$O:$O,0)),"")</f>
        <v/>
      </c>
      <c r="E392" s="39" t="str">
        <f>IFERROR(IF(bb_akun=INDEX(ju_debet,MATCH(ROW(J380),JURNAL!$O:$O,0)),INDEX(ju_sld,MATCH(ROW(K380),JURNAL!$O:$O,0)),0),"")</f>
        <v/>
      </c>
      <c r="F392" s="39" t="str">
        <f>IFERROR(IF(bb_akun=INDEX(ju_kr,MATCH(ROW(J380),JURNAL!$O:$O,0)),INDEX(ju_sld,MATCH(ROW(K380),JURNAL!$O:$O,0)),0),"")</f>
        <v/>
      </c>
      <c r="G392" s="39" t="str">
        <f>IF(B392="","",IF(INDEX(typ_sn,MATCH($C$9,typ_ket,0))="db",$G$8+SUM($E$13:E392)-SUM($F$13:F392),$G$8+SUM($F$13:F392)-SUM($E$13:E392)))</f>
        <v/>
      </c>
    </row>
    <row r="393" spans="2:7" ht="23.1" customHeight="1">
      <c r="B393" s="45" t="str">
        <f>IFERROR(INDEX(ju_tgl,MATCH(ROW(J381),JURNAL!$O:$O,0)),"")</f>
        <v/>
      </c>
      <c r="C393" s="7" t="str">
        <f>IFERROR(INDEX(ju_ref,MATCH(ROW(J381),JURNAL!$O:$O,0)),"")</f>
        <v/>
      </c>
      <c r="D393" s="7" t="str">
        <f>IFERROR(INDEX(ju_ket,MATCH(ROW(J381),JURNAL!$O:$O,0)),"")</f>
        <v/>
      </c>
      <c r="E393" s="39" t="str">
        <f>IFERROR(IF(bb_akun=INDEX(ju_debet,MATCH(ROW(J381),JURNAL!$O:$O,0)),INDEX(ju_sld,MATCH(ROW(K381),JURNAL!$O:$O,0)),0),"")</f>
        <v/>
      </c>
      <c r="F393" s="39" t="str">
        <f>IFERROR(IF(bb_akun=INDEX(ju_kr,MATCH(ROW(J381),JURNAL!$O:$O,0)),INDEX(ju_sld,MATCH(ROW(K381),JURNAL!$O:$O,0)),0),"")</f>
        <v/>
      </c>
      <c r="G393" s="39" t="str">
        <f>IF(B393="","",IF(INDEX(typ_sn,MATCH($C$9,typ_ket,0))="db",$G$8+SUM($E$13:E393)-SUM($F$13:F393),$G$8+SUM($F$13:F393)-SUM($E$13:E393)))</f>
        <v/>
      </c>
    </row>
    <row r="394" spans="2:7" ht="23.1" customHeight="1">
      <c r="B394" s="45" t="str">
        <f>IFERROR(INDEX(ju_tgl,MATCH(ROW(J382),JURNAL!$O:$O,0)),"")</f>
        <v/>
      </c>
      <c r="C394" s="7" t="str">
        <f>IFERROR(INDEX(ju_ref,MATCH(ROW(J382),JURNAL!$O:$O,0)),"")</f>
        <v/>
      </c>
      <c r="D394" s="7" t="str">
        <f>IFERROR(INDEX(ju_ket,MATCH(ROW(J382),JURNAL!$O:$O,0)),"")</f>
        <v/>
      </c>
      <c r="E394" s="39" t="str">
        <f>IFERROR(IF(bb_akun=INDEX(ju_debet,MATCH(ROW(J382),JURNAL!$O:$O,0)),INDEX(ju_sld,MATCH(ROW(K382),JURNAL!$O:$O,0)),0),"")</f>
        <v/>
      </c>
      <c r="F394" s="39" t="str">
        <f>IFERROR(IF(bb_akun=INDEX(ju_kr,MATCH(ROW(J382),JURNAL!$O:$O,0)),INDEX(ju_sld,MATCH(ROW(K382),JURNAL!$O:$O,0)),0),"")</f>
        <v/>
      </c>
      <c r="G394" s="39" t="str">
        <f>IF(B394="","",IF(INDEX(typ_sn,MATCH($C$9,typ_ket,0))="db",$G$8+SUM($E$13:E394)-SUM($F$13:F394),$G$8+SUM($F$13:F394)-SUM($E$13:E394)))</f>
        <v/>
      </c>
    </row>
    <row r="395" spans="2:7" ht="23.1" customHeight="1">
      <c r="B395" s="45" t="str">
        <f>IFERROR(INDEX(ju_tgl,MATCH(ROW(J383),JURNAL!$O:$O,0)),"")</f>
        <v/>
      </c>
      <c r="C395" s="7" t="str">
        <f>IFERROR(INDEX(ju_ref,MATCH(ROW(J383),JURNAL!$O:$O,0)),"")</f>
        <v/>
      </c>
      <c r="D395" s="7" t="str">
        <f>IFERROR(INDEX(ju_ket,MATCH(ROW(J383),JURNAL!$O:$O,0)),"")</f>
        <v/>
      </c>
      <c r="E395" s="39" t="str">
        <f>IFERROR(IF(bb_akun=INDEX(ju_debet,MATCH(ROW(J383),JURNAL!$O:$O,0)),INDEX(ju_sld,MATCH(ROW(K383),JURNAL!$O:$O,0)),0),"")</f>
        <v/>
      </c>
      <c r="F395" s="39" t="str">
        <f>IFERROR(IF(bb_akun=INDEX(ju_kr,MATCH(ROW(J383),JURNAL!$O:$O,0)),INDEX(ju_sld,MATCH(ROW(K383),JURNAL!$O:$O,0)),0),"")</f>
        <v/>
      </c>
      <c r="G395" s="39" t="str">
        <f>IF(B395="","",IF(INDEX(typ_sn,MATCH($C$9,typ_ket,0))="db",$G$8+SUM($E$13:E395)-SUM($F$13:F395),$G$8+SUM($F$13:F395)-SUM($E$13:E395)))</f>
        <v/>
      </c>
    </row>
    <row r="396" spans="2:7" ht="23.1" customHeight="1">
      <c r="B396" s="45" t="str">
        <f>IFERROR(INDEX(ju_tgl,MATCH(ROW(J384),JURNAL!$O:$O,0)),"")</f>
        <v/>
      </c>
      <c r="C396" s="7" t="str">
        <f>IFERROR(INDEX(ju_ref,MATCH(ROW(J384),JURNAL!$O:$O,0)),"")</f>
        <v/>
      </c>
      <c r="D396" s="7" t="str">
        <f>IFERROR(INDEX(ju_ket,MATCH(ROW(J384),JURNAL!$O:$O,0)),"")</f>
        <v/>
      </c>
      <c r="E396" s="39" t="str">
        <f>IFERROR(IF(bb_akun=INDEX(ju_debet,MATCH(ROW(J384),JURNAL!$O:$O,0)),INDEX(ju_sld,MATCH(ROW(K384),JURNAL!$O:$O,0)),0),"")</f>
        <v/>
      </c>
      <c r="F396" s="39" t="str">
        <f>IFERROR(IF(bb_akun=INDEX(ju_kr,MATCH(ROW(J384),JURNAL!$O:$O,0)),INDEX(ju_sld,MATCH(ROW(K384),JURNAL!$O:$O,0)),0),"")</f>
        <v/>
      </c>
      <c r="G396" s="39" t="str">
        <f>IF(B396="","",IF(INDEX(typ_sn,MATCH($C$9,typ_ket,0))="db",$G$8+SUM($E$13:E396)-SUM($F$13:F396),$G$8+SUM($F$13:F396)-SUM($E$13:E396)))</f>
        <v/>
      </c>
    </row>
    <row r="397" spans="2:7" ht="23.1" customHeight="1">
      <c r="B397" s="45" t="str">
        <f>IFERROR(INDEX(ju_tgl,MATCH(ROW(J385),JURNAL!$O:$O,0)),"")</f>
        <v/>
      </c>
      <c r="C397" s="7" t="str">
        <f>IFERROR(INDEX(ju_ref,MATCH(ROW(J385),JURNAL!$O:$O,0)),"")</f>
        <v/>
      </c>
      <c r="D397" s="7" t="str">
        <f>IFERROR(INDEX(ju_ket,MATCH(ROW(J385),JURNAL!$O:$O,0)),"")</f>
        <v/>
      </c>
      <c r="E397" s="39" t="str">
        <f>IFERROR(IF(bb_akun=INDEX(ju_debet,MATCH(ROW(J385),JURNAL!$O:$O,0)),INDEX(ju_sld,MATCH(ROW(K385),JURNAL!$O:$O,0)),0),"")</f>
        <v/>
      </c>
      <c r="F397" s="39" t="str">
        <f>IFERROR(IF(bb_akun=INDEX(ju_kr,MATCH(ROW(J385),JURNAL!$O:$O,0)),INDEX(ju_sld,MATCH(ROW(K385),JURNAL!$O:$O,0)),0),"")</f>
        <v/>
      </c>
      <c r="G397" s="39" t="str">
        <f>IF(B397="","",IF(INDEX(typ_sn,MATCH($C$9,typ_ket,0))="db",$G$8+SUM($E$13:E397)-SUM($F$13:F397),$G$8+SUM($F$13:F397)-SUM($E$13:E397)))</f>
        <v/>
      </c>
    </row>
    <row r="398" spans="2:7" ht="23.1" customHeight="1">
      <c r="B398" s="45" t="str">
        <f>IFERROR(INDEX(ju_tgl,MATCH(ROW(J386),JURNAL!$O:$O,0)),"")</f>
        <v/>
      </c>
      <c r="C398" s="7" t="str">
        <f>IFERROR(INDEX(ju_ref,MATCH(ROW(J386),JURNAL!$O:$O,0)),"")</f>
        <v/>
      </c>
      <c r="D398" s="7" t="str">
        <f>IFERROR(INDEX(ju_ket,MATCH(ROW(J386),JURNAL!$O:$O,0)),"")</f>
        <v/>
      </c>
      <c r="E398" s="39" t="str">
        <f>IFERROR(IF(bb_akun=INDEX(ju_debet,MATCH(ROW(J386),JURNAL!$O:$O,0)),INDEX(ju_sld,MATCH(ROW(K386),JURNAL!$O:$O,0)),0),"")</f>
        <v/>
      </c>
      <c r="F398" s="39" t="str">
        <f>IFERROR(IF(bb_akun=INDEX(ju_kr,MATCH(ROW(J386),JURNAL!$O:$O,0)),INDEX(ju_sld,MATCH(ROW(K386),JURNAL!$O:$O,0)),0),"")</f>
        <v/>
      </c>
      <c r="G398" s="39" t="str">
        <f>IF(B398="","",IF(INDEX(typ_sn,MATCH($C$9,typ_ket,0))="db",$G$8+SUM($E$13:E398)-SUM($F$13:F398),$G$8+SUM($F$13:F398)-SUM($E$13:E398)))</f>
        <v/>
      </c>
    </row>
    <row r="399" spans="2:7" ht="23.1" customHeight="1">
      <c r="B399" s="45" t="str">
        <f>IFERROR(INDEX(ju_tgl,MATCH(ROW(J387),JURNAL!$O:$O,0)),"")</f>
        <v/>
      </c>
      <c r="C399" s="7" t="str">
        <f>IFERROR(INDEX(ju_ref,MATCH(ROW(J387),JURNAL!$O:$O,0)),"")</f>
        <v/>
      </c>
      <c r="D399" s="7" t="str">
        <f>IFERROR(INDEX(ju_ket,MATCH(ROW(J387),JURNAL!$O:$O,0)),"")</f>
        <v/>
      </c>
      <c r="E399" s="39" t="str">
        <f>IFERROR(IF(bb_akun=INDEX(ju_debet,MATCH(ROW(J387),JURNAL!$O:$O,0)),INDEX(ju_sld,MATCH(ROW(K387),JURNAL!$O:$O,0)),0),"")</f>
        <v/>
      </c>
      <c r="F399" s="39" t="str">
        <f>IFERROR(IF(bb_akun=INDEX(ju_kr,MATCH(ROW(J387),JURNAL!$O:$O,0)),INDEX(ju_sld,MATCH(ROW(K387),JURNAL!$O:$O,0)),0),"")</f>
        <v/>
      </c>
      <c r="G399" s="39" t="str">
        <f>IF(B399="","",IF(INDEX(typ_sn,MATCH($C$9,typ_ket,0))="db",$G$8+SUM($E$13:E399)-SUM($F$13:F399),$G$8+SUM($F$13:F399)-SUM($E$13:E399)))</f>
        <v/>
      </c>
    </row>
    <row r="400" spans="2:7" ht="23.1" customHeight="1">
      <c r="B400" s="45" t="str">
        <f>IFERROR(INDEX(ju_tgl,MATCH(ROW(J388),JURNAL!$O:$O,0)),"")</f>
        <v/>
      </c>
      <c r="C400" s="7" t="str">
        <f>IFERROR(INDEX(ju_ref,MATCH(ROW(J388),JURNAL!$O:$O,0)),"")</f>
        <v/>
      </c>
      <c r="D400" s="7" t="str">
        <f>IFERROR(INDEX(ju_ket,MATCH(ROW(J388),JURNAL!$O:$O,0)),"")</f>
        <v/>
      </c>
      <c r="E400" s="39" t="str">
        <f>IFERROR(IF(bb_akun=INDEX(ju_debet,MATCH(ROW(J388),JURNAL!$O:$O,0)),INDEX(ju_sld,MATCH(ROW(K388),JURNAL!$O:$O,0)),0),"")</f>
        <v/>
      </c>
      <c r="F400" s="39" t="str">
        <f>IFERROR(IF(bb_akun=INDEX(ju_kr,MATCH(ROW(J388),JURNAL!$O:$O,0)),INDEX(ju_sld,MATCH(ROW(K388),JURNAL!$O:$O,0)),0),"")</f>
        <v/>
      </c>
      <c r="G400" s="39" t="str">
        <f>IF(B400="","",IF(INDEX(typ_sn,MATCH($C$9,typ_ket,0))="db",$G$8+SUM($E$13:E400)-SUM($F$13:F400),$G$8+SUM($F$13:F400)-SUM($E$13:E400)))</f>
        <v/>
      </c>
    </row>
    <row r="401" spans="2:7" ht="23.1" customHeight="1">
      <c r="B401" s="45" t="str">
        <f>IFERROR(INDEX(ju_tgl,MATCH(ROW(J389),JURNAL!$O:$O,0)),"")</f>
        <v/>
      </c>
      <c r="C401" s="7" t="str">
        <f>IFERROR(INDEX(ju_ref,MATCH(ROW(J389),JURNAL!$O:$O,0)),"")</f>
        <v/>
      </c>
      <c r="D401" s="7" t="str">
        <f>IFERROR(INDEX(ju_ket,MATCH(ROW(J389),JURNAL!$O:$O,0)),"")</f>
        <v/>
      </c>
      <c r="E401" s="39" t="str">
        <f>IFERROR(IF(bb_akun=INDEX(ju_debet,MATCH(ROW(J389),JURNAL!$O:$O,0)),INDEX(ju_sld,MATCH(ROW(K389),JURNAL!$O:$O,0)),0),"")</f>
        <v/>
      </c>
      <c r="F401" s="39" t="str">
        <f>IFERROR(IF(bb_akun=INDEX(ju_kr,MATCH(ROW(J389),JURNAL!$O:$O,0)),INDEX(ju_sld,MATCH(ROW(K389),JURNAL!$O:$O,0)),0),"")</f>
        <v/>
      </c>
      <c r="G401" s="39" t="str">
        <f>IF(B401="","",IF(INDEX(typ_sn,MATCH($C$9,typ_ket,0))="db",$G$8+SUM($E$13:E401)-SUM($F$13:F401),$G$8+SUM($F$13:F401)-SUM($E$13:E401)))</f>
        <v/>
      </c>
    </row>
    <row r="402" spans="2:7" ht="23.1" customHeight="1">
      <c r="B402" s="45" t="str">
        <f>IFERROR(INDEX(ju_tgl,MATCH(ROW(J390),JURNAL!$O:$O,0)),"")</f>
        <v/>
      </c>
      <c r="C402" s="7" t="str">
        <f>IFERROR(INDEX(ju_ref,MATCH(ROW(J390),JURNAL!$O:$O,0)),"")</f>
        <v/>
      </c>
      <c r="D402" s="7" t="str">
        <f>IFERROR(INDEX(ju_ket,MATCH(ROW(J390),JURNAL!$O:$O,0)),"")</f>
        <v/>
      </c>
      <c r="E402" s="39" t="str">
        <f>IFERROR(IF(bb_akun=INDEX(ju_debet,MATCH(ROW(J390),JURNAL!$O:$O,0)),INDEX(ju_sld,MATCH(ROW(K390),JURNAL!$O:$O,0)),0),"")</f>
        <v/>
      </c>
      <c r="F402" s="39" t="str">
        <f>IFERROR(IF(bb_akun=INDEX(ju_kr,MATCH(ROW(J390),JURNAL!$O:$O,0)),INDEX(ju_sld,MATCH(ROW(K390),JURNAL!$O:$O,0)),0),"")</f>
        <v/>
      </c>
      <c r="G402" s="39" t="str">
        <f>IF(B402="","",IF(INDEX(typ_sn,MATCH($C$9,typ_ket,0))="db",$G$8+SUM($E$13:E402)-SUM($F$13:F402),$G$8+SUM($F$13:F402)-SUM($E$13:E402)))</f>
        <v/>
      </c>
    </row>
    <row r="403" spans="2:7" ht="23.1" customHeight="1">
      <c r="B403" s="45" t="str">
        <f>IFERROR(INDEX(ju_tgl,MATCH(ROW(J391),JURNAL!$O:$O,0)),"")</f>
        <v/>
      </c>
      <c r="C403" s="7" t="str">
        <f>IFERROR(INDEX(ju_ref,MATCH(ROW(J391),JURNAL!$O:$O,0)),"")</f>
        <v/>
      </c>
      <c r="D403" s="7" t="str">
        <f>IFERROR(INDEX(ju_ket,MATCH(ROW(J391),JURNAL!$O:$O,0)),"")</f>
        <v/>
      </c>
      <c r="E403" s="39" t="str">
        <f>IFERROR(IF(bb_akun=INDEX(ju_debet,MATCH(ROW(J391),JURNAL!$O:$O,0)),INDEX(ju_sld,MATCH(ROW(K391),JURNAL!$O:$O,0)),0),"")</f>
        <v/>
      </c>
      <c r="F403" s="39" t="str">
        <f>IFERROR(IF(bb_akun=INDEX(ju_kr,MATCH(ROW(J391),JURNAL!$O:$O,0)),INDEX(ju_sld,MATCH(ROW(K391),JURNAL!$O:$O,0)),0),"")</f>
        <v/>
      </c>
      <c r="G403" s="39" t="str">
        <f>IF(B403="","",IF(INDEX(typ_sn,MATCH($C$9,typ_ket,0))="db",$G$8+SUM($E$13:E403)-SUM($F$13:F403),$G$8+SUM($F$13:F403)-SUM($E$13:E403)))</f>
        <v/>
      </c>
    </row>
    <row r="404" spans="2:7" ht="23.1" customHeight="1">
      <c r="B404" s="45" t="str">
        <f>IFERROR(INDEX(ju_tgl,MATCH(ROW(J392),JURNAL!$O:$O,0)),"")</f>
        <v/>
      </c>
      <c r="C404" s="7" t="str">
        <f>IFERROR(INDEX(ju_ref,MATCH(ROW(J392),JURNAL!$O:$O,0)),"")</f>
        <v/>
      </c>
      <c r="D404" s="7" t="str">
        <f>IFERROR(INDEX(ju_ket,MATCH(ROW(J392),JURNAL!$O:$O,0)),"")</f>
        <v/>
      </c>
      <c r="E404" s="39" t="str">
        <f>IFERROR(IF(bb_akun=INDEX(ju_debet,MATCH(ROW(J392),JURNAL!$O:$O,0)),INDEX(ju_sld,MATCH(ROW(K392),JURNAL!$O:$O,0)),0),"")</f>
        <v/>
      </c>
      <c r="F404" s="39" t="str">
        <f>IFERROR(IF(bb_akun=INDEX(ju_kr,MATCH(ROW(J392),JURNAL!$O:$O,0)),INDEX(ju_sld,MATCH(ROW(K392),JURNAL!$O:$O,0)),0),"")</f>
        <v/>
      </c>
      <c r="G404" s="39" t="str">
        <f>IF(B404="","",IF(INDEX(typ_sn,MATCH($C$9,typ_ket,0))="db",$G$8+SUM($E$13:E404)-SUM($F$13:F404),$G$8+SUM($F$13:F404)-SUM($E$13:E404)))</f>
        <v/>
      </c>
    </row>
    <row r="405" spans="2:7" ht="23.1" customHeight="1">
      <c r="B405" s="45" t="str">
        <f>IFERROR(INDEX(ju_tgl,MATCH(ROW(J393),JURNAL!$O:$O,0)),"")</f>
        <v/>
      </c>
      <c r="C405" s="7" t="str">
        <f>IFERROR(INDEX(ju_ref,MATCH(ROW(J393),JURNAL!$O:$O,0)),"")</f>
        <v/>
      </c>
      <c r="D405" s="7" t="str">
        <f>IFERROR(INDEX(ju_ket,MATCH(ROW(J393),JURNAL!$O:$O,0)),"")</f>
        <v/>
      </c>
      <c r="E405" s="39" t="str">
        <f>IFERROR(IF(bb_akun=INDEX(ju_debet,MATCH(ROW(J393),JURNAL!$O:$O,0)),INDEX(ju_sld,MATCH(ROW(K393),JURNAL!$O:$O,0)),0),"")</f>
        <v/>
      </c>
      <c r="F405" s="39" t="str">
        <f>IFERROR(IF(bb_akun=INDEX(ju_kr,MATCH(ROW(J393),JURNAL!$O:$O,0)),INDEX(ju_sld,MATCH(ROW(K393),JURNAL!$O:$O,0)),0),"")</f>
        <v/>
      </c>
      <c r="G405" s="39" t="str">
        <f>IF(B405="","",IF(INDEX(typ_sn,MATCH($C$9,typ_ket,0))="db",$G$8+SUM($E$13:E405)-SUM($F$13:F405),$G$8+SUM($F$13:F405)-SUM($E$13:E405)))</f>
        <v/>
      </c>
    </row>
    <row r="406" spans="2:7" ht="23.1" customHeight="1">
      <c r="B406" s="45" t="str">
        <f>IFERROR(INDEX(ju_tgl,MATCH(ROW(J394),JURNAL!$O:$O,0)),"")</f>
        <v/>
      </c>
      <c r="C406" s="7" t="str">
        <f>IFERROR(INDEX(ju_ref,MATCH(ROW(J394),JURNAL!$O:$O,0)),"")</f>
        <v/>
      </c>
      <c r="D406" s="7" t="str">
        <f>IFERROR(INDEX(ju_ket,MATCH(ROW(J394),JURNAL!$O:$O,0)),"")</f>
        <v/>
      </c>
      <c r="E406" s="39" t="str">
        <f>IFERROR(IF(bb_akun=INDEX(ju_debet,MATCH(ROW(J394),JURNAL!$O:$O,0)),INDEX(ju_sld,MATCH(ROW(K394),JURNAL!$O:$O,0)),0),"")</f>
        <v/>
      </c>
      <c r="F406" s="39" t="str">
        <f>IFERROR(IF(bb_akun=INDEX(ju_kr,MATCH(ROW(J394),JURNAL!$O:$O,0)),INDEX(ju_sld,MATCH(ROW(K394),JURNAL!$O:$O,0)),0),"")</f>
        <v/>
      </c>
      <c r="G406" s="39" t="str">
        <f>IF(B406="","",IF(INDEX(typ_sn,MATCH($C$9,typ_ket,0))="db",$G$8+SUM($E$13:E406)-SUM($F$13:F406),$G$8+SUM($F$13:F406)-SUM($E$13:E406)))</f>
        <v/>
      </c>
    </row>
    <row r="407" spans="2:7" ht="23.1" customHeight="1">
      <c r="B407" s="45" t="str">
        <f>IFERROR(INDEX(ju_tgl,MATCH(ROW(J395),JURNAL!$O:$O,0)),"")</f>
        <v/>
      </c>
      <c r="C407" s="7" t="str">
        <f>IFERROR(INDEX(ju_ref,MATCH(ROW(J395),JURNAL!$O:$O,0)),"")</f>
        <v/>
      </c>
      <c r="D407" s="7" t="str">
        <f>IFERROR(INDEX(ju_ket,MATCH(ROW(J395),JURNAL!$O:$O,0)),"")</f>
        <v/>
      </c>
      <c r="E407" s="39" t="str">
        <f>IFERROR(IF(bb_akun=INDEX(ju_debet,MATCH(ROW(J395),JURNAL!$O:$O,0)),INDEX(ju_sld,MATCH(ROW(K395),JURNAL!$O:$O,0)),0),"")</f>
        <v/>
      </c>
      <c r="F407" s="39" t="str">
        <f>IFERROR(IF(bb_akun=INDEX(ju_kr,MATCH(ROW(J395),JURNAL!$O:$O,0)),INDEX(ju_sld,MATCH(ROW(K395),JURNAL!$O:$O,0)),0),"")</f>
        <v/>
      </c>
      <c r="G407" s="39" t="str">
        <f>IF(B407="","",IF(INDEX(typ_sn,MATCH($C$9,typ_ket,0))="db",$G$8+SUM($E$13:E407)-SUM($F$13:F407),$G$8+SUM($F$13:F407)-SUM($E$13:E407)))</f>
        <v/>
      </c>
    </row>
    <row r="408" spans="2:7" ht="23.1" customHeight="1">
      <c r="B408" s="45" t="str">
        <f>IFERROR(INDEX(ju_tgl,MATCH(ROW(J396),JURNAL!$O:$O,0)),"")</f>
        <v/>
      </c>
      <c r="C408" s="7" t="str">
        <f>IFERROR(INDEX(ju_ref,MATCH(ROW(J396),JURNAL!$O:$O,0)),"")</f>
        <v/>
      </c>
      <c r="D408" s="7" t="str">
        <f>IFERROR(INDEX(ju_ket,MATCH(ROW(J396),JURNAL!$O:$O,0)),"")</f>
        <v/>
      </c>
      <c r="E408" s="39" t="str">
        <f>IFERROR(IF(bb_akun=INDEX(ju_debet,MATCH(ROW(J396),JURNAL!$O:$O,0)),INDEX(ju_sld,MATCH(ROW(K396),JURNAL!$O:$O,0)),0),"")</f>
        <v/>
      </c>
      <c r="F408" s="39" t="str">
        <f>IFERROR(IF(bb_akun=INDEX(ju_kr,MATCH(ROW(J396),JURNAL!$O:$O,0)),INDEX(ju_sld,MATCH(ROW(K396),JURNAL!$O:$O,0)),0),"")</f>
        <v/>
      </c>
      <c r="G408" s="39" t="str">
        <f>IF(B408="","",IF(INDEX(typ_sn,MATCH($C$9,typ_ket,0))="db",$G$8+SUM($E$13:E408)-SUM($F$13:F408),$G$8+SUM($F$13:F408)-SUM($E$13:E408)))</f>
        <v/>
      </c>
    </row>
    <row r="409" spans="2:7" ht="23.1" customHeight="1">
      <c r="B409" s="45" t="str">
        <f>IFERROR(INDEX(ju_tgl,MATCH(ROW(J397),JURNAL!$O:$O,0)),"")</f>
        <v/>
      </c>
      <c r="C409" s="7" t="str">
        <f>IFERROR(INDEX(ju_ref,MATCH(ROW(J397),JURNAL!$O:$O,0)),"")</f>
        <v/>
      </c>
      <c r="D409" s="7" t="str">
        <f>IFERROR(INDEX(ju_ket,MATCH(ROW(J397),JURNAL!$O:$O,0)),"")</f>
        <v/>
      </c>
      <c r="E409" s="39" t="str">
        <f>IFERROR(IF(bb_akun=INDEX(ju_debet,MATCH(ROW(J397),JURNAL!$O:$O,0)),INDEX(ju_sld,MATCH(ROW(K397),JURNAL!$O:$O,0)),0),"")</f>
        <v/>
      </c>
      <c r="F409" s="39" t="str">
        <f>IFERROR(IF(bb_akun=INDEX(ju_kr,MATCH(ROW(J397),JURNAL!$O:$O,0)),INDEX(ju_sld,MATCH(ROW(K397),JURNAL!$O:$O,0)),0),"")</f>
        <v/>
      </c>
      <c r="G409" s="39" t="str">
        <f>IF(B409="","",IF(INDEX(typ_sn,MATCH($C$9,typ_ket,0))="db",$G$8+SUM($E$13:E409)-SUM($F$13:F409),$G$8+SUM($F$13:F409)-SUM($E$13:E409)))</f>
        <v/>
      </c>
    </row>
    <row r="410" spans="2:7" ht="23.1" customHeight="1">
      <c r="B410" s="45" t="str">
        <f>IFERROR(INDEX(ju_tgl,MATCH(ROW(J398),JURNAL!$O:$O,0)),"")</f>
        <v/>
      </c>
      <c r="C410" s="7" t="str">
        <f>IFERROR(INDEX(ju_ref,MATCH(ROW(J398),JURNAL!$O:$O,0)),"")</f>
        <v/>
      </c>
      <c r="D410" s="7" t="str">
        <f>IFERROR(INDEX(ju_ket,MATCH(ROW(J398),JURNAL!$O:$O,0)),"")</f>
        <v/>
      </c>
      <c r="E410" s="39" t="str">
        <f>IFERROR(IF(bb_akun=INDEX(ju_debet,MATCH(ROW(J398),JURNAL!$O:$O,0)),INDEX(ju_sld,MATCH(ROW(K398),JURNAL!$O:$O,0)),0),"")</f>
        <v/>
      </c>
      <c r="F410" s="39" t="str">
        <f>IFERROR(IF(bb_akun=INDEX(ju_kr,MATCH(ROW(J398),JURNAL!$O:$O,0)),INDEX(ju_sld,MATCH(ROW(K398),JURNAL!$O:$O,0)),0),"")</f>
        <v/>
      </c>
      <c r="G410" s="39" t="str">
        <f>IF(B410="","",IF(INDEX(typ_sn,MATCH($C$9,typ_ket,0))="db",$G$8+SUM($E$13:E410)-SUM($F$13:F410),$G$8+SUM($F$13:F410)-SUM($E$13:E410)))</f>
        <v/>
      </c>
    </row>
    <row r="411" spans="2:7" ht="23.1" customHeight="1">
      <c r="B411" s="45" t="str">
        <f>IFERROR(INDEX(ju_tgl,MATCH(ROW(J399),JURNAL!$O:$O,0)),"")</f>
        <v/>
      </c>
      <c r="C411" s="7" t="str">
        <f>IFERROR(INDEX(ju_ref,MATCH(ROW(J399),JURNAL!$O:$O,0)),"")</f>
        <v/>
      </c>
      <c r="D411" s="7" t="str">
        <f>IFERROR(INDEX(ju_ket,MATCH(ROW(J399),JURNAL!$O:$O,0)),"")</f>
        <v/>
      </c>
      <c r="E411" s="39" t="str">
        <f>IFERROR(IF(bb_akun=INDEX(ju_debet,MATCH(ROW(J399),JURNAL!$O:$O,0)),INDEX(ju_sld,MATCH(ROW(K399),JURNAL!$O:$O,0)),0),"")</f>
        <v/>
      </c>
      <c r="F411" s="39" t="str">
        <f>IFERROR(IF(bb_akun=INDEX(ju_kr,MATCH(ROW(J399),JURNAL!$O:$O,0)),INDEX(ju_sld,MATCH(ROW(K399),JURNAL!$O:$O,0)),0),"")</f>
        <v/>
      </c>
      <c r="G411" s="39" t="str">
        <f>IF(B411="","",IF(INDEX(typ_sn,MATCH($C$9,typ_ket,0))="db",$G$8+SUM($E$13:E411)-SUM($F$13:F411),$G$8+SUM($F$13:F411)-SUM($E$13:E411)))</f>
        <v/>
      </c>
    </row>
    <row r="412" spans="2:7" ht="23.1" customHeight="1">
      <c r="B412" s="45" t="str">
        <f>IFERROR(INDEX(ju_tgl,MATCH(ROW(J400),JURNAL!$O:$O,0)),"")</f>
        <v/>
      </c>
      <c r="C412" s="7" t="str">
        <f>IFERROR(INDEX(ju_ref,MATCH(ROW(J400),JURNAL!$O:$O,0)),"")</f>
        <v/>
      </c>
      <c r="D412" s="7" t="str">
        <f>IFERROR(INDEX(ju_ket,MATCH(ROW(J400),JURNAL!$O:$O,0)),"")</f>
        <v/>
      </c>
      <c r="E412" s="39" t="str">
        <f>IFERROR(IF(bb_akun=INDEX(ju_debet,MATCH(ROW(J400),JURNAL!$O:$O,0)),INDEX(ju_sld,MATCH(ROW(K400),JURNAL!$O:$O,0)),0),"")</f>
        <v/>
      </c>
      <c r="F412" s="39" t="str">
        <f>IFERROR(IF(bb_akun=INDEX(ju_kr,MATCH(ROW(J400),JURNAL!$O:$O,0)),INDEX(ju_sld,MATCH(ROW(K400),JURNAL!$O:$O,0)),0),"")</f>
        <v/>
      </c>
      <c r="G412" s="39" t="str">
        <f>IF(B412="","",IF(INDEX(typ_sn,MATCH($C$9,typ_ket,0))="db",$G$8+SUM($E$13:E412)-SUM($F$13:F412),$G$8+SUM($F$13:F412)-SUM($E$13:E412)))</f>
        <v/>
      </c>
    </row>
    <row r="413" spans="2:7" ht="23.1" customHeight="1">
      <c r="B413" s="45" t="str">
        <f>IFERROR(INDEX(ju_tgl,MATCH(ROW(J401),JURNAL!$O:$O,0)),"")</f>
        <v/>
      </c>
      <c r="C413" s="7" t="str">
        <f>IFERROR(INDEX(ju_ref,MATCH(ROW(J401),JURNAL!$O:$O,0)),"")</f>
        <v/>
      </c>
      <c r="D413" s="7" t="str">
        <f>IFERROR(INDEX(ju_ket,MATCH(ROW(J401),JURNAL!$O:$O,0)),"")</f>
        <v/>
      </c>
      <c r="E413" s="39" t="str">
        <f>IFERROR(IF(bb_akun=INDEX(ju_debet,MATCH(ROW(J401),JURNAL!$O:$O,0)),INDEX(ju_sld,MATCH(ROW(K401),JURNAL!$O:$O,0)),0),"")</f>
        <v/>
      </c>
      <c r="F413" s="39" t="str">
        <f>IFERROR(IF(bb_akun=INDEX(ju_kr,MATCH(ROW(J401),JURNAL!$O:$O,0)),INDEX(ju_sld,MATCH(ROW(K401),JURNAL!$O:$O,0)),0),"")</f>
        <v/>
      </c>
      <c r="G413" s="39" t="str">
        <f>IF(B413="","",IF(INDEX(typ_sn,MATCH($C$9,typ_ket,0))="db",$G$8+SUM($E$13:E413)-SUM($F$13:F413),$G$8+SUM($F$13:F413)-SUM($E$13:E413)))</f>
        <v/>
      </c>
    </row>
    <row r="414" spans="2:7" ht="23.1" customHeight="1">
      <c r="B414" s="45" t="str">
        <f>IFERROR(INDEX(ju_tgl,MATCH(ROW(J402),JURNAL!$O:$O,0)),"")</f>
        <v/>
      </c>
      <c r="C414" s="7" t="str">
        <f>IFERROR(INDEX(ju_ref,MATCH(ROW(J402),JURNAL!$O:$O,0)),"")</f>
        <v/>
      </c>
      <c r="D414" s="7" t="str">
        <f>IFERROR(INDEX(ju_ket,MATCH(ROW(J402),JURNAL!$O:$O,0)),"")</f>
        <v/>
      </c>
      <c r="E414" s="39" t="str">
        <f>IFERROR(IF(bb_akun=INDEX(ju_debet,MATCH(ROW(J402),JURNAL!$O:$O,0)),INDEX(ju_sld,MATCH(ROW(K402),JURNAL!$O:$O,0)),0),"")</f>
        <v/>
      </c>
      <c r="F414" s="39" t="str">
        <f>IFERROR(IF(bb_akun=INDEX(ju_kr,MATCH(ROW(J402),JURNAL!$O:$O,0)),INDEX(ju_sld,MATCH(ROW(K402),JURNAL!$O:$O,0)),0),"")</f>
        <v/>
      </c>
      <c r="G414" s="39" t="str">
        <f>IF(B414="","",IF(INDEX(typ_sn,MATCH($C$9,typ_ket,0))="db",$G$8+SUM($E$13:E414)-SUM($F$13:F414),$G$8+SUM($F$13:F414)-SUM($E$13:E414)))</f>
        <v/>
      </c>
    </row>
    <row r="415" spans="2:7" ht="23.1" customHeight="1">
      <c r="B415" s="45" t="str">
        <f>IFERROR(INDEX(ju_tgl,MATCH(ROW(J403),JURNAL!$O:$O,0)),"")</f>
        <v/>
      </c>
      <c r="C415" s="7" t="str">
        <f>IFERROR(INDEX(ju_ref,MATCH(ROW(J403),JURNAL!$O:$O,0)),"")</f>
        <v/>
      </c>
      <c r="D415" s="7" t="str">
        <f>IFERROR(INDEX(ju_ket,MATCH(ROW(J403),JURNAL!$O:$O,0)),"")</f>
        <v/>
      </c>
      <c r="E415" s="39" t="str">
        <f>IFERROR(IF(bb_akun=INDEX(ju_debet,MATCH(ROW(J403),JURNAL!$O:$O,0)),INDEX(ju_sld,MATCH(ROW(K403),JURNAL!$O:$O,0)),0),"")</f>
        <v/>
      </c>
      <c r="F415" s="39" t="str">
        <f>IFERROR(IF(bb_akun=INDEX(ju_kr,MATCH(ROW(J403),JURNAL!$O:$O,0)),INDEX(ju_sld,MATCH(ROW(K403),JURNAL!$O:$O,0)),0),"")</f>
        <v/>
      </c>
      <c r="G415" s="39" t="str">
        <f>IF(B415="","",IF(INDEX(typ_sn,MATCH($C$9,typ_ket,0))="db",$G$8+SUM($E$13:E415)-SUM($F$13:F415),$G$8+SUM($F$13:F415)-SUM($E$13:E415)))</f>
        <v/>
      </c>
    </row>
    <row r="416" spans="2:7" ht="23.1" customHeight="1">
      <c r="B416" s="45" t="str">
        <f>IFERROR(INDEX(ju_tgl,MATCH(ROW(J404),JURNAL!$O:$O,0)),"")</f>
        <v/>
      </c>
      <c r="C416" s="7" t="str">
        <f>IFERROR(INDEX(ju_ref,MATCH(ROW(J404),JURNAL!$O:$O,0)),"")</f>
        <v/>
      </c>
      <c r="D416" s="7" t="str">
        <f>IFERROR(INDEX(ju_ket,MATCH(ROW(J404),JURNAL!$O:$O,0)),"")</f>
        <v/>
      </c>
      <c r="E416" s="39" t="str">
        <f>IFERROR(IF(bb_akun=INDEX(ju_debet,MATCH(ROW(J404),JURNAL!$O:$O,0)),INDEX(ju_sld,MATCH(ROW(K404),JURNAL!$O:$O,0)),0),"")</f>
        <v/>
      </c>
      <c r="F416" s="39" t="str">
        <f>IFERROR(IF(bb_akun=INDEX(ju_kr,MATCH(ROW(J404),JURNAL!$O:$O,0)),INDEX(ju_sld,MATCH(ROW(K404),JURNAL!$O:$O,0)),0),"")</f>
        <v/>
      </c>
      <c r="G416" s="39" t="str">
        <f>IF(B416="","",IF(INDEX(typ_sn,MATCH($C$9,typ_ket,0))="db",$G$8+SUM($E$13:E416)-SUM($F$13:F416),$G$8+SUM($F$13:F416)-SUM($E$13:E416)))</f>
        <v/>
      </c>
    </row>
    <row r="417" spans="2:7" ht="23.1" customHeight="1">
      <c r="B417" s="45" t="str">
        <f>IFERROR(INDEX(ju_tgl,MATCH(ROW(J405),JURNAL!$O:$O,0)),"")</f>
        <v/>
      </c>
      <c r="C417" s="7" t="str">
        <f>IFERROR(INDEX(ju_ref,MATCH(ROW(J405),JURNAL!$O:$O,0)),"")</f>
        <v/>
      </c>
      <c r="D417" s="7" t="str">
        <f>IFERROR(INDEX(ju_ket,MATCH(ROW(J405),JURNAL!$O:$O,0)),"")</f>
        <v/>
      </c>
      <c r="E417" s="39" t="str">
        <f>IFERROR(IF(bb_akun=INDEX(ju_debet,MATCH(ROW(J405),JURNAL!$O:$O,0)),INDEX(ju_sld,MATCH(ROW(K405),JURNAL!$O:$O,0)),0),"")</f>
        <v/>
      </c>
      <c r="F417" s="39" t="str">
        <f>IFERROR(IF(bb_akun=INDEX(ju_kr,MATCH(ROW(J405),JURNAL!$O:$O,0)),INDEX(ju_sld,MATCH(ROW(K405),JURNAL!$O:$O,0)),0),"")</f>
        <v/>
      </c>
      <c r="G417" s="39" t="str">
        <f>IF(B417="","",IF(INDEX(typ_sn,MATCH($C$9,typ_ket,0))="db",$G$8+SUM($E$13:E417)-SUM($F$13:F417),$G$8+SUM($F$13:F417)-SUM($E$13:E417)))</f>
        <v/>
      </c>
    </row>
    <row r="418" spans="2:7" ht="23.1" customHeight="1">
      <c r="B418" s="45" t="str">
        <f>IFERROR(INDEX(ju_tgl,MATCH(ROW(J406),JURNAL!$O:$O,0)),"")</f>
        <v/>
      </c>
      <c r="C418" s="7" t="str">
        <f>IFERROR(INDEX(ju_ref,MATCH(ROW(J406),JURNAL!$O:$O,0)),"")</f>
        <v/>
      </c>
      <c r="D418" s="7" t="str">
        <f>IFERROR(INDEX(ju_ket,MATCH(ROW(J406),JURNAL!$O:$O,0)),"")</f>
        <v/>
      </c>
      <c r="E418" s="39" t="str">
        <f>IFERROR(IF(bb_akun=INDEX(ju_debet,MATCH(ROW(J406),JURNAL!$O:$O,0)),INDEX(ju_sld,MATCH(ROW(K406),JURNAL!$O:$O,0)),0),"")</f>
        <v/>
      </c>
      <c r="F418" s="39" t="str">
        <f>IFERROR(IF(bb_akun=INDEX(ju_kr,MATCH(ROW(J406),JURNAL!$O:$O,0)),INDEX(ju_sld,MATCH(ROW(K406),JURNAL!$O:$O,0)),0),"")</f>
        <v/>
      </c>
      <c r="G418" s="39" t="str">
        <f>IF(B418="","",IF(INDEX(typ_sn,MATCH($C$9,typ_ket,0))="db",$G$8+SUM($E$13:E418)-SUM($F$13:F418),$G$8+SUM($F$13:F418)-SUM($E$13:E418)))</f>
        <v/>
      </c>
    </row>
    <row r="419" spans="2:7" ht="23.1" customHeight="1">
      <c r="B419" s="45" t="str">
        <f>IFERROR(INDEX(ju_tgl,MATCH(ROW(J407),JURNAL!$O:$O,0)),"")</f>
        <v/>
      </c>
      <c r="C419" s="7" t="str">
        <f>IFERROR(INDEX(ju_ref,MATCH(ROW(J407),JURNAL!$O:$O,0)),"")</f>
        <v/>
      </c>
      <c r="D419" s="7" t="str">
        <f>IFERROR(INDEX(ju_ket,MATCH(ROW(J407),JURNAL!$O:$O,0)),"")</f>
        <v/>
      </c>
      <c r="E419" s="39" t="str">
        <f>IFERROR(IF(bb_akun=INDEX(ju_debet,MATCH(ROW(J407),JURNAL!$O:$O,0)),INDEX(ju_sld,MATCH(ROW(K407),JURNAL!$O:$O,0)),0),"")</f>
        <v/>
      </c>
      <c r="F419" s="39" t="str">
        <f>IFERROR(IF(bb_akun=INDEX(ju_kr,MATCH(ROW(J407),JURNAL!$O:$O,0)),INDEX(ju_sld,MATCH(ROW(K407),JURNAL!$O:$O,0)),0),"")</f>
        <v/>
      </c>
      <c r="G419" s="39" t="str">
        <f>IF(B419="","",IF(INDEX(typ_sn,MATCH($C$9,typ_ket,0))="db",$G$8+SUM($E$13:E419)-SUM($F$13:F419),$G$8+SUM($F$13:F419)-SUM($E$13:E419)))</f>
        <v/>
      </c>
    </row>
    <row r="420" spans="2:7" ht="23.1" customHeight="1">
      <c r="B420" s="45" t="str">
        <f>IFERROR(INDEX(ju_tgl,MATCH(ROW(J408),JURNAL!$O:$O,0)),"")</f>
        <v/>
      </c>
      <c r="C420" s="7" t="str">
        <f>IFERROR(INDEX(ju_ref,MATCH(ROW(J408),JURNAL!$O:$O,0)),"")</f>
        <v/>
      </c>
      <c r="D420" s="7" t="str">
        <f>IFERROR(INDEX(ju_ket,MATCH(ROW(J408),JURNAL!$O:$O,0)),"")</f>
        <v/>
      </c>
      <c r="E420" s="39" t="str">
        <f>IFERROR(IF(bb_akun=INDEX(ju_debet,MATCH(ROW(J408),JURNAL!$O:$O,0)),INDEX(ju_sld,MATCH(ROW(K408),JURNAL!$O:$O,0)),0),"")</f>
        <v/>
      </c>
      <c r="F420" s="39" t="str">
        <f>IFERROR(IF(bb_akun=INDEX(ju_kr,MATCH(ROW(J408),JURNAL!$O:$O,0)),INDEX(ju_sld,MATCH(ROW(K408),JURNAL!$O:$O,0)),0),"")</f>
        <v/>
      </c>
      <c r="G420" s="39" t="str">
        <f>IF(B420="","",IF(INDEX(typ_sn,MATCH($C$9,typ_ket,0))="db",$G$8+SUM($E$13:E420)-SUM($F$13:F420),$G$8+SUM($F$13:F420)-SUM($E$13:E420)))</f>
        <v/>
      </c>
    </row>
    <row r="421" spans="2:7" ht="23.1" customHeight="1">
      <c r="B421" s="45" t="str">
        <f>IFERROR(INDEX(ju_tgl,MATCH(ROW(J409),JURNAL!$O:$O,0)),"")</f>
        <v/>
      </c>
      <c r="C421" s="7" t="str">
        <f>IFERROR(INDEX(ju_ref,MATCH(ROW(J409),JURNAL!$O:$O,0)),"")</f>
        <v/>
      </c>
      <c r="D421" s="7" t="str">
        <f>IFERROR(INDEX(ju_ket,MATCH(ROW(J409),JURNAL!$O:$O,0)),"")</f>
        <v/>
      </c>
      <c r="E421" s="39" t="str">
        <f>IFERROR(IF(bb_akun=INDEX(ju_debet,MATCH(ROW(J409),JURNAL!$O:$O,0)),INDEX(ju_sld,MATCH(ROW(K409),JURNAL!$O:$O,0)),0),"")</f>
        <v/>
      </c>
      <c r="F421" s="39" t="str">
        <f>IFERROR(IF(bb_akun=INDEX(ju_kr,MATCH(ROW(J409),JURNAL!$O:$O,0)),INDEX(ju_sld,MATCH(ROW(K409),JURNAL!$O:$O,0)),0),"")</f>
        <v/>
      </c>
      <c r="G421" s="39" t="str">
        <f>IF(B421="","",IF(INDEX(typ_sn,MATCH($C$9,typ_ket,0))="db",$G$8+SUM($E$13:E421)-SUM($F$13:F421),$G$8+SUM($F$13:F421)-SUM($E$13:E421)))</f>
        <v/>
      </c>
    </row>
    <row r="422" spans="2:7" ht="23.1" customHeight="1">
      <c r="B422" s="45" t="str">
        <f>IFERROR(INDEX(ju_tgl,MATCH(ROW(J410),JURNAL!$O:$O,0)),"")</f>
        <v/>
      </c>
      <c r="C422" s="7" t="str">
        <f>IFERROR(INDEX(ju_ref,MATCH(ROW(J410),JURNAL!$O:$O,0)),"")</f>
        <v/>
      </c>
      <c r="D422" s="7" t="str">
        <f>IFERROR(INDEX(ju_ket,MATCH(ROW(J410),JURNAL!$O:$O,0)),"")</f>
        <v/>
      </c>
      <c r="E422" s="39" t="str">
        <f>IFERROR(IF(bb_akun=INDEX(ju_debet,MATCH(ROW(J410),JURNAL!$O:$O,0)),INDEX(ju_sld,MATCH(ROW(K410),JURNAL!$O:$O,0)),0),"")</f>
        <v/>
      </c>
      <c r="F422" s="39" t="str">
        <f>IFERROR(IF(bb_akun=INDEX(ju_kr,MATCH(ROW(J410),JURNAL!$O:$O,0)),INDEX(ju_sld,MATCH(ROW(K410),JURNAL!$O:$O,0)),0),"")</f>
        <v/>
      </c>
      <c r="G422" s="39" t="str">
        <f>IF(B422="","",IF(INDEX(typ_sn,MATCH($C$9,typ_ket,0))="db",$G$8+SUM($E$13:E422)-SUM($F$13:F422),$G$8+SUM($F$13:F422)-SUM($E$13:E422)))</f>
        <v/>
      </c>
    </row>
    <row r="423" spans="2:7" ht="23.1" customHeight="1">
      <c r="B423" s="45" t="str">
        <f>IFERROR(INDEX(ju_tgl,MATCH(ROW(J411),JURNAL!$O:$O,0)),"")</f>
        <v/>
      </c>
      <c r="C423" s="7" t="str">
        <f>IFERROR(INDEX(ju_ref,MATCH(ROW(J411),JURNAL!$O:$O,0)),"")</f>
        <v/>
      </c>
      <c r="D423" s="7" t="str">
        <f>IFERROR(INDEX(ju_ket,MATCH(ROW(J411),JURNAL!$O:$O,0)),"")</f>
        <v/>
      </c>
      <c r="E423" s="39" t="str">
        <f>IFERROR(IF(bb_akun=INDEX(ju_debet,MATCH(ROW(J411),JURNAL!$O:$O,0)),INDEX(ju_sld,MATCH(ROW(K411),JURNAL!$O:$O,0)),0),"")</f>
        <v/>
      </c>
      <c r="F423" s="39" t="str">
        <f>IFERROR(IF(bb_akun=INDEX(ju_kr,MATCH(ROW(J411),JURNAL!$O:$O,0)),INDEX(ju_sld,MATCH(ROW(K411),JURNAL!$O:$O,0)),0),"")</f>
        <v/>
      </c>
      <c r="G423" s="39" t="str">
        <f>IF(B423="","",IF(INDEX(typ_sn,MATCH($C$9,typ_ket,0))="db",$G$8+SUM($E$13:E423)-SUM($F$13:F423),$G$8+SUM($F$13:F423)-SUM($E$13:E423)))</f>
        <v/>
      </c>
    </row>
    <row r="424" spans="2:7" ht="23.1" customHeight="1">
      <c r="B424" s="45" t="str">
        <f>IFERROR(INDEX(ju_tgl,MATCH(ROW(J412),JURNAL!$O:$O,0)),"")</f>
        <v/>
      </c>
      <c r="C424" s="7" t="str">
        <f>IFERROR(INDEX(ju_ref,MATCH(ROW(J412),JURNAL!$O:$O,0)),"")</f>
        <v/>
      </c>
      <c r="D424" s="7" t="str">
        <f>IFERROR(INDEX(ju_ket,MATCH(ROW(J412),JURNAL!$O:$O,0)),"")</f>
        <v/>
      </c>
      <c r="E424" s="39" t="str">
        <f>IFERROR(IF(bb_akun=INDEX(ju_debet,MATCH(ROW(J412),JURNAL!$O:$O,0)),INDEX(ju_sld,MATCH(ROW(K412),JURNAL!$O:$O,0)),0),"")</f>
        <v/>
      </c>
      <c r="F424" s="39" t="str">
        <f>IFERROR(IF(bb_akun=INDEX(ju_kr,MATCH(ROW(J412),JURNAL!$O:$O,0)),INDEX(ju_sld,MATCH(ROW(K412),JURNAL!$O:$O,0)),0),"")</f>
        <v/>
      </c>
      <c r="G424" s="39" t="str">
        <f>IF(B424="","",IF(INDEX(typ_sn,MATCH($C$9,typ_ket,0))="db",$G$8+SUM($E$13:E424)-SUM($F$13:F424),$G$8+SUM($F$13:F424)-SUM($E$13:E424)))</f>
        <v/>
      </c>
    </row>
    <row r="425" spans="2:7" ht="23.1" customHeight="1">
      <c r="B425" s="45" t="str">
        <f>IFERROR(INDEX(ju_tgl,MATCH(ROW(J413),JURNAL!$O:$O,0)),"")</f>
        <v/>
      </c>
      <c r="C425" s="7" t="str">
        <f>IFERROR(INDEX(ju_ref,MATCH(ROW(J413),JURNAL!$O:$O,0)),"")</f>
        <v/>
      </c>
      <c r="D425" s="7" t="str">
        <f>IFERROR(INDEX(ju_ket,MATCH(ROW(J413),JURNAL!$O:$O,0)),"")</f>
        <v/>
      </c>
      <c r="E425" s="39" t="str">
        <f>IFERROR(IF(bb_akun=INDEX(ju_debet,MATCH(ROW(J413),JURNAL!$O:$O,0)),INDEX(ju_sld,MATCH(ROW(K413),JURNAL!$O:$O,0)),0),"")</f>
        <v/>
      </c>
      <c r="F425" s="39" t="str">
        <f>IFERROR(IF(bb_akun=INDEX(ju_kr,MATCH(ROW(J413),JURNAL!$O:$O,0)),INDEX(ju_sld,MATCH(ROW(K413),JURNAL!$O:$O,0)),0),"")</f>
        <v/>
      </c>
      <c r="G425" s="39" t="str">
        <f>IF(B425="","",IF(INDEX(typ_sn,MATCH($C$9,typ_ket,0))="db",$G$8+SUM($E$13:E425)-SUM($F$13:F425),$G$8+SUM($F$13:F425)-SUM($E$13:E425)))</f>
        <v/>
      </c>
    </row>
    <row r="426" spans="2:7" ht="23.1" customHeight="1">
      <c r="B426" s="45" t="str">
        <f>IFERROR(INDEX(ju_tgl,MATCH(ROW(J414),JURNAL!$O:$O,0)),"")</f>
        <v/>
      </c>
      <c r="C426" s="7" t="str">
        <f>IFERROR(INDEX(ju_ref,MATCH(ROW(J414),JURNAL!$O:$O,0)),"")</f>
        <v/>
      </c>
      <c r="D426" s="7" t="str">
        <f>IFERROR(INDEX(ju_ket,MATCH(ROW(J414),JURNAL!$O:$O,0)),"")</f>
        <v/>
      </c>
      <c r="E426" s="39" t="str">
        <f>IFERROR(IF(bb_akun=INDEX(ju_debet,MATCH(ROW(J414),JURNAL!$O:$O,0)),INDEX(ju_sld,MATCH(ROW(K414),JURNAL!$O:$O,0)),0),"")</f>
        <v/>
      </c>
      <c r="F426" s="39" t="str">
        <f>IFERROR(IF(bb_akun=INDEX(ju_kr,MATCH(ROW(J414),JURNAL!$O:$O,0)),INDEX(ju_sld,MATCH(ROW(K414),JURNAL!$O:$O,0)),0),"")</f>
        <v/>
      </c>
      <c r="G426" s="39" t="str">
        <f>IF(B426="","",IF(INDEX(typ_sn,MATCH($C$9,typ_ket,0))="db",$G$8+SUM($E$13:E426)-SUM($F$13:F426),$G$8+SUM($F$13:F426)-SUM($E$13:E426)))</f>
        <v/>
      </c>
    </row>
    <row r="427" spans="2:7" ht="23.1" customHeight="1">
      <c r="B427" s="45" t="str">
        <f>IFERROR(INDEX(ju_tgl,MATCH(ROW(J415),JURNAL!$O:$O,0)),"")</f>
        <v/>
      </c>
      <c r="C427" s="7" t="str">
        <f>IFERROR(INDEX(ju_ref,MATCH(ROW(J415),JURNAL!$O:$O,0)),"")</f>
        <v/>
      </c>
      <c r="D427" s="7" t="str">
        <f>IFERROR(INDEX(ju_ket,MATCH(ROW(J415),JURNAL!$O:$O,0)),"")</f>
        <v/>
      </c>
      <c r="E427" s="39" t="str">
        <f>IFERROR(IF(bb_akun=INDEX(ju_debet,MATCH(ROW(J415),JURNAL!$O:$O,0)),INDEX(ju_sld,MATCH(ROW(K415),JURNAL!$O:$O,0)),0),"")</f>
        <v/>
      </c>
      <c r="F427" s="39" t="str">
        <f>IFERROR(IF(bb_akun=INDEX(ju_kr,MATCH(ROW(J415),JURNAL!$O:$O,0)),INDEX(ju_sld,MATCH(ROW(K415),JURNAL!$O:$O,0)),0),"")</f>
        <v/>
      </c>
      <c r="G427" s="39" t="str">
        <f>IF(B427="","",IF(INDEX(typ_sn,MATCH($C$9,typ_ket,0))="db",$G$8+SUM($E$13:E427)-SUM($F$13:F427),$G$8+SUM($F$13:F427)-SUM($E$13:E427)))</f>
        <v/>
      </c>
    </row>
    <row r="428" spans="2:7" ht="23.1" customHeight="1">
      <c r="B428" s="45" t="str">
        <f>IFERROR(INDEX(ju_tgl,MATCH(ROW(J416),JURNAL!$O:$O,0)),"")</f>
        <v/>
      </c>
      <c r="C428" s="7" t="str">
        <f>IFERROR(INDEX(ju_ref,MATCH(ROW(J416),JURNAL!$O:$O,0)),"")</f>
        <v/>
      </c>
      <c r="D428" s="7" t="str">
        <f>IFERROR(INDEX(ju_ket,MATCH(ROW(J416),JURNAL!$O:$O,0)),"")</f>
        <v/>
      </c>
      <c r="E428" s="39" t="str">
        <f>IFERROR(IF(bb_akun=INDEX(ju_debet,MATCH(ROW(J416),JURNAL!$O:$O,0)),INDEX(ju_sld,MATCH(ROW(K416),JURNAL!$O:$O,0)),0),"")</f>
        <v/>
      </c>
      <c r="F428" s="39" t="str">
        <f>IFERROR(IF(bb_akun=INDEX(ju_kr,MATCH(ROW(J416),JURNAL!$O:$O,0)),INDEX(ju_sld,MATCH(ROW(K416),JURNAL!$O:$O,0)),0),"")</f>
        <v/>
      </c>
      <c r="G428" s="39" t="str">
        <f>IF(B428="","",IF(INDEX(typ_sn,MATCH($C$9,typ_ket,0))="db",$G$8+SUM($E$13:E428)-SUM($F$13:F428),$G$8+SUM($F$13:F428)-SUM($E$13:E428)))</f>
        <v/>
      </c>
    </row>
    <row r="429" spans="2:7" ht="23.1" customHeight="1">
      <c r="B429" s="45" t="str">
        <f>IFERROR(INDEX(ju_tgl,MATCH(ROW(J417),JURNAL!$O:$O,0)),"")</f>
        <v/>
      </c>
      <c r="C429" s="7" t="str">
        <f>IFERROR(INDEX(ju_ref,MATCH(ROW(J417),JURNAL!$O:$O,0)),"")</f>
        <v/>
      </c>
      <c r="D429" s="7" t="str">
        <f>IFERROR(INDEX(ju_ket,MATCH(ROW(J417),JURNAL!$O:$O,0)),"")</f>
        <v/>
      </c>
      <c r="E429" s="39" t="str">
        <f>IFERROR(IF(bb_akun=INDEX(ju_debet,MATCH(ROW(J417),JURNAL!$O:$O,0)),INDEX(ju_sld,MATCH(ROW(K417),JURNAL!$O:$O,0)),0),"")</f>
        <v/>
      </c>
      <c r="F429" s="39" t="str">
        <f>IFERROR(IF(bb_akun=INDEX(ju_kr,MATCH(ROW(J417),JURNAL!$O:$O,0)),INDEX(ju_sld,MATCH(ROW(K417),JURNAL!$O:$O,0)),0),"")</f>
        <v/>
      </c>
      <c r="G429" s="39" t="str">
        <f>IF(B429="","",IF(INDEX(typ_sn,MATCH($C$9,typ_ket,0))="db",$G$8+SUM($E$13:E429)-SUM($F$13:F429),$G$8+SUM($F$13:F429)-SUM($E$13:E429)))</f>
        <v/>
      </c>
    </row>
    <row r="430" spans="2:7" ht="23.1" customHeight="1">
      <c r="B430" s="45" t="str">
        <f>IFERROR(INDEX(ju_tgl,MATCH(ROW(J418),JURNAL!$O:$O,0)),"")</f>
        <v/>
      </c>
      <c r="C430" s="7" t="str">
        <f>IFERROR(INDEX(ju_ref,MATCH(ROW(J418),JURNAL!$O:$O,0)),"")</f>
        <v/>
      </c>
      <c r="D430" s="7" t="str">
        <f>IFERROR(INDEX(ju_ket,MATCH(ROW(J418),JURNAL!$O:$O,0)),"")</f>
        <v/>
      </c>
      <c r="E430" s="39" t="str">
        <f>IFERROR(IF(bb_akun=INDEX(ju_debet,MATCH(ROW(J418),JURNAL!$O:$O,0)),INDEX(ju_sld,MATCH(ROW(K418),JURNAL!$O:$O,0)),0),"")</f>
        <v/>
      </c>
      <c r="F430" s="39" t="str">
        <f>IFERROR(IF(bb_akun=INDEX(ju_kr,MATCH(ROW(J418),JURNAL!$O:$O,0)),INDEX(ju_sld,MATCH(ROW(K418),JURNAL!$O:$O,0)),0),"")</f>
        <v/>
      </c>
      <c r="G430" s="39" t="str">
        <f>IF(B430="","",IF(INDEX(typ_sn,MATCH($C$9,typ_ket,0))="db",$G$8+SUM($E$13:E430)-SUM($F$13:F430),$G$8+SUM($F$13:F430)-SUM($E$13:E430)))</f>
        <v/>
      </c>
    </row>
    <row r="431" spans="2:7" ht="23.1" customHeight="1">
      <c r="B431" s="45" t="str">
        <f>IFERROR(INDEX(ju_tgl,MATCH(ROW(J419),JURNAL!$O:$O,0)),"")</f>
        <v/>
      </c>
      <c r="C431" s="7" t="str">
        <f>IFERROR(INDEX(ju_ref,MATCH(ROW(J419),JURNAL!$O:$O,0)),"")</f>
        <v/>
      </c>
      <c r="D431" s="7" t="str">
        <f>IFERROR(INDEX(ju_ket,MATCH(ROW(J419),JURNAL!$O:$O,0)),"")</f>
        <v/>
      </c>
      <c r="E431" s="39" t="str">
        <f>IFERROR(IF(bb_akun=INDEX(ju_debet,MATCH(ROW(J419),JURNAL!$O:$O,0)),INDEX(ju_sld,MATCH(ROW(K419),JURNAL!$O:$O,0)),0),"")</f>
        <v/>
      </c>
      <c r="F431" s="39" t="str">
        <f>IFERROR(IF(bb_akun=INDEX(ju_kr,MATCH(ROW(J419),JURNAL!$O:$O,0)),INDEX(ju_sld,MATCH(ROW(K419),JURNAL!$O:$O,0)),0),"")</f>
        <v/>
      </c>
      <c r="G431" s="39" t="str">
        <f>IF(B431="","",IF(INDEX(typ_sn,MATCH($C$9,typ_ket,0))="db",$G$8+SUM($E$13:E431)-SUM($F$13:F431),$G$8+SUM($F$13:F431)-SUM($E$13:E431)))</f>
        <v/>
      </c>
    </row>
    <row r="432" spans="2:7" ht="23.1" customHeight="1">
      <c r="B432" s="45" t="str">
        <f>IFERROR(INDEX(ju_tgl,MATCH(ROW(J420),JURNAL!$O:$O,0)),"")</f>
        <v/>
      </c>
      <c r="C432" s="7" t="str">
        <f>IFERROR(INDEX(ju_ref,MATCH(ROW(J420),JURNAL!$O:$O,0)),"")</f>
        <v/>
      </c>
      <c r="D432" s="7" t="str">
        <f>IFERROR(INDEX(ju_ket,MATCH(ROW(J420),JURNAL!$O:$O,0)),"")</f>
        <v/>
      </c>
      <c r="E432" s="39" t="str">
        <f>IFERROR(IF(bb_akun=INDEX(ju_debet,MATCH(ROW(J420),JURNAL!$O:$O,0)),INDEX(ju_sld,MATCH(ROW(K420),JURNAL!$O:$O,0)),0),"")</f>
        <v/>
      </c>
      <c r="F432" s="39" t="str">
        <f>IFERROR(IF(bb_akun=INDEX(ju_kr,MATCH(ROW(J420),JURNAL!$O:$O,0)),INDEX(ju_sld,MATCH(ROW(K420),JURNAL!$O:$O,0)),0),"")</f>
        <v/>
      </c>
      <c r="G432" s="39" t="str">
        <f>IF(B432="","",IF(INDEX(typ_sn,MATCH($C$9,typ_ket,0))="db",$G$8+SUM($E$13:E432)-SUM($F$13:F432),$G$8+SUM($F$13:F432)-SUM($E$13:E432)))</f>
        <v/>
      </c>
    </row>
    <row r="433" spans="2:7" ht="23.1" customHeight="1">
      <c r="B433" s="45" t="str">
        <f>IFERROR(INDEX(ju_tgl,MATCH(ROW(J421),JURNAL!$O:$O,0)),"")</f>
        <v/>
      </c>
      <c r="C433" s="7" t="str">
        <f>IFERROR(INDEX(ju_ref,MATCH(ROW(J421),JURNAL!$O:$O,0)),"")</f>
        <v/>
      </c>
      <c r="D433" s="7" t="str">
        <f>IFERROR(INDEX(ju_ket,MATCH(ROW(J421),JURNAL!$O:$O,0)),"")</f>
        <v/>
      </c>
      <c r="E433" s="39" t="str">
        <f>IFERROR(IF(bb_akun=INDEX(ju_debet,MATCH(ROW(J421),JURNAL!$O:$O,0)),INDEX(ju_sld,MATCH(ROW(K421),JURNAL!$O:$O,0)),0),"")</f>
        <v/>
      </c>
      <c r="F433" s="39" t="str">
        <f>IFERROR(IF(bb_akun=INDEX(ju_kr,MATCH(ROW(J421),JURNAL!$O:$O,0)),INDEX(ju_sld,MATCH(ROW(K421),JURNAL!$O:$O,0)),0),"")</f>
        <v/>
      </c>
      <c r="G433" s="39" t="str">
        <f>IF(B433="","",IF(INDEX(typ_sn,MATCH($C$9,typ_ket,0))="db",$G$8+SUM($E$13:E433)-SUM($F$13:F433),$G$8+SUM($F$13:F433)-SUM($E$13:E433)))</f>
        <v/>
      </c>
    </row>
    <row r="434" spans="2:7" ht="23.1" customHeight="1">
      <c r="B434" s="45" t="str">
        <f>IFERROR(INDEX(ju_tgl,MATCH(ROW(J422),JURNAL!$O:$O,0)),"")</f>
        <v/>
      </c>
      <c r="C434" s="7" t="str">
        <f>IFERROR(INDEX(ju_ref,MATCH(ROW(J422),JURNAL!$O:$O,0)),"")</f>
        <v/>
      </c>
      <c r="D434" s="7" t="str">
        <f>IFERROR(INDEX(ju_ket,MATCH(ROW(J422),JURNAL!$O:$O,0)),"")</f>
        <v/>
      </c>
      <c r="E434" s="39" t="str">
        <f>IFERROR(IF(bb_akun=INDEX(ju_debet,MATCH(ROW(J422),JURNAL!$O:$O,0)),INDEX(ju_sld,MATCH(ROW(K422),JURNAL!$O:$O,0)),0),"")</f>
        <v/>
      </c>
      <c r="F434" s="39" t="str">
        <f>IFERROR(IF(bb_akun=INDEX(ju_kr,MATCH(ROW(J422),JURNAL!$O:$O,0)),INDEX(ju_sld,MATCH(ROW(K422),JURNAL!$O:$O,0)),0),"")</f>
        <v/>
      </c>
      <c r="G434" s="39" t="str">
        <f>IF(B434="","",IF(INDEX(typ_sn,MATCH($C$9,typ_ket,0))="db",$G$8+SUM($E$13:E434)-SUM($F$13:F434),$G$8+SUM($F$13:F434)-SUM($E$13:E434)))</f>
        <v/>
      </c>
    </row>
    <row r="435" spans="2:7" ht="23.1" customHeight="1">
      <c r="B435" s="45" t="str">
        <f>IFERROR(INDEX(ju_tgl,MATCH(ROW(J423),JURNAL!$O:$O,0)),"")</f>
        <v/>
      </c>
      <c r="C435" s="7" t="str">
        <f>IFERROR(INDEX(ju_ref,MATCH(ROW(J423),JURNAL!$O:$O,0)),"")</f>
        <v/>
      </c>
      <c r="D435" s="7" t="str">
        <f>IFERROR(INDEX(ju_ket,MATCH(ROW(J423),JURNAL!$O:$O,0)),"")</f>
        <v/>
      </c>
      <c r="E435" s="39" t="str">
        <f>IFERROR(IF(bb_akun=INDEX(ju_debet,MATCH(ROW(J423),JURNAL!$O:$O,0)),INDEX(ju_sld,MATCH(ROW(K423),JURNAL!$O:$O,0)),0),"")</f>
        <v/>
      </c>
      <c r="F435" s="39" t="str">
        <f>IFERROR(IF(bb_akun=INDEX(ju_kr,MATCH(ROW(J423),JURNAL!$O:$O,0)),INDEX(ju_sld,MATCH(ROW(K423),JURNAL!$O:$O,0)),0),"")</f>
        <v/>
      </c>
      <c r="G435" s="39" t="str">
        <f>IF(B435="","",IF(INDEX(typ_sn,MATCH($C$9,typ_ket,0))="db",$G$8+SUM($E$13:E435)-SUM($F$13:F435),$G$8+SUM($F$13:F435)-SUM($E$13:E435)))</f>
        <v/>
      </c>
    </row>
    <row r="436" spans="2:7" ht="23.1" customHeight="1">
      <c r="B436" s="45" t="str">
        <f>IFERROR(INDEX(ju_tgl,MATCH(ROW(J424),JURNAL!$O:$O,0)),"")</f>
        <v/>
      </c>
      <c r="C436" s="7" t="str">
        <f>IFERROR(INDEX(ju_ref,MATCH(ROW(J424),JURNAL!$O:$O,0)),"")</f>
        <v/>
      </c>
      <c r="D436" s="7" t="str">
        <f>IFERROR(INDEX(ju_ket,MATCH(ROW(J424),JURNAL!$O:$O,0)),"")</f>
        <v/>
      </c>
      <c r="E436" s="39" t="str">
        <f>IFERROR(IF(bb_akun=INDEX(ju_debet,MATCH(ROW(J424),JURNAL!$O:$O,0)),INDEX(ju_sld,MATCH(ROW(K424),JURNAL!$O:$O,0)),0),"")</f>
        <v/>
      </c>
      <c r="F436" s="39" t="str">
        <f>IFERROR(IF(bb_akun=INDEX(ju_kr,MATCH(ROW(J424),JURNAL!$O:$O,0)),INDEX(ju_sld,MATCH(ROW(K424),JURNAL!$O:$O,0)),0),"")</f>
        <v/>
      </c>
      <c r="G436" s="39" t="str">
        <f>IF(B436="","",IF(INDEX(typ_sn,MATCH($C$9,typ_ket,0))="db",$G$8+SUM($E$13:E436)-SUM($F$13:F436),$G$8+SUM($F$13:F436)-SUM($E$13:E436)))</f>
        <v/>
      </c>
    </row>
    <row r="437" spans="2:7" ht="23.1" customHeight="1">
      <c r="B437" s="45" t="str">
        <f>IFERROR(INDEX(ju_tgl,MATCH(ROW(J425),JURNAL!$O:$O,0)),"")</f>
        <v/>
      </c>
      <c r="C437" s="7" t="str">
        <f>IFERROR(INDEX(ju_ref,MATCH(ROW(J425),JURNAL!$O:$O,0)),"")</f>
        <v/>
      </c>
      <c r="D437" s="7" t="str">
        <f>IFERROR(INDEX(ju_ket,MATCH(ROW(J425),JURNAL!$O:$O,0)),"")</f>
        <v/>
      </c>
      <c r="E437" s="39" t="str">
        <f>IFERROR(IF(bb_akun=INDEX(ju_debet,MATCH(ROW(J425),JURNAL!$O:$O,0)),INDEX(ju_sld,MATCH(ROW(K425),JURNAL!$O:$O,0)),0),"")</f>
        <v/>
      </c>
      <c r="F437" s="39" t="str">
        <f>IFERROR(IF(bb_akun=INDEX(ju_kr,MATCH(ROW(J425),JURNAL!$O:$O,0)),INDEX(ju_sld,MATCH(ROW(K425),JURNAL!$O:$O,0)),0),"")</f>
        <v/>
      </c>
      <c r="G437" s="39" t="str">
        <f>IF(B437="","",IF(INDEX(typ_sn,MATCH($C$9,typ_ket,0))="db",$G$8+SUM($E$13:E437)-SUM($F$13:F437),$G$8+SUM($F$13:F437)-SUM($E$13:E437)))</f>
        <v/>
      </c>
    </row>
    <row r="438" spans="2:7" ht="23.1" customHeight="1">
      <c r="B438" s="45" t="str">
        <f>IFERROR(INDEX(ju_tgl,MATCH(ROW(J426),JURNAL!$O:$O,0)),"")</f>
        <v/>
      </c>
      <c r="C438" s="7" t="str">
        <f>IFERROR(INDEX(ju_ref,MATCH(ROW(J426),JURNAL!$O:$O,0)),"")</f>
        <v/>
      </c>
      <c r="D438" s="7" t="str">
        <f>IFERROR(INDEX(ju_ket,MATCH(ROW(J426),JURNAL!$O:$O,0)),"")</f>
        <v/>
      </c>
      <c r="E438" s="39" t="str">
        <f>IFERROR(IF(bb_akun=INDEX(ju_debet,MATCH(ROW(J426),JURNAL!$O:$O,0)),INDEX(ju_sld,MATCH(ROW(K426),JURNAL!$O:$O,0)),0),"")</f>
        <v/>
      </c>
      <c r="F438" s="39" t="str">
        <f>IFERROR(IF(bb_akun=INDEX(ju_kr,MATCH(ROW(J426),JURNAL!$O:$O,0)),INDEX(ju_sld,MATCH(ROW(K426),JURNAL!$O:$O,0)),0),"")</f>
        <v/>
      </c>
      <c r="G438" s="39" t="str">
        <f>IF(B438="","",IF(INDEX(typ_sn,MATCH($C$9,typ_ket,0))="db",$G$8+SUM($E$13:E438)-SUM($F$13:F438),$G$8+SUM($F$13:F438)-SUM($E$13:E438)))</f>
        <v/>
      </c>
    </row>
    <row r="439" spans="2:7" ht="23.1" customHeight="1">
      <c r="B439" s="45" t="str">
        <f>IFERROR(INDEX(ju_tgl,MATCH(ROW(J427),JURNAL!$O:$O,0)),"")</f>
        <v/>
      </c>
      <c r="C439" s="7" t="str">
        <f>IFERROR(INDEX(ju_ref,MATCH(ROW(J427),JURNAL!$O:$O,0)),"")</f>
        <v/>
      </c>
      <c r="D439" s="7" t="str">
        <f>IFERROR(INDEX(ju_ket,MATCH(ROW(J427),JURNAL!$O:$O,0)),"")</f>
        <v/>
      </c>
      <c r="E439" s="39" t="str">
        <f>IFERROR(IF(bb_akun=INDEX(ju_debet,MATCH(ROW(J427),JURNAL!$O:$O,0)),INDEX(ju_sld,MATCH(ROW(K427),JURNAL!$O:$O,0)),0),"")</f>
        <v/>
      </c>
      <c r="F439" s="39" t="str">
        <f>IFERROR(IF(bb_akun=INDEX(ju_kr,MATCH(ROW(J427),JURNAL!$O:$O,0)),INDEX(ju_sld,MATCH(ROW(K427),JURNAL!$O:$O,0)),0),"")</f>
        <v/>
      </c>
      <c r="G439" s="39" t="str">
        <f>IF(B439="","",IF(INDEX(typ_sn,MATCH($C$9,typ_ket,0))="db",$G$8+SUM($E$13:E439)-SUM($F$13:F439),$G$8+SUM($F$13:F439)-SUM($E$13:E439)))</f>
        <v/>
      </c>
    </row>
    <row r="440" spans="2:7" ht="23.1" customHeight="1">
      <c r="B440" s="45" t="str">
        <f>IFERROR(INDEX(ju_tgl,MATCH(ROW(J428),JURNAL!$O:$O,0)),"")</f>
        <v/>
      </c>
      <c r="C440" s="7" t="str">
        <f>IFERROR(INDEX(ju_ref,MATCH(ROW(J428),JURNAL!$O:$O,0)),"")</f>
        <v/>
      </c>
      <c r="D440" s="7" t="str">
        <f>IFERROR(INDEX(ju_ket,MATCH(ROW(J428),JURNAL!$O:$O,0)),"")</f>
        <v/>
      </c>
      <c r="E440" s="39" t="str">
        <f>IFERROR(IF(bb_akun=INDEX(ju_debet,MATCH(ROW(J428),JURNAL!$O:$O,0)),INDEX(ju_sld,MATCH(ROW(K428),JURNAL!$O:$O,0)),0),"")</f>
        <v/>
      </c>
      <c r="F440" s="39" t="str">
        <f>IFERROR(IF(bb_akun=INDEX(ju_kr,MATCH(ROW(J428),JURNAL!$O:$O,0)),INDEX(ju_sld,MATCH(ROW(K428),JURNAL!$O:$O,0)),0),"")</f>
        <v/>
      </c>
      <c r="G440" s="39" t="str">
        <f>IF(B440="","",IF(INDEX(typ_sn,MATCH($C$9,typ_ket,0))="db",$G$8+SUM($E$13:E440)-SUM($F$13:F440),$G$8+SUM($F$13:F440)-SUM($E$13:E440)))</f>
        <v/>
      </c>
    </row>
    <row r="441" spans="2:7" ht="23.1" customHeight="1">
      <c r="B441" s="45" t="str">
        <f>IFERROR(INDEX(ju_tgl,MATCH(ROW(J429),JURNAL!$O:$O,0)),"")</f>
        <v/>
      </c>
      <c r="C441" s="7" t="str">
        <f>IFERROR(INDEX(ju_ref,MATCH(ROW(J429),JURNAL!$O:$O,0)),"")</f>
        <v/>
      </c>
      <c r="D441" s="7" t="str">
        <f>IFERROR(INDEX(ju_ket,MATCH(ROW(J429),JURNAL!$O:$O,0)),"")</f>
        <v/>
      </c>
      <c r="E441" s="39" t="str">
        <f>IFERROR(IF(bb_akun=INDEX(ju_debet,MATCH(ROW(J429),JURNAL!$O:$O,0)),INDEX(ju_sld,MATCH(ROW(K429),JURNAL!$O:$O,0)),0),"")</f>
        <v/>
      </c>
      <c r="F441" s="39" t="str">
        <f>IFERROR(IF(bb_akun=INDEX(ju_kr,MATCH(ROW(J429),JURNAL!$O:$O,0)),INDEX(ju_sld,MATCH(ROW(K429),JURNAL!$O:$O,0)),0),"")</f>
        <v/>
      </c>
      <c r="G441" s="39" t="str">
        <f>IF(B441="","",IF(INDEX(typ_sn,MATCH($C$9,typ_ket,0))="db",$G$8+SUM($E$13:E441)-SUM($F$13:F441),$G$8+SUM($F$13:F441)-SUM($E$13:E441)))</f>
        <v/>
      </c>
    </row>
    <row r="442" spans="2:7" ht="23.1" customHeight="1">
      <c r="B442" s="45" t="str">
        <f>IFERROR(INDEX(ju_tgl,MATCH(ROW(J430),JURNAL!$O:$O,0)),"")</f>
        <v/>
      </c>
      <c r="C442" s="7" t="str">
        <f>IFERROR(INDEX(ju_ref,MATCH(ROW(J430),JURNAL!$O:$O,0)),"")</f>
        <v/>
      </c>
      <c r="D442" s="7" t="str">
        <f>IFERROR(INDEX(ju_ket,MATCH(ROW(J430),JURNAL!$O:$O,0)),"")</f>
        <v/>
      </c>
      <c r="E442" s="39" t="str">
        <f>IFERROR(IF(bb_akun=INDEX(ju_debet,MATCH(ROW(J430),JURNAL!$O:$O,0)),INDEX(ju_sld,MATCH(ROW(K430),JURNAL!$O:$O,0)),0),"")</f>
        <v/>
      </c>
      <c r="F442" s="39" t="str">
        <f>IFERROR(IF(bb_akun=INDEX(ju_kr,MATCH(ROW(J430),JURNAL!$O:$O,0)),INDEX(ju_sld,MATCH(ROW(K430),JURNAL!$O:$O,0)),0),"")</f>
        <v/>
      </c>
      <c r="G442" s="39" t="str">
        <f>IF(B442="","",IF(INDEX(typ_sn,MATCH($C$9,typ_ket,0))="db",$G$8+SUM($E$13:E442)-SUM($F$13:F442),$G$8+SUM($F$13:F442)-SUM($E$13:E442)))</f>
        <v/>
      </c>
    </row>
    <row r="443" spans="2:7" ht="23.1" customHeight="1">
      <c r="B443" s="45" t="str">
        <f>IFERROR(INDEX(ju_tgl,MATCH(ROW(J431),JURNAL!$O:$O,0)),"")</f>
        <v/>
      </c>
      <c r="C443" s="7" t="str">
        <f>IFERROR(INDEX(ju_ref,MATCH(ROW(J431),JURNAL!$O:$O,0)),"")</f>
        <v/>
      </c>
      <c r="D443" s="7" t="str">
        <f>IFERROR(INDEX(ju_ket,MATCH(ROW(J431),JURNAL!$O:$O,0)),"")</f>
        <v/>
      </c>
      <c r="E443" s="39" t="str">
        <f>IFERROR(IF(bb_akun=INDEX(ju_debet,MATCH(ROW(J431),JURNAL!$O:$O,0)),INDEX(ju_sld,MATCH(ROW(K431),JURNAL!$O:$O,0)),0),"")</f>
        <v/>
      </c>
      <c r="F443" s="39" t="str">
        <f>IFERROR(IF(bb_akun=INDEX(ju_kr,MATCH(ROW(J431),JURNAL!$O:$O,0)),INDEX(ju_sld,MATCH(ROW(K431),JURNAL!$O:$O,0)),0),"")</f>
        <v/>
      </c>
      <c r="G443" s="39" t="str">
        <f>IF(B443="","",IF(INDEX(typ_sn,MATCH($C$9,typ_ket,0))="db",$G$8+SUM($E$13:E443)-SUM($F$13:F443),$G$8+SUM($F$13:F443)-SUM($E$13:E443)))</f>
        <v/>
      </c>
    </row>
    <row r="444" spans="2:7" ht="23.1" customHeight="1">
      <c r="B444" s="45" t="str">
        <f>IFERROR(INDEX(ju_tgl,MATCH(ROW(J432),JURNAL!$O:$O,0)),"")</f>
        <v/>
      </c>
      <c r="C444" s="7" t="str">
        <f>IFERROR(INDEX(ju_ref,MATCH(ROW(J432),JURNAL!$O:$O,0)),"")</f>
        <v/>
      </c>
      <c r="D444" s="7" t="str">
        <f>IFERROR(INDEX(ju_ket,MATCH(ROW(J432),JURNAL!$O:$O,0)),"")</f>
        <v/>
      </c>
      <c r="E444" s="39" t="str">
        <f>IFERROR(IF(bb_akun=INDEX(ju_debet,MATCH(ROW(J432),JURNAL!$O:$O,0)),INDEX(ju_sld,MATCH(ROW(K432),JURNAL!$O:$O,0)),0),"")</f>
        <v/>
      </c>
      <c r="F444" s="39" t="str">
        <f>IFERROR(IF(bb_akun=INDEX(ju_kr,MATCH(ROW(J432),JURNAL!$O:$O,0)),INDEX(ju_sld,MATCH(ROW(K432),JURNAL!$O:$O,0)),0),"")</f>
        <v/>
      </c>
      <c r="G444" s="39" t="str">
        <f>IF(B444="","",IF(INDEX(typ_sn,MATCH($C$9,typ_ket,0))="db",$G$8+SUM($E$13:E444)-SUM($F$13:F444),$G$8+SUM($F$13:F444)-SUM($E$13:E444)))</f>
        <v/>
      </c>
    </row>
    <row r="445" spans="2:7" ht="23.1" customHeight="1">
      <c r="B445" s="45" t="str">
        <f>IFERROR(INDEX(ju_tgl,MATCH(ROW(J433),JURNAL!$O:$O,0)),"")</f>
        <v/>
      </c>
      <c r="C445" s="7" t="str">
        <f>IFERROR(INDEX(ju_ref,MATCH(ROW(J433),JURNAL!$O:$O,0)),"")</f>
        <v/>
      </c>
      <c r="D445" s="7" t="str">
        <f>IFERROR(INDEX(ju_ket,MATCH(ROW(J433),JURNAL!$O:$O,0)),"")</f>
        <v/>
      </c>
      <c r="E445" s="39" t="str">
        <f>IFERROR(IF(bb_akun=INDEX(ju_debet,MATCH(ROW(J433),JURNAL!$O:$O,0)),INDEX(ju_sld,MATCH(ROW(K433),JURNAL!$O:$O,0)),0),"")</f>
        <v/>
      </c>
      <c r="F445" s="39" t="str">
        <f>IFERROR(IF(bb_akun=INDEX(ju_kr,MATCH(ROW(J433),JURNAL!$O:$O,0)),INDEX(ju_sld,MATCH(ROW(K433),JURNAL!$O:$O,0)),0),"")</f>
        <v/>
      </c>
      <c r="G445" s="39" t="str">
        <f>IF(B445="","",IF(INDEX(typ_sn,MATCH($C$9,typ_ket,0))="db",$G$8+SUM($E$13:E445)-SUM($F$13:F445),$G$8+SUM($F$13:F445)-SUM($E$13:E445)))</f>
        <v/>
      </c>
    </row>
    <row r="446" spans="2:7" ht="23.1" customHeight="1">
      <c r="B446" s="45" t="str">
        <f>IFERROR(INDEX(ju_tgl,MATCH(ROW(J434),JURNAL!$O:$O,0)),"")</f>
        <v/>
      </c>
      <c r="C446" s="7" t="str">
        <f>IFERROR(INDEX(ju_ref,MATCH(ROW(J434),JURNAL!$O:$O,0)),"")</f>
        <v/>
      </c>
      <c r="D446" s="7" t="str">
        <f>IFERROR(INDEX(ju_ket,MATCH(ROW(J434),JURNAL!$O:$O,0)),"")</f>
        <v/>
      </c>
      <c r="E446" s="39" t="str">
        <f>IFERROR(IF(bb_akun=INDEX(ju_debet,MATCH(ROW(J434),JURNAL!$O:$O,0)),INDEX(ju_sld,MATCH(ROW(K434),JURNAL!$O:$O,0)),0),"")</f>
        <v/>
      </c>
      <c r="F446" s="39" t="str">
        <f>IFERROR(IF(bb_akun=INDEX(ju_kr,MATCH(ROW(J434),JURNAL!$O:$O,0)),INDEX(ju_sld,MATCH(ROW(K434),JURNAL!$O:$O,0)),0),"")</f>
        <v/>
      </c>
      <c r="G446" s="39" t="str">
        <f>IF(B446="","",IF(INDEX(typ_sn,MATCH($C$9,typ_ket,0))="db",$G$8+SUM($E$13:E446)-SUM($F$13:F446),$G$8+SUM($F$13:F446)-SUM($E$13:E446)))</f>
        <v/>
      </c>
    </row>
    <row r="447" spans="2:7" ht="23.1" customHeight="1">
      <c r="B447" s="45" t="str">
        <f>IFERROR(INDEX(ju_tgl,MATCH(ROW(J435),JURNAL!$O:$O,0)),"")</f>
        <v/>
      </c>
      <c r="C447" s="7" t="str">
        <f>IFERROR(INDEX(ju_ref,MATCH(ROW(J435),JURNAL!$O:$O,0)),"")</f>
        <v/>
      </c>
      <c r="D447" s="7" t="str">
        <f>IFERROR(INDEX(ju_ket,MATCH(ROW(J435),JURNAL!$O:$O,0)),"")</f>
        <v/>
      </c>
      <c r="E447" s="39" t="str">
        <f>IFERROR(IF(bb_akun=INDEX(ju_debet,MATCH(ROW(J435),JURNAL!$O:$O,0)),INDEX(ju_sld,MATCH(ROW(K435),JURNAL!$O:$O,0)),0),"")</f>
        <v/>
      </c>
      <c r="F447" s="39" t="str">
        <f>IFERROR(IF(bb_akun=INDEX(ju_kr,MATCH(ROW(J435),JURNAL!$O:$O,0)),INDEX(ju_sld,MATCH(ROW(K435),JURNAL!$O:$O,0)),0),"")</f>
        <v/>
      </c>
      <c r="G447" s="39" t="str">
        <f>IF(B447="","",IF(INDEX(typ_sn,MATCH($C$9,typ_ket,0))="db",$G$8+SUM($E$13:E447)-SUM($F$13:F447),$G$8+SUM($F$13:F447)-SUM($E$13:E447)))</f>
        <v/>
      </c>
    </row>
    <row r="448" spans="2:7" ht="23.1" customHeight="1">
      <c r="B448" s="45" t="str">
        <f>IFERROR(INDEX(ju_tgl,MATCH(ROW(J436),JURNAL!$O:$O,0)),"")</f>
        <v/>
      </c>
      <c r="C448" s="7" t="str">
        <f>IFERROR(INDEX(ju_ref,MATCH(ROW(J436),JURNAL!$O:$O,0)),"")</f>
        <v/>
      </c>
      <c r="D448" s="7" t="str">
        <f>IFERROR(INDEX(ju_ket,MATCH(ROW(J436),JURNAL!$O:$O,0)),"")</f>
        <v/>
      </c>
      <c r="E448" s="39" t="str">
        <f>IFERROR(IF(bb_akun=INDEX(ju_debet,MATCH(ROW(J436),JURNAL!$O:$O,0)),INDEX(ju_sld,MATCH(ROW(K436),JURNAL!$O:$O,0)),0),"")</f>
        <v/>
      </c>
      <c r="F448" s="39" t="str">
        <f>IFERROR(IF(bb_akun=INDEX(ju_kr,MATCH(ROW(J436),JURNAL!$O:$O,0)),INDEX(ju_sld,MATCH(ROW(K436),JURNAL!$O:$O,0)),0),"")</f>
        <v/>
      </c>
      <c r="G448" s="39" t="str">
        <f>IF(B448="","",IF(INDEX(typ_sn,MATCH($C$9,typ_ket,0))="db",$G$8+SUM($E$13:E448)-SUM($F$13:F448),$G$8+SUM($F$13:F448)-SUM($E$13:E448)))</f>
        <v/>
      </c>
    </row>
    <row r="449" spans="2:7" ht="23.1" customHeight="1">
      <c r="B449" s="45" t="str">
        <f>IFERROR(INDEX(ju_tgl,MATCH(ROW(J437),JURNAL!$O:$O,0)),"")</f>
        <v/>
      </c>
      <c r="C449" s="7" t="str">
        <f>IFERROR(INDEX(ju_ref,MATCH(ROW(J437),JURNAL!$O:$O,0)),"")</f>
        <v/>
      </c>
      <c r="D449" s="7" t="str">
        <f>IFERROR(INDEX(ju_ket,MATCH(ROW(J437),JURNAL!$O:$O,0)),"")</f>
        <v/>
      </c>
      <c r="E449" s="39" t="str">
        <f>IFERROR(IF(bb_akun=INDEX(ju_debet,MATCH(ROW(J437),JURNAL!$O:$O,0)),INDEX(ju_sld,MATCH(ROW(K437),JURNAL!$O:$O,0)),0),"")</f>
        <v/>
      </c>
      <c r="F449" s="39" t="str">
        <f>IFERROR(IF(bb_akun=INDEX(ju_kr,MATCH(ROW(J437),JURNAL!$O:$O,0)),INDEX(ju_sld,MATCH(ROW(K437),JURNAL!$O:$O,0)),0),"")</f>
        <v/>
      </c>
      <c r="G449" s="39" t="str">
        <f>IF(B449="","",IF(INDEX(typ_sn,MATCH($C$9,typ_ket,0))="db",$G$8+SUM($E$13:E449)-SUM($F$13:F449),$G$8+SUM($F$13:F449)-SUM($E$13:E449)))</f>
        <v/>
      </c>
    </row>
    <row r="450" spans="2:7" ht="23.1" customHeight="1">
      <c r="B450" s="45" t="str">
        <f>IFERROR(INDEX(ju_tgl,MATCH(ROW(J438),JURNAL!$O:$O,0)),"")</f>
        <v/>
      </c>
      <c r="C450" s="7" t="str">
        <f>IFERROR(INDEX(ju_ref,MATCH(ROW(J438),JURNAL!$O:$O,0)),"")</f>
        <v/>
      </c>
      <c r="D450" s="7" t="str">
        <f>IFERROR(INDEX(ju_ket,MATCH(ROW(J438),JURNAL!$O:$O,0)),"")</f>
        <v/>
      </c>
      <c r="E450" s="39" t="str">
        <f>IFERROR(IF(bb_akun=INDEX(ju_debet,MATCH(ROW(J438),JURNAL!$O:$O,0)),INDEX(ju_sld,MATCH(ROW(K438),JURNAL!$O:$O,0)),0),"")</f>
        <v/>
      </c>
      <c r="F450" s="39" t="str">
        <f>IFERROR(IF(bb_akun=INDEX(ju_kr,MATCH(ROW(J438),JURNAL!$O:$O,0)),INDEX(ju_sld,MATCH(ROW(K438),JURNAL!$O:$O,0)),0),"")</f>
        <v/>
      </c>
      <c r="G450" s="39" t="str">
        <f>IF(B450="","",IF(INDEX(typ_sn,MATCH($C$9,typ_ket,0))="db",$G$8+SUM($E$13:E450)-SUM($F$13:F450),$G$8+SUM($F$13:F450)-SUM($E$13:E450)))</f>
        <v/>
      </c>
    </row>
    <row r="451" spans="2:7" ht="23.1" customHeight="1">
      <c r="B451" s="45" t="str">
        <f>IFERROR(INDEX(ju_tgl,MATCH(ROW(J439),JURNAL!$O:$O,0)),"")</f>
        <v/>
      </c>
      <c r="C451" s="7" t="str">
        <f>IFERROR(INDEX(ju_ref,MATCH(ROW(J439),JURNAL!$O:$O,0)),"")</f>
        <v/>
      </c>
      <c r="D451" s="7" t="str">
        <f>IFERROR(INDEX(ju_ket,MATCH(ROW(J439),JURNAL!$O:$O,0)),"")</f>
        <v/>
      </c>
      <c r="E451" s="39" t="str">
        <f>IFERROR(IF(bb_akun=INDEX(ju_debet,MATCH(ROW(J439),JURNAL!$O:$O,0)),INDEX(ju_sld,MATCH(ROW(K439),JURNAL!$O:$O,0)),0),"")</f>
        <v/>
      </c>
      <c r="F451" s="39" t="str">
        <f>IFERROR(IF(bb_akun=INDEX(ju_kr,MATCH(ROW(J439),JURNAL!$O:$O,0)),INDEX(ju_sld,MATCH(ROW(K439),JURNAL!$O:$O,0)),0),"")</f>
        <v/>
      </c>
      <c r="G451" s="39" t="str">
        <f>IF(B451="","",IF(INDEX(typ_sn,MATCH($C$9,typ_ket,0))="db",$G$8+SUM($E$13:E451)-SUM($F$13:F451),$G$8+SUM($F$13:F451)-SUM($E$13:E451)))</f>
        <v/>
      </c>
    </row>
    <row r="452" spans="2:7" ht="23.1" customHeight="1">
      <c r="B452" s="45" t="str">
        <f>IFERROR(INDEX(ju_tgl,MATCH(ROW(J440),JURNAL!$O:$O,0)),"")</f>
        <v/>
      </c>
      <c r="C452" s="7" t="str">
        <f>IFERROR(INDEX(ju_ref,MATCH(ROW(J440),JURNAL!$O:$O,0)),"")</f>
        <v/>
      </c>
      <c r="D452" s="7" t="str">
        <f>IFERROR(INDEX(ju_ket,MATCH(ROW(J440),JURNAL!$O:$O,0)),"")</f>
        <v/>
      </c>
      <c r="E452" s="39" t="str">
        <f>IFERROR(IF(bb_akun=INDEX(ju_debet,MATCH(ROW(J440),JURNAL!$O:$O,0)),INDEX(ju_sld,MATCH(ROW(K440),JURNAL!$O:$O,0)),0),"")</f>
        <v/>
      </c>
      <c r="F452" s="39" t="str">
        <f>IFERROR(IF(bb_akun=INDEX(ju_kr,MATCH(ROW(J440),JURNAL!$O:$O,0)),INDEX(ju_sld,MATCH(ROW(K440),JURNAL!$O:$O,0)),0),"")</f>
        <v/>
      </c>
      <c r="G452" s="39" t="str">
        <f>IF(B452="","",IF(INDEX(typ_sn,MATCH($C$9,typ_ket,0))="db",$G$8+SUM($E$13:E452)-SUM($F$13:F452),$G$8+SUM($F$13:F452)-SUM($E$13:E452)))</f>
        <v/>
      </c>
    </row>
    <row r="453" spans="2:7" ht="23.1" customHeight="1">
      <c r="B453" s="45" t="str">
        <f>IFERROR(INDEX(ju_tgl,MATCH(ROW(J441),JURNAL!$O:$O,0)),"")</f>
        <v/>
      </c>
      <c r="C453" s="7" t="str">
        <f>IFERROR(INDEX(ju_ref,MATCH(ROW(J441),JURNAL!$O:$O,0)),"")</f>
        <v/>
      </c>
      <c r="D453" s="7" t="str">
        <f>IFERROR(INDEX(ju_ket,MATCH(ROW(J441),JURNAL!$O:$O,0)),"")</f>
        <v/>
      </c>
      <c r="E453" s="39" t="str">
        <f>IFERROR(IF(bb_akun=INDEX(ju_debet,MATCH(ROW(J441),JURNAL!$O:$O,0)),INDEX(ju_sld,MATCH(ROW(K441),JURNAL!$O:$O,0)),0),"")</f>
        <v/>
      </c>
      <c r="F453" s="39" t="str">
        <f>IFERROR(IF(bb_akun=INDEX(ju_kr,MATCH(ROW(J441),JURNAL!$O:$O,0)),INDEX(ju_sld,MATCH(ROW(K441),JURNAL!$O:$O,0)),0),"")</f>
        <v/>
      </c>
      <c r="G453" s="39" t="str">
        <f>IF(B453="","",IF(INDEX(typ_sn,MATCH($C$9,typ_ket,0))="db",$G$8+SUM($E$13:E453)-SUM($F$13:F453),$G$8+SUM($F$13:F453)-SUM($E$13:E453)))</f>
        <v/>
      </c>
    </row>
    <row r="454" spans="2:7" ht="23.1" customHeight="1">
      <c r="B454" s="45" t="str">
        <f>IFERROR(INDEX(ju_tgl,MATCH(ROW(J442),JURNAL!$O:$O,0)),"")</f>
        <v/>
      </c>
      <c r="C454" s="7" t="str">
        <f>IFERROR(INDEX(ju_ref,MATCH(ROW(J442),JURNAL!$O:$O,0)),"")</f>
        <v/>
      </c>
      <c r="D454" s="7" t="str">
        <f>IFERROR(INDEX(ju_ket,MATCH(ROW(J442),JURNAL!$O:$O,0)),"")</f>
        <v/>
      </c>
      <c r="E454" s="39" t="str">
        <f>IFERROR(IF(bb_akun=INDEX(ju_debet,MATCH(ROW(J442),JURNAL!$O:$O,0)),INDEX(ju_sld,MATCH(ROW(K442),JURNAL!$O:$O,0)),0),"")</f>
        <v/>
      </c>
      <c r="F454" s="39" t="str">
        <f>IFERROR(IF(bb_akun=INDEX(ju_kr,MATCH(ROW(J442),JURNAL!$O:$O,0)),INDEX(ju_sld,MATCH(ROW(K442),JURNAL!$O:$O,0)),0),"")</f>
        <v/>
      </c>
      <c r="G454" s="39" t="str">
        <f>IF(B454="","",IF(INDEX(typ_sn,MATCH($C$9,typ_ket,0))="db",$G$8+SUM($E$13:E454)-SUM($F$13:F454),$G$8+SUM($F$13:F454)-SUM($E$13:E454)))</f>
        <v/>
      </c>
    </row>
    <row r="455" spans="2:7" ht="23.1" customHeight="1">
      <c r="B455" s="45" t="str">
        <f>IFERROR(INDEX(ju_tgl,MATCH(ROW(J443),JURNAL!$O:$O,0)),"")</f>
        <v/>
      </c>
      <c r="C455" s="7" t="str">
        <f>IFERROR(INDEX(ju_ref,MATCH(ROW(J443),JURNAL!$O:$O,0)),"")</f>
        <v/>
      </c>
      <c r="D455" s="7" t="str">
        <f>IFERROR(INDEX(ju_ket,MATCH(ROW(J443),JURNAL!$O:$O,0)),"")</f>
        <v/>
      </c>
      <c r="E455" s="39" t="str">
        <f>IFERROR(IF(bb_akun=INDEX(ju_debet,MATCH(ROW(J443),JURNAL!$O:$O,0)),INDEX(ju_sld,MATCH(ROW(K443),JURNAL!$O:$O,0)),0),"")</f>
        <v/>
      </c>
      <c r="F455" s="39" t="str">
        <f>IFERROR(IF(bb_akun=INDEX(ju_kr,MATCH(ROW(J443),JURNAL!$O:$O,0)),INDEX(ju_sld,MATCH(ROW(K443),JURNAL!$O:$O,0)),0),"")</f>
        <v/>
      </c>
      <c r="G455" s="39" t="str">
        <f>IF(B455="","",IF(INDEX(typ_sn,MATCH($C$9,typ_ket,0))="db",$G$8+SUM($E$13:E455)-SUM($F$13:F455),$G$8+SUM($F$13:F455)-SUM($E$13:E455)))</f>
        <v/>
      </c>
    </row>
    <row r="456" spans="2:7" ht="23.1" customHeight="1">
      <c r="B456" s="45" t="str">
        <f>IFERROR(INDEX(ju_tgl,MATCH(ROW(J444),JURNAL!$O:$O,0)),"")</f>
        <v/>
      </c>
      <c r="C456" s="7" t="str">
        <f>IFERROR(INDEX(ju_ref,MATCH(ROW(J444),JURNAL!$O:$O,0)),"")</f>
        <v/>
      </c>
      <c r="D456" s="7" t="str">
        <f>IFERROR(INDEX(ju_ket,MATCH(ROW(J444),JURNAL!$O:$O,0)),"")</f>
        <v/>
      </c>
      <c r="E456" s="39" t="str">
        <f>IFERROR(IF(bb_akun=INDEX(ju_debet,MATCH(ROW(J444),JURNAL!$O:$O,0)),INDEX(ju_sld,MATCH(ROW(K444),JURNAL!$O:$O,0)),0),"")</f>
        <v/>
      </c>
      <c r="F456" s="39" t="str">
        <f>IFERROR(IF(bb_akun=INDEX(ju_kr,MATCH(ROW(J444),JURNAL!$O:$O,0)),INDEX(ju_sld,MATCH(ROW(K444),JURNAL!$O:$O,0)),0),"")</f>
        <v/>
      </c>
      <c r="G456" s="39" t="str">
        <f>IF(B456="","",IF(INDEX(typ_sn,MATCH($C$9,typ_ket,0))="db",$G$8+SUM($E$13:E456)-SUM($F$13:F456),$G$8+SUM($F$13:F456)-SUM($E$13:E456)))</f>
        <v/>
      </c>
    </row>
    <row r="457" spans="2:7" ht="23.1" customHeight="1">
      <c r="B457" s="45" t="str">
        <f>IFERROR(INDEX(ju_tgl,MATCH(ROW(J445),JURNAL!$O:$O,0)),"")</f>
        <v/>
      </c>
      <c r="C457" s="7" t="str">
        <f>IFERROR(INDEX(ju_ref,MATCH(ROW(J445),JURNAL!$O:$O,0)),"")</f>
        <v/>
      </c>
      <c r="D457" s="7" t="str">
        <f>IFERROR(INDEX(ju_ket,MATCH(ROW(J445),JURNAL!$O:$O,0)),"")</f>
        <v/>
      </c>
      <c r="E457" s="39" t="str">
        <f>IFERROR(IF(bb_akun=INDEX(ju_debet,MATCH(ROW(J445),JURNAL!$O:$O,0)),INDEX(ju_sld,MATCH(ROW(K445),JURNAL!$O:$O,0)),0),"")</f>
        <v/>
      </c>
      <c r="F457" s="39" t="str">
        <f>IFERROR(IF(bb_akun=INDEX(ju_kr,MATCH(ROW(J445),JURNAL!$O:$O,0)),INDEX(ju_sld,MATCH(ROW(K445),JURNAL!$O:$O,0)),0),"")</f>
        <v/>
      </c>
      <c r="G457" s="39" t="str">
        <f>IF(B457="","",IF(INDEX(typ_sn,MATCH($C$9,typ_ket,0))="db",$G$8+SUM($E$13:E457)-SUM($F$13:F457),$G$8+SUM($F$13:F457)-SUM($E$13:E457)))</f>
        <v/>
      </c>
    </row>
    <row r="458" spans="2:7" ht="23.1" customHeight="1">
      <c r="B458" s="45" t="str">
        <f>IFERROR(INDEX(ju_tgl,MATCH(ROW(J446),JURNAL!$O:$O,0)),"")</f>
        <v/>
      </c>
      <c r="C458" s="7" t="str">
        <f>IFERROR(INDEX(ju_ref,MATCH(ROW(J446),JURNAL!$O:$O,0)),"")</f>
        <v/>
      </c>
      <c r="D458" s="7" t="str">
        <f>IFERROR(INDEX(ju_ket,MATCH(ROW(J446),JURNAL!$O:$O,0)),"")</f>
        <v/>
      </c>
      <c r="E458" s="39" t="str">
        <f>IFERROR(IF(bb_akun=INDEX(ju_debet,MATCH(ROW(J446),JURNAL!$O:$O,0)),INDEX(ju_sld,MATCH(ROW(K446),JURNAL!$O:$O,0)),0),"")</f>
        <v/>
      </c>
      <c r="F458" s="39" t="str">
        <f>IFERROR(IF(bb_akun=INDEX(ju_kr,MATCH(ROW(J446),JURNAL!$O:$O,0)),INDEX(ju_sld,MATCH(ROW(K446),JURNAL!$O:$O,0)),0),"")</f>
        <v/>
      </c>
      <c r="G458" s="39" t="str">
        <f>IF(B458="","",IF(INDEX(typ_sn,MATCH($C$9,typ_ket,0))="db",$G$8+SUM($E$13:E458)-SUM($F$13:F458),$G$8+SUM($F$13:F458)-SUM($E$13:E458)))</f>
        <v/>
      </c>
    </row>
    <row r="459" spans="2:7" ht="23.1" customHeight="1">
      <c r="B459" s="45" t="str">
        <f>IFERROR(INDEX(ju_tgl,MATCH(ROW(J447),JURNAL!$O:$O,0)),"")</f>
        <v/>
      </c>
      <c r="C459" s="7" t="str">
        <f>IFERROR(INDEX(ju_ref,MATCH(ROW(J447),JURNAL!$O:$O,0)),"")</f>
        <v/>
      </c>
      <c r="D459" s="7" t="str">
        <f>IFERROR(INDEX(ju_ket,MATCH(ROW(J447),JURNAL!$O:$O,0)),"")</f>
        <v/>
      </c>
      <c r="E459" s="39" t="str">
        <f>IFERROR(IF(bb_akun=INDEX(ju_debet,MATCH(ROW(J447),JURNAL!$O:$O,0)),INDEX(ju_sld,MATCH(ROW(K447),JURNAL!$O:$O,0)),0),"")</f>
        <v/>
      </c>
      <c r="F459" s="39" t="str">
        <f>IFERROR(IF(bb_akun=INDEX(ju_kr,MATCH(ROW(J447),JURNAL!$O:$O,0)),INDEX(ju_sld,MATCH(ROW(K447),JURNAL!$O:$O,0)),0),"")</f>
        <v/>
      </c>
      <c r="G459" s="39" t="str">
        <f>IF(B459="","",IF(INDEX(typ_sn,MATCH($C$9,typ_ket,0))="db",$G$8+SUM($E$13:E459)-SUM($F$13:F459),$G$8+SUM($F$13:F459)-SUM($E$13:E459)))</f>
        <v/>
      </c>
    </row>
    <row r="460" spans="2:7" ht="23.1" customHeight="1">
      <c r="B460" s="45" t="str">
        <f>IFERROR(INDEX(ju_tgl,MATCH(ROW(J448),JURNAL!$O:$O,0)),"")</f>
        <v/>
      </c>
      <c r="C460" s="7" t="str">
        <f>IFERROR(INDEX(ju_ref,MATCH(ROW(J448),JURNAL!$O:$O,0)),"")</f>
        <v/>
      </c>
      <c r="D460" s="7" t="str">
        <f>IFERROR(INDEX(ju_ket,MATCH(ROW(J448),JURNAL!$O:$O,0)),"")</f>
        <v/>
      </c>
      <c r="E460" s="39" t="str">
        <f>IFERROR(IF(bb_akun=INDEX(ju_debet,MATCH(ROW(J448),JURNAL!$O:$O,0)),INDEX(ju_sld,MATCH(ROW(K448),JURNAL!$O:$O,0)),0),"")</f>
        <v/>
      </c>
      <c r="F460" s="39" t="str">
        <f>IFERROR(IF(bb_akun=INDEX(ju_kr,MATCH(ROW(J448),JURNAL!$O:$O,0)),INDEX(ju_sld,MATCH(ROW(K448),JURNAL!$O:$O,0)),0),"")</f>
        <v/>
      </c>
      <c r="G460" s="39" t="str">
        <f>IF(B460="","",IF(INDEX(typ_sn,MATCH($C$9,typ_ket,0))="db",$G$8+SUM($E$13:E460)-SUM($F$13:F460),$G$8+SUM($F$13:F460)-SUM($E$13:E460)))</f>
        <v/>
      </c>
    </row>
    <row r="461" spans="2:7" ht="23.1" customHeight="1">
      <c r="B461" s="45" t="str">
        <f>IFERROR(INDEX(ju_tgl,MATCH(ROW(J449),JURNAL!$O:$O,0)),"")</f>
        <v/>
      </c>
      <c r="C461" s="7" t="str">
        <f>IFERROR(INDEX(ju_ref,MATCH(ROW(J449),JURNAL!$O:$O,0)),"")</f>
        <v/>
      </c>
      <c r="D461" s="7" t="str">
        <f>IFERROR(INDEX(ju_ket,MATCH(ROW(J449),JURNAL!$O:$O,0)),"")</f>
        <v/>
      </c>
      <c r="E461" s="39" t="str">
        <f>IFERROR(IF(bb_akun=INDEX(ju_debet,MATCH(ROW(J449),JURNAL!$O:$O,0)),INDEX(ju_sld,MATCH(ROW(K449),JURNAL!$O:$O,0)),0),"")</f>
        <v/>
      </c>
      <c r="F461" s="39" t="str">
        <f>IFERROR(IF(bb_akun=INDEX(ju_kr,MATCH(ROW(J449),JURNAL!$O:$O,0)),INDEX(ju_sld,MATCH(ROW(K449),JURNAL!$O:$O,0)),0),"")</f>
        <v/>
      </c>
      <c r="G461" s="39" t="str">
        <f>IF(B461="","",IF(INDEX(typ_sn,MATCH($C$9,typ_ket,0))="db",$G$8+SUM($E$13:E461)-SUM($F$13:F461),$G$8+SUM($F$13:F461)-SUM($E$13:E461)))</f>
        <v/>
      </c>
    </row>
    <row r="462" spans="2:7" ht="23.1" customHeight="1">
      <c r="B462" s="45" t="str">
        <f>IFERROR(INDEX(ju_tgl,MATCH(ROW(J450),JURNAL!$O:$O,0)),"")</f>
        <v/>
      </c>
      <c r="C462" s="7" t="str">
        <f>IFERROR(INDEX(ju_ref,MATCH(ROW(J450),JURNAL!$O:$O,0)),"")</f>
        <v/>
      </c>
      <c r="D462" s="7" t="str">
        <f>IFERROR(INDEX(ju_ket,MATCH(ROW(J450),JURNAL!$O:$O,0)),"")</f>
        <v/>
      </c>
      <c r="E462" s="39" t="str">
        <f>IFERROR(IF(bb_akun=INDEX(ju_debet,MATCH(ROW(J450),JURNAL!$O:$O,0)),INDEX(ju_sld,MATCH(ROW(K450),JURNAL!$O:$O,0)),0),"")</f>
        <v/>
      </c>
      <c r="F462" s="39" t="str">
        <f>IFERROR(IF(bb_akun=INDEX(ju_kr,MATCH(ROW(J450),JURNAL!$O:$O,0)),INDEX(ju_sld,MATCH(ROW(K450),JURNAL!$O:$O,0)),0),"")</f>
        <v/>
      </c>
      <c r="G462" s="39" t="str">
        <f>IF(B462="","",IF(INDEX(typ_sn,MATCH($C$9,typ_ket,0))="db",$G$8+SUM($E$13:E462)-SUM($F$13:F462),$G$8+SUM($F$13:F462)-SUM($E$13:E462)))</f>
        <v/>
      </c>
    </row>
    <row r="463" spans="2:7" ht="23.1" customHeight="1">
      <c r="B463" s="45" t="str">
        <f>IFERROR(INDEX(ju_tgl,MATCH(ROW(J451),JURNAL!$O:$O,0)),"")</f>
        <v/>
      </c>
      <c r="C463" s="7" t="str">
        <f>IFERROR(INDEX(ju_ref,MATCH(ROW(J451),JURNAL!$O:$O,0)),"")</f>
        <v/>
      </c>
      <c r="D463" s="7" t="str">
        <f>IFERROR(INDEX(ju_ket,MATCH(ROW(J451),JURNAL!$O:$O,0)),"")</f>
        <v/>
      </c>
      <c r="E463" s="39" t="str">
        <f>IFERROR(IF(bb_akun=INDEX(ju_debet,MATCH(ROW(J451),JURNAL!$O:$O,0)),INDEX(ju_sld,MATCH(ROW(K451),JURNAL!$O:$O,0)),0),"")</f>
        <v/>
      </c>
      <c r="F463" s="39" t="str">
        <f>IFERROR(IF(bb_akun=INDEX(ju_kr,MATCH(ROW(J451),JURNAL!$O:$O,0)),INDEX(ju_sld,MATCH(ROW(K451),JURNAL!$O:$O,0)),0),"")</f>
        <v/>
      </c>
      <c r="G463" s="39" t="str">
        <f>IF(B463="","",IF(INDEX(typ_sn,MATCH($C$9,typ_ket,0))="db",$G$8+SUM($E$13:E463)-SUM($F$13:F463),$G$8+SUM($F$13:F463)-SUM($E$13:E463)))</f>
        <v/>
      </c>
    </row>
    <row r="464" spans="2:7" ht="23.1" customHeight="1">
      <c r="B464" s="45" t="str">
        <f>IFERROR(INDEX(ju_tgl,MATCH(ROW(J452),JURNAL!$O:$O,0)),"")</f>
        <v/>
      </c>
      <c r="C464" s="7" t="str">
        <f>IFERROR(INDEX(ju_ref,MATCH(ROW(J452),JURNAL!$O:$O,0)),"")</f>
        <v/>
      </c>
      <c r="D464" s="7" t="str">
        <f>IFERROR(INDEX(ju_ket,MATCH(ROW(J452),JURNAL!$O:$O,0)),"")</f>
        <v/>
      </c>
      <c r="E464" s="39" t="str">
        <f>IFERROR(IF(bb_akun=INDEX(ju_debet,MATCH(ROW(J452),JURNAL!$O:$O,0)),INDEX(ju_sld,MATCH(ROW(K452),JURNAL!$O:$O,0)),0),"")</f>
        <v/>
      </c>
      <c r="F464" s="39" t="str">
        <f>IFERROR(IF(bb_akun=INDEX(ju_kr,MATCH(ROW(J452),JURNAL!$O:$O,0)),INDEX(ju_sld,MATCH(ROW(K452),JURNAL!$O:$O,0)),0),"")</f>
        <v/>
      </c>
      <c r="G464" s="39" t="str">
        <f>IF(B464="","",IF(INDEX(typ_sn,MATCH($C$9,typ_ket,0))="db",$G$8+SUM($E$13:E464)-SUM($F$13:F464),$G$8+SUM($F$13:F464)-SUM($E$13:E464)))</f>
        <v/>
      </c>
    </row>
    <row r="465" spans="2:7" ht="23.1" customHeight="1">
      <c r="B465" s="45" t="str">
        <f>IFERROR(INDEX(ju_tgl,MATCH(ROW(J453),JURNAL!$O:$O,0)),"")</f>
        <v/>
      </c>
      <c r="C465" s="7" t="str">
        <f>IFERROR(INDEX(ju_ref,MATCH(ROW(J453),JURNAL!$O:$O,0)),"")</f>
        <v/>
      </c>
      <c r="D465" s="7" t="str">
        <f>IFERROR(INDEX(ju_ket,MATCH(ROW(J453),JURNAL!$O:$O,0)),"")</f>
        <v/>
      </c>
      <c r="E465" s="39" t="str">
        <f>IFERROR(IF(bb_akun=INDEX(ju_debet,MATCH(ROW(J453),JURNAL!$O:$O,0)),INDEX(ju_sld,MATCH(ROW(K453),JURNAL!$O:$O,0)),0),"")</f>
        <v/>
      </c>
      <c r="F465" s="39" t="str">
        <f>IFERROR(IF(bb_akun=INDEX(ju_kr,MATCH(ROW(J453),JURNAL!$O:$O,0)),INDEX(ju_sld,MATCH(ROW(K453),JURNAL!$O:$O,0)),0),"")</f>
        <v/>
      </c>
      <c r="G465" s="39" t="str">
        <f>IF(B465="","",IF(INDEX(typ_sn,MATCH($C$9,typ_ket,0))="db",$G$8+SUM($E$13:E465)-SUM($F$13:F465),$G$8+SUM($F$13:F465)-SUM($E$13:E465)))</f>
        <v/>
      </c>
    </row>
    <row r="466" spans="2:7" ht="23.1" customHeight="1">
      <c r="B466" s="45" t="str">
        <f>IFERROR(INDEX(ju_tgl,MATCH(ROW(J454),JURNAL!$O:$O,0)),"")</f>
        <v/>
      </c>
      <c r="C466" s="7" t="str">
        <f>IFERROR(INDEX(ju_ref,MATCH(ROW(J454),JURNAL!$O:$O,0)),"")</f>
        <v/>
      </c>
      <c r="D466" s="7" t="str">
        <f>IFERROR(INDEX(ju_ket,MATCH(ROW(J454),JURNAL!$O:$O,0)),"")</f>
        <v/>
      </c>
      <c r="E466" s="39" t="str">
        <f>IFERROR(IF(bb_akun=INDEX(ju_debet,MATCH(ROW(J454),JURNAL!$O:$O,0)),INDEX(ju_sld,MATCH(ROW(K454),JURNAL!$O:$O,0)),0),"")</f>
        <v/>
      </c>
      <c r="F466" s="39" t="str">
        <f>IFERROR(IF(bb_akun=INDEX(ju_kr,MATCH(ROW(J454),JURNAL!$O:$O,0)),INDEX(ju_sld,MATCH(ROW(K454),JURNAL!$O:$O,0)),0),"")</f>
        <v/>
      </c>
      <c r="G466" s="39" t="str">
        <f>IF(B466="","",IF(INDEX(typ_sn,MATCH($C$9,typ_ket,0))="db",$G$8+SUM($E$13:E466)-SUM($F$13:F466),$G$8+SUM($F$13:F466)-SUM($E$13:E466)))</f>
        <v/>
      </c>
    </row>
    <row r="467" spans="2:7" ht="23.1" customHeight="1">
      <c r="B467" s="45" t="str">
        <f>IFERROR(INDEX(ju_tgl,MATCH(ROW(J455),JURNAL!$O:$O,0)),"")</f>
        <v/>
      </c>
      <c r="C467" s="7" t="str">
        <f>IFERROR(INDEX(ju_ref,MATCH(ROW(J455),JURNAL!$O:$O,0)),"")</f>
        <v/>
      </c>
      <c r="D467" s="7" t="str">
        <f>IFERROR(INDEX(ju_ket,MATCH(ROW(J455),JURNAL!$O:$O,0)),"")</f>
        <v/>
      </c>
      <c r="E467" s="39" t="str">
        <f>IFERROR(IF(bb_akun=INDEX(ju_debet,MATCH(ROW(J455),JURNAL!$O:$O,0)),INDEX(ju_sld,MATCH(ROW(K455),JURNAL!$O:$O,0)),0),"")</f>
        <v/>
      </c>
      <c r="F467" s="39" t="str">
        <f>IFERROR(IF(bb_akun=INDEX(ju_kr,MATCH(ROW(J455),JURNAL!$O:$O,0)),INDEX(ju_sld,MATCH(ROW(K455),JURNAL!$O:$O,0)),0),"")</f>
        <v/>
      </c>
      <c r="G467" s="39" t="str">
        <f>IF(B467="","",IF(INDEX(typ_sn,MATCH($C$9,typ_ket,0))="db",$G$8+SUM($E$13:E467)-SUM($F$13:F467),$G$8+SUM($F$13:F467)-SUM($E$13:E467)))</f>
        <v/>
      </c>
    </row>
    <row r="468" spans="2:7" ht="23.1" customHeight="1">
      <c r="B468" s="45" t="str">
        <f>IFERROR(INDEX(ju_tgl,MATCH(ROW(J456),JURNAL!$O:$O,0)),"")</f>
        <v/>
      </c>
      <c r="C468" s="7" t="str">
        <f>IFERROR(INDEX(ju_ref,MATCH(ROW(J456),JURNAL!$O:$O,0)),"")</f>
        <v/>
      </c>
      <c r="D468" s="7" t="str">
        <f>IFERROR(INDEX(ju_ket,MATCH(ROW(J456),JURNAL!$O:$O,0)),"")</f>
        <v/>
      </c>
      <c r="E468" s="39" t="str">
        <f>IFERROR(IF(bb_akun=INDEX(ju_debet,MATCH(ROW(J456),JURNAL!$O:$O,0)),INDEX(ju_sld,MATCH(ROW(K456),JURNAL!$O:$O,0)),0),"")</f>
        <v/>
      </c>
      <c r="F468" s="39" t="str">
        <f>IFERROR(IF(bb_akun=INDEX(ju_kr,MATCH(ROW(J456),JURNAL!$O:$O,0)),INDEX(ju_sld,MATCH(ROW(K456),JURNAL!$O:$O,0)),0),"")</f>
        <v/>
      </c>
      <c r="G468" s="39" t="str">
        <f>IF(B468="","",IF(INDEX(typ_sn,MATCH($C$9,typ_ket,0))="db",$G$8+SUM($E$13:E468)-SUM($F$13:F468),$G$8+SUM($F$13:F468)-SUM($E$13:E468)))</f>
        <v/>
      </c>
    </row>
    <row r="469" spans="2:7" ht="23.1" customHeight="1">
      <c r="B469" s="45" t="str">
        <f>IFERROR(INDEX(ju_tgl,MATCH(ROW(J457),JURNAL!$O:$O,0)),"")</f>
        <v/>
      </c>
      <c r="C469" s="7" t="str">
        <f>IFERROR(INDEX(ju_ref,MATCH(ROW(J457),JURNAL!$O:$O,0)),"")</f>
        <v/>
      </c>
      <c r="D469" s="7" t="str">
        <f>IFERROR(INDEX(ju_ket,MATCH(ROW(J457),JURNAL!$O:$O,0)),"")</f>
        <v/>
      </c>
      <c r="E469" s="39" t="str">
        <f>IFERROR(IF(bb_akun=INDEX(ju_debet,MATCH(ROW(J457),JURNAL!$O:$O,0)),INDEX(ju_sld,MATCH(ROW(K457),JURNAL!$O:$O,0)),0),"")</f>
        <v/>
      </c>
      <c r="F469" s="39" t="str">
        <f>IFERROR(IF(bb_akun=INDEX(ju_kr,MATCH(ROW(J457),JURNAL!$O:$O,0)),INDEX(ju_sld,MATCH(ROW(K457),JURNAL!$O:$O,0)),0),"")</f>
        <v/>
      </c>
      <c r="G469" s="39" t="str">
        <f>IF(B469="","",IF(INDEX(typ_sn,MATCH($C$9,typ_ket,0))="db",$G$8+SUM($E$13:E469)-SUM($F$13:F469),$G$8+SUM($F$13:F469)-SUM($E$13:E469)))</f>
        <v/>
      </c>
    </row>
    <row r="470" spans="2:7" ht="23.1" customHeight="1">
      <c r="B470" s="45" t="str">
        <f>IFERROR(INDEX(ju_tgl,MATCH(ROW(J458),JURNAL!$O:$O,0)),"")</f>
        <v/>
      </c>
      <c r="C470" s="7" t="str">
        <f>IFERROR(INDEX(ju_ref,MATCH(ROW(J458),JURNAL!$O:$O,0)),"")</f>
        <v/>
      </c>
      <c r="D470" s="7" t="str">
        <f>IFERROR(INDEX(ju_ket,MATCH(ROW(J458),JURNAL!$O:$O,0)),"")</f>
        <v/>
      </c>
      <c r="E470" s="39" t="str">
        <f>IFERROR(IF(bb_akun=INDEX(ju_debet,MATCH(ROW(J458),JURNAL!$O:$O,0)),INDEX(ju_sld,MATCH(ROW(K458),JURNAL!$O:$O,0)),0),"")</f>
        <v/>
      </c>
      <c r="F470" s="39" t="str">
        <f>IFERROR(IF(bb_akun=INDEX(ju_kr,MATCH(ROW(J458),JURNAL!$O:$O,0)),INDEX(ju_sld,MATCH(ROW(K458),JURNAL!$O:$O,0)),0),"")</f>
        <v/>
      </c>
      <c r="G470" s="39" t="str">
        <f>IF(B470="","",IF(INDEX(typ_sn,MATCH($C$9,typ_ket,0))="db",$G$8+SUM($E$13:E470)-SUM($F$13:F470),$G$8+SUM($F$13:F470)-SUM($E$13:E470)))</f>
        <v/>
      </c>
    </row>
    <row r="471" spans="2:7" ht="23.1" customHeight="1">
      <c r="B471" s="45" t="str">
        <f>IFERROR(INDEX(ju_tgl,MATCH(ROW(J459),JURNAL!$O:$O,0)),"")</f>
        <v/>
      </c>
      <c r="C471" s="7" t="str">
        <f>IFERROR(INDEX(ju_ref,MATCH(ROW(J459),JURNAL!$O:$O,0)),"")</f>
        <v/>
      </c>
      <c r="D471" s="7" t="str">
        <f>IFERROR(INDEX(ju_ket,MATCH(ROW(J459),JURNAL!$O:$O,0)),"")</f>
        <v/>
      </c>
      <c r="E471" s="39" t="str">
        <f>IFERROR(IF(bb_akun=INDEX(ju_debet,MATCH(ROW(J459),JURNAL!$O:$O,0)),INDEX(ju_sld,MATCH(ROW(K459),JURNAL!$O:$O,0)),0),"")</f>
        <v/>
      </c>
      <c r="F471" s="39" t="str">
        <f>IFERROR(IF(bb_akun=INDEX(ju_kr,MATCH(ROW(J459),JURNAL!$O:$O,0)),INDEX(ju_sld,MATCH(ROW(K459),JURNAL!$O:$O,0)),0),"")</f>
        <v/>
      </c>
      <c r="G471" s="39" t="str">
        <f>IF(B471="","",IF(INDEX(typ_sn,MATCH($C$9,typ_ket,0))="db",$G$8+SUM($E$13:E471)-SUM($F$13:F471),$G$8+SUM($F$13:F471)-SUM($E$13:E471)))</f>
        <v/>
      </c>
    </row>
    <row r="472" spans="2:7" ht="23.1" customHeight="1">
      <c r="B472" s="45" t="str">
        <f>IFERROR(INDEX(ju_tgl,MATCH(ROW(J460),JURNAL!$O:$O,0)),"")</f>
        <v/>
      </c>
      <c r="C472" s="7" t="str">
        <f>IFERROR(INDEX(ju_ref,MATCH(ROW(J460),JURNAL!$O:$O,0)),"")</f>
        <v/>
      </c>
      <c r="D472" s="7" t="str">
        <f>IFERROR(INDEX(ju_ket,MATCH(ROW(J460),JURNAL!$O:$O,0)),"")</f>
        <v/>
      </c>
      <c r="E472" s="39" t="str">
        <f>IFERROR(IF(bb_akun=INDEX(ju_debet,MATCH(ROW(J460),JURNAL!$O:$O,0)),INDEX(ju_sld,MATCH(ROW(K460),JURNAL!$O:$O,0)),0),"")</f>
        <v/>
      </c>
      <c r="F472" s="39" t="str">
        <f>IFERROR(IF(bb_akun=INDEX(ju_kr,MATCH(ROW(J460),JURNAL!$O:$O,0)),INDEX(ju_sld,MATCH(ROW(K460),JURNAL!$O:$O,0)),0),"")</f>
        <v/>
      </c>
      <c r="G472" s="39" t="str">
        <f>IF(B472="","",IF(INDEX(typ_sn,MATCH($C$9,typ_ket,0))="db",$G$8+SUM($E$13:E472)-SUM($F$13:F472),$G$8+SUM($F$13:F472)-SUM($E$13:E472)))</f>
        <v/>
      </c>
    </row>
    <row r="473" spans="2:7" ht="23.1" customHeight="1">
      <c r="B473" s="45" t="str">
        <f>IFERROR(INDEX(ju_tgl,MATCH(ROW(J461),JURNAL!$O:$O,0)),"")</f>
        <v/>
      </c>
      <c r="C473" s="7" t="str">
        <f>IFERROR(INDEX(ju_ref,MATCH(ROW(J461),JURNAL!$O:$O,0)),"")</f>
        <v/>
      </c>
      <c r="D473" s="7" t="str">
        <f>IFERROR(INDEX(ju_ket,MATCH(ROW(J461),JURNAL!$O:$O,0)),"")</f>
        <v/>
      </c>
      <c r="E473" s="39" t="str">
        <f>IFERROR(IF(bb_akun=INDEX(ju_debet,MATCH(ROW(J461),JURNAL!$O:$O,0)),INDEX(ju_sld,MATCH(ROW(K461),JURNAL!$O:$O,0)),0),"")</f>
        <v/>
      </c>
      <c r="F473" s="39" t="str">
        <f>IFERROR(IF(bb_akun=INDEX(ju_kr,MATCH(ROW(J461),JURNAL!$O:$O,0)),INDEX(ju_sld,MATCH(ROW(K461),JURNAL!$O:$O,0)),0),"")</f>
        <v/>
      </c>
      <c r="G473" s="39" t="str">
        <f>IF(B473="","",IF(INDEX(typ_sn,MATCH($C$9,typ_ket,0))="db",$G$8+SUM($E$13:E473)-SUM($F$13:F473),$G$8+SUM($F$13:F473)-SUM($E$13:E473)))</f>
        <v/>
      </c>
    </row>
    <row r="474" spans="2:7" ht="23.1" customHeight="1">
      <c r="B474" s="45" t="str">
        <f>IFERROR(INDEX(ju_tgl,MATCH(ROW(J462),JURNAL!$O:$O,0)),"")</f>
        <v/>
      </c>
      <c r="C474" s="7" t="str">
        <f>IFERROR(INDEX(ju_ref,MATCH(ROW(J462),JURNAL!$O:$O,0)),"")</f>
        <v/>
      </c>
      <c r="D474" s="7" t="str">
        <f>IFERROR(INDEX(ju_ket,MATCH(ROW(J462),JURNAL!$O:$O,0)),"")</f>
        <v/>
      </c>
      <c r="E474" s="39" t="str">
        <f>IFERROR(IF(bb_akun=INDEX(ju_debet,MATCH(ROW(J462),JURNAL!$O:$O,0)),INDEX(ju_sld,MATCH(ROW(K462),JURNAL!$O:$O,0)),0),"")</f>
        <v/>
      </c>
      <c r="F474" s="39" t="str">
        <f>IFERROR(IF(bb_akun=INDEX(ju_kr,MATCH(ROW(J462),JURNAL!$O:$O,0)),INDEX(ju_sld,MATCH(ROW(K462),JURNAL!$O:$O,0)),0),"")</f>
        <v/>
      </c>
      <c r="G474" s="39" t="str">
        <f>IF(B474="","",IF(INDEX(typ_sn,MATCH($C$9,typ_ket,0))="db",$G$8+SUM($E$13:E474)-SUM($F$13:F474),$G$8+SUM($F$13:F474)-SUM($E$13:E474)))</f>
        <v/>
      </c>
    </row>
    <row r="475" spans="2:7" ht="23.1" customHeight="1">
      <c r="B475" s="45" t="str">
        <f>IFERROR(INDEX(ju_tgl,MATCH(ROW(J463),JURNAL!$O:$O,0)),"")</f>
        <v/>
      </c>
      <c r="C475" s="7" t="str">
        <f>IFERROR(INDEX(ju_ref,MATCH(ROW(J463),JURNAL!$O:$O,0)),"")</f>
        <v/>
      </c>
      <c r="D475" s="7" t="str">
        <f>IFERROR(INDEX(ju_ket,MATCH(ROW(J463),JURNAL!$O:$O,0)),"")</f>
        <v/>
      </c>
      <c r="E475" s="39" t="str">
        <f>IFERROR(IF(bb_akun=INDEX(ju_debet,MATCH(ROW(J463),JURNAL!$O:$O,0)),INDEX(ju_sld,MATCH(ROW(K463),JURNAL!$O:$O,0)),0),"")</f>
        <v/>
      </c>
      <c r="F475" s="39" t="str">
        <f>IFERROR(IF(bb_akun=INDEX(ju_kr,MATCH(ROW(J463),JURNAL!$O:$O,0)),INDEX(ju_sld,MATCH(ROW(K463),JURNAL!$O:$O,0)),0),"")</f>
        <v/>
      </c>
      <c r="G475" s="39" t="str">
        <f>IF(B475="","",IF(INDEX(typ_sn,MATCH($C$9,typ_ket,0))="db",$G$8+SUM($E$13:E475)-SUM($F$13:F475),$G$8+SUM($F$13:F475)-SUM($E$13:E475)))</f>
        <v/>
      </c>
    </row>
    <row r="476" spans="2:7" ht="23.1" customHeight="1">
      <c r="B476" s="45" t="str">
        <f>IFERROR(INDEX(ju_tgl,MATCH(ROW(J464),JURNAL!$O:$O,0)),"")</f>
        <v/>
      </c>
      <c r="C476" s="7" t="str">
        <f>IFERROR(INDEX(ju_ref,MATCH(ROW(J464),JURNAL!$O:$O,0)),"")</f>
        <v/>
      </c>
      <c r="D476" s="7" t="str">
        <f>IFERROR(INDEX(ju_ket,MATCH(ROW(J464),JURNAL!$O:$O,0)),"")</f>
        <v/>
      </c>
      <c r="E476" s="39" t="str">
        <f>IFERROR(IF(bb_akun=INDEX(ju_debet,MATCH(ROW(J464),JURNAL!$O:$O,0)),INDEX(ju_sld,MATCH(ROW(K464),JURNAL!$O:$O,0)),0),"")</f>
        <v/>
      </c>
      <c r="F476" s="39" t="str">
        <f>IFERROR(IF(bb_akun=INDEX(ju_kr,MATCH(ROW(J464),JURNAL!$O:$O,0)),INDEX(ju_sld,MATCH(ROW(K464),JURNAL!$O:$O,0)),0),"")</f>
        <v/>
      </c>
      <c r="G476" s="39" t="str">
        <f>IF(B476="","",IF(INDEX(typ_sn,MATCH($C$9,typ_ket,0))="db",$G$8+SUM($E$13:E476)-SUM($F$13:F476),$G$8+SUM($F$13:F476)-SUM($E$13:E476)))</f>
        <v/>
      </c>
    </row>
    <row r="477" spans="2:7" ht="23.1" customHeight="1">
      <c r="B477" s="45" t="str">
        <f>IFERROR(INDEX(ju_tgl,MATCH(ROW(J465),JURNAL!$O:$O,0)),"")</f>
        <v/>
      </c>
      <c r="C477" s="7" t="str">
        <f>IFERROR(INDEX(ju_ref,MATCH(ROW(J465),JURNAL!$O:$O,0)),"")</f>
        <v/>
      </c>
      <c r="D477" s="7" t="str">
        <f>IFERROR(INDEX(ju_ket,MATCH(ROW(J465),JURNAL!$O:$O,0)),"")</f>
        <v/>
      </c>
      <c r="E477" s="39" t="str">
        <f>IFERROR(IF(bb_akun=INDEX(ju_debet,MATCH(ROW(J465),JURNAL!$O:$O,0)),INDEX(ju_sld,MATCH(ROW(K465),JURNAL!$O:$O,0)),0),"")</f>
        <v/>
      </c>
      <c r="F477" s="39" t="str">
        <f>IFERROR(IF(bb_akun=INDEX(ju_kr,MATCH(ROW(J465),JURNAL!$O:$O,0)),INDEX(ju_sld,MATCH(ROW(K465),JURNAL!$O:$O,0)),0),"")</f>
        <v/>
      </c>
      <c r="G477" s="39" t="str">
        <f>IF(B477="","",IF(INDEX(typ_sn,MATCH($C$9,typ_ket,0))="db",$G$8+SUM($E$13:E477)-SUM($F$13:F477),$G$8+SUM($F$13:F477)-SUM($E$13:E477)))</f>
        <v/>
      </c>
    </row>
    <row r="478" spans="2:7" ht="23.1" customHeight="1">
      <c r="B478" s="45" t="str">
        <f>IFERROR(INDEX(ju_tgl,MATCH(ROW(J466),JURNAL!$O:$O,0)),"")</f>
        <v/>
      </c>
      <c r="C478" s="7" t="str">
        <f>IFERROR(INDEX(ju_ref,MATCH(ROW(J466),JURNAL!$O:$O,0)),"")</f>
        <v/>
      </c>
      <c r="D478" s="7" t="str">
        <f>IFERROR(INDEX(ju_ket,MATCH(ROW(J466),JURNAL!$O:$O,0)),"")</f>
        <v/>
      </c>
      <c r="E478" s="39" t="str">
        <f>IFERROR(IF(bb_akun=INDEX(ju_debet,MATCH(ROW(J466),JURNAL!$O:$O,0)),INDEX(ju_sld,MATCH(ROW(K466),JURNAL!$O:$O,0)),0),"")</f>
        <v/>
      </c>
      <c r="F478" s="39" t="str">
        <f>IFERROR(IF(bb_akun=INDEX(ju_kr,MATCH(ROW(J466),JURNAL!$O:$O,0)),INDEX(ju_sld,MATCH(ROW(K466),JURNAL!$O:$O,0)),0),"")</f>
        <v/>
      </c>
      <c r="G478" s="39" t="str">
        <f>IF(B478="","",IF(INDEX(typ_sn,MATCH($C$9,typ_ket,0))="db",$G$8+SUM($E$13:E478)-SUM($F$13:F478),$G$8+SUM($F$13:F478)-SUM($E$13:E478)))</f>
        <v/>
      </c>
    </row>
    <row r="479" spans="2:7" ht="23.1" customHeight="1">
      <c r="B479" s="45" t="str">
        <f>IFERROR(INDEX(ju_tgl,MATCH(ROW(J467),JURNAL!$O:$O,0)),"")</f>
        <v/>
      </c>
      <c r="C479" s="7" t="str">
        <f>IFERROR(INDEX(ju_ref,MATCH(ROW(J467),JURNAL!$O:$O,0)),"")</f>
        <v/>
      </c>
      <c r="D479" s="7" t="str">
        <f>IFERROR(INDEX(ju_ket,MATCH(ROW(J467),JURNAL!$O:$O,0)),"")</f>
        <v/>
      </c>
      <c r="E479" s="39" t="str">
        <f>IFERROR(IF(bb_akun=INDEX(ju_debet,MATCH(ROW(J467),JURNAL!$O:$O,0)),INDEX(ju_sld,MATCH(ROW(K467),JURNAL!$O:$O,0)),0),"")</f>
        <v/>
      </c>
      <c r="F479" s="39" t="str">
        <f>IFERROR(IF(bb_akun=INDEX(ju_kr,MATCH(ROW(J467),JURNAL!$O:$O,0)),INDEX(ju_sld,MATCH(ROW(K467),JURNAL!$O:$O,0)),0),"")</f>
        <v/>
      </c>
      <c r="G479" s="39" t="str">
        <f>IF(B479="","",IF(INDEX(typ_sn,MATCH($C$9,typ_ket,0))="db",$G$8+SUM($E$13:E479)-SUM($F$13:F479),$G$8+SUM($F$13:F479)-SUM($E$13:E479)))</f>
        <v/>
      </c>
    </row>
    <row r="480" spans="2:7" ht="23.1" customHeight="1">
      <c r="B480" s="45" t="str">
        <f>IFERROR(INDEX(ju_tgl,MATCH(ROW(J468),JURNAL!$O:$O,0)),"")</f>
        <v/>
      </c>
      <c r="C480" s="7" t="str">
        <f>IFERROR(INDEX(ju_ref,MATCH(ROW(J468),JURNAL!$O:$O,0)),"")</f>
        <v/>
      </c>
      <c r="D480" s="7" t="str">
        <f>IFERROR(INDEX(ju_ket,MATCH(ROW(J468),JURNAL!$O:$O,0)),"")</f>
        <v/>
      </c>
      <c r="E480" s="39" t="str">
        <f>IFERROR(IF(bb_akun=INDEX(ju_debet,MATCH(ROW(J468),JURNAL!$O:$O,0)),INDEX(ju_sld,MATCH(ROW(K468),JURNAL!$O:$O,0)),0),"")</f>
        <v/>
      </c>
      <c r="F480" s="39" t="str">
        <f>IFERROR(IF(bb_akun=INDEX(ju_kr,MATCH(ROW(J468),JURNAL!$O:$O,0)),INDEX(ju_sld,MATCH(ROW(K468),JURNAL!$O:$O,0)),0),"")</f>
        <v/>
      </c>
      <c r="G480" s="39" t="str">
        <f>IF(B480="","",IF(INDEX(typ_sn,MATCH($C$9,typ_ket,0))="db",$G$8+SUM($E$13:E480)-SUM($F$13:F480),$G$8+SUM($F$13:F480)-SUM($E$13:E480)))</f>
        <v/>
      </c>
    </row>
    <row r="481" spans="2:7" ht="23.1" customHeight="1">
      <c r="B481" s="45" t="str">
        <f>IFERROR(INDEX(ju_tgl,MATCH(ROW(J469),JURNAL!$O:$O,0)),"")</f>
        <v/>
      </c>
      <c r="C481" s="7" t="str">
        <f>IFERROR(INDEX(ju_ref,MATCH(ROW(J469),JURNAL!$O:$O,0)),"")</f>
        <v/>
      </c>
      <c r="D481" s="7" t="str">
        <f>IFERROR(INDEX(ju_ket,MATCH(ROW(J469),JURNAL!$O:$O,0)),"")</f>
        <v/>
      </c>
      <c r="E481" s="39" t="str">
        <f>IFERROR(IF(bb_akun=INDEX(ju_debet,MATCH(ROW(J469),JURNAL!$O:$O,0)),INDEX(ju_sld,MATCH(ROW(K469),JURNAL!$O:$O,0)),0),"")</f>
        <v/>
      </c>
      <c r="F481" s="39" t="str">
        <f>IFERROR(IF(bb_akun=INDEX(ju_kr,MATCH(ROW(J469),JURNAL!$O:$O,0)),INDEX(ju_sld,MATCH(ROW(K469),JURNAL!$O:$O,0)),0),"")</f>
        <v/>
      </c>
      <c r="G481" s="39" t="str">
        <f>IF(B481="","",IF(INDEX(typ_sn,MATCH($C$9,typ_ket,0))="db",$G$8+SUM($E$13:E481)-SUM($F$13:F481),$G$8+SUM($F$13:F481)-SUM($E$13:E481)))</f>
        <v/>
      </c>
    </row>
    <row r="482" spans="2:7" ht="23.1" customHeight="1">
      <c r="B482" s="45" t="str">
        <f>IFERROR(INDEX(ju_tgl,MATCH(ROW(J470),JURNAL!$O:$O,0)),"")</f>
        <v/>
      </c>
      <c r="C482" s="7" t="str">
        <f>IFERROR(INDEX(ju_ref,MATCH(ROW(J470),JURNAL!$O:$O,0)),"")</f>
        <v/>
      </c>
      <c r="D482" s="7" t="str">
        <f>IFERROR(INDEX(ju_ket,MATCH(ROW(J470),JURNAL!$O:$O,0)),"")</f>
        <v/>
      </c>
      <c r="E482" s="39" t="str">
        <f>IFERROR(IF(bb_akun=INDEX(ju_debet,MATCH(ROW(J470),JURNAL!$O:$O,0)),INDEX(ju_sld,MATCH(ROW(K470),JURNAL!$O:$O,0)),0),"")</f>
        <v/>
      </c>
      <c r="F482" s="39" t="str">
        <f>IFERROR(IF(bb_akun=INDEX(ju_kr,MATCH(ROW(J470),JURNAL!$O:$O,0)),INDEX(ju_sld,MATCH(ROW(K470),JURNAL!$O:$O,0)),0),"")</f>
        <v/>
      </c>
      <c r="G482" s="39" t="str">
        <f>IF(B482="","",IF(INDEX(typ_sn,MATCH($C$9,typ_ket,0))="db",$G$8+SUM($E$13:E482)-SUM($F$13:F482),$G$8+SUM($F$13:F482)-SUM($E$13:E482)))</f>
        <v/>
      </c>
    </row>
    <row r="483" spans="2:7" ht="23.1" customHeight="1">
      <c r="B483" s="45" t="str">
        <f>IFERROR(INDEX(ju_tgl,MATCH(ROW(J471),JURNAL!$O:$O,0)),"")</f>
        <v/>
      </c>
      <c r="C483" s="7" t="str">
        <f>IFERROR(INDEX(ju_ref,MATCH(ROW(J471),JURNAL!$O:$O,0)),"")</f>
        <v/>
      </c>
      <c r="D483" s="7" t="str">
        <f>IFERROR(INDEX(ju_ket,MATCH(ROW(J471),JURNAL!$O:$O,0)),"")</f>
        <v/>
      </c>
      <c r="E483" s="39" t="str">
        <f>IFERROR(IF(bb_akun=INDEX(ju_debet,MATCH(ROW(J471),JURNAL!$O:$O,0)),INDEX(ju_sld,MATCH(ROW(K471),JURNAL!$O:$O,0)),0),"")</f>
        <v/>
      </c>
      <c r="F483" s="39" t="str">
        <f>IFERROR(IF(bb_akun=INDEX(ju_kr,MATCH(ROW(J471),JURNAL!$O:$O,0)),INDEX(ju_sld,MATCH(ROW(K471),JURNAL!$O:$O,0)),0),"")</f>
        <v/>
      </c>
      <c r="G483" s="39" t="str">
        <f>IF(B483="","",IF(INDEX(typ_sn,MATCH($C$9,typ_ket,0))="db",$G$8+SUM($E$13:E483)-SUM($F$13:F483),$G$8+SUM($F$13:F483)-SUM($E$13:E483)))</f>
        <v/>
      </c>
    </row>
    <row r="484" spans="2:7" ht="23.1" customHeight="1">
      <c r="B484" s="45" t="str">
        <f>IFERROR(INDEX(ju_tgl,MATCH(ROW(J472),JURNAL!$O:$O,0)),"")</f>
        <v/>
      </c>
      <c r="C484" s="7" t="str">
        <f>IFERROR(INDEX(ju_ref,MATCH(ROW(J472),JURNAL!$O:$O,0)),"")</f>
        <v/>
      </c>
      <c r="D484" s="7" t="str">
        <f>IFERROR(INDEX(ju_ket,MATCH(ROW(J472),JURNAL!$O:$O,0)),"")</f>
        <v/>
      </c>
      <c r="E484" s="39" t="str">
        <f>IFERROR(IF(bb_akun=INDEX(ju_debet,MATCH(ROW(J472),JURNAL!$O:$O,0)),INDEX(ju_sld,MATCH(ROW(K472),JURNAL!$O:$O,0)),0),"")</f>
        <v/>
      </c>
      <c r="F484" s="39" t="str">
        <f>IFERROR(IF(bb_akun=INDEX(ju_kr,MATCH(ROW(J472),JURNAL!$O:$O,0)),INDEX(ju_sld,MATCH(ROW(K472),JURNAL!$O:$O,0)),0),"")</f>
        <v/>
      </c>
      <c r="G484" s="39" t="str">
        <f>IF(B484="","",IF(INDEX(typ_sn,MATCH($C$9,typ_ket,0))="db",$G$8+SUM($E$13:E484)-SUM($F$13:F484),$G$8+SUM($F$13:F484)-SUM($E$13:E484)))</f>
        <v/>
      </c>
    </row>
    <row r="485" spans="2:7" ht="23.1" customHeight="1">
      <c r="B485" s="45" t="str">
        <f>IFERROR(INDEX(ju_tgl,MATCH(ROW(J473),JURNAL!$O:$O,0)),"")</f>
        <v/>
      </c>
      <c r="C485" s="7" t="str">
        <f>IFERROR(INDEX(ju_ref,MATCH(ROW(J473),JURNAL!$O:$O,0)),"")</f>
        <v/>
      </c>
      <c r="D485" s="7" t="str">
        <f>IFERROR(INDEX(ju_ket,MATCH(ROW(J473),JURNAL!$O:$O,0)),"")</f>
        <v/>
      </c>
      <c r="E485" s="39" t="str">
        <f>IFERROR(IF(bb_akun=INDEX(ju_debet,MATCH(ROW(J473),JURNAL!$O:$O,0)),INDEX(ju_sld,MATCH(ROW(K473),JURNAL!$O:$O,0)),0),"")</f>
        <v/>
      </c>
      <c r="F485" s="39" t="str">
        <f>IFERROR(IF(bb_akun=INDEX(ju_kr,MATCH(ROW(J473),JURNAL!$O:$O,0)),INDEX(ju_sld,MATCH(ROW(K473),JURNAL!$O:$O,0)),0),"")</f>
        <v/>
      </c>
      <c r="G485" s="39" t="str">
        <f>IF(B485="","",IF(INDEX(typ_sn,MATCH($C$9,typ_ket,0))="db",$G$8+SUM($E$13:E485)-SUM($F$13:F485),$G$8+SUM($F$13:F485)-SUM($E$13:E485)))</f>
        <v/>
      </c>
    </row>
    <row r="486" spans="2:7" ht="23.1" customHeight="1">
      <c r="B486" s="45" t="str">
        <f>IFERROR(INDEX(ju_tgl,MATCH(ROW(J474),JURNAL!$O:$O,0)),"")</f>
        <v/>
      </c>
      <c r="C486" s="7" t="str">
        <f>IFERROR(INDEX(ju_ref,MATCH(ROW(J474),JURNAL!$O:$O,0)),"")</f>
        <v/>
      </c>
      <c r="D486" s="7" t="str">
        <f>IFERROR(INDEX(ju_ket,MATCH(ROW(J474),JURNAL!$O:$O,0)),"")</f>
        <v/>
      </c>
      <c r="E486" s="39" t="str">
        <f>IFERROR(IF(bb_akun=INDEX(ju_debet,MATCH(ROW(J474),JURNAL!$O:$O,0)),INDEX(ju_sld,MATCH(ROW(K474),JURNAL!$O:$O,0)),0),"")</f>
        <v/>
      </c>
      <c r="F486" s="39" t="str">
        <f>IFERROR(IF(bb_akun=INDEX(ju_kr,MATCH(ROW(J474),JURNAL!$O:$O,0)),INDEX(ju_sld,MATCH(ROW(K474),JURNAL!$O:$O,0)),0),"")</f>
        <v/>
      </c>
      <c r="G486" s="39" t="str">
        <f>IF(B486="","",IF(INDEX(typ_sn,MATCH($C$9,typ_ket,0))="db",$G$8+SUM($E$13:E486)-SUM($F$13:F486),$G$8+SUM($F$13:F486)-SUM($E$13:E486)))</f>
        <v/>
      </c>
    </row>
    <row r="487" spans="2:7" ht="23.1" customHeight="1">
      <c r="B487" s="45" t="str">
        <f>IFERROR(INDEX(ju_tgl,MATCH(ROW(J475),JURNAL!$O:$O,0)),"")</f>
        <v/>
      </c>
      <c r="C487" s="7" t="str">
        <f>IFERROR(INDEX(ju_ref,MATCH(ROW(J475),JURNAL!$O:$O,0)),"")</f>
        <v/>
      </c>
      <c r="D487" s="7" t="str">
        <f>IFERROR(INDEX(ju_ket,MATCH(ROW(J475),JURNAL!$O:$O,0)),"")</f>
        <v/>
      </c>
      <c r="E487" s="39" t="str">
        <f>IFERROR(IF(bb_akun=INDEX(ju_debet,MATCH(ROW(J475),JURNAL!$O:$O,0)),INDEX(ju_sld,MATCH(ROW(K475),JURNAL!$O:$O,0)),0),"")</f>
        <v/>
      </c>
      <c r="F487" s="39" t="str">
        <f>IFERROR(IF(bb_akun=INDEX(ju_kr,MATCH(ROW(J475),JURNAL!$O:$O,0)),INDEX(ju_sld,MATCH(ROW(K475),JURNAL!$O:$O,0)),0),"")</f>
        <v/>
      </c>
      <c r="G487" s="39" t="str">
        <f>IF(B487="","",IF(INDEX(typ_sn,MATCH($C$9,typ_ket,0))="db",$G$8+SUM($E$13:E487)-SUM($F$13:F487),$G$8+SUM($F$13:F487)-SUM($E$13:E487)))</f>
        <v/>
      </c>
    </row>
    <row r="488" spans="2:7" ht="23.1" customHeight="1">
      <c r="B488" s="45" t="str">
        <f>IFERROR(INDEX(ju_tgl,MATCH(ROW(J476),JURNAL!$O:$O,0)),"")</f>
        <v/>
      </c>
      <c r="C488" s="7" t="str">
        <f>IFERROR(INDEX(ju_ref,MATCH(ROW(J476),JURNAL!$O:$O,0)),"")</f>
        <v/>
      </c>
      <c r="D488" s="7" t="str">
        <f>IFERROR(INDEX(ju_ket,MATCH(ROW(J476),JURNAL!$O:$O,0)),"")</f>
        <v/>
      </c>
      <c r="E488" s="39" t="str">
        <f>IFERROR(IF(bb_akun=INDEX(ju_debet,MATCH(ROW(J476),JURNAL!$O:$O,0)),INDEX(ju_sld,MATCH(ROW(K476),JURNAL!$O:$O,0)),0),"")</f>
        <v/>
      </c>
      <c r="F488" s="39" t="str">
        <f>IFERROR(IF(bb_akun=INDEX(ju_kr,MATCH(ROW(J476),JURNAL!$O:$O,0)),INDEX(ju_sld,MATCH(ROW(K476),JURNAL!$O:$O,0)),0),"")</f>
        <v/>
      </c>
      <c r="G488" s="39" t="str">
        <f>IF(B488="","",IF(INDEX(typ_sn,MATCH($C$9,typ_ket,0))="db",$G$8+SUM($E$13:E488)-SUM($F$13:F488),$G$8+SUM($F$13:F488)-SUM($E$13:E488)))</f>
        <v/>
      </c>
    </row>
    <row r="489" spans="2:7" ht="23.1" customHeight="1">
      <c r="B489" s="45" t="str">
        <f>IFERROR(INDEX(ju_tgl,MATCH(ROW(J477),JURNAL!$O:$O,0)),"")</f>
        <v/>
      </c>
      <c r="C489" s="7" t="str">
        <f>IFERROR(INDEX(ju_ref,MATCH(ROW(J477),JURNAL!$O:$O,0)),"")</f>
        <v/>
      </c>
      <c r="D489" s="7" t="str">
        <f>IFERROR(INDEX(ju_ket,MATCH(ROW(J477),JURNAL!$O:$O,0)),"")</f>
        <v/>
      </c>
      <c r="E489" s="39" t="str">
        <f>IFERROR(IF(bb_akun=INDEX(ju_debet,MATCH(ROW(J477),JURNAL!$O:$O,0)),INDEX(ju_sld,MATCH(ROW(K477),JURNAL!$O:$O,0)),0),"")</f>
        <v/>
      </c>
      <c r="F489" s="39" t="str">
        <f>IFERROR(IF(bb_akun=INDEX(ju_kr,MATCH(ROW(J477),JURNAL!$O:$O,0)),INDEX(ju_sld,MATCH(ROW(K477),JURNAL!$O:$O,0)),0),"")</f>
        <v/>
      </c>
      <c r="G489" s="39" t="str">
        <f>IF(B489="","",IF(INDEX(typ_sn,MATCH($C$9,typ_ket,0))="db",$G$8+SUM($E$13:E489)-SUM($F$13:F489),$G$8+SUM($F$13:F489)-SUM($E$13:E489)))</f>
        <v/>
      </c>
    </row>
    <row r="490" spans="2:7" ht="23.1" customHeight="1">
      <c r="B490" s="45" t="str">
        <f>IFERROR(INDEX(ju_tgl,MATCH(ROW(J478),JURNAL!$O:$O,0)),"")</f>
        <v/>
      </c>
      <c r="C490" s="7" t="str">
        <f>IFERROR(INDEX(ju_ref,MATCH(ROW(J478),JURNAL!$O:$O,0)),"")</f>
        <v/>
      </c>
      <c r="D490" s="7" t="str">
        <f>IFERROR(INDEX(ju_ket,MATCH(ROW(J478),JURNAL!$O:$O,0)),"")</f>
        <v/>
      </c>
      <c r="E490" s="39" t="str">
        <f>IFERROR(IF(bb_akun=INDEX(ju_debet,MATCH(ROW(J478),JURNAL!$O:$O,0)),INDEX(ju_sld,MATCH(ROW(K478),JURNAL!$O:$O,0)),0),"")</f>
        <v/>
      </c>
      <c r="F490" s="39" t="str">
        <f>IFERROR(IF(bb_akun=INDEX(ju_kr,MATCH(ROW(J478),JURNAL!$O:$O,0)),INDEX(ju_sld,MATCH(ROW(K478),JURNAL!$O:$O,0)),0),"")</f>
        <v/>
      </c>
      <c r="G490" s="39" t="str">
        <f>IF(B490="","",IF(INDEX(typ_sn,MATCH($C$9,typ_ket,0))="db",$G$8+SUM($E$13:E490)-SUM($F$13:F490),$G$8+SUM($F$13:F490)-SUM($E$13:E490)))</f>
        <v/>
      </c>
    </row>
    <row r="491" spans="2:7" ht="23.1" customHeight="1">
      <c r="B491" s="45" t="str">
        <f>IFERROR(INDEX(ju_tgl,MATCH(ROW(J479),JURNAL!$O:$O,0)),"")</f>
        <v/>
      </c>
      <c r="C491" s="7" t="str">
        <f>IFERROR(INDEX(ju_ref,MATCH(ROW(J479),JURNAL!$O:$O,0)),"")</f>
        <v/>
      </c>
      <c r="D491" s="7" t="str">
        <f>IFERROR(INDEX(ju_ket,MATCH(ROW(J479),JURNAL!$O:$O,0)),"")</f>
        <v/>
      </c>
      <c r="E491" s="39" t="str">
        <f>IFERROR(IF(bb_akun=INDEX(ju_debet,MATCH(ROW(J479),JURNAL!$O:$O,0)),INDEX(ju_sld,MATCH(ROW(K479),JURNAL!$O:$O,0)),0),"")</f>
        <v/>
      </c>
      <c r="F491" s="39" t="str">
        <f>IFERROR(IF(bb_akun=INDEX(ju_kr,MATCH(ROW(J479),JURNAL!$O:$O,0)),INDEX(ju_sld,MATCH(ROW(K479),JURNAL!$O:$O,0)),0),"")</f>
        <v/>
      </c>
      <c r="G491" s="39" t="str">
        <f>IF(B491="","",IF(INDEX(typ_sn,MATCH($C$9,typ_ket,0))="db",$G$8+SUM($E$13:E491)-SUM($F$13:F491),$G$8+SUM($F$13:F491)-SUM($E$13:E491)))</f>
        <v/>
      </c>
    </row>
    <row r="492" spans="2:7" ht="23.1" customHeight="1">
      <c r="B492" s="45" t="str">
        <f>IFERROR(INDEX(ju_tgl,MATCH(ROW(J480),JURNAL!$O:$O,0)),"")</f>
        <v/>
      </c>
      <c r="C492" s="7" t="str">
        <f>IFERROR(INDEX(ju_ref,MATCH(ROW(J480),JURNAL!$O:$O,0)),"")</f>
        <v/>
      </c>
      <c r="D492" s="7" t="str">
        <f>IFERROR(INDEX(ju_ket,MATCH(ROW(J480),JURNAL!$O:$O,0)),"")</f>
        <v/>
      </c>
      <c r="E492" s="39" t="str">
        <f>IFERROR(IF(bb_akun=INDEX(ju_debet,MATCH(ROW(J480),JURNAL!$O:$O,0)),INDEX(ju_sld,MATCH(ROW(K480),JURNAL!$O:$O,0)),0),"")</f>
        <v/>
      </c>
      <c r="F492" s="39" t="str">
        <f>IFERROR(IF(bb_akun=INDEX(ju_kr,MATCH(ROW(J480),JURNAL!$O:$O,0)),INDEX(ju_sld,MATCH(ROW(K480),JURNAL!$O:$O,0)),0),"")</f>
        <v/>
      </c>
      <c r="G492" s="39" t="str">
        <f>IF(B492="","",IF(INDEX(typ_sn,MATCH($C$9,typ_ket,0))="db",$G$8+SUM($E$13:E492)-SUM($F$13:F492),$G$8+SUM($F$13:F492)-SUM($E$13:E492)))</f>
        <v/>
      </c>
    </row>
    <row r="493" spans="2:7" ht="23.1" customHeight="1">
      <c r="B493" s="45" t="str">
        <f>IFERROR(INDEX(ju_tgl,MATCH(ROW(J481),JURNAL!$O:$O,0)),"")</f>
        <v/>
      </c>
      <c r="C493" s="7" t="str">
        <f>IFERROR(INDEX(ju_ref,MATCH(ROW(J481),JURNAL!$O:$O,0)),"")</f>
        <v/>
      </c>
      <c r="D493" s="7" t="str">
        <f>IFERROR(INDEX(ju_ket,MATCH(ROW(J481),JURNAL!$O:$O,0)),"")</f>
        <v/>
      </c>
      <c r="E493" s="39" t="str">
        <f>IFERROR(IF(bb_akun=INDEX(ju_debet,MATCH(ROW(J481),JURNAL!$O:$O,0)),INDEX(ju_sld,MATCH(ROW(K481),JURNAL!$O:$O,0)),0),"")</f>
        <v/>
      </c>
      <c r="F493" s="39" t="str">
        <f>IFERROR(IF(bb_akun=INDEX(ju_kr,MATCH(ROW(J481),JURNAL!$O:$O,0)),INDEX(ju_sld,MATCH(ROW(K481),JURNAL!$O:$O,0)),0),"")</f>
        <v/>
      </c>
      <c r="G493" s="39" t="str">
        <f>IF(B493="","",IF(INDEX(typ_sn,MATCH($C$9,typ_ket,0))="db",$G$8+SUM($E$13:E493)-SUM($F$13:F493),$G$8+SUM($F$13:F493)-SUM($E$13:E493)))</f>
        <v/>
      </c>
    </row>
    <row r="494" spans="2:7" ht="23.1" customHeight="1">
      <c r="B494" s="45" t="str">
        <f>IFERROR(INDEX(ju_tgl,MATCH(ROW(J482),JURNAL!$O:$O,0)),"")</f>
        <v/>
      </c>
      <c r="C494" s="7" t="str">
        <f>IFERROR(INDEX(ju_ref,MATCH(ROW(J482),JURNAL!$O:$O,0)),"")</f>
        <v/>
      </c>
      <c r="D494" s="7" t="str">
        <f>IFERROR(INDEX(ju_ket,MATCH(ROW(J482),JURNAL!$O:$O,0)),"")</f>
        <v/>
      </c>
      <c r="E494" s="39" t="str">
        <f>IFERROR(IF(bb_akun=INDEX(ju_debet,MATCH(ROW(J482),JURNAL!$O:$O,0)),INDEX(ju_sld,MATCH(ROW(K482),JURNAL!$O:$O,0)),0),"")</f>
        <v/>
      </c>
      <c r="F494" s="39" t="str">
        <f>IFERROR(IF(bb_akun=INDEX(ju_kr,MATCH(ROW(J482),JURNAL!$O:$O,0)),INDEX(ju_sld,MATCH(ROW(K482),JURNAL!$O:$O,0)),0),"")</f>
        <v/>
      </c>
      <c r="G494" s="39" t="str">
        <f>IF(B494="","",IF(INDEX(typ_sn,MATCH($C$9,typ_ket,0))="db",$G$8+SUM($E$13:E494)-SUM($F$13:F494),$G$8+SUM($F$13:F494)-SUM($E$13:E494)))</f>
        <v/>
      </c>
    </row>
    <row r="495" spans="2:7" ht="23.1" customHeight="1">
      <c r="B495" s="45" t="str">
        <f>IFERROR(INDEX(ju_tgl,MATCH(ROW(J483),JURNAL!$O:$O,0)),"")</f>
        <v/>
      </c>
      <c r="C495" s="7" t="str">
        <f>IFERROR(INDEX(ju_ref,MATCH(ROW(J483),JURNAL!$O:$O,0)),"")</f>
        <v/>
      </c>
      <c r="D495" s="7" t="str">
        <f>IFERROR(INDEX(ju_ket,MATCH(ROW(J483),JURNAL!$O:$O,0)),"")</f>
        <v/>
      </c>
      <c r="E495" s="39" t="str">
        <f>IFERROR(IF(bb_akun=INDEX(ju_debet,MATCH(ROW(J483),JURNAL!$O:$O,0)),INDEX(ju_sld,MATCH(ROW(K483),JURNAL!$O:$O,0)),0),"")</f>
        <v/>
      </c>
      <c r="F495" s="39" t="str">
        <f>IFERROR(IF(bb_akun=INDEX(ju_kr,MATCH(ROW(J483),JURNAL!$O:$O,0)),INDEX(ju_sld,MATCH(ROW(K483),JURNAL!$O:$O,0)),0),"")</f>
        <v/>
      </c>
      <c r="G495" s="39" t="str">
        <f>IF(B495="","",IF(INDEX(typ_sn,MATCH($C$9,typ_ket,0))="db",$G$8+SUM($E$13:E495)-SUM($F$13:F495),$G$8+SUM($F$13:F495)-SUM($E$13:E495)))</f>
        <v/>
      </c>
    </row>
    <row r="496" spans="2:7" ht="23.1" customHeight="1">
      <c r="B496" s="45" t="str">
        <f>IFERROR(INDEX(ju_tgl,MATCH(ROW(J484),JURNAL!$O:$O,0)),"")</f>
        <v/>
      </c>
      <c r="C496" s="7" t="str">
        <f>IFERROR(INDEX(ju_ref,MATCH(ROW(J484),JURNAL!$O:$O,0)),"")</f>
        <v/>
      </c>
      <c r="D496" s="7" t="str">
        <f>IFERROR(INDEX(ju_ket,MATCH(ROW(J484),JURNAL!$O:$O,0)),"")</f>
        <v/>
      </c>
      <c r="E496" s="39" t="str">
        <f>IFERROR(IF(bb_akun=INDEX(ju_debet,MATCH(ROW(J484),JURNAL!$O:$O,0)),INDEX(ju_sld,MATCH(ROW(K484),JURNAL!$O:$O,0)),0),"")</f>
        <v/>
      </c>
      <c r="F496" s="39" t="str">
        <f>IFERROR(IF(bb_akun=INDEX(ju_kr,MATCH(ROW(J484),JURNAL!$O:$O,0)),INDEX(ju_sld,MATCH(ROW(K484),JURNAL!$O:$O,0)),0),"")</f>
        <v/>
      </c>
      <c r="G496" s="39" t="str">
        <f>IF(B496="","",IF(INDEX(typ_sn,MATCH($C$9,typ_ket,0))="db",$G$8+SUM($E$13:E496)-SUM($F$13:F496),$G$8+SUM($F$13:F496)-SUM($E$13:E496)))</f>
        <v/>
      </c>
    </row>
    <row r="497" spans="2:7" ht="23.1" customHeight="1">
      <c r="B497" s="45" t="str">
        <f>IFERROR(INDEX(ju_tgl,MATCH(ROW(J485),JURNAL!$O:$O,0)),"")</f>
        <v/>
      </c>
      <c r="C497" s="7" t="str">
        <f>IFERROR(INDEX(ju_ref,MATCH(ROW(J485),JURNAL!$O:$O,0)),"")</f>
        <v/>
      </c>
      <c r="D497" s="7" t="str">
        <f>IFERROR(INDEX(ju_ket,MATCH(ROW(J485),JURNAL!$O:$O,0)),"")</f>
        <v/>
      </c>
      <c r="E497" s="39" t="str">
        <f>IFERROR(IF(bb_akun=INDEX(ju_debet,MATCH(ROW(J485),JURNAL!$O:$O,0)),INDEX(ju_sld,MATCH(ROW(K485),JURNAL!$O:$O,0)),0),"")</f>
        <v/>
      </c>
      <c r="F497" s="39" t="str">
        <f>IFERROR(IF(bb_akun=INDEX(ju_kr,MATCH(ROW(J485),JURNAL!$O:$O,0)),INDEX(ju_sld,MATCH(ROW(K485),JURNAL!$O:$O,0)),0),"")</f>
        <v/>
      </c>
      <c r="G497" s="39" t="str">
        <f>IF(B497="","",IF(INDEX(typ_sn,MATCH($C$9,typ_ket,0))="db",$G$8+SUM($E$13:E497)-SUM($F$13:F497),$G$8+SUM($F$13:F497)-SUM($E$13:E497)))</f>
        <v/>
      </c>
    </row>
    <row r="498" spans="2:7" ht="23.1" customHeight="1">
      <c r="B498" s="45" t="str">
        <f>IFERROR(INDEX(ju_tgl,MATCH(ROW(J486),JURNAL!$O:$O,0)),"")</f>
        <v/>
      </c>
      <c r="C498" s="7" t="str">
        <f>IFERROR(INDEX(ju_ref,MATCH(ROW(J486),JURNAL!$O:$O,0)),"")</f>
        <v/>
      </c>
      <c r="D498" s="7" t="str">
        <f>IFERROR(INDEX(ju_ket,MATCH(ROW(J486),JURNAL!$O:$O,0)),"")</f>
        <v/>
      </c>
      <c r="E498" s="39" t="str">
        <f>IFERROR(IF(bb_akun=INDEX(ju_debet,MATCH(ROW(J486),JURNAL!$O:$O,0)),INDEX(ju_sld,MATCH(ROW(K486),JURNAL!$O:$O,0)),0),"")</f>
        <v/>
      </c>
      <c r="F498" s="39" t="str">
        <f>IFERROR(IF(bb_akun=INDEX(ju_kr,MATCH(ROW(J486),JURNAL!$O:$O,0)),INDEX(ju_sld,MATCH(ROW(K486),JURNAL!$O:$O,0)),0),"")</f>
        <v/>
      </c>
      <c r="G498" s="39" t="str">
        <f>IF(B498="","",IF(INDEX(typ_sn,MATCH($C$9,typ_ket,0))="db",$G$8+SUM($E$13:E498)-SUM($F$13:F498),$G$8+SUM($F$13:F498)-SUM($E$13:E498)))</f>
        <v/>
      </c>
    </row>
    <row r="499" spans="2:7" ht="23.1" customHeight="1">
      <c r="B499" s="45" t="str">
        <f>IFERROR(INDEX(ju_tgl,MATCH(ROW(J487),JURNAL!$O:$O,0)),"")</f>
        <v/>
      </c>
      <c r="C499" s="7" t="str">
        <f>IFERROR(INDEX(ju_ref,MATCH(ROW(J487),JURNAL!$O:$O,0)),"")</f>
        <v/>
      </c>
      <c r="D499" s="7" t="str">
        <f>IFERROR(INDEX(ju_ket,MATCH(ROW(J487),JURNAL!$O:$O,0)),"")</f>
        <v/>
      </c>
      <c r="E499" s="39" t="str">
        <f>IFERROR(IF(bb_akun=INDEX(ju_debet,MATCH(ROW(J487),JURNAL!$O:$O,0)),INDEX(ju_sld,MATCH(ROW(K487),JURNAL!$O:$O,0)),0),"")</f>
        <v/>
      </c>
      <c r="F499" s="39" t="str">
        <f>IFERROR(IF(bb_akun=INDEX(ju_kr,MATCH(ROW(J487),JURNAL!$O:$O,0)),INDEX(ju_sld,MATCH(ROW(K487),JURNAL!$O:$O,0)),0),"")</f>
        <v/>
      </c>
      <c r="G499" s="39" t="str">
        <f>IF(B499="","",IF(INDEX(typ_sn,MATCH($C$9,typ_ket,0))="db",$G$8+SUM($E$13:E499)-SUM($F$13:F499),$G$8+SUM($F$13:F499)-SUM($E$13:E499)))</f>
        <v/>
      </c>
    </row>
    <row r="500" spans="2:7" ht="23.1" customHeight="1">
      <c r="B500" s="45" t="str">
        <f>IFERROR(INDEX(ju_tgl,MATCH(ROW(J488),JURNAL!$O:$O,0)),"")</f>
        <v/>
      </c>
      <c r="C500" s="7" t="str">
        <f>IFERROR(INDEX(ju_ref,MATCH(ROW(J488),JURNAL!$O:$O,0)),"")</f>
        <v/>
      </c>
      <c r="D500" s="7" t="str">
        <f>IFERROR(INDEX(ju_ket,MATCH(ROW(J488),JURNAL!$O:$O,0)),"")</f>
        <v/>
      </c>
      <c r="E500" s="39" t="str">
        <f>IFERROR(IF(bb_akun=INDEX(ju_debet,MATCH(ROW(J488),JURNAL!$O:$O,0)),INDEX(ju_sld,MATCH(ROW(K488),JURNAL!$O:$O,0)),0),"")</f>
        <v/>
      </c>
      <c r="F500" s="39" t="str">
        <f>IFERROR(IF(bb_akun=INDEX(ju_kr,MATCH(ROW(J488),JURNAL!$O:$O,0)),INDEX(ju_sld,MATCH(ROW(K488),JURNAL!$O:$O,0)),0),"")</f>
        <v/>
      </c>
      <c r="G500" s="39" t="str">
        <f>IF(B500="","",IF(INDEX(typ_sn,MATCH($C$9,typ_ket,0))="db",$G$8+SUM($E$13:E500)-SUM($F$13:F500),$G$8+SUM($F$13:F500)-SUM($E$13:E500)))</f>
        <v/>
      </c>
    </row>
    <row r="501" spans="2:7" ht="23.1" customHeight="1">
      <c r="B501" s="45" t="str">
        <f>IFERROR(INDEX(ju_tgl,MATCH(ROW(J489),JURNAL!$O:$O,0)),"")</f>
        <v/>
      </c>
      <c r="C501" s="7" t="str">
        <f>IFERROR(INDEX(ju_ref,MATCH(ROW(J489),JURNAL!$O:$O,0)),"")</f>
        <v/>
      </c>
      <c r="D501" s="7" t="str">
        <f>IFERROR(INDEX(ju_ket,MATCH(ROW(J489),JURNAL!$O:$O,0)),"")</f>
        <v/>
      </c>
      <c r="E501" s="39" t="str">
        <f>IFERROR(IF(bb_akun=INDEX(ju_debet,MATCH(ROW(J489),JURNAL!$O:$O,0)),INDEX(ju_sld,MATCH(ROW(K489),JURNAL!$O:$O,0)),0),"")</f>
        <v/>
      </c>
      <c r="F501" s="39" t="str">
        <f>IFERROR(IF(bb_akun=INDEX(ju_kr,MATCH(ROW(J489),JURNAL!$O:$O,0)),INDEX(ju_sld,MATCH(ROW(K489),JURNAL!$O:$O,0)),0),"")</f>
        <v/>
      </c>
      <c r="G501" s="39" t="str">
        <f>IF(B501="","",IF(INDEX(typ_sn,MATCH($C$9,typ_ket,0))="db",$G$8+SUM($E$13:E501)-SUM($F$13:F501),$G$8+SUM($F$13:F501)-SUM($E$13:E501)))</f>
        <v/>
      </c>
    </row>
    <row r="502" spans="2:7" ht="23.1" customHeight="1">
      <c r="B502" s="45" t="str">
        <f>IFERROR(INDEX(ju_tgl,MATCH(ROW(J490),JURNAL!$O:$O,0)),"")</f>
        <v/>
      </c>
      <c r="C502" s="7" t="str">
        <f>IFERROR(INDEX(ju_ref,MATCH(ROW(J490),JURNAL!$O:$O,0)),"")</f>
        <v/>
      </c>
      <c r="D502" s="7" t="str">
        <f>IFERROR(INDEX(ju_ket,MATCH(ROW(J490),JURNAL!$O:$O,0)),"")</f>
        <v/>
      </c>
      <c r="E502" s="39" t="str">
        <f>IFERROR(IF(bb_akun=INDEX(ju_debet,MATCH(ROW(J490),JURNAL!$O:$O,0)),INDEX(ju_sld,MATCH(ROW(K490),JURNAL!$O:$O,0)),0),"")</f>
        <v/>
      </c>
      <c r="F502" s="39" t="str">
        <f>IFERROR(IF(bb_akun=INDEX(ju_kr,MATCH(ROW(J490),JURNAL!$O:$O,0)),INDEX(ju_sld,MATCH(ROW(K490),JURNAL!$O:$O,0)),0),"")</f>
        <v/>
      </c>
      <c r="G502" s="39" t="str">
        <f>IF(B502="","",IF(INDEX(typ_sn,MATCH($C$9,typ_ket,0))="db",$G$8+SUM($E$13:E502)-SUM($F$13:F502),$G$8+SUM($F$13:F502)-SUM($E$13:E502)))</f>
        <v/>
      </c>
    </row>
    <row r="503" spans="2:7" ht="23.1" customHeight="1">
      <c r="B503" s="45" t="str">
        <f>IFERROR(INDEX(ju_tgl,MATCH(ROW(J491),JURNAL!$O:$O,0)),"")</f>
        <v/>
      </c>
      <c r="C503" s="7" t="str">
        <f>IFERROR(INDEX(ju_ref,MATCH(ROW(J491),JURNAL!$O:$O,0)),"")</f>
        <v/>
      </c>
      <c r="D503" s="7" t="str">
        <f>IFERROR(INDEX(ju_ket,MATCH(ROW(J491),JURNAL!$O:$O,0)),"")</f>
        <v/>
      </c>
      <c r="E503" s="39" t="str">
        <f>IFERROR(IF(bb_akun=INDEX(ju_debet,MATCH(ROW(J491),JURNAL!$O:$O,0)),INDEX(ju_sld,MATCH(ROW(K491),JURNAL!$O:$O,0)),0),"")</f>
        <v/>
      </c>
      <c r="F503" s="39" t="str">
        <f>IFERROR(IF(bb_akun=INDEX(ju_kr,MATCH(ROW(J491),JURNAL!$O:$O,0)),INDEX(ju_sld,MATCH(ROW(K491),JURNAL!$O:$O,0)),0),"")</f>
        <v/>
      </c>
      <c r="G503" s="39" t="str">
        <f>IF(B503="","",IF(INDEX(typ_sn,MATCH($C$9,typ_ket,0))="db",$G$8+SUM($E$13:E503)-SUM($F$13:F503),$G$8+SUM($F$13:F503)-SUM($E$13:E503)))</f>
        <v/>
      </c>
    </row>
    <row r="504" spans="2:7" ht="23.1" customHeight="1">
      <c r="B504" s="45" t="str">
        <f>IFERROR(INDEX(ju_tgl,MATCH(ROW(J492),JURNAL!$O:$O,0)),"")</f>
        <v/>
      </c>
      <c r="C504" s="7" t="str">
        <f>IFERROR(INDEX(ju_ref,MATCH(ROW(J492),JURNAL!$O:$O,0)),"")</f>
        <v/>
      </c>
      <c r="D504" s="7" t="str">
        <f>IFERROR(INDEX(ju_ket,MATCH(ROW(J492),JURNAL!$O:$O,0)),"")</f>
        <v/>
      </c>
      <c r="E504" s="39" t="str">
        <f>IFERROR(IF(bb_akun=INDEX(ju_debet,MATCH(ROW(J492),JURNAL!$O:$O,0)),INDEX(ju_sld,MATCH(ROW(K492),JURNAL!$O:$O,0)),0),"")</f>
        <v/>
      </c>
      <c r="F504" s="39" t="str">
        <f>IFERROR(IF(bb_akun=INDEX(ju_kr,MATCH(ROW(J492),JURNAL!$O:$O,0)),INDEX(ju_sld,MATCH(ROW(K492),JURNAL!$O:$O,0)),0),"")</f>
        <v/>
      </c>
      <c r="G504" s="39" t="str">
        <f>IF(B504="","",IF(INDEX(typ_sn,MATCH($C$9,typ_ket,0))="db",$G$8+SUM($E$13:E504)-SUM($F$13:F504),$G$8+SUM($F$13:F504)-SUM($E$13:E504)))</f>
        <v/>
      </c>
    </row>
    <row r="505" spans="2:7" ht="23.1" customHeight="1">
      <c r="B505" s="45" t="str">
        <f>IFERROR(INDEX(ju_tgl,MATCH(ROW(J493),JURNAL!$O:$O,0)),"")</f>
        <v/>
      </c>
      <c r="C505" s="7" t="str">
        <f>IFERROR(INDEX(ju_ref,MATCH(ROW(J493),JURNAL!$O:$O,0)),"")</f>
        <v/>
      </c>
      <c r="D505" s="7" t="str">
        <f>IFERROR(INDEX(ju_ket,MATCH(ROW(J493),JURNAL!$O:$O,0)),"")</f>
        <v/>
      </c>
      <c r="E505" s="39" t="str">
        <f>IFERROR(IF(bb_akun=INDEX(ju_debet,MATCH(ROW(J493),JURNAL!$O:$O,0)),INDEX(ju_sld,MATCH(ROW(K493),JURNAL!$O:$O,0)),0),"")</f>
        <v/>
      </c>
      <c r="F505" s="39" t="str">
        <f>IFERROR(IF(bb_akun=INDEX(ju_kr,MATCH(ROW(J493),JURNAL!$O:$O,0)),INDEX(ju_sld,MATCH(ROW(K493),JURNAL!$O:$O,0)),0),"")</f>
        <v/>
      </c>
      <c r="G505" s="39" t="str">
        <f>IF(B505="","",IF(INDEX(typ_sn,MATCH($C$9,typ_ket,0))="db",$G$8+SUM($E$13:E505)-SUM($F$13:F505),$G$8+SUM($F$13:F505)-SUM($E$13:E505)))</f>
        <v/>
      </c>
    </row>
    <row r="506" spans="2:7" ht="23.1" customHeight="1">
      <c r="B506" s="45" t="str">
        <f>IFERROR(INDEX(ju_tgl,MATCH(ROW(J494),JURNAL!$O:$O,0)),"")</f>
        <v/>
      </c>
      <c r="C506" s="7" t="str">
        <f>IFERROR(INDEX(ju_ref,MATCH(ROW(J494),JURNAL!$O:$O,0)),"")</f>
        <v/>
      </c>
      <c r="D506" s="7" t="str">
        <f>IFERROR(INDEX(ju_ket,MATCH(ROW(J494),JURNAL!$O:$O,0)),"")</f>
        <v/>
      </c>
      <c r="E506" s="39" t="str">
        <f>IFERROR(IF(bb_akun=INDEX(ju_debet,MATCH(ROW(J494),JURNAL!$O:$O,0)),INDEX(ju_sld,MATCH(ROW(K494),JURNAL!$O:$O,0)),0),"")</f>
        <v/>
      </c>
      <c r="F506" s="39" t="str">
        <f>IFERROR(IF(bb_akun=INDEX(ju_kr,MATCH(ROW(J494),JURNAL!$O:$O,0)),INDEX(ju_sld,MATCH(ROW(K494),JURNAL!$O:$O,0)),0),"")</f>
        <v/>
      </c>
      <c r="G506" s="39" t="str">
        <f>IF(B506="","",IF(INDEX(typ_sn,MATCH($C$9,typ_ket,0))="db",$G$8+SUM($E$13:E506)-SUM($F$13:F506),$G$8+SUM($F$13:F506)-SUM($E$13:E506)))</f>
        <v/>
      </c>
    </row>
    <row r="507" spans="2:7" ht="23.1" customHeight="1">
      <c r="B507" s="45" t="str">
        <f>IFERROR(INDEX(ju_tgl,MATCH(ROW(J495),JURNAL!$O:$O,0)),"")</f>
        <v/>
      </c>
      <c r="C507" s="7" t="str">
        <f>IFERROR(INDEX(ju_ref,MATCH(ROW(J495),JURNAL!$O:$O,0)),"")</f>
        <v/>
      </c>
      <c r="D507" s="7" t="str">
        <f>IFERROR(INDEX(ju_ket,MATCH(ROW(J495),JURNAL!$O:$O,0)),"")</f>
        <v/>
      </c>
      <c r="E507" s="39" t="str">
        <f>IFERROR(IF(bb_akun=INDEX(ju_debet,MATCH(ROW(J495),JURNAL!$O:$O,0)),INDEX(ju_sld,MATCH(ROW(K495),JURNAL!$O:$O,0)),0),"")</f>
        <v/>
      </c>
      <c r="F507" s="39" t="str">
        <f>IFERROR(IF(bb_akun=INDEX(ju_kr,MATCH(ROW(J495),JURNAL!$O:$O,0)),INDEX(ju_sld,MATCH(ROW(K495),JURNAL!$O:$O,0)),0),"")</f>
        <v/>
      </c>
      <c r="G507" s="39" t="str">
        <f>IF(B507="","",IF(INDEX(typ_sn,MATCH($C$9,typ_ket,0))="db",$G$8+SUM($E$13:E507)-SUM($F$13:F507),$G$8+SUM($F$13:F507)-SUM($E$13:E507)))</f>
        <v/>
      </c>
    </row>
    <row r="508" spans="2:7" ht="23.1" customHeight="1">
      <c r="B508" s="45" t="str">
        <f>IFERROR(INDEX(ju_tgl,MATCH(ROW(J496),JURNAL!$O:$O,0)),"")</f>
        <v/>
      </c>
      <c r="C508" s="7" t="str">
        <f>IFERROR(INDEX(ju_ref,MATCH(ROW(J496),JURNAL!$O:$O,0)),"")</f>
        <v/>
      </c>
      <c r="D508" s="7" t="str">
        <f>IFERROR(INDEX(ju_ket,MATCH(ROW(J496),JURNAL!$O:$O,0)),"")</f>
        <v/>
      </c>
      <c r="E508" s="39" t="str">
        <f>IFERROR(IF(bb_akun=INDEX(ju_debet,MATCH(ROW(J496),JURNAL!$O:$O,0)),INDEX(ju_sld,MATCH(ROW(K496),JURNAL!$O:$O,0)),0),"")</f>
        <v/>
      </c>
      <c r="F508" s="39" t="str">
        <f>IFERROR(IF(bb_akun=INDEX(ju_kr,MATCH(ROW(J496),JURNAL!$O:$O,0)),INDEX(ju_sld,MATCH(ROW(K496),JURNAL!$O:$O,0)),0),"")</f>
        <v/>
      </c>
      <c r="G508" s="39" t="str">
        <f>IF(B508="","",IF(INDEX(typ_sn,MATCH($C$9,typ_ket,0))="db",$G$8+SUM($E$13:E508)-SUM($F$13:F508),$G$8+SUM($F$13:F508)-SUM($E$13:E508)))</f>
        <v/>
      </c>
    </row>
    <row r="509" spans="2:7" ht="23.1" customHeight="1">
      <c r="B509" s="45" t="str">
        <f>IFERROR(INDEX(ju_tgl,MATCH(ROW(J497),JURNAL!$O:$O,0)),"")</f>
        <v/>
      </c>
      <c r="C509" s="7" t="str">
        <f>IFERROR(INDEX(ju_ref,MATCH(ROW(J497),JURNAL!$O:$O,0)),"")</f>
        <v/>
      </c>
      <c r="D509" s="7" t="str">
        <f>IFERROR(INDEX(ju_ket,MATCH(ROW(J497),JURNAL!$O:$O,0)),"")</f>
        <v/>
      </c>
      <c r="E509" s="39" t="str">
        <f>IFERROR(IF(bb_akun=INDEX(ju_debet,MATCH(ROW(J497),JURNAL!$O:$O,0)),INDEX(ju_sld,MATCH(ROW(K497),JURNAL!$O:$O,0)),0),"")</f>
        <v/>
      </c>
      <c r="F509" s="39" t="str">
        <f>IFERROR(IF(bb_akun=INDEX(ju_kr,MATCH(ROW(J497),JURNAL!$O:$O,0)),INDEX(ju_sld,MATCH(ROW(K497),JURNAL!$O:$O,0)),0),"")</f>
        <v/>
      </c>
      <c r="G509" s="39" t="str">
        <f>IF(B509="","",IF(INDEX(typ_sn,MATCH($C$9,typ_ket,0))="db",$G$8+SUM($E$13:E509)-SUM($F$13:F509),$G$8+SUM($F$13:F509)-SUM($E$13:E509)))</f>
        <v/>
      </c>
    </row>
    <row r="510" spans="2:7" ht="23.1" customHeight="1">
      <c r="B510" s="45" t="str">
        <f>IFERROR(INDEX(ju_tgl,MATCH(ROW(J498),JURNAL!$O:$O,0)),"")</f>
        <v/>
      </c>
      <c r="C510" s="7" t="str">
        <f>IFERROR(INDEX(ju_ref,MATCH(ROW(J498),JURNAL!$O:$O,0)),"")</f>
        <v/>
      </c>
      <c r="D510" s="7" t="str">
        <f>IFERROR(INDEX(ju_ket,MATCH(ROW(J498),JURNAL!$O:$O,0)),"")</f>
        <v/>
      </c>
      <c r="E510" s="39" t="str">
        <f>IFERROR(IF(bb_akun=INDEX(ju_debet,MATCH(ROW(J498),JURNAL!$O:$O,0)),INDEX(ju_sld,MATCH(ROW(K498),JURNAL!$O:$O,0)),0),"")</f>
        <v/>
      </c>
      <c r="F510" s="39" t="str">
        <f>IFERROR(IF(bb_akun=INDEX(ju_kr,MATCH(ROW(J498),JURNAL!$O:$O,0)),INDEX(ju_sld,MATCH(ROW(K498),JURNAL!$O:$O,0)),0),"")</f>
        <v/>
      </c>
      <c r="G510" s="39" t="str">
        <f>IF(B510="","",IF(INDEX(typ_sn,MATCH($C$9,typ_ket,0))="db",$G$8+SUM($E$13:E510)-SUM($F$13:F510),$G$8+SUM($F$13:F510)-SUM($E$13:E510)))</f>
        <v/>
      </c>
    </row>
    <row r="511" spans="2:7" ht="23.1" customHeight="1">
      <c r="B511" s="45" t="str">
        <f>IFERROR(INDEX(ju_tgl,MATCH(ROW(J499),JURNAL!$O:$O,0)),"")</f>
        <v/>
      </c>
      <c r="C511" s="7" t="str">
        <f>IFERROR(INDEX(ju_ref,MATCH(ROW(J499),JURNAL!$O:$O,0)),"")</f>
        <v/>
      </c>
      <c r="D511" s="7" t="str">
        <f>IFERROR(INDEX(ju_ket,MATCH(ROW(J499),JURNAL!$O:$O,0)),"")</f>
        <v/>
      </c>
      <c r="E511" s="39" t="str">
        <f>IFERROR(IF(bb_akun=INDEX(ju_debet,MATCH(ROW(J499),JURNAL!$O:$O,0)),INDEX(ju_sld,MATCH(ROW(K499),JURNAL!$O:$O,0)),0),"")</f>
        <v/>
      </c>
      <c r="F511" s="39" t="str">
        <f>IFERROR(IF(bb_akun=INDEX(ju_kr,MATCH(ROW(J499),JURNAL!$O:$O,0)),INDEX(ju_sld,MATCH(ROW(K499),JURNAL!$O:$O,0)),0),"")</f>
        <v/>
      </c>
      <c r="G511" s="39" t="str">
        <f>IF(B511="","",IF(INDEX(typ_sn,MATCH($C$9,typ_ket,0))="db",$G$8+SUM($E$13:E511)-SUM($F$13:F511),$G$8+SUM($F$13:F511)-SUM($E$13:E511)))</f>
        <v/>
      </c>
    </row>
    <row r="512" spans="2:7" ht="23.1" customHeight="1">
      <c r="B512" s="45" t="str">
        <f>IFERROR(INDEX(ju_tgl,MATCH(ROW(J500),JURNAL!$O:$O,0)),"")</f>
        <v/>
      </c>
      <c r="C512" s="7" t="str">
        <f>IFERROR(INDEX(ju_ref,MATCH(ROW(J500),JURNAL!$O:$O,0)),"")</f>
        <v/>
      </c>
      <c r="D512" s="7" t="str">
        <f>IFERROR(INDEX(ju_ket,MATCH(ROW(J500),JURNAL!$O:$O,0)),"")</f>
        <v/>
      </c>
      <c r="E512" s="39" t="str">
        <f>IFERROR(IF(bb_akun=INDEX(ju_debet,MATCH(ROW(J500),JURNAL!$O:$O,0)),INDEX(ju_sld,MATCH(ROW(K500),JURNAL!$O:$O,0)),0),"")</f>
        <v/>
      </c>
      <c r="F512" s="39" t="str">
        <f>IFERROR(IF(bb_akun=INDEX(ju_kr,MATCH(ROW(J500),JURNAL!$O:$O,0)),INDEX(ju_sld,MATCH(ROW(K500),JURNAL!$O:$O,0)),0),"")</f>
        <v/>
      </c>
      <c r="G512" s="39" t="str">
        <f>IF(B512="","",IF(INDEX(typ_sn,MATCH($C$9,typ_ket,0))="db",$G$8+SUM($E$13:E512)-SUM($F$13:F512),$G$8+SUM($F$13:F512)-SUM($E$13:E512)))</f>
        <v/>
      </c>
    </row>
    <row r="513" spans="2:7" ht="23.1" customHeight="1">
      <c r="B513" s="45" t="str">
        <f>IFERROR(INDEX(ju_tgl,MATCH(ROW(J501),JURNAL!$O:$O,0)),"")</f>
        <v/>
      </c>
      <c r="C513" s="7" t="str">
        <f>IFERROR(INDEX(ju_ref,MATCH(ROW(J501),JURNAL!$O:$O,0)),"")</f>
        <v/>
      </c>
      <c r="D513" s="7" t="str">
        <f>IFERROR(INDEX(ju_ket,MATCH(ROW(J501),JURNAL!$O:$O,0)),"")</f>
        <v/>
      </c>
      <c r="E513" s="39" t="str">
        <f>IFERROR(IF(bb_akun=INDEX(ju_debet,MATCH(ROW(J501),JURNAL!$O:$O,0)),INDEX(ju_sld,MATCH(ROW(K501),JURNAL!$O:$O,0)),0),"")</f>
        <v/>
      </c>
      <c r="F513" s="39" t="str">
        <f>IFERROR(IF(bb_akun=INDEX(ju_kr,MATCH(ROW(J501),JURNAL!$O:$O,0)),INDEX(ju_sld,MATCH(ROW(K501),JURNAL!$O:$O,0)),0),"")</f>
        <v/>
      </c>
      <c r="G513" s="39" t="str">
        <f>IF(B513="","",IF(INDEX(typ_sn,MATCH($C$9,typ_ket,0))="db",$G$8+SUM($E$13:E513)-SUM($F$13:F513),$G$8+SUM($F$13:F513)-SUM($E$13:E513)))</f>
        <v/>
      </c>
    </row>
    <row r="514" spans="2:7" ht="23.1" customHeight="1">
      <c r="B514" s="45" t="str">
        <f>IFERROR(INDEX(ju_tgl,MATCH(ROW(J502),JURNAL!$O:$O,0)),"")</f>
        <v/>
      </c>
      <c r="C514" s="7" t="str">
        <f>IFERROR(INDEX(ju_ref,MATCH(ROW(J502),JURNAL!$O:$O,0)),"")</f>
        <v/>
      </c>
      <c r="D514" s="7" t="str">
        <f>IFERROR(INDEX(ju_ket,MATCH(ROW(J502),JURNAL!$O:$O,0)),"")</f>
        <v/>
      </c>
      <c r="E514" s="39" t="str">
        <f>IFERROR(IF(bb_akun=INDEX(ju_debet,MATCH(ROW(J502),JURNAL!$O:$O,0)),INDEX(ju_sld,MATCH(ROW(K502),JURNAL!$O:$O,0)),0),"")</f>
        <v/>
      </c>
      <c r="F514" s="39" t="str">
        <f>IFERROR(IF(bb_akun=INDEX(ju_kr,MATCH(ROW(J502),JURNAL!$O:$O,0)),INDEX(ju_sld,MATCH(ROW(K502),JURNAL!$O:$O,0)),0),"")</f>
        <v/>
      </c>
      <c r="G514" s="39" t="str">
        <f>IF(B514="","",IF(INDEX(typ_sn,MATCH($C$9,typ_ket,0))="db",$G$8+SUM($E$13:E514)-SUM($F$13:F514),$G$8+SUM($F$13:F514)-SUM($E$13:E514)))</f>
        <v/>
      </c>
    </row>
    <row r="515" spans="2:7" ht="23.1" customHeight="1">
      <c r="B515" s="45" t="str">
        <f>IFERROR(INDEX(ju_tgl,MATCH(ROW(J503),JURNAL!$O:$O,0)),"")</f>
        <v/>
      </c>
      <c r="C515" s="7" t="str">
        <f>IFERROR(INDEX(ju_ref,MATCH(ROW(J503),JURNAL!$O:$O,0)),"")</f>
        <v/>
      </c>
      <c r="D515" s="7" t="str">
        <f>IFERROR(INDEX(ju_ket,MATCH(ROW(J503),JURNAL!$O:$O,0)),"")</f>
        <v/>
      </c>
      <c r="E515" s="39" t="str">
        <f>IFERROR(IF(bb_akun=INDEX(ju_debet,MATCH(ROW(J503),JURNAL!$O:$O,0)),INDEX(ju_sld,MATCH(ROW(K503),JURNAL!$O:$O,0)),0),"")</f>
        <v/>
      </c>
      <c r="F515" s="39" t="str">
        <f>IFERROR(IF(bb_akun=INDEX(ju_kr,MATCH(ROW(J503),JURNAL!$O:$O,0)),INDEX(ju_sld,MATCH(ROW(K503),JURNAL!$O:$O,0)),0),"")</f>
        <v/>
      </c>
      <c r="G515" s="39" t="str">
        <f>IF(B515="","",IF(INDEX(typ_sn,MATCH($C$9,typ_ket,0))="db",$G$8+SUM($E$13:E515)-SUM($F$13:F515),$G$8+SUM($F$13:F515)-SUM($E$13:E515)))</f>
        <v/>
      </c>
    </row>
    <row r="516" spans="2:7" ht="23.1" customHeight="1">
      <c r="B516" s="45" t="str">
        <f>IFERROR(INDEX(ju_tgl,MATCH(ROW(J504),JURNAL!$O:$O,0)),"")</f>
        <v/>
      </c>
      <c r="C516" s="7" t="str">
        <f>IFERROR(INDEX(ju_ref,MATCH(ROW(J504),JURNAL!$O:$O,0)),"")</f>
        <v/>
      </c>
      <c r="D516" s="7" t="str">
        <f>IFERROR(INDEX(ju_ket,MATCH(ROW(J504),JURNAL!$O:$O,0)),"")</f>
        <v/>
      </c>
      <c r="E516" s="39" t="str">
        <f>IFERROR(IF(bb_akun=INDEX(ju_debet,MATCH(ROW(J504),JURNAL!$O:$O,0)),INDEX(ju_sld,MATCH(ROW(K504),JURNAL!$O:$O,0)),0),"")</f>
        <v/>
      </c>
      <c r="F516" s="39" t="str">
        <f>IFERROR(IF(bb_akun=INDEX(ju_kr,MATCH(ROW(J504),JURNAL!$O:$O,0)),INDEX(ju_sld,MATCH(ROW(K504),JURNAL!$O:$O,0)),0),"")</f>
        <v/>
      </c>
      <c r="G516" s="39" t="str">
        <f>IF(B516="","",IF(INDEX(typ_sn,MATCH($C$9,typ_ket,0))="db",$G$8+SUM($E$13:E516)-SUM($F$13:F516),$G$8+SUM($F$13:F516)-SUM($E$13:E516)))</f>
        <v/>
      </c>
    </row>
    <row r="517" spans="2:7" ht="23.1" customHeight="1">
      <c r="B517" s="45" t="str">
        <f>IFERROR(INDEX(ju_tgl,MATCH(ROW(J505),JURNAL!$O:$O,0)),"")</f>
        <v/>
      </c>
      <c r="C517" s="7" t="str">
        <f>IFERROR(INDEX(ju_ref,MATCH(ROW(J505),JURNAL!$O:$O,0)),"")</f>
        <v/>
      </c>
      <c r="D517" s="7" t="str">
        <f>IFERROR(INDEX(ju_ket,MATCH(ROW(J505),JURNAL!$O:$O,0)),"")</f>
        <v/>
      </c>
      <c r="E517" s="39" t="str">
        <f>IFERROR(IF(bb_akun=INDEX(ju_debet,MATCH(ROW(J505),JURNAL!$O:$O,0)),INDEX(ju_sld,MATCH(ROW(K505),JURNAL!$O:$O,0)),0),"")</f>
        <v/>
      </c>
      <c r="F517" s="39" t="str">
        <f>IFERROR(IF(bb_akun=INDEX(ju_kr,MATCH(ROW(J505),JURNAL!$O:$O,0)),INDEX(ju_sld,MATCH(ROW(K505),JURNAL!$O:$O,0)),0),"")</f>
        <v/>
      </c>
      <c r="G517" s="39" t="str">
        <f>IF(B517="","",IF(INDEX(typ_sn,MATCH($C$9,typ_ket,0))="db",$G$8+SUM($E$13:E517)-SUM($F$13:F517),$G$8+SUM($F$13:F517)-SUM($E$13:E517)))</f>
        <v/>
      </c>
    </row>
    <row r="518" spans="2:7" ht="23.1" customHeight="1">
      <c r="B518" s="45" t="str">
        <f>IFERROR(INDEX(ju_tgl,MATCH(ROW(J506),JURNAL!$O:$O,0)),"")</f>
        <v/>
      </c>
      <c r="C518" s="7" t="str">
        <f>IFERROR(INDEX(ju_ref,MATCH(ROW(J506),JURNAL!$O:$O,0)),"")</f>
        <v/>
      </c>
      <c r="D518" s="7" t="str">
        <f>IFERROR(INDEX(ju_ket,MATCH(ROW(J506),JURNAL!$O:$O,0)),"")</f>
        <v/>
      </c>
      <c r="E518" s="39" t="str">
        <f>IFERROR(IF(bb_akun=INDEX(ju_debet,MATCH(ROW(J506),JURNAL!$O:$O,0)),INDEX(ju_sld,MATCH(ROW(K506),JURNAL!$O:$O,0)),0),"")</f>
        <v/>
      </c>
      <c r="F518" s="39" t="str">
        <f>IFERROR(IF(bb_akun=INDEX(ju_kr,MATCH(ROW(J506),JURNAL!$O:$O,0)),INDEX(ju_sld,MATCH(ROW(K506),JURNAL!$O:$O,0)),0),"")</f>
        <v/>
      </c>
      <c r="G518" s="39" t="str">
        <f>IF(B518="","",IF(INDEX(typ_sn,MATCH($C$9,typ_ket,0))="db",$G$8+SUM($E$13:E518)-SUM($F$13:F518),$G$8+SUM($F$13:F518)-SUM($E$13:E518)))</f>
        <v/>
      </c>
    </row>
    <row r="519" spans="2:7" ht="23.1" customHeight="1">
      <c r="B519" s="45" t="str">
        <f>IFERROR(INDEX(ju_tgl,MATCH(ROW(J507),JURNAL!$O:$O,0)),"")</f>
        <v/>
      </c>
      <c r="C519" s="7" t="str">
        <f>IFERROR(INDEX(ju_ref,MATCH(ROW(J507),JURNAL!$O:$O,0)),"")</f>
        <v/>
      </c>
      <c r="D519" s="7" t="str">
        <f>IFERROR(INDEX(ju_ket,MATCH(ROW(J507),JURNAL!$O:$O,0)),"")</f>
        <v/>
      </c>
      <c r="E519" s="39" t="str">
        <f>IFERROR(IF(bb_akun=INDEX(ju_debet,MATCH(ROW(J507),JURNAL!$O:$O,0)),INDEX(ju_sld,MATCH(ROW(K507),JURNAL!$O:$O,0)),0),"")</f>
        <v/>
      </c>
      <c r="F519" s="39" t="str">
        <f>IFERROR(IF(bb_akun=INDEX(ju_kr,MATCH(ROW(J507),JURNAL!$O:$O,0)),INDEX(ju_sld,MATCH(ROW(K507),JURNAL!$O:$O,0)),0),"")</f>
        <v/>
      </c>
      <c r="G519" s="39" t="str">
        <f>IF(B519="","",IF(INDEX(typ_sn,MATCH($C$9,typ_ket,0))="db",$G$8+SUM($E$13:E519)-SUM($F$13:F519),$G$8+SUM($F$13:F519)-SUM($E$13:E519)))</f>
        <v/>
      </c>
    </row>
    <row r="520" spans="2:7" ht="23.1" customHeight="1">
      <c r="B520" s="45" t="str">
        <f>IFERROR(INDEX(ju_tgl,MATCH(ROW(J508),JURNAL!$O:$O,0)),"")</f>
        <v/>
      </c>
      <c r="C520" s="7" t="str">
        <f>IFERROR(INDEX(ju_ref,MATCH(ROW(J508),JURNAL!$O:$O,0)),"")</f>
        <v/>
      </c>
      <c r="D520" s="7" t="str">
        <f>IFERROR(INDEX(ju_ket,MATCH(ROW(J508),JURNAL!$O:$O,0)),"")</f>
        <v/>
      </c>
      <c r="E520" s="39" t="str">
        <f>IFERROR(IF(bb_akun=INDEX(ju_debet,MATCH(ROW(J508),JURNAL!$O:$O,0)),INDEX(ju_sld,MATCH(ROW(K508),JURNAL!$O:$O,0)),0),"")</f>
        <v/>
      </c>
      <c r="F520" s="39" t="str">
        <f>IFERROR(IF(bb_akun=INDEX(ju_kr,MATCH(ROW(J508),JURNAL!$O:$O,0)),INDEX(ju_sld,MATCH(ROW(K508),JURNAL!$O:$O,0)),0),"")</f>
        <v/>
      </c>
      <c r="G520" s="39" t="str">
        <f>IF(B520="","",IF(INDEX(typ_sn,MATCH($C$9,typ_ket,0))="db",$G$8+SUM($E$13:E520)-SUM($F$13:F520),$G$8+SUM($F$13:F520)-SUM($E$13:E520)))</f>
        <v/>
      </c>
    </row>
    <row r="521" spans="2:7" ht="23.1" customHeight="1">
      <c r="B521" s="45" t="str">
        <f>IFERROR(INDEX(ju_tgl,MATCH(ROW(J509),JURNAL!$O:$O,0)),"")</f>
        <v/>
      </c>
      <c r="C521" s="7" t="str">
        <f>IFERROR(INDEX(ju_ref,MATCH(ROW(J509),JURNAL!$O:$O,0)),"")</f>
        <v/>
      </c>
      <c r="D521" s="7" t="str">
        <f>IFERROR(INDEX(ju_ket,MATCH(ROW(J509),JURNAL!$O:$O,0)),"")</f>
        <v/>
      </c>
      <c r="E521" s="39" t="str">
        <f>IFERROR(IF(bb_akun=INDEX(ju_debet,MATCH(ROW(J509),JURNAL!$O:$O,0)),INDEX(ju_sld,MATCH(ROW(K509),JURNAL!$O:$O,0)),0),"")</f>
        <v/>
      </c>
      <c r="F521" s="39" t="str">
        <f>IFERROR(IF(bb_akun=INDEX(ju_kr,MATCH(ROW(J509),JURNAL!$O:$O,0)),INDEX(ju_sld,MATCH(ROW(K509),JURNAL!$O:$O,0)),0),"")</f>
        <v/>
      </c>
      <c r="G521" s="39" t="str">
        <f>IF(B521="","",IF(INDEX(typ_sn,MATCH($C$9,typ_ket,0))="db",$G$8+SUM($E$13:E521)-SUM($F$13:F521),$G$8+SUM($F$13:F521)-SUM($E$13:E521)))</f>
        <v/>
      </c>
    </row>
    <row r="522" spans="2:7" ht="23.1" customHeight="1">
      <c r="B522" s="45" t="str">
        <f>IFERROR(INDEX(ju_tgl,MATCH(ROW(J510),JURNAL!$O:$O,0)),"")</f>
        <v/>
      </c>
      <c r="C522" s="7" t="str">
        <f>IFERROR(INDEX(ju_ref,MATCH(ROW(J510),JURNAL!$O:$O,0)),"")</f>
        <v/>
      </c>
      <c r="D522" s="7" t="str">
        <f>IFERROR(INDEX(ju_ket,MATCH(ROW(J510),JURNAL!$O:$O,0)),"")</f>
        <v/>
      </c>
      <c r="E522" s="39" t="str">
        <f>IFERROR(IF(bb_akun=INDEX(ju_debet,MATCH(ROW(J510),JURNAL!$O:$O,0)),INDEX(ju_sld,MATCH(ROW(K510),JURNAL!$O:$O,0)),0),"")</f>
        <v/>
      </c>
      <c r="F522" s="39" t="str">
        <f>IFERROR(IF(bb_akun=INDEX(ju_kr,MATCH(ROW(J510),JURNAL!$O:$O,0)),INDEX(ju_sld,MATCH(ROW(K510),JURNAL!$O:$O,0)),0),"")</f>
        <v/>
      </c>
      <c r="G522" s="39" t="str">
        <f>IF(B522="","",IF(INDEX(typ_sn,MATCH($C$9,typ_ket,0))="db",$G$8+SUM($E$13:E522)-SUM($F$13:F522),$G$8+SUM($F$13:F522)-SUM($E$13:E522)))</f>
        <v/>
      </c>
    </row>
    <row r="523" spans="2:7" ht="23.1" customHeight="1">
      <c r="B523" s="45" t="str">
        <f>IFERROR(INDEX(ju_tgl,MATCH(ROW(J511),JURNAL!$O:$O,0)),"")</f>
        <v/>
      </c>
      <c r="C523" s="7" t="str">
        <f>IFERROR(INDEX(ju_ref,MATCH(ROW(J511),JURNAL!$O:$O,0)),"")</f>
        <v/>
      </c>
      <c r="D523" s="7" t="str">
        <f>IFERROR(INDEX(ju_ket,MATCH(ROW(J511),JURNAL!$O:$O,0)),"")</f>
        <v/>
      </c>
      <c r="E523" s="39" t="str">
        <f>IFERROR(IF(bb_akun=INDEX(ju_debet,MATCH(ROW(J511),JURNAL!$O:$O,0)),INDEX(ju_sld,MATCH(ROW(K511),JURNAL!$O:$O,0)),0),"")</f>
        <v/>
      </c>
      <c r="F523" s="39" t="str">
        <f>IFERROR(IF(bb_akun=INDEX(ju_kr,MATCH(ROW(J511),JURNAL!$O:$O,0)),INDEX(ju_sld,MATCH(ROW(K511),JURNAL!$O:$O,0)),0),"")</f>
        <v/>
      </c>
      <c r="G523" s="39" t="str">
        <f>IF(B523="","",IF(INDEX(typ_sn,MATCH($C$9,typ_ket,0))="db",$G$8+SUM($E$13:E523)-SUM($F$13:F523),$G$8+SUM($F$13:F523)-SUM($E$13:E523)))</f>
        <v/>
      </c>
    </row>
    <row r="524" spans="2:7" ht="23.1" customHeight="1">
      <c r="B524" s="45" t="str">
        <f>IFERROR(INDEX(ju_tgl,MATCH(ROW(J512),JURNAL!$O:$O,0)),"")</f>
        <v/>
      </c>
      <c r="C524" s="7" t="str">
        <f>IFERROR(INDEX(ju_ref,MATCH(ROW(J512),JURNAL!$O:$O,0)),"")</f>
        <v/>
      </c>
      <c r="D524" s="7" t="str">
        <f>IFERROR(INDEX(ju_ket,MATCH(ROW(J512),JURNAL!$O:$O,0)),"")</f>
        <v/>
      </c>
      <c r="E524" s="39" t="str">
        <f>IFERROR(IF(bb_akun=INDEX(ju_debet,MATCH(ROW(J512),JURNAL!$O:$O,0)),INDEX(ju_sld,MATCH(ROW(K512),JURNAL!$O:$O,0)),0),"")</f>
        <v/>
      </c>
      <c r="F524" s="39" t="str">
        <f>IFERROR(IF(bb_akun=INDEX(ju_kr,MATCH(ROW(J512),JURNAL!$O:$O,0)),INDEX(ju_sld,MATCH(ROW(K512),JURNAL!$O:$O,0)),0),"")</f>
        <v/>
      </c>
      <c r="G524" s="39" t="str">
        <f>IF(B524="","",IF(INDEX(typ_sn,MATCH($C$9,typ_ket,0))="db",$G$8+SUM($E$13:E524)-SUM($F$13:F524),$G$8+SUM($F$13:F524)-SUM($E$13:E524)))</f>
        <v/>
      </c>
    </row>
    <row r="525" spans="2:7" ht="23.1" customHeight="1">
      <c r="B525" s="45" t="str">
        <f>IFERROR(INDEX(ju_tgl,MATCH(ROW(J513),JURNAL!$O:$O,0)),"")</f>
        <v/>
      </c>
      <c r="C525" s="7" t="str">
        <f>IFERROR(INDEX(ju_ref,MATCH(ROW(J513),JURNAL!$O:$O,0)),"")</f>
        <v/>
      </c>
      <c r="D525" s="7" t="str">
        <f>IFERROR(INDEX(ju_ket,MATCH(ROW(J513),JURNAL!$O:$O,0)),"")</f>
        <v/>
      </c>
      <c r="E525" s="39" t="str">
        <f>IFERROR(IF(bb_akun=INDEX(ju_debet,MATCH(ROW(J513),JURNAL!$O:$O,0)),INDEX(ju_sld,MATCH(ROW(K513),JURNAL!$O:$O,0)),0),"")</f>
        <v/>
      </c>
      <c r="F525" s="39" t="str">
        <f>IFERROR(IF(bb_akun=INDEX(ju_kr,MATCH(ROW(J513),JURNAL!$O:$O,0)),INDEX(ju_sld,MATCH(ROW(K513),JURNAL!$O:$O,0)),0),"")</f>
        <v/>
      </c>
      <c r="G525" s="39" t="str">
        <f>IF(B525="","",IF(INDEX(typ_sn,MATCH($C$9,typ_ket,0))="db",$G$8+SUM($E$13:E525)-SUM($F$13:F525),$G$8+SUM($F$13:F525)-SUM($E$13:E525)))</f>
        <v/>
      </c>
    </row>
    <row r="526" spans="2:7" ht="23.1" customHeight="1">
      <c r="B526" s="45" t="str">
        <f>IFERROR(INDEX(ju_tgl,MATCH(ROW(J514),JURNAL!$O:$O,0)),"")</f>
        <v/>
      </c>
      <c r="C526" s="7" t="str">
        <f>IFERROR(INDEX(ju_ref,MATCH(ROW(J514),JURNAL!$O:$O,0)),"")</f>
        <v/>
      </c>
      <c r="D526" s="7" t="str">
        <f>IFERROR(INDEX(ju_ket,MATCH(ROW(J514),JURNAL!$O:$O,0)),"")</f>
        <v/>
      </c>
      <c r="E526" s="39" t="str">
        <f>IFERROR(IF(bb_akun=INDEX(ju_debet,MATCH(ROW(J514),JURNAL!$O:$O,0)),INDEX(ju_sld,MATCH(ROW(K514),JURNAL!$O:$O,0)),0),"")</f>
        <v/>
      </c>
      <c r="F526" s="39" t="str">
        <f>IFERROR(IF(bb_akun=INDEX(ju_kr,MATCH(ROW(J514),JURNAL!$O:$O,0)),INDEX(ju_sld,MATCH(ROW(K514),JURNAL!$O:$O,0)),0),"")</f>
        <v/>
      </c>
      <c r="G526" s="39" t="str">
        <f>IF(B526="","",IF(INDEX(typ_sn,MATCH($C$9,typ_ket,0))="db",$G$8+SUM($E$13:E526)-SUM($F$13:F526),$G$8+SUM($F$13:F526)-SUM($E$13:E526)))</f>
        <v/>
      </c>
    </row>
    <row r="527" spans="2:7" ht="23.1" customHeight="1">
      <c r="B527" s="45" t="str">
        <f>IFERROR(INDEX(ju_tgl,MATCH(ROW(J515),JURNAL!$O:$O,0)),"")</f>
        <v/>
      </c>
      <c r="C527" s="7" t="str">
        <f>IFERROR(INDEX(ju_ref,MATCH(ROW(J515),JURNAL!$O:$O,0)),"")</f>
        <v/>
      </c>
      <c r="D527" s="7" t="str">
        <f>IFERROR(INDEX(ju_ket,MATCH(ROW(J515),JURNAL!$O:$O,0)),"")</f>
        <v/>
      </c>
      <c r="E527" s="39" t="str">
        <f>IFERROR(IF(bb_akun=INDEX(ju_debet,MATCH(ROW(J515),JURNAL!$O:$O,0)),INDEX(ju_sld,MATCH(ROW(K515),JURNAL!$O:$O,0)),0),"")</f>
        <v/>
      </c>
      <c r="F527" s="39" t="str">
        <f>IFERROR(IF(bb_akun=INDEX(ju_kr,MATCH(ROW(J515),JURNAL!$O:$O,0)),INDEX(ju_sld,MATCH(ROW(K515),JURNAL!$O:$O,0)),0),"")</f>
        <v/>
      </c>
      <c r="G527" s="39" t="str">
        <f>IF(B527="","",IF(INDEX(typ_sn,MATCH($C$9,typ_ket,0))="db",$G$8+SUM($E$13:E527)-SUM($F$13:F527),$G$8+SUM($F$13:F527)-SUM($E$13:E527)))</f>
        <v/>
      </c>
    </row>
    <row r="528" spans="2:7" ht="23.1" customHeight="1">
      <c r="B528" s="45" t="str">
        <f>IFERROR(INDEX(ju_tgl,MATCH(ROW(J516),JURNAL!$O:$O,0)),"")</f>
        <v/>
      </c>
      <c r="C528" s="7" t="str">
        <f>IFERROR(INDEX(ju_ref,MATCH(ROW(J516),JURNAL!$O:$O,0)),"")</f>
        <v/>
      </c>
      <c r="D528" s="7" t="str">
        <f>IFERROR(INDEX(ju_ket,MATCH(ROW(J516),JURNAL!$O:$O,0)),"")</f>
        <v/>
      </c>
      <c r="E528" s="39" t="str">
        <f>IFERROR(IF(bb_akun=INDEX(ju_debet,MATCH(ROW(J516),JURNAL!$O:$O,0)),INDEX(ju_sld,MATCH(ROW(K516),JURNAL!$O:$O,0)),0),"")</f>
        <v/>
      </c>
      <c r="F528" s="39" t="str">
        <f>IFERROR(IF(bb_akun=INDEX(ju_kr,MATCH(ROW(J516),JURNAL!$O:$O,0)),INDEX(ju_sld,MATCH(ROW(K516),JURNAL!$O:$O,0)),0),"")</f>
        <v/>
      </c>
      <c r="G528" s="39" t="str">
        <f>IF(B528="","",IF(INDEX(typ_sn,MATCH($C$9,typ_ket,0))="db",$G$8+SUM($E$13:E528)-SUM($F$13:F528),$G$8+SUM($F$13:F528)-SUM($E$13:E528)))</f>
        <v/>
      </c>
    </row>
    <row r="529" spans="2:7" ht="23.1" customHeight="1">
      <c r="B529" s="45" t="str">
        <f>IFERROR(INDEX(ju_tgl,MATCH(ROW(J517),JURNAL!$O:$O,0)),"")</f>
        <v/>
      </c>
      <c r="C529" s="7" t="str">
        <f>IFERROR(INDEX(ju_ref,MATCH(ROW(J517),JURNAL!$O:$O,0)),"")</f>
        <v/>
      </c>
      <c r="D529" s="7" t="str">
        <f>IFERROR(INDEX(ju_ket,MATCH(ROW(J517),JURNAL!$O:$O,0)),"")</f>
        <v/>
      </c>
      <c r="E529" s="39" t="str">
        <f>IFERROR(IF(bb_akun=INDEX(ju_debet,MATCH(ROW(J517),JURNAL!$O:$O,0)),INDEX(ju_sld,MATCH(ROW(K517),JURNAL!$O:$O,0)),0),"")</f>
        <v/>
      </c>
      <c r="F529" s="39" t="str">
        <f>IFERROR(IF(bb_akun=INDEX(ju_kr,MATCH(ROW(J517),JURNAL!$O:$O,0)),INDEX(ju_sld,MATCH(ROW(K517),JURNAL!$O:$O,0)),0),"")</f>
        <v/>
      </c>
      <c r="G529" s="39" t="str">
        <f>IF(B529="","",IF(INDEX(typ_sn,MATCH($C$9,typ_ket,0))="db",$G$8+SUM($E$13:E529)-SUM($F$13:F529),$G$8+SUM($F$13:F529)-SUM($E$13:E529)))</f>
        <v/>
      </c>
    </row>
    <row r="530" spans="2:7" ht="23.1" customHeight="1">
      <c r="B530" s="45" t="str">
        <f>IFERROR(INDEX(ju_tgl,MATCH(ROW(J518),JURNAL!$O:$O,0)),"")</f>
        <v/>
      </c>
      <c r="C530" s="7" t="str">
        <f>IFERROR(INDEX(ju_ref,MATCH(ROW(J518),JURNAL!$O:$O,0)),"")</f>
        <v/>
      </c>
      <c r="D530" s="7" t="str">
        <f>IFERROR(INDEX(ju_ket,MATCH(ROW(J518),JURNAL!$O:$O,0)),"")</f>
        <v/>
      </c>
      <c r="E530" s="39" t="str">
        <f>IFERROR(IF(bb_akun=INDEX(ju_debet,MATCH(ROW(J518),JURNAL!$O:$O,0)),INDEX(ju_sld,MATCH(ROW(K518),JURNAL!$O:$O,0)),0),"")</f>
        <v/>
      </c>
      <c r="F530" s="39" t="str">
        <f>IFERROR(IF(bb_akun=INDEX(ju_kr,MATCH(ROW(J518),JURNAL!$O:$O,0)),INDEX(ju_sld,MATCH(ROW(K518),JURNAL!$O:$O,0)),0),"")</f>
        <v/>
      </c>
      <c r="G530" s="39" t="str">
        <f>IF(B530="","",IF(INDEX(typ_sn,MATCH($C$9,typ_ket,0))="db",$G$8+SUM($E$13:E530)-SUM($F$13:F530),$G$8+SUM($F$13:F530)-SUM($E$13:E530)))</f>
        <v/>
      </c>
    </row>
    <row r="531" spans="2:7" ht="23.1" customHeight="1">
      <c r="B531" s="45" t="str">
        <f>IFERROR(INDEX(ju_tgl,MATCH(ROW(J519),JURNAL!$O:$O,0)),"")</f>
        <v/>
      </c>
      <c r="C531" s="7" t="str">
        <f>IFERROR(INDEX(ju_ref,MATCH(ROW(J519),JURNAL!$O:$O,0)),"")</f>
        <v/>
      </c>
      <c r="D531" s="7" t="str">
        <f>IFERROR(INDEX(ju_ket,MATCH(ROW(J519),JURNAL!$O:$O,0)),"")</f>
        <v/>
      </c>
      <c r="E531" s="39" t="str">
        <f>IFERROR(IF(bb_akun=INDEX(ju_debet,MATCH(ROW(J519),JURNAL!$O:$O,0)),INDEX(ju_sld,MATCH(ROW(K519),JURNAL!$O:$O,0)),0),"")</f>
        <v/>
      </c>
      <c r="F531" s="39" t="str">
        <f>IFERROR(IF(bb_akun=INDEX(ju_kr,MATCH(ROW(J519),JURNAL!$O:$O,0)),INDEX(ju_sld,MATCH(ROW(K519),JURNAL!$O:$O,0)),0),"")</f>
        <v/>
      </c>
      <c r="G531" s="39" t="str">
        <f>IF(B531="","",IF(INDEX(typ_sn,MATCH($C$9,typ_ket,0))="db",$G$8+SUM($E$13:E531)-SUM($F$13:F531),$G$8+SUM($F$13:F531)-SUM($E$13:E531)))</f>
        <v/>
      </c>
    </row>
    <row r="532" spans="2:7" ht="23.1" customHeight="1">
      <c r="B532" s="45" t="str">
        <f>IFERROR(INDEX(ju_tgl,MATCH(ROW(J520),JURNAL!$O:$O,0)),"")</f>
        <v/>
      </c>
      <c r="C532" s="7" t="str">
        <f>IFERROR(INDEX(ju_ref,MATCH(ROW(J520),JURNAL!$O:$O,0)),"")</f>
        <v/>
      </c>
      <c r="D532" s="7" t="str">
        <f>IFERROR(INDEX(ju_ket,MATCH(ROW(J520),JURNAL!$O:$O,0)),"")</f>
        <v/>
      </c>
      <c r="E532" s="39" t="str">
        <f>IFERROR(IF(bb_akun=INDEX(ju_debet,MATCH(ROW(J520),JURNAL!$O:$O,0)),INDEX(ju_sld,MATCH(ROW(K520),JURNAL!$O:$O,0)),0),"")</f>
        <v/>
      </c>
      <c r="F532" s="39" t="str">
        <f>IFERROR(IF(bb_akun=INDEX(ju_kr,MATCH(ROW(J520),JURNAL!$O:$O,0)),INDEX(ju_sld,MATCH(ROW(K520),JURNAL!$O:$O,0)),0),"")</f>
        <v/>
      </c>
      <c r="G532" s="39" t="str">
        <f>IF(B532="","",IF(INDEX(typ_sn,MATCH($C$9,typ_ket,0))="db",$G$8+SUM($E$13:E532)-SUM($F$13:F532),$G$8+SUM($F$13:F532)-SUM($E$13:E532)))</f>
        <v/>
      </c>
    </row>
    <row r="533" spans="2:7" ht="23.1" customHeight="1">
      <c r="B533" s="45" t="str">
        <f>IFERROR(INDEX(ju_tgl,MATCH(ROW(J521),JURNAL!$O:$O,0)),"")</f>
        <v/>
      </c>
      <c r="C533" s="7" t="str">
        <f>IFERROR(INDEX(ju_ref,MATCH(ROW(J521),JURNAL!$O:$O,0)),"")</f>
        <v/>
      </c>
      <c r="D533" s="7" t="str">
        <f>IFERROR(INDEX(ju_ket,MATCH(ROW(J521),JURNAL!$O:$O,0)),"")</f>
        <v/>
      </c>
      <c r="E533" s="39" t="str">
        <f>IFERROR(IF(bb_akun=INDEX(ju_debet,MATCH(ROW(J521),JURNAL!$O:$O,0)),INDEX(ju_sld,MATCH(ROW(K521),JURNAL!$O:$O,0)),0),"")</f>
        <v/>
      </c>
      <c r="F533" s="39" t="str">
        <f>IFERROR(IF(bb_akun=INDEX(ju_kr,MATCH(ROW(J521),JURNAL!$O:$O,0)),INDEX(ju_sld,MATCH(ROW(K521),JURNAL!$O:$O,0)),0),"")</f>
        <v/>
      </c>
      <c r="G533" s="39" t="str">
        <f>IF(B533="","",IF(INDEX(typ_sn,MATCH($C$9,typ_ket,0))="db",$G$8+SUM($E$13:E533)-SUM($F$13:F533),$G$8+SUM($F$13:F533)-SUM($E$13:E533)))</f>
        <v/>
      </c>
    </row>
    <row r="534" spans="2:7" ht="23.1" customHeight="1">
      <c r="B534" s="45" t="str">
        <f>IFERROR(INDEX(ju_tgl,MATCH(ROW(J522),JURNAL!$O:$O,0)),"")</f>
        <v/>
      </c>
      <c r="C534" s="7" t="str">
        <f>IFERROR(INDEX(ju_ref,MATCH(ROW(J522),JURNAL!$O:$O,0)),"")</f>
        <v/>
      </c>
      <c r="D534" s="7" t="str">
        <f>IFERROR(INDEX(ju_ket,MATCH(ROW(J522),JURNAL!$O:$O,0)),"")</f>
        <v/>
      </c>
      <c r="E534" s="39" t="str">
        <f>IFERROR(IF(bb_akun=INDEX(ju_debet,MATCH(ROW(J522),JURNAL!$O:$O,0)),INDEX(ju_sld,MATCH(ROW(K522),JURNAL!$O:$O,0)),0),"")</f>
        <v/>
      </c>
      <c r="F534" s="39" t="str">
        <f>IFERROR(IF(bb_akun=INDEX(ju_kr,MATCH(ROW(J522),JURNAL!$O:$O,0)),INDEX(ju_sld,MATCH(ROW(K522),JURNAL!$O:$O,0)),0),"")</f>
        <v/>
      </c>
      <c r="G534" s="39" t="str">
        <f>IF(B534="","",IF(INDEX(typ_sn,MATCH($C$9,typ_ket,0))="db",$G$8+SUM($E$13:E534)-SUM($F$13:F534),$G$8+SUM($F$13:F534)-SUM($E$13:E534)))</f>
        <v/>
      </c>
    </row>
    <row r="535" spans="2:7" ht="23.1" customHeight="1">
      <c r="B535" s="45" t="str">
        <f>IFERROR(INDEX(ju_tgl,MATCH(ROW(J523),JURNAL!$O:$O,0)),"")</f>
        <v/>
      </c>
      <c r="C535" s="7" t="str">
        <f>IFERROR(INDEX(ju_ref,MATCH(ROW(J523),JURNAL!$O:$O,0)),"")</f>
        <v/>
      </c>
      <c r="D535" s="7" t="str">
        <f>IFERROR(INDEX(ju_ket,MATCH(ROW(J523),JURNAL!$O:$O,0)),"")</f>
        <v/>
      </c>
      <c r="E535" s="39" t="str">
        <f>IFERROR(IF(bb_akun=INDEX(ju_debet,MATCH(ROW(J523),JURNAL!$O:$O,0)),INDEX(ju_sld,MATCH(ROW(K523),JURNAL!$O:$O,0)),0),"")</f>
        <v/>
      </c>
      <c r="F535" s="39" t="str">
        <f>IFERROR(IF(bb_akun=INDEX(ju_kr,MATCH(ROW(J523),JURNAL!$O:$O,0)),INDEX(ju_sld,MATCH(ROW(K523),JURNAL!$O:$O,0)),0),"")</f>
        <v/>
      </c>
      <c r="G535" s="39" t="str">
        <f>IF(B535="","",IF(INDEX(typ_sn,MATCH($C$9,typ_ket,0))="db",$G$8+SUM($E$13:E535)-SUM($F$13:F535),$G$8+SUM($F$13:F535)-SUM($E$13:E535)))</f>
        <v/>
      </c>
    </row>
    <row r="536" spans="2:7" ht="23.1" customHeight="1">
      <c r="B536" s="45" t="str">
        <f>IFERROR(INDEX(ju_tgl,MATCH(ROW(J524),JURNAL!$O:$O,0)),"")</f>
        <v/>
      </c>
      <c r="C536" s="7" t="str">
        <f>IFERROR(INDEX(ju_ref,MATCH(ROW(J524),JURNAL!$O:$O,0)),"")</f>
        <v/>
      </c>
      <c r="D536" s="7" t="str">
        <f>IFERROR(INDEX(ju_ket,MATCH(ROW(J524),JURNAL!$O:$O,0)),"")</f>
        <v/>
      </c>
      <c r="E536" s="39" t="str">
        <f>IFERROR(IF(bb_akun=INDEX(ju_debet,MATCH(ROW(J524),JURNAL!$O:$O,0)),INDEX(ju_sld,MATCH(ROW(K524),JURNAL!$O:$O,0)),0),"")</f>
        <v/>
      </c>
      <c r="F536" s="39" t="str">
        <f>IFERROR(IF(bb_akun=INDEX(ju_kr,MATCH(ROW(J524),JURNAL!$O:$O,0)),INDEX(ju_sld,MATCH(ROW(K524),JURNAL!$O:$O,0)),0),"")</f>
        <v/>
      </c>
      <c r="G536" s="39" t="str">
        <f>IF(B536="","",IF(INDEX(typ_sn,MATCH($C$9,typ_ket,0))="db",$G$8+SUM($E$13:E536)-SUM($F$13:F536),$G$8+SUM($F$13:F536)-SUM($E$13:E536)))</f>
        <v/>
      </c>
    </row>
    <row r="537" spans="2:7" ht="23.1" customHeight="1">
      <c r="B537" s="45" t="str">
        <f>IFERROR(INDEX(ju_tgl,MATCH(ROW(J525),JURNAL!$O:$O,0)),"")</f>
        <v/>
      </c>
      <c r="C537" s="7" t="str">
        <f>IFERROR(INDEX(ju_ref,MATCH(ROW(J525),JURNAL!$O:$O,0)),"")</f>
        <v/>
      </c>
      <c r="D537" s="7" t="str">
        <f>IFERROR(INDEX(ju_ket,MATCH(ROW(J525),JURNAL!$O:$O,0)),"")</f>
        <v/>
      </c>
      <c r="E537" s="39" t="str">
        <f>IFERROR(IF(bb_akun=INDEX(ju_debet,MATCH(ROW(J525),JURNAL!$O:$O,0)),INDEX(ju_sld,MATCH(ROW(K525),JURNAL!$O:$O,0)),0),"")</f>
        <v/>
      </c>
      <c r="F537" s="39" t="str">
        <f>IFERROR(IF(bb_akun=INDEX(ju_kr,MATCH(ROW(J525),JURNAL!$O:$O,0)),INDEX(ju_sld,MATCH(ROW(K525),JURNAL!$O:$O,0)),0),"")</f>
        <v/>
      </c>
      <c r="G537" s="39" t="str">
        <f>IF(B537="","",IF(INDEX(typ_sn,MATCH($C$9,typ_ket,0))="db",$G$8+SUM($E$13:E537)-SUM($F$13:F537),$G$8+SUM($F$13:F537)-SUM($E$13:E537)))</f>
        <v/>
      </c>
    </row>
    <row r="538" spans="2:7" ht="23.1" customHeight="1">
      <c r="B538" s="45" t="str">
        <f>IFERROR(INDEX(ju_tgl,MATCH(ROW(J526),JURNAL!$O:$O,0)),"")</f>
        <v/>
      </c>
      <c r="C538" s="7" t="str">
        <f>IFERROR(INDEX(ju_ref,MATCH(ROW(J526),JURNAL!$O:$O,0)),"")</f>
        <v/>
      </c>
      <c r="D538" s="7" t="str">
        <f>IFERROR(INDEX(ju_ket,MATCH(ROW(J526),JURNAL!$O:$O,0)),"")</f>
        <v/>
      </c>
      <c r="E538" s="39" t="str">
        <f>IFERROR(IF(bb_akun=INDEX(ju_debet,MATCH(ROW(J526),JURNAL!$O:$O,0)),INDEX(ju_sld,MATCH(ROW(K526),JURNAL!$O:$O,0)),0),"")</f>
        <v/>
      </c>
      <c r="F538" s="39" t="str">
        <f>IFERROR(IF(bb_akun=INDEX(ju_kr,MATCH(ROW(J526),JURNAL!$O:$O,0)),INDEX(ju_sld,MATCH(ROW(K526),JURNAL!$O:$O,0)),0),"")</f>
        <v/>
      </c>
      <c r="G538" s="39" t="str">
        <f>IF(B538="","",IF(INDEX(typ_sn,MATCH($C$9,typ_ket,0))="db",$G$8+SUM($E$13:E538)-SUM($F$13:F538),$G$8+SUM($F$13:F538)-SUM($E$13:E538)))</f>
        <v/>
      </c>
    </row>
    <row r="539" spans="2:7" ht="23.1" customHeight="1">
      <c r="B539" s="45" t="str">
        <f>IFERROR(INDEX(ju_tgl,MATCH(ROW(J527),JURNAL!$O:$O,0)),"")</f>
        <v/>
      </c>
      <c r="C539" s="7" t="str">
        <f>IFERROR(INDEX(ju_ref,MATCH(ROW(J527),JURNAL!$O:$O,0)),"")</f>
        <v/>
      </c>
      <c r="D539" s="7" t="str">
        <f>IFERROR(INDEX(ju_ket,MATCH(ROW(J527),JURNAL!$O:$O,0)),"")</f>
        <v/>
      </c>
      <c r="E539" s="39" t="str">
        <f>IFERROR(IF(bb_akun=INDEX(ju_debet,MATCH(ROW(J527),JURNAL!$O:$O,0)),INDEX(ju_sld,MATCH(ROW(K527),JURNAL!$O:$O,0)),0),"")</f>
        <v/>
      </c>
      <c r="F539" s="39" t="str">
        <f>IFERROR(IF(bb_akun=INDEX(ju_kr,MATCH(ROW(J527),JURNAL!$O:$O,0)),INDEX(ju_sld,MATCH(ROW(K527),JURNAL!$O:$O,0)),0),"")</f>
        <v/>
      </c>
      <c r="G539" s="39" t="str">
        <f>IF(B539="","",IF(INDEX(typ_sn,MATCH($C$9,typ_ket,0))="db",$G$8+SUM($E$13:E539)-SUM($F$13:F539),$G$8+SUM($F$13:F539)-SUM($E$13:E539)))</f>
        <v/>
      </c>
    </row>
    <row r="540" spans="2:7" ht="23.1" customHeight="1">
      <c r="B540" s="45" t="str">
        <f>IFERROR(INDEX(ju_tgl,MATCH(ROW(J528),JURNAL!$O:$O,0)),"")</f>
        <v/>
      </c>
      <c r="C540" s="7" t="str">
        <f>IFERROR(INDEX(ju_ref,MATCH(ROW(J528),JURNAL!$O:$O,0)),"")</f>
        <v/>
      </c>
      <c r="D540" s="7" t="str">
        <f>IFERROR(INDEX(ju_ket,MATCH(ROW(J528),JURNAL!$O:$O,0)),"")</f>
        <v/>
      </c>
      <c r="E540" s="39" t="str">
        <f>IFERROR(IF(bb_akun=INDEX(ju_debet,MATCH(ROW(J528),JURNAL!$O:$O,0)),INDEX(ju_sld,MATCH(ROW(K528),JURNAL!$O:$O,0)),0),"")</f>
        <v/>
      </c>
      <c r="F540" s="39" t="str">
        <f>IFERROR(IF(bb_akun=INDEX(ju_kr,MATCH(ROW(J528),JURNAL!$O:$O,0)),INDEX(ju_sld,MATCH(ROW(K528),JURNAL!$O:$O,0)),0),"")</f>
        <v/>
      </c>
      <c r="G540" s="39" t="str">
        <f>IF(B540="","",IF(INDEX(typ_sn,MATCH($C$9,typ_ket,0))="db",$G$8+SUM($E$13:E540)-SUM($F$13:F540),$G$8+SUM($F$13:F540)-SUM($E$13:E540)))</f>
        <v/>
      </c>
    </row>
    <row r="541" spans="2:7" ht="23.1" customHeight="1">
      <c r="B541" s="45" t="str">
        <f>IFERROR(INDEX(ju_tgl,MATCH(ROW(J529),JURNAL!$O:$O,0)),"")</f>
        <v/>
      </c>
      <c r="C541" s="7" t="str">
        <f>IFERROR(INDEX(ju_ref,MATCH(ROW(J529),JURNAL!$O:$O,0)),"")</f>
        <v/>
      </c>
      <c r="D541" s="7" t="str">
        <f>IFERROR(INDEX(ju_ket,MATCH(ROW(J529),JURNAL!$O:$O,0)),"")</f>
        <v/>
      </c>
      <c r="E541" s="39" t="str">
        <f>IFERROR(IF(bb_akun=INDEX(ju_debet,MATCH(ROW(J529),JURNAL!$O:$O,0)),INDEX(ju_sld,MATCH(ROW(K529),JURNAL!$O:$O,0)),0),"")</f>
        <v/>
      </c>
      <c r="F541" s="39" t="str">
        <f>IFERROR(IF(bb_akun=INDEX(ju_kr,MATCH(ROW(J529),JURNAL!$O:$O,0)),INDEX(ju_sld,MATCH(ROW(K529),JURNAL!$O:$O,0)),0),"")</f>
        <v/>
      </c>
      <c r="G541" s="39" t="str">
        <f>IF(B541="","",IF(INDEX(typ_sn,MATCH($C$9,typ_ket,0))="db",$G$8+SUM($E$13:E541)-SUM($F$13:F541),$G$8+SUM($F$13:F541)-SUM($E$13:E541)))</f>
        <v/>
      </c>
    </row>
    <row r="542" spans="2:7" ht="23.1" customHeight="1">
      <c r="B542" s="45" t="str">
        <f>IFERROR(INDEX(ju_tgl,MATCH(ROW(J530),JURNAL!$O:$O,0)),"")</f>
        <v/>
      </c>
      <c r="C542" s="7" t="str">
        <f>IFERROR(INDEX(ju_ref,MATCH(ROW(J530),JURNAL!$O:$O,0)),"")</f>
        <v/>
      </c>
      <c r="D542" s="7" t="str">
        <f>IFERROR(INDEX(ju_ket,MATCH(ROW(J530),JURNAL!$O:$O,0)),"")</f>
        <v/>
      </c>
      <c r="E542" s="39" t="str">
        <f>IFERROR(IF(bb_akun=INDEX(ju_debet,MATCH(ROW(J530),JURNAL!$O:$O,0)),INDEX(ju_sld,MATCH(ROW(K530),JURNAL!$O:$O,0)),0),"")</f>
        <v/>
      </c>
      <c r="F542" s="39" t="str">
        <f>IFERROR(IF(bb_akun=INDEX(ju_kr,MATCH(ROW(J530),JURNAL!$O:$O,0)),INDEX(ju_sld,MATCH(ROW(K530),JURNAL!$O:$O,0)),0),"")</f>
        <v/>
      </c>
      <c r="G542" s="39" t="str">
        <f>IF(B542="","",IF(INDEX(typ_sn,MATCH($C$9,typ_ket,0))="db",$G$8+SUM($E$13:E542)-SUM($F$13:F542),$G$8+SUM($F$13:F542)-SUM($E$13:E542)))</f>
        <v/>
      </c>
    </row>
    <row r="543" spans="2:7" ht="23.1" customHeight="1">
      <c r="B543" s="45" t="str">
        <f>IFERROR(INDEX(ju_tgl,MATCH(ROW(J531),JURNAL!$O:$O,0)),"")</f>
        <v/>
      </c>
      <c r="C543" s="7" t="str">
        <f>IFERROR(INDEX(ju_ref,MATCH(ROW(J531),JURNAL!$O:$O,0)),"")</f>
        <v/>
      </c>
      <c r="D543" s="7" t="str">
        <f>IFERROR(INDEX(ju_ket,MATCH(ROW(J531),JURNAL!$O:$O,0)),"")</f>
        <v/>
      </c>
      <c r="E543" s="39" t="str">
        <f>IFERROR(IF(bb_akun=INDEX(ju_debet,MATCH(ROW(J531),JURNAL!$O:$O,0)),INDEX(ju_sld,MATCH(ROW(K531),JURNAL!$O:$O,0)),0),"")</f>
        <v/>
      </c>
      <c r="F543" s="39" t="str">
        <f>IFERROR(IF(bb_akun=INDEX(ju_kr,MATCH(ROW(J531),JURNAL!$O:$O,0)),INDEX(ju_sld,MATCH(ROW(K531),JURNAL!$O:$O,0)),0),"")</f>
        <v/>
      </c>
      <c r="G543" s="39" t="str">
        <f>IF(B543="","",IF(INDEX(typ_sn,MATCH($C$9,typ_ket,0))="db",$G$8+SUM($E$13:E543)-SUM($F$13:F543),$G$8+SUM($F$13:F543)-SUM($E$13:E543)))</f>
        <v/>
      </c>
    </row>
    <row r="544" spans="2:7" ht="23.1" customHeight="1">
      <c r="B544" s="45" t="str">
        <f>IFERROR(INDEX(ju_tgl,MATCH(ROW(J532),JURNAL!$O:$O,0)),"")</f>
        <v/>
      </c>
      <c r="C544" s="7" t="str">
        <f>IFERROR(INDEX(ju_ref,MATCH(ROW(J532),JURNAL!$O:$O,0)),"")</f>
        <v/>
      </c>
      <c r="D544" s="7" t="str">
        <f>IFERROR(INDEX(ju_ket,MATCH(ROW(J532),JURNAL!$O:$O,0)),"")</f>
        <v/>
      </c>
      <c r="E544" s="39" t="str">
        <f>IFERROR(IF(bb_akun=INDEX(ju_debet,MATCH(ROW(J532),JURNAL!$O:$O,0)),INDEX(ju_sld,MATCH(ROW(K532),JURNAL!$O:$O,0)),0),"")</f>
        <v/>
      </c>
      <c r="F544" s="39" t="str">
        <f>IFERROR(IF(bb_akun=INDEX(ju_kr,MATCH(ROW(J532),JURNAL!$O:$O,0)),INDEX(ju_sld,MATCH(ROW(K532),JURNAL!$O:$O,0)),0),"")</f>
        <v/>
      </c>
      <c r="G544" s="39" t="str">
        <f>IF(B544="","",IF(INDEX(typ_sn,MATCH($C$9,typ_ket,0))="db",$G$8+SUM($E$13:E544)-SUM($F$13:F544),$G$8+SUM($F$13:F544)-SUM($E$13:E544)))</f>
        <v/>
      </c>
    </row>
    <row r="545" spans="2:7" ht="23.1" customHeight="1">
      <c r="B545" s="45" t="str">
        <f>IFERROR(INDEX(ju_tgl,MATCH(ROW(J533),JURNAL!$O:$O,0)),"")</f>
        <v/>
      </c>
      <c r="C545" s="7" t="str">
        <f>IFERROR(INDEX(ju_ref,MATCH(ROW(J533),JURNAL!$O:$O,0)),"")</f>
        <v/>
      </c>
      <c r="D545" s="7" t="str">
        <f>IFERROR(INDEX(ju_ket,MATCH(ROW(J533),JURNAL!$O:$O,0)),"")</f>
        <v/>
      </c>
      <c r="E545" s="39" t="str">
        <f>IFERROR(IF(bb_akun=INDEX(ju_debet,MATCH(ROW(J533),JURNAL!$O:$O,0)),INDEX(ju_sld,MATCH(ROW(K533),JURNAL!$O:$O,0)),0),"")</f>
        <v/>
      </c>
      <c r="F545" s="39" t="str">
        <f>IFERROR(IF(bb_akun=INDEX(ju_kr,MATCH(ROW(J533),JURNAL!$O:$O,0)),INDEX(ju_sld,MATCH(ROW(K533),JURNAL!$O:$O,0)),0),"")</f>
        <v/>
      </c>
      <c r="G545" s="39" t="str">
        <f>IF(B545="","",IF(INDEX(typ_sn,MATCH($C$9,typ_ket,0))="db",$G$8+SUM($E$13:E545)-SUM($F$13:F545),$G$8+SUM($F$13:F545)-SUM($E$13:E545)))</f>
        <v/>
      </c>
    </row>
    <row r="546" spans="2:7" ht="23.1" customHeight="1">
      <c r="B546" s="45" t="str">
        <f>IFERROR(INDEX(ju_tgl,MATCH(ROW(J534),JURNAL!$O:$O,0)),"")</f>
        <v/>
      </c>
      <c r="C546" s="7" t="str">
        <f>IFERROR(INDEX(ju_ref,MATCH(ROW(J534),JURNAL!$O:$O,0)),"")</f>
        <v/>
      </c>
      <c r="D546" s="7" t="str">
        <f>IFERROR(INDEX(ju_ket,MATCH(ROW(J534),JURNAL!$O:$O,0)),"")</f>
        <v/>
      </c>
      <c r="E546" s="39" t="str">
        <f>IFERROR(IF(bb_akun=INDEX(ju_debet,MATCH(ROW(J534),JURNAL!$O:$O,0)),INDEX(ju_sld,MATCH(ROW(K534),JURNAL!$O:$O,0)),0),"")</f>
        <v/>
      </c>
      <c r="F546" s="39" t="str">
        <f>IFERROR(IF(bb_akun=INDEX(ju_kr,MATCH(ROW(J534),JURNAL!$O:$O,0)),INDEX(ju_sld,MATCH(ROW(K534),JURNAL!$O:$O,0)),0),"")</f>
        <v/>
      </c>
      <c r="G546" s="39" t="str">
        <f>IF(B546="","",IF(INDEX(typ_sn,MATCH($C$9,typ_ket,0))="db",$G$8+SUM($E$13:E546)-SUM($F$13:F546),$G$8+SUM($F$13:F546)-SUM($E$13:E546)))</f>
        <v/>
      </c>
    </row>
    <row r="547" spans="2:7" ht="23.1" customHeight="1">
      <c r="B547" s="45" t="str">
        <f>IFERROR(INDEX(ju_tgl,MATCH(ROW(J535),JURNAL!$O:$O,0)),"")</f>
        <v/>
      </c>
      <c r="C547" s="7" t="str">
        <f>IFERROR(INDEX(ju_ref,MATCH(ROW(J535),JURNAL!$O:$O,0)),"")</f>
        <v/>
      </c>
      <c r="D547" s="7" t="str">
        <f>IFERROR(INDEX(ju_ket,MATCH(ROW(J535),JURNAL!$O:$O,0)),"")</f>
        <v/>
      </c>
      <c r="E547" s="39" t="str">
        <f>IFERROR(IF(bb_akun=INDEX(ju_debet,MATCH(ROW(J535),JURNAL!$O:$O,0)),INDEX(ju_sld,MATCH(ROW(K535),JURNAL!$O:$O,0)),0),"")</f>
        <v/>
      </c>
      <c r="F547" s="39" t="str">
        <f>IFERROR(IF(bb_akun=INDEX(ju_kr,MATCH(ROW(J535),JURNAL!$O:$O,0)),INDEX(ju_sld,MATCH(ROW(K535),JURNAL!$O:$O,0)),0),"")</f>
        <v/>
      </c>
      <c r="G547" s="39" t="str">
        <f>IF(B547="","",IF(INDEX(typ_sn,MATCH($C$9,typ_ket,0))="db",$G$8+SUM($E$13:E547)-SUM($F$13:F547),$G$8+SUM($F$13:F547)-SUM($E$13:E547)))</f>
        <v/>
      </c>
    </row>
    <row r="548" spans="2:7" ht="23.1" customHeight="1">
      <c r="B548" s="45" t="str">
        <f>IFERROR(INDEX(ju_tgl,MATCH(ROW(J536),JURNAL!$O:$O,0)),"")</f>
        <v/>
      </c>
      <c r="C548" s="7" t="str">
        <f>IFERROR(INDEX(ju_ref,MATCH(ROW(J536),JURNAL!$O:$O,0)),"")</f>
        <v/>
      </c>
      <c r="D548" s="7" t="str">
        <f>IFERROR(INDEX(ju_ket,MATCH(ROW(J536),JURNAL!$O:$O,0)),"")</f>
        <v/>
      </c>
      <c r="E548" s="39" t="str">
        <f>IFERROR(IF(bb_akun=INDEX(ju_debet,MATCH(ROW(J536),JURNAL!$O:$O,0)),INDEX(ju_sld,MATCH(ROW(K536),JURNAL!$O:$O,0)),0),"")</f>
        <v/>
      </c>
      <c r="F548" s="39" t="str">
        <f>IFERROR(IF(bb_akun=INDEX(ju_kr,MATCH(ROW(J536),JURNAL!$O:$O,0)),INDEX(ju_sld,MATCH(ROW(K536),JURNAL!$O:$O,0)),0),"")</f>
        <v/>
      </c>
      <c r="G548" s="39" t="str">
        <f>IF(B548="","",IF(INDEX(typ_sn,MATCH($C$9,typ_ket,0))="db",$G$8+SUM($E$13:E548)-SUM($F$13:F548),$G$8+SUM($F$13:F548)-SUM($E$13:E548)))</f>
        <v/>
      </c>
    </row>
    <row r="549" spans="2:7" ht="23.1" customHeight="1">
      <c r="B549" s="45" t="str">
        <f>IFERROR(INDEX(ju_tgl,MATCH(ROW(J537),JURNAL!$O:$O,0)),"")</f>
        <v/>
      </c>
      <c r="C549" s="7" t="str">
        <f>IFERROR(INDEX(ju_ref,MATCH(ROW(J537),JURNAL!$O:$O,0)),"")</f>
        <v/>
      </c>
      <c r="D549" s="7" t="str">
        <f>IFERROR(INDEX(ju_ket,MATCH(ROW(J537),JURNAL!$O:$O,0)),"")</f>
        <v/>
      </c>
      <c r="E549" s="39" t="str">
        <f>IFERROR(IF(bb_akun=INDEX(ju_debet,MATCH(ROW(J537),JURNAL!$O:$O,0)),INDEX(ju_sld,MATCH(ROW(K537),JURNAL!$O:$O,0)),0),"")</f>
        <v/>
      </c>
      <c r="F549" s="39" t="str">
        <f>IFERROR(IF(bb_akun=INDEX(ju_kr,MATCH(ROW(J537),JURNAL!$O:$O,0)),INDEX(ju_sld,MATCH(ROW(K537),JURNAL!$O:$O,0)),0),"")</f>
        <v/>
      </c>
      <c r="G549" s="39" t="str">
        <f>IF(B549="","",IF(INDEX(typ_sn,MATCH($C$9,typ_ket,0))="db",$G$8+SUM($E$13:E549)-SUM($F$13:F549),$G$8+SUM($F$13:F549)-SUM($E$13:E549)))</f>
        <v/>
      </c>
    </row>
    <row r="550" spans="2:7" ht="23.1" customHeight="1">
      <c r="B550" s="45" t="str">
        <f>IFERROR(INDEX(ju_tgl,MATCH(ROW(J538),JURNAL!$O:$O,0)),"")</f>
        <v/>
      </c>
      <c r="C550" s="7" t="str">
        <f>IFERROR(INDEX(ju_ref,MATCH(ROW(J538),JURNAL!$O:$O,0)),"")</f>
        <v/>
      </c>
      <c r="D550" s="7" t="str">
        <f>IFERROR(INDEX(ju_ket,MATCH(ROW(J538),JURNAL!$O:$O,0)),"")</f>
        <v/>
      </c>
      <c r="E550" s="39" t="str">
        <f>IFERROR(IF(bb_akun=INDEX(ju_debet,MATCH(ROW(J538),JURNAL!$O:$O,0)),INDEX(ju_sld,MATCH(ROW(K538),JURNAL!$O:$O,0)),0),"")</f>
        <v/>
      </c>
      <c r="F550" s="39" t="str">
        <f>IFERROR(IF(bb_akun=INDEX(ju_kr,MATCH(ROW(J538),JURNAL!$O:$O,0)),INDEX(ju_sld,MATCH(ROW(K538),JURNAL!$O:$O,0)),0),"")</f>
        <v/>
      </c>
      <c r="G550" s="39" t="str">
        <f>IF(B550="","",IF(INDEX(typ_sn,MATCH($C$9,typ_ket,0))="db",$G$8+SUM($E$13:E550)-SUM($F$13:F550),$G$8+SUM($F$13:F550)-SUM($E$13:E550)))</f>
        <v/>
      </c>
    </row>
    <row r="551" spans="2:7" ht="23.1" customHeight="1">
      <c r="B551" s="45" t="str">
        <f>IFERROR(INDEX(ju_tgl,MATCH(ROW(J539),JURNAL!$O:$O,0)),"")</f>
        <v/>
      </c>
      <c r="C551" s="7" t="str">
        <f>IFERROR(INDEX(ju_ref,MATCH(ROW(J539),JURNAL!$O:$O,0)),"")</f>
        <v/>
      </c>
      <c r="D551" s="7" t="str">
        <f>IFERROR(INDEX(ju_ket,MATCH(ROW(J539),JURNAL!$O:$O,0)),"")</f>
        <v/>
      </c>
      <c r="E551" s="39" t="str">
        <f>IFERROR(IF(bb_akun=INDEX(ju_debet,MATCH(ROW(J539),JURNAL!$O:$O,0)),INDEX(ju_sld,MATCH(ROW(K539),JURNAL!$O:$O,0)),0),"")</f>
        <v/>
      </c>
      <c r="F551" s="39" t="str">
        <f>IFERROR(IF(bb_akun=INDEX(ju_kr,MATCH(ROW(J539),JURNAL!$O:$O,0)),INDEX(ju_sld,MATCH(ROW(K539),JURNAL!$O:$O,0)),0),"")</f>
        <v/>
      </c>
      <c r="G551" s="39" t="str">
        <f>IF(B551="","",IF(INDEX(typ_sn,MATCH($C$9,typ_ket,0))="db",$G$8+SUM($E$13:E551)-SUM($F$13:F551),$G$8+SUM($F$13:F551)-SUM($E$13:E551)))</f>
        <v/>
      </c>
    </row>
    <row r="552" spans="2:7" ht="23.1" customHeight="1">
      <c r="B552" s="45" t="str">
        <f>IFERROR(INDEX(ju_tgl,MATCH(ROW(J540),JURNAL!$O:$O,0)),"")</f>
        <v/>
      </c>
      <c r="C552" s="7" t="str">
        <f>IFERROR(INDEX(ju_ref,MATCH(ROW(J540),JURNAL!$O:$O,0)),"")</f>
        <v/>
      </c>
      <c r="D552" s="7" t="str">
        <f>IFERROR(INDEX(ju_ket,MATCH(ROW(J540),JURNAL!$O:$O,0)),"")</f>
        <v/>
      </c>
      <c r="E552" s="39" t="str">
        <f>IFERROR(IF(bb_akun=INDEX(ju_debet,MATCH(ROW(J540),JURNAL!$O:$O,0)),INDEX(ju_sld,MATCH(ROW(K540),JURNAL!$O:$O,0)),0),"")</f>
        <v/>
      </c>
      <c r="F552" s="39" t="str">
        <f>IFERROR(IF(bb_akun=INDEX(ju_kr,MATCH(ROW(J540),JURNAL!$O:$O,0)),INDEX(ju_sld,MATCH(ROW(K540),JURNAL!$O:$O,0)),0),"")</f>
        <v/>
      </c>
      <c r="G552" s="39" t="str">
        <f>IF(B552="","",IF(INDEX(typ_sn,MATCH($C$9,typ_ket,0))="db",$G$8+SUM($E$13:E552)-SUM($F$13:F552),$G$8+SUM($F$13:F552)-SUM($E$13:E552)))</f>
        <v/>
      </c>
    </row>
    <row r="553" spans="2:7" ht="23.1" customHeight="1">
      <c r="B553" s="45" t="str">
        <f>IFERROR(INDEX(ju_tgl,MATCH(ROW(J541),JURNAL!$O:$O,0)),"")</f>
        <v/>
      </c>
      <c r="C553" s="7" t="str">
        <f>IFERROR(INDEX(ju_ref,MATCH(ROW(J541),JURNAL!$O:$O,0)),"")</f>
        <v/>
      </c>
      <c r="D553" s="7" t="str">
        <f>IFERROR(INDEX(ju_ket,MATCH(ROW(J541),JURNAL!$O:$O,0)),"")</f>
        <v/>
      </c>
      <c r="E553" s="39" t="str">
        <f>IFERROR(IF(bb_akun=INDEX(ju_debet,MATCH(ROW(J541),JURNAL!$O:$O,0)),INDEX(ju_sld,MATCH(ROW(K541),JURNAL!$O:$O,0)),0),"")</f>
        <v/>
      </c>
      <c r="F553" s="39" t="str">
        <f>IFERROR(IF(bb_akun=INDEX(ju_kr,MATCH(ROW(J541),JURNAL!$O:$O,0)),INDEX(ju_sld,MATCH(ROW(K541),JURNAL!$O:$O,0)),0),"")</f>
        <v/>
      </c>
      <c r="G553" s="39" t="str">
        <f>IF(B553="","",IF(INDEX(typ_sn,MATCH($C$9,typ_ket,0))="db",$G$8+SUM($E$13:E553)-SUM($F$13:F553),$G$8+SUM($F$13:F553)-SUM($E$13:E553)))</f>
        <v/>
      </c>
    </row>
    <row r="554" spans="2:7" ht="23.1" customHeight="1">
      <c r="B554" s="45" t="str">
        <f>IFERROR(INDEX(ju_tgl,MATCH(ROW(J542),JURNAL!$O:$O,0)),"")</f>
        <v/>
      </c>
      <c r="C554" s="7" t="str">
        <f>IFERROR(INDEX(ju_ref,MATCH(ROW(J542),JURNAL!$O:$O,0)),"")</f>
        <v/>
      </c>
      <c r="D554" s="7" t="str">
        <f>IFERROR(INDEX(ju_ket,MATCH(ROW(J542),JURNAL!$O:$O,0)),"")</f>
        <v/>
      </c>
      <c r="E554" s="39" t="str">
        <f>IFERROR(IF(bb_akun=INDEX(ju_debet,MATCH(ROW(J542),JURNAL!$O:$O,0)),INDEX(ju_sld,MATCH(ROW(K542),JURNAL!$O:$O,0)),0),"")</f>
        <v/>
      </c>
      <c r="F554" s="39" t="str">
        <f>IFERROR(IF(bb_akun=INDEX(ju_kr,MATCH(ROW(J542),JURNAL!$O:$O,0)),INDEX(ju_sld,MATCH(ROW(K542),JURNAL!$O:$O,0)),0),"")</f>
        <v/>
      </c>
      <c r="G554" s="39" t="str">
        <f>IF(B554="","",IF(INDEX(typ_sn,MATCH($C$9,typ_ket,0))="db",$G$8+SUM($E$13:E554)-SUM($F$13:F554),$G$8+SUM($F$13:F554)-SUM($E$13:E554)))</f>
        <v/>
      </c>
    </row>
    <row r="555" spans="2:7" ht="23.1" customHeight="1">
      <c r="B555" s="45" t="str">
        <f>IFERROR(INDEX(ju_tgl,MATCH(ROW(J543),JURNAL!$O:$O,0)),"")</f>
        <v/>
      </c>
      <c r="C555" s="7" t="str">
        <f>IFERROR(INDEX(ju_ref,MATCH(ROW(J543),JURNAL!$O:$O,0)),"")</f>
        <v/>
      </c>
      <c r="D555" s="7" t="str">
        <f>IFERROR(INDEX(ju_ket,MATCH(ROW(J543),JURNAL!$O:$O,0)),"")</f>
        <v/>
      </c>
      <c r="E555" s="39" t="str">
        <f>IFERROR(IF(bb_akun=INDEX(ju_debet,MATCH(ROW(J543),JURNAL!$O:$O,0)),INDEX(ju_sld,MATCH(ROW(K543),JURNAL!$O:$O,0)),0),"")</f>
        <v/>
      </c>
      <c r="F555" s="39" t="str">
        <f>IFERROR(IF(bb_akun=INDEX(ju_kr,MATCH(ROW(J543),JURNAL!$O:$O,0)),INDEX(ju_sld,MATCH(ROW(K543),JURNAL!$O:$O,0)),0),"")</f>
        <v/>
      </c>
      <c r="G555" s="39" t="str">
        <f>IF(B555="","",IF(INDEX(typ_sn,MATCH($C$9,typ_ket,0))="db",$G$8+SUM($E$13:E555)-SUM($F$13:F555),$G$8+SUM($F$13:F555)-SUM($E$13:E555)))</f>
        <v/>
      </c>
    </row>
    <row r="556" spans="2:7" ht="23.1" customHeight="1">
      <c r="B556" s="45" t="str">
        <f>IFERROR(INDEX(ju_tgl,MATCH(ROW(J544),JURNAL!$O:$O,0)),"")</f>
        <v/>
      </c>
      <c r="C556" s="7" t="str">
        <f>IFERROR(INDEX(ju_ref,MATCH(ROW(J544),JURNAL!$O:$O,0)),"")</f>
        <v/>
      </c>
      <c r="D556" s="7" t="str">
        <f>IFERROR(INDEX(ju_ket,MATCH(ROW(J544),JURNAL!$O:$O,0)),"")</f>
        <v/>
      </c>
      <c r="E556" s="39" t="str">
        <f>IFERROR(IF(bb_akun=INDEX(ju_debet,MATCH(ROW(J544),JURNAL!$O:$O,0)),INDEX(ju_sld,MATCH(ROW(K544),JURNAL!$O:$O,0)),0),"")</f>
        <v/>
      </c>
      <c r="F556" s="39" t="str">
        <f>IFERROR(IF(bb_akun=INDEX(ju_kr,MATCH(ROW(J544),JURNAL!$O:$O,0)),INDEX(ju_sld,MATCH(ROW(K544),JURNAL!$O:$O,0)),0),"")</f>
        <v/>
      </c>
      <c r="G556" s="39" t="str">
        <f>IF(B556="","",IF(INDEX(typ_sn,MATCH($C$9,typ_ket,0))="db",$G$8+SUM($E$13:E556)-SUM($F$13:F556),$G$8+SUM($F$13:F556)-SUM($E$13:E556)))</f>
        <v/>
      </c>
    </row>
    <row r="557" spans="2:7" ht="23.1" customHeight="1">
      <c r="B557" s="45" t="str">
        <f>IFERROR(INDEX(ju_tgl,MATCH(ROW(J545),JURNAL!$O:$O,0)),"")</f>
        <v/>
      </c>
      <c r="C557" s="7" t="str">
        <f>IFERROR(INDEX(ju_ref,MATCH(ROW(J545),JURNAL!$O:$O,0)),"")</f>
        <v/>
      </c>
      <c r="D557" s="7" t="str">
        <f>IFERROR(INDEX(ju_ket,MATCH(ROW(J545),JURNAL!$O:$O,0)),"")</f>
        <v/>
      </c>
      <c r="E557" s="39" t="str">
        <f>IFERROR(IF(bb_akun=INDEX(ju_debet,MATCH(ROW(J545),JURNAL!$O:$O,0)),INDEX(ju_sld,MATCH(ROW(K545),JURNAL!$O:$O,0)),0),"")</f>
        <v/>
      </c>
      <c r="F557" s="39" t="str">
        <f>IFERROR(IF(bb_akun=INDEX(ju_kr,MATCH(ROW(J545),JURNAL!$O:$O,0)),INDEX(ju_sld,MATCH(ROW(K545),JURNAL!$O:$O,0)),0),"")</f>
        <v/>
      </c>
      <c r="G557" s="39" t="str">
        <f>IF(B557="","",IF(INDEX(typ_sn,MATCH($C$9,typ_ket,0))="db",$G$8+SUM($E$13:E557)-SUM($F$13:F557),$G$8+SUM($F$13:F557)-SUM($E$13:E557)))</f>
        <v/>
      </c>
    </row>
    <row r="558" spans="2:7" ht="23.1" customHeight="1">
      <c r="B558" s="45" t="str">
        <f>IFERROR(INDEX(ju_tgl,MATCH(ROW(J546),JURNAL!$O:$O,0)),"")</f>
        <v/>
      </c>
      <c r="C558" s="7" t="str">
        <f>IFERROR(INDEX(ju_ref,MATCH(ROW(J546),JURNAL!$O:$O,0)),"")</f>
        <v/>
      </c>
      <c r="D558" s="7" t="str">
        <f>IFERROR(INDEX(ju_ket,MATCH(ROW(J546),JURNAL!$O:$O,0)),"")</f>
        <v/>
      </c>
      <c r="E558" s="39" t="str">
        <f>IFERROR(IF(bb_akun=INDEX(ju_debet,MATCH(ROW(J546),JURNAL!$O:$O,0)),INDEX(ju_sld,MATCH(ROW(K546),JURNAL!$O:$O,0)),0),"")</f>
        <v/>
      </c>
      <c r="F558" s="39" t="str">
        <f>IFERROR(IF(bb_akun=INDEX(ju_kr,MATCH(ROW(J546),JURNAL!$O:$O,0)),INDEX(ju_sld,MATCH(ROW(K546),JURNAL!$O:$O,0)),0),"")</f>
        <v/>
      </c>
      <c r="G558" s="39" t="str">
        <f>IF(B558="","",IF(INDEX(typ_sn,MATCH($C$9,typ_ket,0))="db",$G$8+SUM($E$13:E558)-SUM($F$13:F558),$G$8+SUM($F$13:F558)-SUM($E$13:E558)))</f>
        <v/>
      </c>
    </row>
    <row r="559" spans="2:7" ht="23.1" customHeight="1">
      <c r="B559" s="45" t="str">
        <f>IFERROR(INDEX(ju_tgl,MATCH(ROW(J547),JURNAL!$O:$O,0)),"")</f>
        <v/>
      </c>
      <c r="C559" s="7" t="str">
        <f>IFERROR(INDEX(ju_ref,MATCH(ROW(J547),JURNAL!$O:$O,0)),"")</f>
        <v/>
      </c>
      <c r="D559" s="7" t="str">
        <f>IFERROR(INDEX(ju_ket,MATCH(ROW(J547),JURNAL!$O:$O,0)),"")</f>
        <v/>
      </c>
      <c r="E559" s="39" t="str">
        <f>IFERROR(IF(bb_akun=INDEX(ju_debet,MATCH(ROW(J547),JURNAL!$O:$O,0)),INDEX(ju_sld,MATCH(ROW(K547),JURNAL!$O:$O,0)),0),"")</f>
        <v/>
      </c>
      <c r="F559" s="39" t="str">
        <f>IFERROR(IF(bb_akun=INDEX(ju_kr,MATCH(ROW(J547),JURNAL!$O:$O,0)),INDEX(ju_sld,MATCH(ROW(K547),JURNAL!$O:$O,0)),0),"")</f>
        <v/>
      </c>
      <c r="G559" s="39" t="str">
        <f>IF(B559="","",IF(INDEX(typ_sn,MATCH($C$9,typ_ket,0))="db",$G$8+SUM($E$13:E559)-SUM($F$13:F559),$G$8+SUM($F$13:F559)-SUM($E$13:E559)))</f>
        <v/>
      </c>
    </row>
    <row r="560" spans="2:7" ht="23.1" customHeight="1">
      <c r="B560" s="45" t="str">
        <f>IFERROR(INDEX(ju_tgl,MATCH(ROW(J548),JURNAL!$O:$O,0)),"")</f>
        <v/>
      </c>
      <c r="C560" s="7" t="str">
        <f>IFERROR(INDEX(ju_ref,MATCH(ROW(J548),JURNAL!$O:$O,0)),"")</f>
        <v/>
      </c>
      <c r="D560" s="7" t="str">
        <f>IFERROR(INDEX(ju_ket,MATCH(ROW(J548),JURNAL!$O:$O,0)),"")</f>
        <v/>
      </c>
      <c r="E560" s="39" t="str">
        <f>IFERROR(IF(bb_akun=INDEX(ju_debet,MATCH(ROW(J548),JURNAL!$O:$O,0)),INDEX(ju_sld,MATCH(ROW(K548),JURNAL!$O:$O,0)),0),"")</f>
        <v/>
      </c>
      <c r="F560" s="39" t="str">
        <f>IFERROR(IF(bb_akun=INDEX(ju_kr,MATCH(ROW(J548),JURNAL!$O:$O,0)),INDEX(ju_sld,MATCH(ROW(K548),JURNAL!$O:$O,0)),0),"")</f>
        <v/>
      </c>
      <c r="G560" s="39" t="str">
        <f>IF(B560="","",IF(INDEX(typ_sn,MATCH($C$9,typ_ket,0))="db",$G$8+SUM($E$13:E560)-SUM($F$13:F560),$G$8+SUM($F$13:F560)-SUM($E$13:E560)))</f>
        <v/>
      </c>
    </row>
    <row r="561" spans="2:7" ht="23.1" customHeight="1">
      <c r="B561" s="45" t="str">
        <f>IFERROR(INDEX(ju_tgl,MATCH(ROW(J549),JURNAL!$O:$O,0)),"")</f>
        <v/>
      </c>
      <c r="C561" s="7" t="str">
        <f>IFERROR(INDEX(ju_ref,MATCH(ROW(J549),JURNAL!$O:$O,0)),"")</f>
        <v/>
      </c>
      <c r="D561" s="7" t="str">
        <f>IFERROR(INDEX(ju_ket,MATCH(ROW(J549),JURNAL!$O:$O,0)),"")</f>
        <v/>
      </c>
      <c r="E561" s="39" t="str">
        <f>IFERROR(IF(bb_akun=INDEX(ju_debet,MATCH(ROW(J549),JURNAL!$O:$O,0)),INDEX(ju_sld,MATCH(ROW(K549),JURNAL!$O:$O,0)),0),"")</f>
        <v/>
      </c>
      <c r="F561" s="39" t="str">
        <f>IFERROR(IF(bb_akun=INDEX(ju_kr,MATCH(ROW(J549),JURNAL!$O:$O,0)),INDEX(ju_sld,MATCH(ROW(K549),JURNAL!$O:$O,0)),0),"")</f>
        <v/>
      </c>
      <c r="G561" s="39" t="str">
        <f>IF(B561="","",IF(INDEX(typ_sn,MATCH($C$9,typ_ket,0))="db",$G$8+SUM($E$13:E561)-SUM($F$13:F561),$G$8+SUM($F$13:F561)-SUM($E$13:E561)))</f>
        <v/>
      </c>
    </row>
    <row r="562" spans="2:7" ht="23.1" customHeight="1">
      <c r="B562" s="45" t="str">
        <f>IFERROR(INDEX(ju_tgl,MATCH(ROW(J550),JURNAL!$O:$O,0)),"")</f>
        <v/>
      </c>
      <c r="C562" s="7" t="str">
        <f>IFERROR(INDEX(ju_ref,MATCH(ROW(J550),JURNAL!$O:$O,0)),"")</f>
        <v/>
      </c>
      <c r="D562" s="7" t="str">
        <f>IFERROR(INDEX(ju_ket,MATCH(ROW(J550),JURNAL!$O:$O,0)),"")</f>
        <v/>
      </c>
      <c r="E562" s="39" t="str">
        <f>IFERROR(IF(bb_akun=INDEX(ju_debet,MATCH(ROW(J550),JURNAL!$O:$O,0)),INDEX(ju_sld,MATCH(ROW(K550),JURNAL!$O:$O,0)),0),"")</f>
        <v/>
      </c>
      <c r="F562" s="39" t="str">
        <f>IFERROR(IF(bb_akun=INDEX(ju_kr,MATCH(ROW(J550),JURNAL!$O:$O,0)),INDEX(ju_sld,MATCH(ROW(K550),JURNAL!$O:$O,0)),0),"")</f>
        <v/>
      </c>
      <c r="G562" s="39" t="str">
        <f>IF(B562="","",IF(INDEX(typ_sn,MATCH($C$9,typ_ket,0))="db",$G$8+SUM($E$13:E562)-SUM($F$13:F562),$G$8+SUM($F$13:F562)-SUM($E$13:E562)))</f>
        <v/>
      </c>
    </row>
    <row r="563" spans="2:7" ht="23.1" customHeight="1">
      <c r="B563" s="45" t="str">
        <f>IFERROR(INDEX(ju_tgl,MATCH(ROW(J551),JURNAL!$O:$O,0)),"")</f>
        <v/>
      </c>
      <c r="C563" s="7" t="str">
        <f>IFERROR(INDEX(ju_ref,MATCH(ROW(J551),JURNAL!$O:$O,0)),"")</f>
        <v/>
      </c>
      <c r="D563" s="7" t="str">
        <f>IFERROR(INDEX(ju_ket,MATCH(ROW(J551),JURNAL!$O:$O,0)),"")</f>
        <v/>
      </c>
      <c r="E563" s="39" t="str">
        <f>IFERROR(IF(bb_akun=INDEX(ju_debet,MATCH(ROW(J551),JURNAL!$O:$O,0)),INDEX(ju_sld,MATCH(ROW(K551),JURNAL!$O:$O,0)),0),"")</f>
        <v/>
      </c>
      <c r="F563" s="39" t="str">
        <f>IFERROR(IF(bb_akun=INDEX(ju_kr,MATCH(ROW(J551),JURNAL!$O:$O,0)),INDEX(ju_sld,MATCH(ROW(K551),JURNAL!$O:$O,0)),0),"")</f>
        <v/>
      </c>
      <c r="G563" s="39" t="str">
        <f>IF(B563="","",IF(INDEX(typ_sn,MATCH($C$9,typ_ket,0))="db",$G$8+SUM($E$13:E563)-SUM($F$13:F563),$G$8+SUM($F$13:F563)-SUM($E$13:E563)))</f>
        <v/>
      </c>
    </row>
    <row r="564" spans="2:7" ht="23.1" customHeight="1">
      <c r="B564" s="45" t="str">
        <f>IFERROR(INDEX(ju_tgl,MATCH(ROW(J552),JURNAL!$O:$O,0)),"")</f>
        <v/>
      </c>
      <c r="C564" s="7" t="str">
        <f>IFERROR(INDEX(ju_ref,MATCH(ROW(J552),JURNAL!$O:$O,0)),"")</f>
        <v/>
      </c>
      <c r="D564" s="7" t="str">
        <f>IFERROR(INDEX(ju_ket,MATCH(ROW(J552),JURNAL!$O:$O,0)),"")</f>
        <v/>
      </c>
      <c r="E564" s="39" t="str">
        <f>IFERROR(IF(bb_akun=INDEX(ju_debet,MATCH(ROW(J552),JURNAL!$O:$O,0)),INDEX(ju_sld,MATCH(ROW(K552),JURNAL!$O:$O,0)),0),"")</f>
        <v/>
      </c>
      <c r="F564" s="39" t="str">
        <f>IFERROR(IF(bb_akun=INDEX(ju_kr,MATCH(ROW(J552),JURNAL!$O:$O,0)),INDEX(ju_sld,MATCH(ROW(K552),JURNAL!$O:$O,0)),0),"")</f>
        <v/>
      </c>
      <c r="G564" s="39" t="str">
        <f>IF(B564="","",IF(INDEX(typ_sn,MATCH($C$9,typ_ket,0))="db",$G$8+SUM($E$13:E564)-SUM($F$13:F564),$G$8+SUM($F$13:F564)-SUM($E$13:E564)))</f>
        <v/>
      </c>
    </row>
    <row r="565" spans="2:7" ht="23.1" customHeight="1">
      <c r="B565" s="45" t="str">
        <f>IFERROR(INDEX(ju_tgl,MATCH(ROW(J553),JURNAL!$O:$O,0)),"")</f>
        <v/>
      </c>
      <c r="C565" s="7" t="str">
        <f>IFERROR(INDEX(ju_ref,MATCH(ROW(J553),JURNAL!$O:$O,0)),"")</f>
        <v/>
      </c>
      <c r="D565" s="7" t="str">
        <f>IFERROR(INDEX(ju_ket,MATCH(ROW(J553),JURNAL!$O:$O,0)),"")</f>
        <v/>
      </c>
      <c r="E565" s="39" t="str">
        <f>IFERROR(IF(bb_akun=INDEX(ju_debet,MATCH(ROW(J553),JURNAL!$O:$O,0)),INDEX(ju_sld,MATCH(ROW(K553),JURNAL!$O:$O,0)),0),"")</f>
        <v/>
      </c>
      <c r="F565" s="39" t="str">
        <f>IFERROR(IF(bb_akun=INDEX(ju_kr,MATCH(ROW(J553),JURNAL!$O:$O,0)),INDEX(ju_sld,MATCH(ROW(K553),JURNAL!$O:$O,0)),0),"")</f>
        <v/>
      </c>
      <c r="G565" s="39" t="str">
        <f>IF(B565="","",IF(INDEX(typ_sn,MATCH($C$9,typ_ket,0))="db",$G$8+SUM($E$13:E565)-SUM($F$13:F565),$G$8+SUM($F$13:F565)-SUM($E$13:E565)))</f>
        <v/>
      </c>
    </row>
    <row r="566" spans="2:7" ht="23.1" customHeight="1">
      <c r="B566" s="45" t="str">
        <f>IFERROR(INDEX(ju_tgl,MATCH(ROW(J554),JURNAL!$O:$O,0)),"")</f>
        <v/>
      </c>
      <c r="C566" s="7" t="str">
        <f>IFERROR(INDEX(ju_ref,MATCH(ROW(J554),JURNAL!$O:$O,0)),"")</f>
        <v/>
      </c>
      <c r="D566" s="7" t="str">
        <f>IFERROR(INDEX(ju_ket,MATCH(ROW(J554),JURNAL!$O:$O,0)),"")</f>
        <v/>
      </c>
      <c r="E566" s="39" t="str">
        <f>IFERROR(IF(bb_akun=INDEX(ju_debet,MATCH(ROW(J554),JURNAL!$O:$O,0)),INDEX(ju_sld,MATCH(ROW(K554),JURNAL!$O:$O,0)),0),"")</f>
        <v/>
      </c>
      <c r="F566" s="39" t="str">
        <f>IFERROR(IF(bb_akun=INDEX(ju_kr,MATCH(ROW(J554),JURNAL!$O:$O,0)),INDEX(ju_sld,MATCH(ROW(K554),JURNAL!$O:$O,0)),0),"")</f>
        <v/>
      </c>
      <c r="G566" s="39" t="str">
        <f>IF(B566="","",IF(INDEX(typ_sn,MATCH($C$9,typ_ket,0))="db",$G$8+SUM($E$13:E566)-SUM($F$13:F566),$G$8+SUM($F$13:F566)-SUM($E$13:E566)))</f>
        <v/>
      </c>
    </row>
    <row r="567" spans="2:7" ht="23.1" customHeight="1">
      <c r="B567" s="45" t="str">
        <f>IFERROR(INDEX(ju_tgl,MATCH(ROW(J555),JURNAL!$O:$O,0)),"")</f>
        <v/>
      </c>
      <c r="C567" s="7" t="str">
        <f>IFERROR(INDEX(ju_ref,MATCH(ROW(J555),JURNAL!$O:$O,0)),"")</f>
        <v/>
      </c>
      <c r="D567" s="7" t="str">
        <f>IFERROR(INDEX(ju_ket,MATCH(ROW(J555),JURNAL!$O:$O,0)),"")</f>
        <v/>
      </c>
      <c r="E567" s="39" t="str">
        <f>IFERROR(IF(bb_akun=INDEX(ju_debet,MATCH(ROW(J555),JURNAL!$O:$O,0)),INDEX(ju_sld,MATCH(ROW(K555),JURNAL!$O:$O,0)),0),"")</f>
        <v/>
      </c>
      <c r="F567" s="39" t="str">
        <f>IFERROR(IF(bb_akun=INDEX(ju_kr,MATCH(ROW(J555),JURNAL!$O:$O,0)),INDEX(ju_sld,MATCH(ROW(K555),JURNAL!$O:$O,0)),0),"")</f>
        <v/>
      </c>
      <c r="G567" s="39" t="str">
        <f>IF(B567="","",IF(INDEX(typ_sn,MATCH($C$9,typ_ket,0))="db",$G$8+SUM($E$13:E567)-SUM($F$13:F567),$G$8+SUM($F$13:F567)-SUM($E$13:E567)))</f>
        <v/>
      </c>
    </row>
    <row r="568" spans="2:7" ht="23.1" customHeight="1">
      <c r="B568" s="45" t="str">
        <f>IFERROR(INDEX(ju_tgl,MATCH(ROW(J556),JURNAL!$O:$O,0)),"")</f>
        <v/>
      </c>
      <c r="C568" s="7" t="str">
        <f>IFERROR(INDEX(ju_ref,MATCH(ROW(J556),JURNAL!$O:$O,0)),"")</f>
        <v/>
      </c>
      <c r="D568" s="7" t="str">
        <f>IFERROR(INDEX(ju_ket,MATCH(ROW(J556),JURNAL!$O:$O,0)),"")</f>
        <v/>
      </c>
      <c r="E568" s="39" t="str">
        <f>IFERROR(IF(bb_akun=INDEX(ju_debet,MATCH(ROW(J556),JURNAL!$O:$O,0)),INDEX(ju_sld,MATCH(ROW(K556),JURNAL!$O:$O,0)),0),"")</f>
        <v/>
      </c>
      <c r="F568" s="39" t="str">
        <f>IFERROR(IF(bb_akun=INDEX(ju_kr,MATCH(ROW(J556),JURNAL!$O:$O,0)),INDEX(ju_sld,MATCH(ROW(K556),JURNAL!$O:$O,0)),0),"")</f>
        <v/>
      </c>
      <c r="G568" s="39" t="str">
        <f>IF(B568="","",IF(INDEX(typ_sn,MATCH($C$9,typ_ket,0))="db",$G$8+SUM($E$13:E568)-SUM($F$13:F568),$G$8+SUM($F$13:F568)-SUM($E$13:E568)))</f>
        <v/>
      </c>
    </row>
    <row r="569" spans="2:7" ht="23.1" customHeight="1">
      <c r="B569" s="45" t="str">
        <f>IFERROR(INDEX(ju_tgl,MATCH(ROW(J557),JURNAL!$O:$O,0)),"")</f>
        <v/>
      </c>
      <c r="C569" s="7" t="str">
        <f>IFERROR(INDEX(ju_ref,MATCH(ROW(J557),JURNAL!$O:$O,0)),"")</f>
        <v/>
      </c>
      <c r="D569" s="7" t="str">
        <f>IFERROR(INDEX(ju_ket,MATCH(ROW(J557),JURNAL!$O:$O,0)),"")</f>
        <v/>
      </c>
      <c r="E569" s="39" t="str">
        <f>IFERROR(IF(bb_akun=INDEX(ju_debet,MATCH(ROW(J557),JURNAL!$O:$O,0)),INDEX(ju_sld,MATCH(ROW(K557),JURNAL!$O:$O,0)),0),"")</f>
        <v/>
      </c>
      <c r="F569" s="39" t="str">
        <f>IFERROR(IF(bb_akun=INDEX(ju_kr,MATCH(ROW(J557),JURNAL!$O:$O,0)),INDEX(ju_sld,MATCH(ROW(K557),JURNAL!$O:$O,0)),0),"")</f>
        <v/>
      </c>
      <c r="G569" s="39" t="str">
        <f>IF(B569="","",IF(INDEX(typ_sn,MATCH($C$9,typ_ket,0))="db",$G$8+SUM($E$13:E569)-SUM($F$13:F569),$G$8+SUM($F$13:F569)-SUM($E$13:E569)))</f>
        <v/>
      </c>
    </row>
    <row r="570" spans="2:7" ht="23.1" customHeight="1">
      <c r="B570" s="45" t="str">
        <f>IFERROR(INDEX(ju_tgl,MATCH(ROW(J558),JURNAL!$O:$O,0)),"")</f>
        <v/>
      </c>
      <c r="C570" s="7" t="str">
        <f>IFERROR(INDEX(ju_ref,MATCH(ROW(J558),JURNAL!$O:$O,0)),"")</f>
        <v/>
      </c>
      <c r="D570" s="7" t="str">
        <f>IFERROR(INDEX(ju_ket,MATCH(ROW(J558),JURNAL!$O:$O,0)),"")</f>
        <v/>
      </c>
      <c r="E570" s="39" t="str">
        <f>IFERROR(IF(bb_akun=INDEX(ju_debet,MATCH(ROW(J558),JURNAL!$O:$O,0)),INDEX(ju_sld,MATCH(ROW(K558),JURNAL!$O:$O,0)),0),"")</f>
        <v/>
      </c>
      <c r="F570" s="39" t="str">
        <f>IFERROR(IF(bb_akun=INDEX(ju_kr,MATCH(ROW(J558),JURNAL!$O:$O,0)),INDEX(ju_sld,MATCH(ROW(K558),JURNAL!$O:$O,0)),0),"")</f>
        <v/>
      </c>
      <c r="G570" s="39" t="str">
        <f>IF(B570="","",IF(INDEX(typ_sn,MATCH($C$9,typ_ket,0))="db",$G$8+SUM($E$13:E570)-SUM($F$13:F570),$G$8+SUM($F$13:F570)-SUM($E$13:E570)))</f>
        <v/>
      </c>
    </row>
    <row r="571" spans="2:7" ht="23.1" customHeight="1">
      <c r="B571" s="45" t="str">
        <f>IFERROR(INDEX(ju_tgl,MATCH(ROW(J559),JURNAL!$O:$O,0)),"")</f>
        <v/>
      </c>
      <c r="C571" s="7" t="str">
        <f>IFERROR(INDEX(ju_ref,MATCH(ROW(J559),JURNAL!$O:$O,0)),"")</f>
        <v/>
      </c>
      <c r="D571" s="7" t="str">
        <f>IFERROR(INDEX(ju_ket,MATCH(ROW(J559),JURNAL!$O:$O,0)),"")</f>
        <v/>
      </c>
      <c r="E571" s="39" t="str">
        <f>IFERROR(IF(bb_akun=INDEX(ju_debet,MATCH(ROW(J559),JURNAL!$O:$O,0)),INDEX(ju_sld,MATCH(ROW(K559),JURNAL!$O:$O,0)),0),"")</f>
        <v/>
      </c>
      <c r="F571" s="39" t="str">
        <f>IFERROR(IF(bb_akun=INDEX(ju_kr,MATCH(ROW(J559),JURNAL!$O:$O,0)),INDEX(ju_sld,MATCH(ROW(K559),JURNAL!$O:$O,0)),0),"")</f>
        <v/>
      </c>
      <c r="G571" s="39" t="str">
        <f>IF(B571="","",IF(INDEX(typ_sn,MATCH($C$9,typ_ket,0))="db",$G$8+SUM($E$13:E571)-SUM($F$13:F571),$G$8+SUM($F$13:F571)-SUM($E$13:E571)))</f>
        <v/>
      </c>
    </row>
    <row r="572" spans="2:7" ht="23.1" customHeight="1">
      <c r="B572" s="45" t="str">
        <f>IFERROR(INDEX(ju_tgl,MATCH(ROW(J560),JURNAL!$O:$O,0)),"")</f>
        <v/>
      </c>
      <c r="C572" s="7" t="str">
        <f>IFERROR(INDEX(ju_ref,MATCH(ROW(J560),JURNAL!$O:$O,0)),"")</f>
        <v/>
      </c>
      <c r="D572" s="7" t="str">
        <f>IFERROR(INDEX(ju_ket,MATCH(ROW(J560),JURNAL!$O:$O,0)),"")</f>
        <v/>
      </c>
      <c r="E572" s="39" t="str">
        <f>IFERROR(IF(bb_akun=INDEX(ju_debet,MATCH(ROW(J560),JURNAL!$O:$O,0)),INDEX(ju_sld,MATCH(ROW(K560),JURNAL!$O:$O,0)),0),"")</f>
        <v/>
      </c>
      <c r="F572" s="39" t="str">
        <f>IFERROR(IF(bb_akun=INDEX(ju_kr,MATCH(ROW(J560),JURNAL!$O:$O,0)),INDEX(ju_sld,MATCH(ROW(K560),JURNAL!$O:$O,0)),0),"")</f>
        <v/>
      </c>
      <c r="G572" s="39" t="str">
        <f>IF(B572="","",IF(INDEX(typ_sn,MATCH($C$9,typ_ket,0))="db",$G$8+SUM($E$13:E572)-SUM($F$13:F572),$G$8+SUM($F$13:F572)-SUM($E$13:E572)))</f>
        <v/>
      </c>
    </row>
    <row r="573" spans="2:7" ht="23.1" customHeight="1">
      <c r="B573" s="45" t="str">
        <f>IFERROR(INDEX(ju_tgl,MATCH(ROW(J561),JURNAL!$O:$O,0)),"")</f>
        <v/>
      </c>
      <c r="C573" s="7" t="str">
        <f>IFERROR(INDEX(ju_ref,MATCH(ROW(J561),JURNAL!$O:$O,0)),"")</f>
        <v/>
      </c>
      <c r="D573" s="7" t="str">
        <f>IFERROR(INDEX(ju_ket,MATCH(ROW(J561),JURNAL!$O:$O,0)),"")</f>
        <v/>
      </c>
      <c r="E573" s="39" t="str">
        <f>IFERROR(IF(bb_akun=INDEX(ju_debet,MATCH(ROW(J561),JURNAL!$O:$O,0)),INDEX(ju_sld,MATCH(ROW(K561),JURNAL!$O:$O,0)),0),"")</f>
        <v/>
      </c>
      <c r="F573" s="39" t="str">
        <f>IFERROR(IF(bb_akun=INDEX(ju_kr,MATCH(ROW(J561),JURNAL!$O:$O,0)),INDEX(ju_sld,MATCH(ROW(K561),JURNAL!$O:$O,0)),0),"")</f>
        <v/>
      </c>
      <c r="G573" s="39" t="str">
        <f>IF(B573="","",IF(INDEX(typ_sn,MATCH($C$9,typ_ket,0))="db",$G$8+SUM($E$13:E573)-SUM($F$13:F573),$G$8+SUM($F$13:F573)-SUM($E$13:E573)))</f>
        <v/>
      </c>
    </row>
    <row r="574" spans="2:7" ht="23.1" customHeight="1">
      <c r="B574" s="45" t="str">
        <f>IFERROR(INDEX(ju_tgl,MATCH(ROW(J562),JURNAL!$O:$O,0)),"")</f>
        <v/>
      </c>
      <c r="C574" s="7" t="str">
        <f>IFERROR(INDEX(ju_ref,MATCH(ROW(J562),JURNAL!$O:$O,0)),"")</f>
        <v/>
      </c>
      <c r="D574" s="7" t="str">
        <f>IFERROR(INDEX(ju_ket,MATCH(ROW(J562),JURNAL!$O:$O,0)),"")</f>
        <v/>
      </c>
      <c r="E574" s="39" t="str">
        <f>IFERROR(IF(bb_akun=INDEX(ju_debet,MATCH(ROW(J562),JURNAL!$O:$O,0)),INDEX(ju_sld,MATCH(ROW(K562),JURNAL!$O:$O,0)),0),"")</f>
        <v/>
      </c>
      <c r="F574" s="39" t="str">
        <f>IFERROR(IF(bb_akun=INDEX(ju_kr,MATCH(ROW(J562),JURNAL!$O:$O,0)),INDEX(ju_sld,MATCH(ROW(K562),JURNAL!$O:$O,0)),0),"")</f>
        <v/>
      </c>
      <c r="G574" s="39" t="str">
        <f>IF(B574="","",IF(INDEX(typ_sn,MATCH($C$9,typ_ket,0))="db",$G$8+SUM($E$13:E574)-SUM($F$13:F574),$G$8+SUM($F$13:F574)-SUM($E$13:E574)))</f>
        <v/>
      </c>
    </row>
    <row r="575" spans="2:7" ht="23.1" customHeight="1">
      <c r="B575" s="45" t="str">
        <f>IFERROR(INDEX(ju_tgl,MATCH(ROW(J563),JURNAL!$O:$O,0)),"")</f>
        <v/>
      </c>
      <c r="C575" s="7" t="str">
        <f>IFERROR(INDEX(ju_ref,MATCH(ROW(J563),JURNAL!$O:$O,0)),"")</f>
        <v/>
      </c>
      <c r="D575" s="7" t="str">
        <f>IFERROR(INDEX(ju_ket,MATCH(ROW(J563),JURNAL!$O:$O,0)),"")</f>
        <v/>
      </c>
      <c r="E575" s="39" t="str">
        <f>IFERROR(IF(bb_akun=INDEX(ju_debet,MATCH(ROW(J563),JURNAL!$O:$O,0)),INDEX(ju_sld,MATCH(ROW(K563),JURNAL!$O:$O,0)),0),"")</f>
        <v/>
      </c>
      <c r="F575" s="39" t="str">
        <f>IFERROR(IF(bb_akun=INDEX(ju_kr,MATCH(ROW(J563),JURNAL!$O:$O,0)),INDEX(ju_sld,MATCH(ROW(K563),JURNAL!$O:$O,0)),0),"")</f>
        <v/>
      </c>
      <c r="G575" s="39" t="str">
        <f>IF(B575="","",IF(INDEX(typ_sn,MATCH($C$9,typ_ket,0))="db",$G$8+SUM($E$13:E575)-SUM($F$13:F575),$G$8+SUM($F$13:F575)-SUM($E$13:E575)))</f>
        <v/>
      </c>
    </row>
    <row r="576" spans="2:7" ht="23.1" customHeight="1">
      <c r="B576" s="45" t="str">
        <f>IFERROR(INDEX(ju_tgl,MATCH(ROW(J564),JURNAL!$O:$O,0)),"")</f>
        <v/>
      </c>
      <c r="C576" s="7" t="str">
        <f>IFERROR(INDEX(ju_ref,MATCH(ROW(J564),JURNAL!$O:$O,0)),"")</f>
        <v/>
      </c>
      <c r="D576" s="7" t="str">
        <f>IFERROR(INDEX(ju_ket,MATCH(ROW(J564),JURNAL!$O:$O,0)),"")</f>
        <v/>
      </c>
      <c r="E576" s="39" t="str">
        <f>IFERROR(IF(bb_akun=INDEX(ju_debet,MATCH(ROW(J564),JURNAL!$O:$O,0)),INDEX(ju_sld,MATCH(ROW(K564),JURNAL!$O:$O,0)),0),"")</f>
        <v/>
      </c>
      <c r="F576" s="39" t="str">
        <f>IFERROR(IF(bb_akun=INDEX(ju_kr,MATCH(ROW(J564),JURNAL!$O:$O,0)),INDEX(ju_sld,MATCH(ROW(K564),JURNAL!$O:$O,0)),0),"")</f>
        <v/>
      </c>
      <c r="G576" s="39" t="str">
        <f>IF(B576="","",IF(INDEX(typ_sn,MATCH($C$9,typ_ket,0))="db",$G$8+SUM($E$13:E576)-SUM($F$13:F576),$G$8+SUM($F$13:F576)-SUM($E$13:E576)))</f>
        <v/>
      </c>
    </row>
    <row r="577" spans="2:7" ht="23.1" customHeight="1">
      <c r="B577" s="45" t="str">
        <f>IFERROR(INDEX(ju_tgl,MATCH(ROW(J565),JURNAL!$O:$O,0)),"")</f>
        <v/>
      </c>
      <c r="C577" s="7" t="str">
        <f>IFERROR(INDEX(ju_ref,MATCH(ROW(J565),JURNAL!$O:$O,0)),"")</f>
        <v/>
      </c>
      <c r="D577" s="7" t="str">
        <f>IFERROR(INDEX(ju_ket,MATCH(ROW(J565),JURNAL!$O:$O,0)),"")</f>
        <v/>
      </c>
      <c r="E577" s="39" t="str">
        <f>IFERROR(IF(bb_akun=INDEX(ju_debet,MATCH(ROW(J565),JURNAL!$O:$O,0)),INDEX(ju_sld,MATCH(ROW(K565),JURNAL!$O:$O,0)),0),"")</f>
        <v/>
      </c>
      <c r="F577" s="39" t="str">
        <f>IFERROR(IF(bb_akun=INDEX(ju_kr,MATCH(ROW(J565),JURNAL!$O:$O,0)),INDEX(ju_sld,MATCH(ROW(K565),JURNAL!$O:$O,0)),0),"")</f>
        <v/>
      </c>
      <c r="G577" s="39" t="str">
        <f>IF(B577="","",IF(INDEX(typ_sn,MATCH($C$9,typ_ket,0))="db",$G$8+SUM($E$13:E577)-SUM($F$13:F577),$G$8+SUM($F$13:F577)-SUM($E$13:E577)))</f>
        <v/>
      </c>
    </row>
    <row r="578" spans="2:7" ht="23.1" customHeight="1">
      <c r="B578" s="45" t="str">
        <f>IFERROR(INDEX(ju_tgl,MATCH(ROW(J566),JURNAL!$O:$O,0)),"")</f>
        <v/>
      </c>
      <c r="C578" s="7" t="str">
        <f>IFERROR(INDEX(ju_ref,MATCH(ROW(J566),JURNAL!$O:$O,0)),"")</f>
        <v/>
      </c>
      <c r="D578" s="7" t="str">
        <f>IFERROR(INDEX(ju_ket,MATCH(ROW(J566),JURNAL!$O:$O,0)),"")</f>
        <v/>
      </c>
      <c r="E578" s="39" t="str">
        <f>IFERROR(IF(bb_akun=INDEX(ju_debet,MATCH(ROW(J566),JURNAL!$O:$O,0)),INDEX(ju_sld,MATCH(ROW(K566),JURNAL!$O:$O,0)),0),"")</f>
        <v/>
      </c>
      <c r="F578" s="39" t="str">
        <f>IFERROR(IF(bb_akun=INDEX(ju_kr,MATCH(ROW(J566),JURNAL!$O:$O,0)),INDEX(ju_sld,MATCH(ROW(K566),JURNAL!$O:$O,0)),0),"")</f>
        <v/>
      </c>
      <c r="G578" s="39" t="str">
        <f>IF(B578="","",IF(INDEX(typ_sn,MATCH($C$9,typ_ket,0))="db",$G$8+SUM($E$13:E578)-SUM($F$13:F578),$G$8+SUM($F$13:F578)-SUM($E$13:E578)))</f>
        <v/>
      </c>
    </row>
    <row r="579" spans="2:7" ht="23.1" customHeight="1">
      <c r="B579" s="45" t="str">
        <f>IFERROR(INDEX(ju_tgl,MATCH(ROW(J567),JURNAL!$O:$O,0)),"")</f>
        <v/>
      </c>
      <c r="C579" s="7" t="str">
        <f>IFERROR(INDEX(ju_ref,MATCH(ROW(J567),JURNAL!$O:$O,0)),"")</f>
        <v/>
      </c>
      <c r="D579" s="7" t="str">
        <f>IFERROR(INDEX(ju_ket,MATCH(ROW(J567),JURNAL!$O:$O,0)),"")</f>
        <v/>
      </c>
      <c r="E579" s="39" t="str">
        <f>IFERROR(IF(bb_akun=INDEX(ju_debet,MATCH(ROW(J567),JURNAL!$O:$O,0)),INDEX(ju_sld,MATCH(ROW(K567),JURNAL!$O:$O,0)),0),"")</f>
        <v/>
      </c>
      <c r="F579" s="39" t="str">
        <f>IFERROR(IF(bb_akun=INDEX(ju_kr,MATCH(ROW(J567),JURNAL!$O:$O,0)),INDEX(ju_sld,MATCH(ROW(K567),JURNAL!$O:$O,0)),0),"")</f>
        <v/>
      </c>
      <c r="G579" s="39" t="str">
        <f>IF(B579="","",IF(INDEX(typ_sn,MATCH($C$9,typ_ket,0))="db",$G$8+SUM($E$13:E579)-SUM($F$13:F579),$G$8+SUM($F$13:F579)-SUM($E$13:E579)))</f>
        <v/>
      </c>
    </row>
    <row r="580" spans="2:7" ht="23.1" customHeight="1">
      <c r="B580" s="45" t="str">
        <f>IFERROR(INDEX(ju_tgl,MATCH(ROW(J568),JURNAL!$O:$O,0)),"")</f>
        <v/>
      </c>
      <c r="C580" s="7" t="str">
        <f>IFERROR(INDEX(ju_ref,MATCH(ROW(J568),JURNAL!$O:$O,0)),"")</f>
        <v/>
      </c>
      <c r="D580" s="7" t="str">
        <f>IFERROR(INDEX(ju_ket,MATCH(ROW(J568),JURNAL!$O:$O,0)),"")</f>
        <v/>
      </c>
      <c r="E580" s="39" t="str">
        <f>IFERROR(IF(bb_akun=INDEX(ju_debet,MATCH(ROW(J568),JURNAL!$O:$O,0)),INDEX(ju_sld,MATCH(ROW(K568),JURNAL!$O:$O,0)),0),"")</f>
        <v/>
      </c>
      <c r="F580" s="39" t="str">
        <f>IFERROR(IF(bb_akun=INDEX(ju_kr,MATCH(ROW(J568),JURNAL!$O:$O,0)),INDEX(ju_sld,MATCH(ROW(K568),JURNAL!$O:$O,0)),0),"")</f>
        <v/>
      </c>
      <c r="G580" s="39" t="str">
        <f>IF(B580="","",IF(INDEX(typ_sn,MATCH($C$9,typ_ket,0))="db",$G$8+SUM($E$13:E580)-SUM($F$13:F580),$G$8+SUM($F$13:F580)-SUM($E$13:E580)))</f>
        <v/>
      </c>
    </row>
    <row r="581" spans="2:7" ht="23.1" customHeight="1">
      <c r="B581" s="45" t="str">
        <f>IFERROR(INDEX(ju_tgl,MATCH(ROW(J569),JURNAL!$O:$O,0)),"")</f>
        <v/>
      </c>
      <c r="C581" s="7" t="str">
        <f>IFERROR(INDEX(ju_ref,MATCH(ROW(J569),JURNAL!$O:$O,0)),"")</f>
        <v/>
      </c>
      <c r="D581" s="7" t="str">
        <f>IFERROR(INDEX(ju_ket,MATCH(ROW(J569),JURNAL!$O:$O,0)),"")</f>
        <v/>
      </c>
      <c r="E581" s="39" t="str">
        <f>IFERROR(IF(bb_akun=INDEX(ju_debet,MATCH(ROW(J569),JURNAL!$O:$O,0)),INDEX(ju_sld,MATCH(ROW(K569),JURNAL!$O:$O,0)),0),"")</f>
        <v/>
      </c>
      <c r="F581" s="39" t="str">
        <f>IFERROR(IF(bb_akun=INDEX(ju_kr,MATCH(ROW(J569),JURNAL!$O:$O,0)),INDEX(ju_sld,MATCH(ROW(K569),JURNAL!$O:$O,0)),0),"")</f>
        <v/>
      </c>
      <c r="G581" s="39" t="str">
        <f>IF(B581="","",IF(INDEX(typ_sn,MATCH($C$9,typ_ket,0))="db",$G$8+SUM($E$13:E581)-SUM($F$13:F581),$G$8+SUM($F$13:F581)-SUM($E$13:E581)))</f>
        <v/>
      </c>
    </row>
    <row r="582" spans="2:7" ht="23.1" customHeight="1">
      <c r="B582" s="45" t="str">
        <f>IFERROR(INDEX(ju_tgl,MATCH(ROW(J570),JURNAL!$O:$O,0)),"")</f>
        <v/>
      </c>
      <c r="C582" s="7" t="str">
        <f>IFERROR(INDEX(ju_ref,MATCH(ROW(J570),JURNAL!$O:$O,0)),"")</f>
        <v/>
      </c>
      <c r="D582" s="7" t="str">
        <f>IFERROR(INDEX(ju_ket,MATCH(ROW(J570),JURNAL!$O:$O,0)),"")</f>
        <v/>
      </c>
      <c r="E582" s="39" t="str">
        <f>IFERROR(IF(bb_akun=INDEX(ju_debet,MATCH(ROW(J570),JURNAL!$O:$O,0)),INDEX(ju_sld,MATCH(ROW(K570),JURNAL!$O:$O,0)),0),"")</f>
        <v/>
      </c>
      <c r="F582" s="39" t="str">
        <f>IFERROR(IF(bb_akun=INDEX(ju_kr,MATCH(ROW(J570),JURNAL!$O:$O,0)),INDEX(ju_sld,MATCH(ROW(K570),JURNAL!$O:$O,0)),0),"")</f>
        <v/>
      </c>
      <c r="G582" s="39" t="str">
        <f>IF(B582="","",IF(INDEX(typ_sn,MATCH($C$9,typ_ket,0))="db",$G$8+SUM($E$13:E582)-SUM($F$13:F582),$G$8+SUM($F$13:F582)-SUM($E$13:E582)))</f>
        <v/>
      </c>
    </row>
    <row r="583" spans="2:7" ht="23.1" customHeight="1">
      <c r="B583" s="45" t="str">
        <f>IFERROR(INDEX(ju_tgl,MATCH(ROW(J571),JURNAL!$O:$O,0)),"")</f>
        <v/>
      </c>
      <c r="C583" s="7" t="str">
        <f>IFERROR(INDEX(ju_ref,MATCH(ROW(J571),JURNAL!$O:$O,0)),"")</f>
        <v/>
      </c>
      <c r="D583" s="7" t="str">
        <f>IFERROR(INDEX(ju_ket,MATCH(ROW(J571),JURNAL!$O:$O,0)),"")</f>
        <v/>
      </c>
      <c r="E583" s="39" t="str">
        <f>IFERROR(IF(bb_akun=INDEX(ju_debet,MATCH(ROW(J571),JURNAL!$O:$O,0)),INDEX(ju_sld,MATCH(ROW(K571),JURNAL!$O:$O,0)),0),"")</f>
        <v/>
      </c>
      <c r="F583" s="39" t="str">
        <f>IFERROR(IF(bb_akun=INDEX(ju_kr,MATCH(ROW(J571),JURNAL!$O:$O,0)),INDEX(ju_sld,MATCH(ROW(K571),JURNAL!$O:$O,0)),0),"")</f>
        <v/>
      </c>
      <c r="G583" s="39" t="str">
        <f>IF(B583="","",IF(INDEX(typ_sn,MATCH($C$9,typ_ket,0))="db",$G$8+SUM($E$13:E583)-SUM($F$13:F583),$G$8+SUM($F$13:F583)-SUM($E$13:E583)))</f>
        <v/>
      </c>
    </row>
    <row r="584" spans="2:7" ht="23.1" customHeight="1">
      <c r="B584" s="45" t="str">
        <f>IFERROR(INDEX(ju_tgl,MATCH(ROW(J572),JURNAL!$O:$O,0)),"")</f>
        <v/>
      </c>
      <c r="C584" s="7" t="str">
        <f>IFERROR(INDEX(ju_ref,MATCH(ROW(J572),JURNAL!$O:$O,0)),"")</f>
        <v/>
      </c>
      <c r="D584" s="7" t="str">
        <f>IFERROR(INDEX(ju_ket,MATCH(ROW(J572),JURNAL!$O:$O,0)),"")</f>
        <v/>
      </c>
      <c r="E584" s="39" t="str">
        <f>IFERROR(IF(bb_akun=INDEX(ju_debet,MATCH(ROW(J572),JURNAL!$O:$O,0)),INDEX(ju_sld,MATCH(ROW(K572),JURNAL!$O:$O,0)),0),"")</f>
        <v/>
      </c>
      <c r="F584" s="39" t="str">
        <f>IFERROR(IF(bb_akun=INDEX(ju_kr,MATCH(ROW(J572),JURNAL!$O:$O,0)),INDEX(ju_sld,MATCH(ROW(K572),JURNAL!$O:$O,0)),0),"")</f>
        <v/>
      </c>
      <c r="G584" s="39" t="str">
        <f>IF(B584="","",IF(INDEX(typ_sn,MATCH($C$9,typ_ket,0))="db",$G$8+SUM($E$13:E584)-SUM($F$13:F584),$G$8+SUM($F$13:F584)-SUM($E$13:E584)))</f>
        <v/>
      </c>
    </row>
    <row r="585" spans="2:7" ht="23.1" customHeight="1">
      <c r="B585" s="45" t="str">
        <f>IFERROR(INDEX(ju_tgl,MATCH(ROW(J573),JURNAL!$O:$O,0)),"")</f>
        <v/>
      </c>
      <c r="C585" s="7" t="str">
        <f>IFERROR(INDEX(ju_ref,MATCH(ROW(J573),JURNAL!$O:$O,0)),"")</f>
        <v/>
      </c>
      <c r="D585" s="7" t="str">
        <f>IFERROR(INDEX(ju_ket,MATCH(ROW(J573),JURNAL!$O:$O,0)),"")</f>
        <v/>
      </c>
      <c r="E585" s="39" t="str">
        <f>IFERROR(IF(bb_akun=INDEX(ju_debet,MATCH(ROW(J573),JURNAL!$O:$O,0)),INDEX(ju_sld,MATCH(ROW(K573),JURNAL!$O:$O,0)),0),"")</f>
        <v/>
      </c>
      <c r="F585" s="39" t="str">
        <f>IFERROR(IF(bb_akun=INDEX(ju_kr,MATCH(ROW(J573),JURNAL!$O:$O,0)),INDEX(ju_sld,MATCH(ROW(K573),JURNAL!$O:$O,0)),0),"")</f>
        <v/>
      </c>
      <c r="G585" s="39" t="str">
        <f>IF(B585="","",IF(INDEX(typ_sn,MATCH($C$9,typ_ket,0))="db",$G$8+SUM($E$13:E585)-SUM($F$13:F585),$G$8+SUM($F$13:F585)-SUM($E$13:E585)))</f>
        <v/>
      </c>
    </row>
    <row r="586" spans="2:7" ht="23.1" customHeight="1">
      <c r="B586" s="45" t="str">
        <f>IFERROR(INDEX(ju_tgl,MATCH(ROW(J574),JURNAL!$O:$O,0)),"")</f>
        <v/>
      </c>
      <c r="C586" s="7" t="str">
        <f>IFERROR(INDEX(ju_ref,MATCH(ROW(J574),JURNAL!$O:$O,0)),"")</f>
        <v/>
      </c>
      <c r="D586" s="7" t="str">
        <f>IFERROR(INDEX(ju_ket,MATCH(ROW(J574),JURNAL!$O:$O,0)),"")</f>
        <v/>
      </c>
      <c r="E586" s="39" t="str">
        <f>IFERROR(IF(bb_akun=INDEX(ju_debet,MATCH(ROW(J574),JURNAL!$O:$O,0)),INDEX(ju_sld,MATCH(ROW(K574),JURNAL!$O:$O,0)),0),"")</f>
        <v/>
      </c>
      <c r="F586" s="39" t="str">
        <f>IFERROR(IF(bb_akun=INDEX(ju_kr,MATCH(ROW(J574),JURNAL!$O:$O,0)),INDEX(ju_sld,MATCH(ROW(K574),JURNAL!$O:$O,0)),0),"")</f>
        <v/>
      </c>
      <c r="G586" s="39" t="str">
        <f>IF(B586="","",IF(INDEX(typ_sn,MATCH($C$9,typ_ket,0))="db",$G$8+SUM($E$13:E586)-SUM($F$13:F586),$G$8+SUM($F$13:F586)-SUM($E$13:E586)))</f>
        <v/>
      </c>
    </row>
    <row r="587" spans="2:7" ht="23.1" customHeight="1">
      <c r="B587" s="45" t="str">
        <f>IFERROR(INDEX(ju_tgl,MATCH(ROW(J575),JURNAL!$O:$O,0)),"")</f>
        <v/>
      </c>
      <c r="C587" s="7" t="str">
        <f>IFERROR(INDEX(ju_ref,MATCH(ROW(J575),JURNAL!$O:$O,0)),"")</f>
        <v/>
      </c>
      <c r="D587" s="7" t="str">
        <f>IFERROR(INDEX(ju_ket,MATCH(ROW(J575),JURNAL!$O:$O,0)),"")</f>
        <v/>
      </c>
      <c r="E587" s="39" t="str">
        <f>IFERROR(IF(bb_akun=INDEX(ju_debet,MATCH(ROW(J575),JURNAL!$O:$O,0)),INDEX(ju_sld,MATCH(ROW(K575),JURNAL!$O:$O,0)),0),"")</f>
        <v/>
      </c>
      <c r="F587" s="39" t="str">
        <f>IFERROR(IF(bb_akun=INDEX(ju_kr,MATCH(ROW(J575),JURNAL!$O:$O,0)),INDEX(ju_sld,MATCH(ROW(K575),JURNAL!$O:$O,0)),0),"")</f>
        <v/>
      </c>
      <c r="G587" s="39" t="str">
        <f>IF(B587="","",IF(INDEX(typ_sn,MATCH($C$9,typ_ket,0))="db",$G$8+SUM($E$13:E587)-SUM($F$13:F587),$G$8+SUM($F$13:F587)-SUM($E$13:E587)))</f>
        <v/>
      </c>
    </row>
    <row r="588" spans="2:7" ht="23.1" customHeight="1">
      <c r="B588" s="45" t="str">
        <f>IFERROR(INDEX(ju_tgl,MATCH(ROW(J576),JURNAL!$O:$O,0)),"")</f>
        <v/>
      </c>
      <c r="C588" s="7" t="str">
        <f>IFERROR(INDEX(ju_ref,MATCH(ROW(J576),JURNAL!$O:$O,0)),"")</f>
        <v/>
      </c>
      <c r="D588" s="7" t="str">
        <f>IFERROR(INDEX(ju_ket,MATCH(ROW(J576),JURNAL!$O:$O,0)),"")</f>
        <v/>
      </c>
      <c r="E588" s="39" t="str">
        <f>IFERROR(IF(bb_akun=INDEX(ju_debet,MATCH(ROW(J576),JURNAL!$O:$O,0)),INDEX(ju_sld,MATCH(ROW(K576),JURNAL!$O:$O,0)),0),"")</f>
        <v/>
      </c>
      <c r="F588" s="39" t="str">
        <f>IFERROR(IF(bb_akun=INDEX(ju_kr,MATCH(ROW(J576),JURNAL!$O:$O,0)),INDEX(ju_sld,MATCH(ROW(K576),JURNAL!$O:$O,0)),0),"")</f>
        <v/>
      </c>
      <c r="G588" s="39" t="str">
        <f>IF(B588="","",IF(INDEX(typ_sn,MATCH($C$9,typ_ket,0))="db",$G$8+SUM($E$13:E588)-SUM($F$13:F588),$G$8+SUM($F$13:F588)-SUM($E$13:E588)))</f>
        <v/>
      </c>
    </row>
    <row r="589" spans="2:7" ht="23.1" customHeight="1">
      <c r="B589" s="45" t="str">
        <f>IFERROR(INDEX(ju_tgl,MATCH(ROW(J577),JURNAL!$O:$O,0)),"")</f>
        <v/>
      </c>
      <c r="C589" s="7" t="str">
        <f>IFERROR(INDEX(ju_ref,MATCH(ROW(J577),JURNAL!$O:$O,0)),"")</f>
        <v/>
      </c>
      <c r="D589" s="7" t="str">
        <f>IFERROR(INDEX(ju_ket,MATCH(ROW(J577),JURNAL!$O:$O,0)),"")</f>
        <v/>
      </c>
      <c r="E589" s="39" t="str">
        <f>IFERROR(IF(bb_akun=INDEX(ju_debet,MATCH(ROW(J577),JURNAL!$O:$O,0)),INDEX(ju_sld,MATCH(ROW(K577),JURNAL!$O:$O,0)),0),"")</f>
        <v/>
      </c>
      <c r="F589" s="39" t="str">
        <f>IFERROR(IF(bb_akun=INDEX(ju_kr,MATCH(ROW(J577),JURNAL!$O:$O,0)),INDEX(ju_sld,MATCH(ROW(K577),JURNAL!$O:$O,0)),0),"")</f>
        <v/>
      </c>
      <c r="G589" s="39" t="str">
        <f>IF(B589="","",IF(INDEX(typ_sn,MATCH($C$9,typ_ket,0))="db",$G$8+SUM($E$13:E589)-SUM($F$13:F589),$G$8+SUM($F$13:F589)-SUM($E$13:E589)))</f>
        <v/>
      </c>
    </row>
    <row r="590" spans="2:7" ht="23.1" customHeight="1">
      <c r="B590" s="45" t="str">
        <f>IFERROR(INDEX(ju_tgl,MATCH(ROW(J578),JURNAL!$O:$O,0)),"")</f>
        <v/>
      </c>
      <c r="C590" s="7" t="str">
        <f>IFERROR(INDEX(ju_ref,MATCH(ROW(J578),JURNAL!$O:$O,0)),"")</f>
        <v/>
      </c>
      <c r="D590" s="7" t="str">
        <f>IFERROR(INDEX(ju_ket,MATCH(ROW(J578),JURNAL!$O:$O,0)),"")</f>
        <v/>
      </c>
      <c r="E590" s="39" t="str">
        <f>IFERROR(IF(bb_akun=INDEX(ju_debet,MATCH(ROW(J578),JURNAL!$O:$O,0)),INDEX(ju_sld,MATCH(ROW(K578),JURNAL!$O:$O,0)),0),"")</f>
        <v/>
      </c>
      <c r="F590" s="39" t="str">
        <f>IFERROR(IF(bb_akun=INDEX(ju_kr,MATCH(ROW(J578),JURNAL!$O:$O,0)),INDEX(ju_sld,MATCH(ROW(K578),JURNAL!$O:$O,0)),0),"")</f>
        <v/>
      </c>
      <c r="G590" s="39" t="str">
        <f>IF(B590="","",IF(INDEX(typ_sn,MATCH($C$9,typ_ket,0))="db",$G$8+SUM($E$13:E590)-SUM($F$13:F590),$G$8+SUM($F$13:F590)-SUM($E$13:E590)))</f>
        <v/>
      </c>
    </row>
    <row r="591" spans="2:7" ht="23.1" customHeight="1">
      <c r="B591" s="45" t="str">
        <f>IFERROR(INDEX(ju_tgl,MATCH(ROW(J579),JURNAL!$O:$O,0)),"")</f>
        <v/>
      </c>
      <c r="C591" s="7" t="str">
        <f>IFERROR(INDEX(ju_ref,MATCH(ROW(J579),JURNAL!$O:$O,0)),"")</f>
        <v/>
      </c>
      <c r="D591" s="7" t="str">
        <f>IFERROR(INDEX(ju_ket,MATCH(ROW(J579),JURNAL!$O:$O,0)),"")</f>
        <v/>
      </c>
      <c r="E591" s="39" t="str">
        <f>IFERROR(IF(bb_akun=INDEX(ju_debet,MATCH(ROW(J579),JURNAL!$O:$O,0)),INDEX(ju_sld,MATCH(ROW(K579),JURNAL!$O:$O,0)),0),"")</f>
        <v/>
      </c>
      <c r="F591" s="39" t="str">
        <f>IFERROR(IF(bb_akun=INDEX(ju_kr,MATCH(ROW(J579),JURNAL!$O:$O,0)),INDEX(ju_sld,MATCH(ROW(K579),JURNAL!$O:$O,0)),0),"")</f>
        <v/>
      </c>
      <c r="G591" s="39" t="str">
        <f>IF(B591="","",IF(INDEX(typ_sn,MATCH($C$9,typ_ket,0))="db",$G$8+SUM($E$13:E591)-SUM($F$13:F591),$G$8+SUM($F$13:F591)-SUM($E$13:E591)))</f>
        <v/>
      </c>
    </row>
    <row r="592" spans="2:7" ht="23.1" customHeight="1">
      <c r="B592" s="45" t="str">
        <f>IFERROR(INDEX(ju_tgl,MATCH(ROW(J580),JURNAL!$O:$O,0)),"")</f>
        <v/>
      </c>
      <c r="C592" s="7" t="str">
        <f>IFERROR(INDEX(ju_ref,MATCH(ROW(J580),JURNAL!$O:$O,0)),"")</f>
        <v/>
      </c>
      <c r="D592" s="7" t="str">
        <f>IFERROR(INDEX(ju_ket,MATCH(ROW(J580),JURNAL!$O:$O,0)),"")</f>
        <v/>
      </c>
      <c r="E592" s="39" t="str">
        <f>IFERROR(IF(bb_akun=INDEX(ju_debet,MATCH(ROW(J580),JURNAL!$O:$O,0)),INDEX(ju_sld,MATCH(ROW(K580),JURNAL!$O:$O,0)),0),"")</f>
        <v/>
      </c>
      <c r="F592" s="39" t="str">
        <f>IFERROR(IF(bb_akun=INDEX(ju_kr,MATCH(ROW(J580),JURNAL!$O:$O,0)),INDEX(ju_sld,MATCH(ROW(K580),JURNAL!$O:$O,0)),0),"")</f>
        <v/>
      </c>
      <c r="G592" s="39" t="str">
        <f>IF(B592="","",IF(INDEX(typ_sn,MATCH($C$9,typ_ket,0))="db",$G$8+SUM($E$13:E592)-SUM($F$13:F592),$G$8+SUM($F$13:F592)-SUM($E$13:E592)))</f>
        <v/>
      </c>
    </row>
    <row r="593" spans="2:7" ht="23.1" customHeight="1">
      <c r="B593" s="45" t="str">
        <f>IFERROR(INDEX(ju_tgl,MATCH(ROW(J581),JURNAL!$O:$O,0)),"")</f>
        <v/>
      </c>
      <c r="C593" s="7" t="str">
        <f>IFERROR(INDEX(ju_ref,MATCH(ROW(J581),JURNAL!$O:$O,0)),"")</f>
        <v/>
      </c>
      <c r="D593" s="7" t="str">
        <f>IFERROR(INDEX(ju_ket,MATCH(ROW(J581),JURNAL!$O:$O,0)),"")</f>
        <v/>
      </c>
      <c r="E593" s="39" t="str">
        <f>IFERROR(IF(bb_akun=INDEX(ju_debet,MATCH(ROW(J581),JURNAL!$O:$O,0)),INDEX(ju_sld,MATCH(ROW(K581),JURNAL!$O:$O,0)),0),"")</f>
        <v/>
      </c>
      <c r="F593" s="39" t="str">
        <f>IFERROR(IF(bb_akun=INDEX(ju_kr,MATCH(ROW(J581),JURNAL!$O:$O,0)),INDEX(ju_sld,MATCH(ROW(K581),JURNAL!$O:$O,0)),0),"")</f>
        <v/>
      </c>
      <c r="G593" s="39" t="str">
        <f>IF(B593="","",IF(INDEX(typ_sn,MATCH($C$9,typ_ket,0))="db",$G$8+SUM($E$13:E593)-SUM($F$13:F593),$G$8+SUM($F$13:F593)-SUM($E$13:E593)))</f>
        <v/>
      </c>
    </row>
    <row r="594" spans="2:7" ht="23.1" customHeight="1">
      <c r="B594" s="45" t="str">
        <f>IFERROR(INDEX(ju_tgl,MATCH(ROW(J582),JURNAL!$O:$O,0)),"")</f>
        <v/>
      </c>
      <c r="C594" s="7" t="str">
        <f>IFERROR(INDEX(ju_ref,MATCH(ROW(J582),JURNAL!$O:$O,0)),"")</f>
        <v/>
      </c>
      <c r="D594" s="7" t="str">
        <f>IFERROR(INDEX(ju_ket,MATCH(ROW(J582),JURNAL!$O:$O,0)),"")</f>
        <v/>
      </c>
      <c r="E594" s="39" t="str">
        <f>IFERROR(IF(bb_akun=INDEX(ju_debet,MATCH(ROW(J582),JURNAL!$O:$O,0)),INDEX(ju_sld,MATCH(ROW(K582),JURNAL!$O:$O,0)),0),"")</f>
        <v/>
      </c>
      <c r="F594" s="39" t="str">
        <f>IFERROR(IF(bb_akun=INDEX(ju_kr,MATCH(ROW(J582),JURNAL!$O:$O,0)),INDEX(ju_sld,MATCH(ROW(K582),JURNAL!$O:$O,0)),0),"")</f>
        <v/>
      </c>
      <c r="G594" s="39" t="str">
        <f>IF(B594="","",IF(INDEX(typ_sn,MATCH($C$9,typ_ket,0))="db",$G$8+SUM($E$13:E594)-SUM($F$13:F594),$G$8+SUM($F$13:F594)-SUM($E$13:E594)))</f>
        <v/>
      </c>
    </row>
    <row r="595" spans="2:7" ht="23.1" customHeight="1">
      <c r="B595" s="45" t="str">
        <f>IFERROR(INDEX(ju_tgl,MATCH(ROW(J583),JURNAL!$O:$O,0)),"")</f>
        <v/>
      </c>
      <c r="C595" s="7" t="str">
        <f>IFERROR(INDEX(ju_ref,MATCH(ROW(J583),JURNAL!$O:$O,0)),"")</f>
        <v/>
      </c>
      <c r="D595" s="7" t="str">
        <f>IFERROR(INDEX(ju_ket,MATCH(ROW(J583),JURNAL!$O:$O,0)),"")</f>
        <v/>
      </c>
      <c r="E595" s="39" t="str">
        <f>IFERROR(IF(bb_akun=INDEX(ju_debet,MATCH(ROW(J583),JURNAL!$O:$O,0)),INDEX(ju_sld,MATCH(ROW(K583),JURNAL!$O:$O,0)),0),"")</f>
        <v/>
      </c>
      <c r="F595" s="39" t="str">
        <f>IFERROR(IF(bb_akun=INDEX(ju_kr,MATCH(ROW(J583),JURNAL!$O:$O,0)),INDEX(ju_sld,MATCH(ROW(K583),JURNAL!$O:$O,0)),0),"")</f>
        <v/>
      </c>
      <c r="G595" s="39" t="str">
        <f>IF(B595="","",IF(INDEX(typ_sn,MATCH($C$9,typ_ket,0))="db",$G$8+SUM($E$13:E595)-SUM($F$13:F595),$G$8+SUM($F$13:F595)-SUM($E$13:E595)))</f>
        <v/>
      </c>
    </row>
    <row r="596" spans="2:7" ht="23.1" customHeight="1">
      <c r="B596" s="45" t="str">
        <f>IFERROR(INDEX(ju_tgl,MATCH(ROW(J584),JURNAL!$O:$O,0)),"")</f>
        <v/>
      </c>
      <c r="C596" s="7" t="str">
        <f>IFERROR(INDEX(ju_ref,MATCH(ROW(J584),JURNAL!$O:$O,0)),"")</f>
        <v/>
      </c>
      <c r="D596" s="7" t="str">
        <f>IFERROR(INDEX(ju_ket,MATCH(ROW(J584),JURNAL!$O:$O,0)),"")</f>
        <v/>
      </c>
      <c r="E596" s="39" t="str">
        <f>IFERROR(IF(bb_akun=INDEX(ju_debet,MATCH(ROW(J584),JURNAL!$O:$O,0)),INDEX(ju_sld,MATCH(ROW(K584),JURNAL!$O:$O,0)),0),"")</f>
        <v/>
      </c>
      <c r="F596" s="39" t="str">
        <f>IFERROR(IF(bb_akun=INDEX(ju_kr,MATCH(ROW(J584),JURNAL!$O:$O,0)),INDEX(ju_sld,MATCH(ROW(K584),JURNAL!$O:$O,0)),0),"")</f>
        <v/>
      </c>
      <c r="G596" s="39" t="str">
        <f>IF(B596="","",IF(INDEX(typ_sn,MATCH($C$9,typ_ket,0))="db",$G$8+SUM($E$13:E596)-SUM($F$13:F596),$G$8+SUM($F$13:F596)-SUM($E$13:E596)))</f>
        <v/>
      </c>
    </row>
    <row r="597" spans="2:7" ht="23.1" customHeight="1">
      <c r="B597" s="45" t="str">
        <f>IFERROR(INDEX(ju_tgl,MATCH(ROW(J585),JURNAL!$O:$O,0)),"")</f>
        <v/>
      </c>
      <c r="C597" s="7" t="str">
        <f>IFERROR(INDEX(ju_ref,MATCH(ROW(J585),JURNAL!$O:$O,0)),"")</f>
        <v/>
      </c>
      <c r="D597" s="7" t="str">
        <f>IFERROR(INDEX(ju_ket,MATCH(ROW(J585),JURNAL!$O:$O,0)),"")</f>
        <v/>
      </c>
      <c r="E597" s="39" t="str">
        <f>IFERROR(IF(bb_akun=INDEX(ju_debet,MATCH(ROW(J585),JURNAL!$O:$O,0)),INDEX(ju_sld,MATCH(ROW(K585),JURNAL!$O:$O,0)),0),"")</f>
        <v/>
      </c>
      <c r="F597" s="39" t="str">
        <f>IFERROR(IF(bb_akun=INDEX(ju_kr,MATCH(ROW(J585),JURNAL!$O:$O,0)),INDEX(ju_sld,MATCH(ROW(K585),JURNAL!$O:$O,0)),0),"")</f>
        <v/>
      </c>
      <c r="G597" s="39" t="str">
        <f>IF(B597="","",IF(INDEX(typ_sn,MATCH($C$9,typ_ket,0))="db",$G$8+SUM($E$13:E597)-SUM($F$13:F597),$G$8+SUM($F$13:F597)-SUM($E$13:E597)))</f>
        <v/>
      </c>
    </row>
    <row r="598" spans="2:7" ht="23.1" customHeight="1">
      <c r="B598" s="45" t="str">
        <f>IFERROR(INDEX(ju_tgl,MATCH(ROW(J586),JURNAL!$O:$O,0)),"")</f>
        <v/>
      </c>
      <c r="C598" s="7" t="str">
        <f>IFERROR(INDEX(ju_ref,MATCH(ROW(J586),JURNAL!$O:$O,0)),"")</f>
        <v/>
      </c>
      <c r="D598" s="7" t="str">
        <f>IFERROR(INDEX(ju_ket,MATCH(ROW(J586),JURNAL!$O:$O,0)),"")</f>
        <v/>
      </c>
      <c r="E598" s="39" t="str">
        <f>IFERROR(IF(bb_akun=INDEX(ju_debet,MATCH(ROW(J586),JURNAL!$O:$O,0)),INDEX(ju_sld,MATCH(ROW(K586),JURNAL!$O:$O,0)),0),"")</f>
        <v/>
      </c>
      <c r="F598" s="39" t="str">
        <f>IFERROR(IF(bb_akun=INDEX(ju_kr,MATCH(ROW(J586),JURNAL!$O:$O,0)),INDEX(ju_sld,MATCH(ROW(K586),JURNAL!$O:$O,0)),0),"")</f>
        <v/>
      </c>
      <c r="G598" s="39" t="str">
        <f>IF(B598="","",IF(INDEX(typ_sn,MATCH($C$9,typ_ket,0))="db",$G$8+SUM($E$13:E598)-SUM($F$13:F598),$G$8+SUM($F$13:F598)-SUM($E$13:E598)))</f>
        <v/>
      </c>
    </row>
    <row r="599" spans="2:7" ht="23.1" customHeight="1">
      <c r="B599" s="45" t="str">
        <f>IFERROR(INDEX(ju_tgl,MATCH(ROW(J587),JURNAL!$O:$O,0)),"")</f>
        <v/>
      </c>
      <c r="C599" s="7" t="str">
        <f>IFERROR(INDEX(ju_ref,MATCH(ROW(J587),JURNAL!$O:$O,0)),"")</f>
        <v/>
      </c>
      <c r="D599" s="7" t="str">
        <f>IFERROR(INDEX(ju_ket,MATCH(ROW(J587),JURNAL!$O:$O,0)),"")</f>
        <v/>
      </c>
      <c r="E599" s="39" t="str">
        <f>IFERROR(IF(bb_akun=INDEX(ju_debet,MATCH(ROW(J587),JURNAL!$O:$O,0)),INDEX(ju_sld,MATCH(ROW(K587),JURNAL!$O:$O,0)),0),"")</f>
        <v/>
      </c>
      <c r="F599" s="39" t="str">
        <f>IFERROR(IF(bb_akun=INDEX(ju_kr,MATCH(ROW(J587),JURNAL!$O:$O,0)),INDEX(ju_sld,MATCH(ROW(K587),JURNAL!$O:$O,0)),0),"")</f>
        <v/>
      </c>
      <c r="G599" s="39" t="str">
        <f>IF(B599="","",IF(INDEX(typ_sn,MATCH($C$9,typ_ket,0))="db",$G$8+SUM($E$13:E599)-SUM($F$13:F599),$G$8+SUM($F$13:F599)-SUM($E$13:E599)))</f>
        <v/>
      </c>
    </row>
    <row r="600" spans="2:7" ht="23.1" customHeight="1">
      <c r="B600" s="45" t="str">
        <f>IFERROR(INDEX(ju_tgl,MATCH(ROW(J588),JURNAL!$O:$O,0)),"")</f>
        <v/>
      </c>
      <c r="C600" s="7" t="str">
        <f>IFERROR(INDEX(ju_ref,MATCH(ROW(J588),JURNAL!$O:$O,0)),"")</f>
        <v/>
      </c>
      <c r="D600" s="7" t="str">
        <f>IFERROR(INDEX(ju_ket,MATCH(ROW(J588),JURNAL!$O:$O,0)),"")</f>
        <v/>
      </c>
      <c r="E600" s="39" t="str">
        <f>IFERROR(IF(bb_akun=INDEX(ju_debet,MATCH(ROW(J588),JURNAL!$O:$O,0)),INDEX(ju_sld,MATCH(ROW(K588),JURNAL!$O:$O,0)),0),"")</f>
        <v/>
      </c>
      <c r="F600" s="39" t="str">
        <f>IFERROR(IF(bb_akun=INDEX(ju_kr,MATCH(ROW(J588),JURNAL!$O:$O,0)),INDEX(ju_sld,MATCH(ROW(K588),JURNAL!$O:$O,0)),0),"")</f>
        <v/>
      </c>
      <c r="G600" s="39" t="str">
        <f>IF(B600="","",IF(INDEX(typ_sn,MATCH($C$9,typ_ket,0))="db",$G$8+SUM($E$13:E600)-SUM($F$13:F600),$G$8+SUM($F$13:F600)-SUM($E$13:E600)))</f>
        <v/>
      </c>
    </row>
    <row r="601" spans="2:7" ht="23.1" customHeight="1">
      <c r="B601" s="45" t="str">
        <f>IFERROR(INDEX(ju_tgl,MATCH(ROW(J589),JURNAL!$O:$O,0)),"")</f>
        <v/>
      </c>
      <c r="C601" s="7" t="str">
        <f>IFERROR(INDEX(ju_ref,MATCH(ROW(J589),JURNAL!$O:$O,0)),"")</f>
        <v/>
      </c>
      <c r="D601" s="7" t="str">
        <f>IFERROR(INDEX(ju_ket,MATCH(ROW(J589),JURNAL!$O:$O,0)),"")</f>
        <v/>
      </c>
      <c r="E601" s="39" t="str">
        <f>IFERROR(IF(bb_akun=INDEX(ju_debet,MATCH(ROW(J589),JURNAL!$O:$O,0)),INDEX(ju_sld,MATCH(ROW(K589),JURNAL!$O:$O,0)),0),"")</f>
        <v/>
      </c>
      <c r="F601" s="39" t="str">
        <f>IFERROR(IF(bb_akun=INDEX(ju_kr,MATCH(ROW(J589),JURNAL!$O:$O,0)),INDEX(ju_sld,MATCH(ROW(K589),JURNAL!$O:$O,0)),0),"")</f>
        <v/>
      </c>
      <c r="G601" s="39" t="str">
        <f>IF(B601="","",IF(INDEX(typ_sn,MATCH($C$9,typ_ket,0))="db",$G$8+SUM($E$13:E601)-SUM($F$13:F601),$G$8+SUM($F$13:F601)-SUM($E$13:E601)))</f>
        <v/>
      </c>
    </row>
    <row r="602" spans="2:7" ht="23.1" customHeight="1">
      <c r="B602" s="45" t="str">
        <f>IFERROR(INDEX(ju_tgl,MATCH(ROW(J590),JURNAL!$O:$O,0)),"")</f>
        <v/>
      </c>
      <c r="C602" s="7" t="str">
        <f>IFERROR(INDEX(ju_ref,MATCH(ROW(J590),JURNAL!$O:$O,0)),"")</f>
        <v/>
      </c>
      <c r="D602" s="7" t="str">
        <f>IFERROR(INDEX(ju_ket,MATCH(ROW(J590),JURNAL!$O:$O,0)),"")</f>
        <v/>
      </c>
      <c r="E602" s="39" t="str">
        <f>IFERROR(IF(bb_akun=INDEX(ju_debet,MATCH(ROW(J590),JURNAL!$O:$O,0)),INDEX(ju_sld,MATCH(ROW(K590),JURNAL!$O:$O,0)),0),"")</f>
        <v/>
      </c>
      <c r="F602" s="39" t="str">
        <f>IFERROR(IF(bb_akun=INDEX(ju_kr,MATCH(ROW(J590),JURNAL!$O:$O,0)),INDEX(ju_sld,MATCH(ROW(K590),JURNAL!$O:$O,0)),0),"")</f>
        <v/>
      </c>
      <c r="G602" s="39" t="str">
        <f>IF(B602="","",IF(INDEX(typ_sn,MATCH($C$9,typ_ket,0))="db",$G$8+SUM($E$13:E602)-SUM($F$13:F602),$G$8+SUM($F$13:F602)-SUM($E$13:E602)))</f>
        <v/>
      </c>
    </row>
    <row r="603" spans="2:7" ht="23.1" customHeight="1">
      <c r="B603" s="45" t="str">
        <f>IFERROR(INDEX(ju_tgl,MATCH(ROW(J591),JURNAL!$O:$O,0)),"")</f>
        <v/>
      </c>
      <c r="C603" s="7" t="str">
        <f>IFERROR(INDEX(ju_ref,MATCH(ROW(J591),JURNAL!$O:$O,0)),"")</f>
        <v/>
      </c>
      <c r="D603" s="7" t="str">
        <f>IFERROR(INDEX(ju_ket,MATCH(ROW(J591),JURNAL!$O:$O,0)),"")</f>
        <v/>
      </c>
      <c r="E603" s="39" t="str">
        <f>IFERROR(IF(bb_akun=INDEX(ju_debet,MATCH(ROW(J591),JURNAL!$O:$O,0)),INDEX(ju_sld,MATCH(ROW(K591),JURNAL!$O:$O,0)),0),"")</f>
        <v/>
      </c>
      <c r="F603" s="39" t="str">
        <f>IFERROR(IF(bb_akun=INDEX(ju_kr,MATCH(ROW(J591),JURNAL!$O:$O,0)),INDEX(ju_sld,MATCH(ROW(K591),JURNAL!$O:$O,0)),0),"")</f>
        <v/>
      </c>
      <c r="G603" s="39" t="str">
        <f>IF(B603="","",IF(INDEX(typ_sn,MATCH($C$9,typ_ket,0))="db",$G$8+SUM($E$13:E603)-SUM($F$13:F603),$G$8+SUM($F$13:F603)-SUM($E$13:E603)))</f>
        <v/>
      </c>
    </row>
    <row r="604" spans="2:7" ht="23.1" customHeight="1">
      <c r="B604" s="45" t="str">
        <f>IFERROR(INDEX(ju_tgl,MATCH(ROW(J592),JURNAL!$O:$O,0)),"")</f>
        <v/>
      </c>
      <c r="C604" s="7" t="str">
        <f>IFERROR(INDEX(ju_ref,MATCH(ROW(J592),JURNAL!$O:$O,0)),"")</f>
        <v/>
      </c>
      <c r="D604" s="7" t="str">
        <f>IFERROR(INDEX(ju_ket,MATCH(ROW(J592),JURNAL!$O:$O,0)),"")</f>
        <v/>
      </c>
      <c r="E604" s="39" t="str">
        <f>IFERROR(IF(bb_akun=INDEX(ju_debet,MATCH(ROW(J592),JURNAL!$O:$O,0)),INDEX(ju_sld,MATCH(ROW(K592),JURNAL!$O:$O,0)),0),"")</f>
        <v/>
      </c>
      <c r="F604" s="39" t="str">
        <f>IFERROR(IF(bb_akun=INDEX(ju_kr,MATCH(ROW(J592),JURNAL!$O:$O,0)),INDEX(ju_sld,MATCH(ROW(K592),JURNAL!$O:$O,0)),0),"")</f>
        <v/>
      </c>
      <c r="G604" s="39" t="str">
        <f>IF(B604="","",IF(INDEX(typ_sn,MATCH($C$9,typ_ket,0))="db",$G$8+SUM($E$13:E604)-SUM($F$13:F604),$G$8+SUM($F$13:F604)-SUM($E$13:E604)))</f>
        <v/>
      </c>
    </row>
    <row r="605" spans="2:7" ht="23.1" customHeight="1">
      <c r="B605" s="45" t="str">
        <f>IFERROR(INDEX(ju_tgl,MATCH(ROW(J593),JURNAL!$O:$O,0)),"")</f>
        <v/>
      </c>
      <c r="C605" s="7" t="str">
        <f>IFERROR(INDEX(ju_ref,MATCH(ROW(J593),JURNAL!$O:$O,0)),"")</f>
        <v/>
      </c>
      <c r="D605" s="7" t="str">
        <f>IFERROR(INDEX(ju_ket,MATCH(ROW(J593),JURNAL!$O:$O,0)),"")</f>
        <v/>
      </c>
      <c r="E605" s="39" t="str">
        <f>IFERROR(IF(bb_akun=INDEX(ju_debet,MATCH(ROW(J593),JURNAL!$O:$O,0)),INDEX(ju_sld,MATCH(ROW(K593),JURNAL!$O:$O,0)),0),"")</f>
        <v/>
      </c>
      <c r="F605" s="39" t="str">
        <f>IFERROR(IF(bb_akun=INDEX(ju_kr,MATCH(ROW(J593),JURNAL!$O:$O,0)),INDEX(ju_sld,MATCH(ROW(K593),JURNAL!$O:$O,0)),0),"")</f>
        <v/>
      </c>
      <c r="G605" s="39" t="str">
        <f>IF(B605="","",IF(INDEX(typ_sn,MATCH($C$9,typ_ket,0))="db",$G$8+SUM($E$13:E605)-SUM($F$13:F605),$G$8+SUM($F$13:F605)-SUM($E$13:E605)))</f>
        <v/>
      </c>
    </row>
    <row r="606" spans="2:7" ht="23.1" customHeight="1">
      <c r="B606" s="45" t="str">
        <f>IFERROR(INDEX(ju_tgl,MATCH(ROW(J594),JURNAL!$O:$O,0)),"")</f>
        <v/>
      </c>
      <c r="C606" s="7" t="str">
        <f>IFERROR(INDEX(ju_ref,MATCH(ROW(J594),JURNAL!$O:$O,0)),"")</f>
        <v/>
      </c>
      <c r="D606" s="7" t="str">
        <f>IFERROR(INDEX(ju_ket,MATCH(ROW(J594),JURNAL!$O:$O,0)),"")</f>
        <v/>
      </c>
      <c r="E606" s="39" t="str">
        <f>IFERROR(IF(bb_akun=INDEX(ju_debet,MATCH(ROW(J594),JURNAL!$O:$O,0)),INDEX(ju_sld,MATCH(ROW(K594),JURNAL!$O:$O,0)),0),"")</f>
        <v/>
      </c>
      <c r="F606" s="39" t="str">
        <f>IFERROR(IF(bb_akun=INDEX(ju_kr,MATCH(ROW(J594),JURNAL!$O:$O,0)),INDEX(ju_sld,MATCH(ROW(K594),JURNAL!$O:$O,0)),0),"")</f>
        <v/>
      </c>
      <c r="G606" s="39" t="str">
        <f>IF(B606="","",IF(INDEX(typ_sn,MATCH($C$9,typ_ket,0))="db",$G$8+SUM($E$13:E606)-SUM($F$13:F606),$G$8+SUM($F$13:F606)-SUM($E$13:E606)))</f>
        <v/>
      </c>
    </row>
    <row r="607" spans="2:7" ht="23.1" customHeight="1">
      <c r="B607" s="45" t="str">
        <f>IFERROR(INDEX(ju_tgl,MATCH(ROW(J595),JURNAL!$O:$O,0)),"")</f>
        <v/>
      </c>
      <c r="C607" s="7" t="str">
        <f>IFERROR(INDEX(ju_ref,MATCH(ROW(J595),JURNAL!$O:$O,0)),"")</f>
        <v/>
      </c>
      <c r="D607" s="7" t="str">
        <f>IFERROR(INDEX(ju_ket,MATCH(ROW(J595),JURNAL!$O:$O,0)),"")</f>
        <v/>
      </c>
      <c r="E607" s="39" t="str">
        <f>IFERROR(IF(bb_akun=INDEX(ju_debet,MATCH(ROW(J595),JURNAL!$O:$O,0)),INDEX(ju_sld,MATCH(ROW(K595),JURNAL!$O:$O,0)),0),"")</f>
        <v/>
      </c>
      <c r="F607" s="39" t="str">
        <f>IFERROR(IF(bb_akun=INDEX(ju_kr,MATCH(ROW(J595),JURNAL!$O:$O,0)),INDEX(ju_sld,MATCH(ROW(K595),JURNAL!$O:$O,0)),0),"")</f>
        <v/>
      </c>
      <c r="G607" s="39" t="str">
        <f>IF(B607="","",IF(INDEX(typ_sn,MATCH($C$9,typ_ket,0))="db",$G$8+SUM($E$13:E607)-SUM($F$13:F607),$G$8+SUM($F$13:F607)-SUM($E$13:E607)))</f>
        <v/>
      </c>
    </row>
    <row r="608" spans="2:7" ht="23.1" customHeight="1">
      <c r="B608" s="45" t="str">
        <f>IFERROR(INDEX(ju_tgl,MATCH(ROW(J596),JURNAL!$O:$O,0)),"")</f>
        <v/>
      </c>
      <c r="C608" s="7" t="str">
        <f>IFERROR(INDEX(ju_ref,MATCH(ROW(J596),JURNAL!$O:$O,0)),"")</f>
        <v/>
      </c>
      <c r="D608" s="7" t="str">
        <f>IFERROR(INDEX(ju_ket,MATCH(ROW(J596),JURNAL!$O:$O,0)),"")</f>
        <v/>
      </c>
      <c r="E608" s="39" t="str">
        <f>IFERROR(IF(bb_akun=INDEX(ju_debet,MATCH(ROW(J596),JURNAL!$O:$O,0)),INDEX(ju_sld,MATCH(ROW(K596),JURNAL!$O:$O,0)),0),"")</f>
        <v/>
      </c>
      <c r="F608" s="39" t="str">
        <f>IFERROR(IF(bb_akun=INDEX(ju_kr,MATCH(ROW(J596),JURNAL!$O:$O,0)),INDEX(ju_sld,MATCH(ROW(K596),JURNAL!$O:$O,0)),0),"")</f>
        <v/>
      </c>
      <c r="G608" s="39" t="str">
        <f>IF(B608="","",IF(INDEX(typ_sn,MATCH($C$9,typ_ket,0))="db",$G$8+SUM($E$13:E608)-SUM($F$13:F608),$G$8+SUM($F$13:F608)-SUM($E$13:E608)))</f>
        <v/>
      </c>
    </row>
    <row r="609" spans="2:7" ht="23.1" customHeight="1">
      <c r="B609" s="45" t="str">
        <f>IFERROR(INDEX(ju_tgl,MATCH(ROW(J597),JURNAL!$O:$O,0)),"")</f>
        <v/>
      </c>
      <c r="C609" s="7" t="str">
        <f>IFERROR(INDEX(ju_ref,MATCH(ROW(J597),JURNAL!$O:$O,0)),"")</f>
        <v/>
      </c>
      <c r="D609" s="7" t="str">
        <f>IFERROR(INDEX(ju_ket,MATCH(ROW(J597),JURNAL!$O:$O,0)),"")</f>
        <v/>
      </c>
      <c r="E609" s="39" t="str">
        <f>IFERROR(IF(bb_akun=INDEX(ju_debet,MATCH(ROW(J597),JURNAL!$O:$O,0)),INDEX(ju_sld,MATCH(ROW(K597),JURNAL!$O:$O,0)),0),"")</f>
        <v/>
      </c>
      <c r="F609" s="39" t="str">
        <f>IFERROR(IF(bb_akun=INDEX(ju_kr,MATCH(ROW(J597),JURNAL!$O:$O,0)),INDEX(ju_sld,MATCH(ROW(K597),JURNAL!$O:$O,0)),0),"")</f>
        <v/>
      </c>
      <c r="G609" s="39" t="str">
        <f>IF(B609="","",IF(INDEX(typ_sn,MATCH($C$9,typ_ket,0))="db",$G$8+SUM($E$13:E609)-SUM($F$13:F609),$G$8+SUM($F$13:F609)-SUM($E$13:E609)))</f>
        <v/>
      </c>
    </row>
  </sheetData>
  <autoFilter ref="B11:B211" xr:uid="{B70B3A50-EA9C-5344-9ABE-314F55242BCB}"/>
  <mergeCells count="5">
    <mergeCell ref="B4:G4"/>
    <mergeCell ref="B5:G5"/>
    <mergeCell ref="B6:G6"/>
    <mergeCell ref="C8:D8"/>
    <mergeCell ref="C9:D9"/>
  </mergeCells>
  <dataValidations count="1">
    <dataValidation type="list" allowBlank="1" showInputMessage="1" showErrorMessage="1" sqref="C8" xr:uid="{5BD7DD52-FEC0-8A4F-980B-411239DE3EA5}">
      <formula1>val_jurnal</formula1>
    </dataValidation>
  </dataValidations>
  <hyperlinks>
    <hyperlink ref="B2" location="MENU!D8" display="MENU" xr:uid="{82519E75-BB5B-1249-B180-042082E6785E}"/>
  </hyperlinks>
  <pageMargins left="0.7" right="0.7" top="0.75" bottom="0.75" header="0.3" footer="0.3"/>
  <pageSetup paperSize="9" scale="74" fitToHeight="1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2D26-2F5B-DC48-BB82-4B32164E3F29}">
  <sheetPr codeName="Sheet9"/>
  <dimension ref="B1:P25"/>
  <sheetViews>
    <sheetView showGridLines="0" showRowColHeaders="0" zoomScale="90" zoomScaleNormal="90" workbookViewId="0">
      <selection activeCell="B7" sqref="B7"/>
    </sheetView>
  </sheetViews>
  <sheetFormatPr defaultColWidth="10.875" defaultRowHeight="23.1" customHeight="1"/>
  <cols>
    <col min="1" max="1" width="3.5" style="166" customWidth="1"/>
    <col min="2" max="2" width="23.875" style="166" customWidth="1"/>
    <col min="3" max="3" width="3.375" style="166" customWidth="1"/>
    <col min="4" max="4" width="24.625" style="166" customWidth="1"/>
    <col min="5" max="5" width="3.375" style="166" customWidth="1"/>
    <col min="6" max="6" width="25.5" style="166" customWidth="1"/>
    <col min="7" max="7" width="3.375" style="166" customWidth="1"/>
    <col min="8" max="8" width="27.375" style="166" customWidth="1"/>
    <col min="9" max="9" width="3.375" style="166" customWidth="1"/>
    <col min="10" max="10" width="25.5" style="166" customWidth="1"/>
    <col min="11" max="11" width="3.375" style="166" customWidth="1"/>
    <col min="12" max="12" width="19.625" style="166" customWidth="1"/>
    <col min="13" max="13" width="18.375" style="166" customWidth="1"/>
    <col min="14" max="14" width="5.375" style="167" customWidth="1"/>
    <col min="15" max="15" width="18.125" style="166" customWidth="1"/>
    <col min="16" max="16" width="6.125" style="166" customWidth="1"/>
    <col min="17" max="16384" width="10.875" style="166"/>
  </cols>
  <sheetData>
    <row r="1" spans="2:16" ht="15.95" customHeight="1"/>
    <row r="2" spans="2:16" ht="30" customHeight="1">
      <c r="B2" s="181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168"/>
      <c r="P2" s="168"/>
    </row>
    <row r="3" spans="2:16" ht="23.1" customHeight="1" thickBot="1">
      <c r="B3" s="182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1"/>
      <c r="O3" s="170"/>
      <c r="P3" s="170"/>
    </row>
    <row r="4" spans="2:16" ht="11.1" customHeight="1"/>
    <row r="5" spans="2:16" ht="35.1" customHeight="1" thickBot="1">
      <c r="B5" s="172" t="s">
        <v>56</v>
      </c>
      <c r="D5" s="172" t="s">
        <v>57</v>
      </c>
      <c r="F5" s="172" t="s">
        <v>98</v>
      </c>
      <c r="H5" s="172" t="s">
        <v>109</v>
      </c>
      <c r="J5" s="172" t="s">
        <v>235</v>
      </c>
      <c r="L5" s="427" t="s">
        <v>117</v>
      </c>
      <c r="M5" s="428"/>
      <c r="N5" s="428"/>
      <c r="O5" s="428"/>
      <c r="P5" s="428"/>
    </row>
    <row r="6" spans="2:16" ht="9.9499999999999993" customHeight="1"/>
    <row r="7" spans="2:16" ht="38.1" customHeight="1" thickBot="1">
      <c r="B7" s="173" t="s">
        <v>195</v>
      </c>
      <c r="D7" s="173" t="s">
        <v>101</v>
      </c>
      <c r="F7" s="173" t="s">
        <v>28</v>
      </c>
      <c r="H7" s="173" t="s">
        <v>107</v>
      </c>
      <c r="J7" s="173" t="s">
        <v>236</v>
      </c>
      <c r="L7" s="174" t="s">
        <v>190</v>
      </c>
      <c r="M7" s="175">
        <v>44562</v>
      </c>
      <c r="N7" s="167" t="s">
        <v>116</v>
      </c>
      <c r="O7" s="175">
        <v>44926</v>
      </c>
    </row>
    <row r="8" spans="2:16" ht="9.9499999999999993" customHeight="1"/>
    <row r="9" spans="2:16" ht="38.1" customHeight="1" thickBot="1">
      <c r="B9" s="173" t="s">
        <v>100</v>
      </c>
      <c r="F9" s="173" t="s">
        <v>102</v>
      </c>
      <c r="H9" s="173" t="s">
        <v>108</v>
      </c>
      <c r="J9" s="173" t="s">
        <v>237</v>
      </c>
      <c r="L9" s="429" t="s">
        <v>118</v>
      </c>
      <c r="M9" s="430"/>
      <c r="N9" s="430"/>
      <c r="O9" s="430"/>
      <c r="P9" s="430"/>
    </row>
    <row r="10" spans="2:16" ht="9.9499999999999993" customHeight="1"/>
    <row r="11" spans="2:16" ht="38.1" customHeight="1" thickBot="1">
      <c r="B11" s="173" t="s">
        <v>80</v>
      </c>
      <c r="F11" s="173" t="s">
        <v>103</v>
      </c>
      <c r="H11" s="172" t="s">
        <v>114</v>
      </c>
      <c r="L11" s="365" t="s">
        <v>119</v>
      </c>
      <c r="M11" s="431" t="s">
        <v>518</v>
      </c>
      <c r="N11" s="432"/>
      <c r="O11" s="432"/>
      <c r="P11" s="433"/>
    </row>
    <row r="12" spans="2:16" ht="9.9499999999999993" customHeight="1">
      <c r="M12" s="315"/>
      <c r="N12" s="315"/>
      <c r="O12" s="315"/>
      <c r="P12" s="315"/>
    </row>
    <row r="13" spans="2:16" ht="38.1" customHeight="1" thickBot="1">
      <c r="B13" s="173" t="s">
        <v>81</v>
      </c>
      <c r="F13" s="173" t="s">
        <v>104</v>
      </c>
      <c r="H13" s="173" t="s">
        <v>115</v>
      </c>
      <c r="L13" s="365" t="s">
        <v>120</v>
      </c>
      <c r="M13" s="431" t="s">
        <v>519</v>
      </c>
      <c r="N13" s="432"/>
      <c r="O13" s="432"/>
      <c r="P13" s="433"/>
    </row>
    <row r="14" spans="2:16" ht="9.9499999999999993" customHeight="1">
      <c r="M14" s="315"/>
      <c r="N14" s="315"/>
      <c r="O14" s="315"/>
      <c r="P14" s="315"/>
    </row>
    <row r="15" spans="2:16" ht="38.1" customHeight="1" thickBot="1">
      <c r="B15" s="173" t="s">
        <v>82</v>
      </c>
      <c r="H15" s="172" t="s">
        <v>99</v>
      </c>
      <c r="L15" s="365" t="s">
        <v>121</v>
      </c>
      <c r="M15" s="431" t="s">
        <v>520</v>
      </c>
      <c r="N15" s="432"/>
      <c r="O15" s="432"/>
      <c r="P15" s="433"/>
    </row>
    <row r="16" spans="2:16" ht="9.9499999999999993" customHeight="1"/>
    <row r="17" spans="2:16" ht="38.1" customHeight="1" thickBot="1">
      <c r="B17" s="419" t="s">
        <v>59</v>
      </c>
      <c r="C17" s="419"/>
      <c r="D17" s="419"/>
      <c r="F17" s="172" t="s">
        <v>60</v>
      </c>
      <c r="H17" s="173" t="s">
        <v>95</v>
      </c>
      <c r="L17" s="426" t="str">
        <f>IF(exact_awe=TRUE,"Aktivasi Diterima, File Dapat Digunakan ",IF(OR(serialnumber="",aktivasi="",sarjayadi_awe=""),"File Belum Dapat Digunakan, Silahkan Aktivasi !","Aktivasi Belum Berhasil, Pastikan Semua Benar !"))</f>
        <v xml:space="preserve">Aktivasi Diterima, File Dapat Digunakan </v>
      </c>
      <c r="M17" s="426"/>
      <c r="N17" s="426"/>
      <c r="O17" s="426"/>
      <c r="P17" s="426"/>
    </row>
    <row r="18" spans="2:16" ht="9.9499999999999993" customHeight="1"/>
    <row r="19" spans="2:16" ht="38.1" customHeight="1" thickBot="1">
      <c r="B19" s="173" t="s">
        <v>110</v>
      </c>
      <c r="D19" s="173" t="s">
        <v>189</v>
      </c>
      <c r="F19" s="173" t="s">
        <v>111</v>
      </c>
      <c r="H19" s="173" t="s">
        <v>105</v>
      </c>
      <c r="L19" s="180"/>
      <c r="M19" s="180"/>
      <c r="N19" s="423"/>
      <c r="O19" s="424"/>
      <c r="P19" s="425"/>
    </row>
    <row r="20" spans="2:16" ht="9.9499999999999993" customHeight="1"/>
    <row r="21" spans="2:16" ht="38.1" customHeight="1" thickBot="1">
      <c r="B21" s="173" t="s">
        <v>113</v>
      </c>
      <c r="F21" s="173" t="s">
        <v>112</v>
      </c>
      <c r="H21" s="173" t="s">
        <v>106</v>
      </c>
    </row>
    <row r="22" spans="2:16" ht="9.9499999999999993" customHeight="1"/>
    <row r="24" spans="2:16" ht="23.1" customHeight="1"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</row>
    <row r="25" spans="2:16" ht="23.1" customHeight="1">
      <c r="B25" s="420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2"/>
    </row>
  </sheetData>
  <mergeCells count="10">
    <mergeCell ref="B17:D17"/>
    <mergeCell ref="B25:P25"/>
    <mergeCell ref="N19:P19"/>
    <mergeCell ref="L17:P17"/>
    <mergeCell ref="L5:P5"/>
    <mergeCell ref="L9:P9"/>
    <mergeCell ref="M11:P11"/>
    <mergeCell ref="M13:P13"/>
    <mergeCell ref="M15:P15"/>
    <mergeCell ref="B24:P24"/>
  </mergeCells>
  <conditionalFormatting sqref="L17:P17">
    <cfRule type="containsText" dxfId="1" priority="1" operator="containsText" text="Diterima">
      <formula>NOT(ISERROR(SEARCH("Diterima",L17)))</formula>
    </cfRule>
    <cfRule type="containsText" dxfId="0" priority="2" operator="containsText" text="Belum">
      <formula>NOT(ISERROR(SEARCH("Belum",L17)))</formula>
    </cfRule>
  </conditionalFormatting>
  <hyperlinks>
    <hyperlink ref="B9" location="AKUN!A1" tooltip="Ubah dan Edit Akun" display="Daftar Akun" xr:uid="{CE9C7E4F-A3AF-E949-9BE9-F0CC12DC49CB}"/>
    <hyperlink ref="B11" location="KB!A1" tooltip="Kode Bantu" display="Kode Bantu" xr:uid="{5F475D71-9257-664A-9912-436E8DB26746}"/>
    <hyperlink ref="B13" location="DIVISI!A1" tooltip="Data Divisi / Departemen" display="Divisi" xr:uid="{48521EB1-33FB-574D-B3A2-5A5F1F0A0902}"/>
    <hyperlink ref="B15" location="PROJECT!A1" tooltip="Project" display="Project" xr:uid="{5400A1B2-57C6-C241-87C1-4B59B394EAD2}"/>
    <hyperlink ref="D7" location="JURNAL!A1" tooltip="Input Transaksi Harian" display="Input Jurnal" xr:uid="{79AE5E5D-F3E6-4545-822C-B0CA6B252AB7}"/>
    <hyperlink ref="F7" location="NERACA!A1" tooltip="Cek Neraca Keuangan" display="Neraca" xr:uid="{18D9B63A-6166-F241-9B25-253110B691DA}"/>
    <hyperlink ref="F9" location="LR!A1" tooltip="Cek Laba Rugi " display="Laba Rugi" xr:uid="{43FB37A8-6BFF-6C4B-AF3A-024C8F3E0089}"/>
    <hyperlink ref="F11" location="ARUSKAS!A1" tooltip="Arus Kas" display="Arus Kas" xr:uid="{71ACCB44-1702-3C46-9D0C-63CD0CBD01E7}"/>
    <hyperlink ref="F13" location="EKUITAS!A1" tooltip="Perubahan Modal" display="Perubahan Ekuitas" xr:uid="{ECD928A9-B74D-B046-ABB3-461B95465683}"/>
    <hyperlink ref="H21" location="NRC_LJR!A1" tooltip="Neraca Lajur" display="Neraca Lajur" xr:uid="{B906C6F3-B0FE-7349-897D-7B41FAE0B06E}"/>
    <hyperlink ref="B7" location="PROFIL!A1" display="Profil Usaha" xr:uid="{4D3296F1-D504-5447-B599-B917EC162D3D}"/>
    <hyperlink ref="H7" location="NERACA_12!A1" display="Neraca 12 Bulan" xr:uid="{1DC7BEBC-51E1-4C40-B664-372DFB466C40}"/>
    <hyperlink ref="H9" location="'LR12'!A1" display="Laba Rugi 12 Bulan" xr:uid="{9227AD6C-DD66-C84F-ABCA-183C36410ADB}"/>
    <hyperlink ref="H13" location="BUKTI1!A1" display="Bukti Jurnal" xr:uid="{0F68B5FD-5EA4-5843-A0F4-B85CA6DF1BC5}"/>
    <hyperlink ref="H17" location="BB!A1" display="Buku Besar" xr:uid="{EFD57815-13F0-F54B-AF4C-A5FAC498AE17}"/>
    <hyperlink ref="H19" location="BP!A1" display="Buku Pembantu" xr:uid="{2794AC7E-3E74-0249-A842-7FA7B54DF224}"/>
    <hyperlink ref="F19" location="LR_PRJ!A1" display="LR. Project" xr:uid="{C457D228-2193-0D4F-B100-562D7DE4EFE1}"/>
    <hyperlink ref="F21" location="LR12_PRJ!A1" display="LR. Project 12 Bulan" xr:uid="{B6FBF4FE-C49C-BB40-BDB5-F717660C5825}"/>
    <hyperlink ref="D19" location="LR_DIVISI!A1" display="LR. Sanding Divisi" xr:uid="{A4B5F583-FE8B-EC42-90F6-7190A9BAEEAA}"/>
    <hyperlink ref="B21" location="LR12_DIV!A1" display="LR. Divisi 12 Bulan" xr:uid="{2903733B-182E-2648-A249-84B6285D53CF}"/>
    <hyperlink ref="B19" location="LR_DIV!A1" display="LR. Divisi" xr:uid="{F78C7510-88AD-6148-A711-93A7B38E265E}"/>
    <hyperlink ref="J7" location="JENIS_ASET!A1" display="Jenis Aset" xr:uid="{56D96879-526F-E640-BA37-845BE9A81872}"/>
    <hyperlink ref="J9" location="DAFTAR_ASET!A1" display="Daftar Aset Tetap" xr:uid="{6FB7D2D2-07BD-FB46-A28B-AD6E31EB4CCD}"/>
  </hyperlink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C22-7FF4-D244-B275-C8350F71E050}">
  <sheetPr codeName="Sheet20"/>
  <dimension ref="B1:H33"/>
  <sheetViews>
    <sheetView showGridLines="0" topLeftCell="A10" workbookViewId="0"/>
  </sheetViews>
  <sheetFormatPr defaultColWidth="10.875" defaultRowHeight="24" customHeight="1"/>
  <cols>
    <col min="1" max="1" width="4.125" style="1" customWidth="1"/>
    <col min="2" max="2" width="26.875" style="3" customWidth="1"/>
    <col min="3" max="3" width="26.625" style="3" customWidth="1"/>
    <col min="4" max="4" width="12.5" style="5" bestFit="1" customWidth="1"/>
    <col min="5" max="6" width="19.125" style="6" customWidth="1"/>
    <col min="7" max="7" width="21" style="6" bestFit="1" customWidth="1"/>
    <col min="8" max="8" width="19.125" style="6" customWidth="1"/>
    <col min="9" max="16384" width="10.875" style="1"/>
  </cols>
  <sheetData>
    <row r="1" spans="2:8" ht="9.9499999999999993" customHeight="1"/>
    <row r="2" spans="2:8" ht="24" customHeight="1" thickBot="1">
      <c r="B2" s="90" t="s">
        <v>58</v>
      </c>
      <c r="C2" s="139" t="e">
        <f>JURNAL!C2</f>
        <v>#REF!</v>
      </c>
      <c r="D2" s="18"/>
      <c r="E2" s="177"/>
      <c r="F2" s="177"/>
      <c r="G2" s="177"/>
      <c r="H2" s="179"/>
    </row>
    <row r="3" spans="2:8" ht="15" customHeight="1"/>
    <row r="4" spans="2:8" ht="24" customHeight="1">
      <c r="B4" s="435" t="str">
        <f>prof_nama</f>
        <v>PERUMDA PARKIR MAKASSAR RAYA</v>
      </c>
      <c r="C4" s="436"/>
      <c r="D4" s="436"/>
      <c r="E4" s="436"/>
      <c r="F4" s="436"/>
      <c r="G4" s="436"/>
      <c r="H4" s="437"/>
    </row>
    <row r="5" spans="2:8" ht="24" customHeight="1">
      <c r="B5" s="412" t="s">
        <v>238</v>
      </c>
      <c r="C5" s="413"/>
      <c r="D5" s="413"/>
      <c r="E5" s="413"/>
      <c r="F5" s="413"/>
      <c r="G5" s="413"/>
      <c r="H5" s="414"/>
    </row>
    <row r="6" spans="2:8" ht="24" customHeight="1" thickBot="1">
      <c r="B6" s="438" t="str">
        <f>NERACA_12!B6</f>
        <v>Periode  2022</v>
      </c>
      <c r="C6" s="439"/>
      <c r="D6" s="439"/>
      <c r="E6" s="439"/>
      <c r="F6" s="439"/>
      <c r="G6" s="439"/>
      <c r="H6" s="440"/>
    </row>
    <row r="7" spans="2:8" ht="6.95" customHeight="1"/>
    <row r="8" spans="2:8" ht="24" customHeight="1">
      <c r="B8" s="101" t="s">
        <v>72</v>
      </c>
      <c r="C8" s="104"/>
      <c r="D8" s="162"/>
      <c r="E8" s="163">
        <f>SUM(E11:E33)</f>
        <v>1262889215</v>
      </c>
      <c r="F8" s="163">
        <f t="shared" ref="F8:H8" si="0">SUM(F11:F33)</f>
        <v>4295443.1875</v>
      </c>
      <c r="G8" s="163">
        <f t="shared" si="0"/>
        <v>48009803.354166672</v>
      </c>
      <c r="H8" s="163">
        <f t="shared" si="0"/>
        <v>1214879411.6458335</v>
      </c>
    </row>
    <row r="9" spans="2:8" ht="6" customHeight="1"/>
    <row r="10" spans="2:8" s="164" customFormat="1" ht="44.1" customHeight="1" thickBot="1">
      <c r="B10" s="150" t="s">
        <v>3</v>
      </c>
      <c r="C10" s="150" t="s">
        <v>53</v>
      </c>
      <c r="D10" s="150" t="s">
        <v>247</v>
      </c>
      <c r="E10" s="165" t="s">
        <v>239</v>
      </c>
      <c r="F10" s="165" t="str">
        <f>DAFTAR_ASET!M8</f>
        <v>Penyusutan May 2022</v>
      </c>
      <c r="G10" s="165" t="s">
        <v>248</v>
      </c>
      <c r="H10" s="165" t="s">
        <v>240</v>
      </c>
    </row>
    <row r="11" spans="2:8" ht="24" customHeight="1">
      <c r="B11" s="14" t="s">
        <v>241</v>
      </c>
      <c r="C11" s="14" t="s">
        <v>242</v>
      </c>
      <c r="D11" s="149">
        <v>0</v>
      </c>
      <c r="E11" s="15">
        <f t="shared" ref="E11:E33" si="1">IF(B11="","",SUMIF(at_type,B11,at_perolehan))</f>
        <v>500000000</v>
      </c>
      <c r="F11" s="15">
        <f t="shared" ref="F11:F33" si="2">IF(B11="","",SUMIF(at_type,B11,at_penyusutan))</f>
        <v>0</v>
      </c>
      <c r="G11" s="15">
        <f t="shared" ref="G11:G33" si="3">IF(B11="","",SUMIF(at_type,B11,at_akum))</f>
        <v>0</v>
      </c>
      <c r="H11" s="15">
        <f>IF(B11="","",E11-G11)</f>
        <v>500000000</v>
      </c>
    </row>
    <row r="12" spans="2:8" ht="24" customHeight="1">
      <c r="B12" s="7" t="s">
        <v>243</v>
      </c>
      <c r="C12" s="14" t="s">
        <v>244</v>
      </c>
      <c r="D12" s="16">
        <v>20</v>
      </c>
      <c r="E12" s="15">
        <f t="shared" si="1"/>
        <v>673550165</v>
      </c>
      <c r="F12" s="15">
        <f t="shared" si="2"/>
        <v>2806459.0208333335</v>
      </c>
      <c r="G12" s="15">
        <f t="shared" si="3"/>
        <v>47709803.354166672</v>
      </c>
      <c r="H12" s="15">
        <f t="shared" ref="H12:H33" si="4">IF(B12="","",E12-G12)</f>
        <v>625840361.64583337</v>
      </c>
    </row>
    <row r="13" spans="2:8" ht="24" customHeight="1">
      <c r="B13" s="7" t="s">
        <v>245</v>
      </c>
      <c r="C13" s="14" t="s">
        <v>244</v>
      </c>
      <c r="D13" s="16">
        <v>5</v>
      </c>
      <c r="E13" s="15">
        <f t="shared" si="1"/>
        <v>0</v>
      </c>
      <c r="F13" s="15">
        <f t="shared" si="2"/>
        <v>0</v>
      </c>
      <c r="G13" s="15">
        <f t="shared" si="3"/>
        <v>0</v>
      </c>
      <c r="H13" s="15">
        <f t="shared" si="4"/>
        <v>0</v>
      </c>
    </row>
    <row r="14" spans="2:8" ht="24" customHeight="1">
      <c r="B14" s="7" t="s">
        <v>246</v>
      </c>
      <c r="C14" s="14" t="s">
        <v>244</v>
      </c>
      <c r="D14" s="16">
        <v>4</v>
      </c>
      <c r="E14" s="15">
        <f t="shared" si="1"/>
        <v>0</v>
      </c>
      <c r="F14" s="15">
        <f t="shared" si="2"/>
        <v>0</v>
      </c>
      <c r="G14" s="15">
        <f t="shared" si="3"/>
        <v>0</v>
      </c>
      <c r="H14" s="15">
        <f t="shared" si="4"/>
        <v>0</v>
      </c>
    </row>
    <row r="15" spans="2:8" ht="24" customHeight="1">
      <c r="B15" s="7" t="s">
        <v>722</v>
      </c>
      <c r="C15" s="14" t="s">
        <v>244</v>
      </c>
      <c r="D15" s="16">
        <v>5</v>
      </c>
      <c r="E15" s="15">
        <f t="shared" si="1"/>
        <v>78139050</v>
      </c>
      <c r="F15" s="15">
        <f t="shared" si="2"/>
        <v>1302317.4999999998</v>
      </c>
      <c r="G15" s="15">
        <f t="shared" si="3"/>
        <v>113333.33333333334</v>
      </c>
      <c r="H15" s="15">
        <f t="shared" si="4"/>
        <v>78025716.666666672</v>
      </c>
    </row>
    <row r="16" spans="2:8" ht="24" customHeight="1">
      <c r="B16" s="7" t="s">
        <v>734</v>
      </c>
      <c r="C16" s="14" t="s">
        <v>244</v>
      </c>
      <c r="D16" s="16">
        <v>5</v>
      </c>
      <c r="E16" s="15">
        <f t="shared" si="1"/>
        <v>11200000</v>
      </c>
      <c r="F16" s="15">
        <f t="shared" si="2"/>
        <v>186666.66666666666</v>
      </c>
      <c r="G16" s="15">
        <f t="shared" si="3"/>
        <v>186666.66666666666</v>
      </c>
      <c r="H16" s="15">
        <f t="shared" si="4"/>
        <v>11013333.333333334</v>
      </c>
    </row>
    <row r="17" spans="2:8" ht="24" customHeight="1">
      <c r="B17" s="7"/>
      <c r="C17" s="14"/>
      <c r="D17" s="16"/>
      <c r="E17" s="15" t="str">
        <f t="shared" si="1"/>
        <v/>
      </c>
      <c r="F17" s="15" t="str">
        <f t="shared" si="2"/>
        <v/>
      </c>
      <c r="G17" s="15" t="str">
        <f t="shared" si="3"/>
        <v/>
      </c>
      <c r="H17" s="15" t="str">
        <f t="shared" si="4"/>
        <v/>
      </c>
    </row>
    <row r="18" spans="2:8" ht="24" customHeight="1">
      <c r="B18" s="7"/>
      <c r="C18" s="14"/>
      <c r="D18" s="16"/>
      <c r="E18" s="15" t="str">
        <f t="shared" si="1"/>
        <v/>
      </c>
      <c r="F18" s="15" t="str">
        <f t="shared" si="2"/>
        <v/>
      </c>
      <c r="G18" s="15" t="str">
        <f t="shared" si="3"/>
        <v/>
      </c>
      <c r="H18" s="15" t="str">
        <f t="shared" si="4"/>
        <v/>
      </c>
    </row>
    <row r="19" spans="2:8" ht="24" customHeight="1">
      <c r="B19" s="7"/>
      <c r="C19" s="14"/>
      <c r="D19" s="16"/>
      <c r="E19" s="15" t="str">
        <f t="shared" si="1"/>
        <v/>
      </c>
      <c r="F19" s="15" t="str">
        <f t="shared" si="2"/>
        <v/>
      </c>
      <c r="G19" s="15" t="str">
        <f t="shared" si="3"/>
        <v/>
      </c>
      <c r="H19" s="15" t="str">
        <f t="shared" si="4"/>
        <v/>
      </c>
    </row>
    <row r="20" spans="2:8" ht="24" customHeight="1">
      <c r="B20" s="7"/>
      <c r="C20" s="14"/>
      <c r="D20" s="16"/>
      <c r="E20" s="15" t="str">
        <f t="shared" si="1"/>
        <v/>
      </c>
      <c r="F20" s="15" t="str">
        <f t="shared" si="2"/>
        <v/>
      </c>
      <c r="G20" s="15" t="str">
        <f t="shared" si="3"/>
        <v/>
      </c>
      <c r="H20" s="15" t="str">
        <f t="shared" si="4"/>
        <v/>
      </c>
    </row>
    <row r="21" spans="2:8" ht="24" customHeight="1">
      <c r="B21" s="7"/>
      <c r="C21" s="14"/>
      <c r="D21" s="16"/>
      <c r="E21" s="15" t="str">
        <f t="shared" si="1"/>
        <v/>
      </c>
      <c r="F21" s="15" t="str">
        <f t="shared" si="2"/>
        <v/>
      </c>
      <c r="G21" s="15" t="str">
        <f t="shared" si="3"/>
        <v/>
      </c>
      <c r="H21" s="15" t="str">
        <f t="shared" si="4"/>
        <v/>
      </c>
    </row>
    <row r="22" spans="2:8" ht="24" customHeight="1">
      <c r="B22" s="7"/>
      <c r="C22" s="14"/>
      <c r="D22" s="16"/>
      <c r="E22" s="15" t="str">
        <f t="shared" si="1"/>
        <v/>
      </c>
      <c r="F22" s="15" t="str">
        <f t="shared" si="2"/>
        <v/>
      </c>
      <c r="G22" s="15" t="str">
        <f t="shared" si="3"/>
        <v/>
      </c>
      <c r="H22" s="15" t="str">
        <f t="shared" si="4"/>
        <v/>
      </c>
    </row>
    <row r="23" spans="2:8" ht="24" customHeight="1">
      <c r="B23" s="7"/>
      <c r="C23" s="14"/>
      <c r="D23" s="16"/>
      <c r="E23" s="15" t="str">
        <f t="shared" si="1"/>
        <v/>
      </c>
      <c r="F23" s="15" t="str">
        <f t="shared" si="2"/>
        <v/>
      </c>
      <c r="G23" s="15" t="str">
        <f t="shared" si="3"/>
        <v/>
      </c>
      <c r="H23" s="15" t="str">
        <f t="shared" si="4"/>
        <v/>
      </c>
    </row>
    <row r="24" spans="2:8" ht="24" customHeight="1">
      <c r="B24" s="7"/>
      <c r="C24" s="14"/>
      <c r="D24" s="16"/>
      <c r="E24" s="15" t="str">
        <f t="shared" si="1"/>
        <v/>
      </c>
      <c r="F24" s="15" t="str">
        <f t="shared" si="2"/>
        <v/>
      </c>
      <c r="G24" s="15" t="str">
        <f t="shared" si="3"/>
        <v/>
      </c>
      <c r="H24" s="15" t="str">
        <f t="shared" si="4"/>
        <v/>
      </c>
    </row>
    <row r="25" spans="2:8" ht="24" customHeight="1">
      <c r="B25" s="7"/>
      <c r="C25" s="14"/>
      <c r="D25" s="16"/>
      <c r="E25" s="15" t="str">
        <f t="shared" si="1"/>
        <v/>
      </c>
      <c r="F25" s="15" t="str">
        <f t="shared" si="2"/>
        <v/>
      </c>
      <c r="G25" s="15" t="str">
        <f t="shared" si="3"/>
        <v/>
      </c>
      <c r="H25" s="15" t="str">
        <f t="shared" si="4"/>
        <v/>
      </c>
    </row>
    <row r="26" spans="2:8" ht="24" customHeight="1">
      <c r="B26" s="7"/>
      <c r="C26" s="14"/>
      <c r="D26" s="16"/>
      <c r="E26" s="15" t="str">
        <f t="shared" si="1"/>
        <v/>
      </c>
      <c r="F26" s="15" t="str">
        <f t="shared" si="2"/>
        <v/>
      </c>
      <c r="G26" s="15" t="str">
        <f t="shared" si="3"/>
        <v/>
      </c>
      <c r="H26" s="15" t="str">
        <f t="shared" si="4"/>
        <v/>
      </c>
    </row>
    <row r="27" spans="2:8" ht="24" customHeight="1">
      <c r="B27" s="7"/>
      <c r="C27" s="14"/>
      <c r="D27" s="16"/>
      <c r="E27" s="15" t="str">
        <f t="shared" si="1"/>
        <v/>
      </c>
      <c r="F27" s="15" t="str">
        <f t="shared" si="2"/>
        <v/>
      </c>
      <c r="G27" s="15" t="str">
        <f t="shared" si="3"/>
        <v/>
      </c>
      <c r="H27" s="15" t="str">
        <f t="shared" si="4"/>
        <v/>
      </c>
    </row>
    <row r="28" spans="2:8" ht="24" customHeight="1">
      <c r="B28" s="7"/>
      <c r="C28" s="14"/>
      <c r="D28" s="16"/>
      <c r="E28" s="15" t="str">
        <f t="shared" si="1"/>
        <v/>
      </c>
      <c r="F28" s="15" t="str">
        <f t="shared" si="2"/>
        <v/>
      </c>
      <c r="G28" s="15" t="str">
        <f t="shared" si="3"/>
        <v/>
      </c>
      <c r="H28" s="15" t="str">
        <f t="shared" si="4"/>
        <v/>
      </c>
    </row>
    <row r="29" spans="2:8" ht="24" customHeight="1">
      <c r="B29" s="7"/>
      <c r="C29" s="14"/>
      <c r="D29" s="16"/>
      <c r="E29" s="15" t="str">
        <f t="shared" si="1"/>
        <v/>
      </c>
      <c r="F29" s="15" t="str">
        <f t="shared" si="2"/>
        <v/>
      </c>
      <c r="G29" s="15" t="str">
        <f t="shared" si="3"/>
        <v/>
      </c>
      <c r="H29" s="15" t="str">
        <f t="shared" si="4"/>
        <v/>
      </c>
    </row>
    <row r="30" spans="2:8" ht="24" customHeight="1">
      <c r="B30" s="7"/>
      <c r="C30" s="14"/>
      <c r="D30" s="16"/>
      <c r="E30" s="15" t="str">
        <f t="shared" si="1"/>
        <v/>
      </c>
      <c r="F30" s="15" t="str">
        <f t="shared" si="2"/>
        <v/>
      </c>
      <c r="G30" s="15" t="str">
        <f t="shared" si="3"/>
        <v/>
      </c>
      <c r="H30" s="15" t="str">
        <f t="shared" si="4"/>
        <v/>
      </c>
    </row>
    <row r="31" spans="2:8" ht="24" customHeight="1">
      <c r="B31" s="7"/>
      <c r="C31" s="14"/>
      <c r="D31" s="16"/>
      <c r="E31" s="15" t="str">
        <f t="shared" si="1"/>
        <v/>
      </c>
      <c r="F31" s="15" t="str">
        <f t="shared" si="2"/>
        <v/>
      </c>
      <c r="G31" s="15" t="str">
        <f t="shared" si="3"/>
        <v/>
      </c>
      <c r="H31" s="15" t="str">
        <f t="shared" si="4"/>
        <v/>
      </c>
    </row>
    <row r="32" spans="2:8" ht="24" customHeight="1">
      <c r="B32" s="7"/>
      <c r="C32" s="14"/>
      <c r="D32" s="16"/>
      <c r="E32" s="15" t="str">
        <f t="shared" si="1"/>
        <v/>
      </c>
      <c r="F32" s="15" t="str">
        <f t="shared" si="2"/>
        <v/>
      </c>
      <c r="G32" s="15" t="str">
        <f t="shared" si="3"/>
        <v/>
      </c>
      <c r="H32" s="15" t="str">
        <f t="shared" si="4"/>
        <v/>
      </c>
    </row>
    <row r="33" spans="2:8" ht="24" customHeight="1">
      <c r="B33" s="7"/>
      <c r="C33" s="14"/>
      <c r="D33" s="16"/>
      <c r="E33" s="15" t="str">
        <f t="shared" si="1"/>
        <v/>
      </c>
      <c r="F33" s="15" t="str">
        <f t="shared" si="2"/>
        <v/>
      </c>
      <c r="G33" s="15" t="str">
        <f t="shared" si="3"/>
        <v/>
      </c>
      <c r="H33" s="15" t="str">
        <f t="shared" si="4"/>
        <v/>
      </c>
    </row>
  </sheetData>
  <mergeCells count="3">
    <mergeCell ref="B4:H4"/>
    <mergeCell ref="B5:H5"/>
    <mergeCell ref="B6:H6"/>
  </mergeCells>
  <dataValidations count="1">
    <dataValidation type="list" allowBlank="1" showInputMessage="1" showErrorMessage="1" sqref="C11:C33" xr:uid="{FE240C8F-BB6A-B142-ADBC-549469C07A72}">
      <formula1>"Tersusutkan,Tdk Tersusutkan"</formula1>
    </dataValidation>
  </dataValidations>
  <hyperlinks>
    <hyperlink ref="B2" location="MENU!D8" display="MENU" xr:uid="{BF8E3BC1-1803-984A-A5B2-620E4CDA4B9F}"/>
  </hyperlink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6A55-E081-174E-981A-540E678E3A26}">
  <sheetPr codeName="Sheet21">
    <pageSetUpPr fitToPage="1"/>
  </sheetPr>
  <dimension ref="B1:S29"/>
  <sheetViews>
    <sheetView showGridLines="0" topLeftCell="A7" zoomScale="90" zoomScaleNormal="90" workbookViewId="0">
      <selection activeCell="I18" sqref="I18"/>
    </sheetView>
  </sheetViews>
  <sheetFormatPr defaultColWidth="10.875" defaultRowHeight="24" customHeight="1"/>
  <cols>
    <col min="1" max="1" width="3.5" style="1" customWidth="1"/>
    <col min="2" max="2" width="16.375" style="3" customWidth="1"/>
    <col min="3" max="3" width="20.375" style="3" bestFit="1" customWidth="1"/>
    <col min="4" max="4" width="20.875" style="3" customWidth="1"/>
    <col min="5" max="5" width="16.375" style="3" customWidth="1"/>
    <col min="6" max="6" width="14.375" style="5" customWidth="1"/>
    <col min="7" max="7" width="13.375" style="5" customWidth="1"/>
    <col min="8" max="8" width="10.875" style="5" customWidth="1"/>
    <col min="9" max="9" width="19.5" style="6" bestFit="1" customWidth="1"/>
    <col min="10" max="10" width="18.375" style="6" bestFit="1" customWidth="1"/>
    <col min="11" max="11" width="17" style="6" customWidth="1"/>
    <col min="12" max="12" width="11.125" style="5" bestFit="1" customWidth="1"/>
    <col min="13" max="13" width="19.125" style="3" customWidth="1"/>
    <col min="14" max="14" width="21" style="6" bestFit="1" customWidth="1"/>
    <col min="15" max="15" width="19.125" style="3" customWidth="1"/>
    <col min="16" max="16" width="4.375" style="1" customWidth="1"/>
    <col min="17" max="17" width="12" style="155" bestFit="1" customWidth="1"/>
    <col min="18" max="18" width="12.875" style="37" hidden="1" customWidth="1"/>
    <col min="19" max="16384" width="10.875" style="1"/>
  </cols>
  <sheetData>
    <row r="1" spans="2:19" ht="9.9499999999999993" customHeight="1"/>
    <row r="2" spans="2:19" ht="24" customHeight="1" thickBot="1">
      <c r="B2" s="90" t="s">
        <v>58</v>
      </c>
      <c r="C2" s="139" t="e">
        <f>JURNAL!C2</f>
        <v>#REF!</v>
      </c>
      <c r="D2" s="36"/>
      <c r="E2" s="36"/>
      <c r="F2" s="18"/>
      <c r="G2" s="18"/>
      <c r="H2" s="18"/>
      <c r="I2" s="177"/>
      <c r="J2" s="177"/>
      <c r="K2" s="177"/>
      <c r="L2" s="18"/>
      <c r="M2" s="36"/>
      <c r="N2" s="177"/>
      <c r="O2" s="178"/>
    </row>
    <row r="3" spans="2:19" ht="11.1" customHeight="1"/>
    <row r="4" spans="2:19" ht="24" customHeight="1">
      <c r="B4" s="160" t="str">
        <f>prof_nama</f>
        <v>PERUMDA PARKIR MAKASSAR RAYA</v>
      </c>
      <c r="C4" s="151"/>
      <c r="D4" s="151"/>
      <c r="E4" s="151"/>
      <c r="F4" s="151"/>
      <c r="G4" s="151"/>
      <c r="H4" s="151"/>
      <c r="I4" s="151"/>
      <c r="J4" s="151"/>
      <c r="K4" s="151"/>
      <c r="L4" s="146"/>
      <c r="M4" s="151"/>
      <c r="N4" s="153"/>
      <c r="O4" s="148" t="s">
        <v>190</v>
      </c>
    </row>
    <row r="5" spans="2:19" ht="24" customHeight="1">
      <c r="B5" s="161" t="s">
        <v>238</v>
      </c>
      <c r="C5" s="152"/>
      <c r="D5" s="152"/>
      <c r="E5" s="152"/>
      <c r="F5" s="152"/>
      <c r="G5" s="152"/>
      <c r="H5" s="152"/>
      <c r="I5" s="152"/>
      <c r="J5" s="152"/>
      <c r="K5" s="152"/>
      <c r="L5" s="145"/>
      <c r="M5" s="152"/>
      <c r="N5" s="154"/>
      <c r="O5" s="16" t="s">
        <v>737</v>
      </c>
      <c r="Q5" s="311" t="s">
        <v>280</v>
      </c>
    </row>
    <row r="6" spans="2:19" ht="24" customHeight="1" thickBot="1">
      <c r="B6" s="24" t="str">
        <f>NERACA_12!B6</f>
        <v>Periode  2022</v>
      </c>
      <c r="C6" s="60"/>
      <c r="D6" s="60"/>
      <c r="E6" s="60"/>
      <c r="F6" s="60"/>
      <c r="G6" s="60"/>
      <c r="H6" s="60"/>
      <c r="I6" s="60"/>
      <c r="J6" s="60"/>
      <c r="K6" s="60"/>
      <c r="L6" s="147"/>
      <c r="M6" s="60"/>
      <c r="N6" s="58"/>
      <c r="O6" s="159">
        <f>VALUE(TEXT(akhir,"yyyy"))</f>
        <v>2022</v>
      </c>
    </row>
    <row r="7" spans="2:19" ht="6.95" customHeight="1"/>
    <row r="8" spans="2:19" ht="48.95" customHeight="1" thickBot="1">
      <c r="B8" s="25" t="s">
        <v>249</v>
      </c>
      <c r="C8" s="25" t="s">
        <v>250</v>
      </c>
      <c r="D8" s="25" t="s">
        <v>9</v>
      </c>
      <c r="E8" s="25" t="s">
        <v>251</v>
      </c>
      <c r="F8" s="150" t="s">
        <v>252</v>
      </c>
      <c r="G8" s="150" t="s">
        <v>253</v>
      </c>
      <c r="H8" s="98" t="s">
        <v>254</v>
      </c>
      <c r="I8" s="26" t="s">
        <v>255</v>
      </c>
      <c r="J8" s="26" t="s">
        <v>256</v>
      </c>
      <c r="K8" s="26" t="s">
        <v>257</v>
      </c>
      <c r="L8" s="98" t="s">
        <v>263</v>
      </c>
      <c r="M8" s="150" t="str">
        <f>"Penyusutan "&amp;O5&amp;" "&amp;O6</f>
        <v>Penyusutan May 2022</v>
      </c>
      <c r="N8" s="26" t="s">
        <v>248</v>
      </c>
      <c r="O8" s="25" t="s">
        <v>240</v>
      </c>
      <c r="Q8" s="158" t="s">
        <v>265</v>
      </c>
      <c r="R8" s="26" t="s">
        <v>258</v>
      </c>
      <c r="S8" s="156" t="s">
        <v>264</v>
      </c>
    </row>
    <row r="9" spans="2:19" ht="24" customHeight="1">
      <c r="B9" s="14" t="s">
        <v>259</v>
      </c>
      <c r="C9" s="14" t="s">
        <v>241</v>
      </c>
      <c r="D9" s="7" t="s">
        <v>241</v>
      </c>
      <c r="E9" s="31">
        <v>44197</v>
      </c>
      <c r="F9" s="16" t="s">
        <v>262</v>
      </c>
      <c r="G9" s="16">
        <v>2021</v>
      </c>
      <c r="H9" s="149">
        <v>1</v>
      </c>
      <c r="I9" s="15">
        <v>500000000</v>
      </c>
      <c r="J9" s="15">
        <f>H9*I9</f>
        <v>500000000</v>
      </c>
      <c r="K9" s="15">
        <v>0</v>
      </c>
      <c r="L9" s="149">
        <f t="shared" ref="L9:L11" si="0">IF(B9="","",INDEX(jenis_ue,MATCH(C9,ja_tanah,0))*12)</f>
        <v>0</v>
      </c>
      <c r="M9" s="15">
        <f>IFERROR(IF(AND(L9=Q9,B9&lt;&gt;""),0,(J9-K9)/L9),"")</f>
        <v>0</v>
      </c>
      <c r="N9" s="15">
        <f>IF(B9="","",R9)</f>
        <v>0</v>
      </c>
      <c r="O9" s="15">
        <f t="shared" ref="O9:O11" si="1">IFERROR(IF(INDEX(jenis_type,MATCH(C9,ja_tanah,0))="Tdk Tersusutkan",J9,IF(AND(K9&gt;0,S9=0),K9,J9-N9)),"")</f>
        <v>500000000</v>
      </c>
      <c r="Q9" s="157">
        <f t="shared" ref="Q9:Q28" si="2">IFERROR(IF(VALUE(IF($O$6-G9&gt;0,($O$6-G9)*12,IF($O$6=G9,0,0)))+VALUE(TEXT(INDEX(type_bulan5,MATCH($O$5,bulan3,0)),"mm"))-VALUE(TEXT(INDEX(type_bulan5,MATCH(F9,bulan3,0)),"mm"))+1&gt;L9,L9,VALUE(IF($O$6-G9&gt;0,($O$6-G9)*12,IF($O$6=G9,0,0)))+VALUE(TEXT(INDEX(type_bulan5,MATCH($O$5,bulan3,0)),"mm"))-VALUE(TEXT(INDEX(type_bulan5,MATCH(F9,bulan3,0)),"mm"))+1),"")</f>
        <v>0</v>
      </c>
      <c r="R9" s="15">
        <f>IF(Q9&lt;0,0,IFERROR(Q9*((J9-K9)/L9),0))</f>
        <v>0</v>
      </c>
      <c r="S9" s="157">
        <f>IF(Q9&lt;0,0,IFERROR(L9-Q9,""))</f>
        <v>0</v>
      </c>
    </row>
    <row r="10" spans="2:19" ht="24" customHeight="1">
      <c r="B10" s="14" t="s">
        <v>260</v>
      </c>
      <c r="C10" s="14" t="s">
        <v>243</v>
      </c>
      <c r="D10" s="7" t="s">
        <v>261</v>
      </c>
      <c r="E10" s="31">
        <v>44197</v>
      </c>
      <c r="F10" s="16" t="s">
        <v>262</v>
      </c>
      <c r="G10" s="16">
        <v>2021</v>
      </c>
      <c r="H10" s="16">
        <v>1</v>
      </c>
      <c r="I10" s="8">
        <v>673550165</v>
      </c>
      <c r="J10" s="15">
        <f t="shared" ref="J10:J11" si="3">H10*I10</f>
        <v>673550165</v>
      </c>
      <c r="K10" s="15">
        <v>0</v>
      </c>
      <c r="L10" s="149">
        <f t="shared" si="0"/>
        <v>240</v>
      </c>
      <c r="M10" s="15">
        <f t="shared" ref="M10:M11" si="4">IFERROR(IF(AND(L10=Q10,B10&lt;&gt;""),0,(J10-K10)/L10),"")</f>
        <v>2806459.0208333335</v>
      </c>
      <c r="N10" s="15">
        <f>IF(B10="","",R10)</f>
        <v>47709803.354166672</v>
      </c>
      <c r="O10" s="15">
        <f t="shared" si="1"/>
        <v>625840361.64583337</v>
      </c>
      <c r="Q10" s="157">
        <f t="shared" si="2"/>
        <v>17</v>
      </c>
      <c r="R10" s="15">
        <f t="shared" ref="R10:R28" si="5">IF(Q10&lt;0,0,IFERROR(Q10*((J10-K10)/L10),0))</f>
        <v>47709803.354166672</v>
      </c>
      <c r="S10" s="157">
        <f t="shared" ref="S10:S28" si="6">IF(Q10&lt;0,0,IFERROR(L10-Q10,""))</f>
        <v>223</v>
      </c>
    </row>
    <row r="11" spans="2:19" ht="24" customHeight="1">
      <c r="B11" s="14" t="s">
        <v>721</v>
      </c>
      <c r="C11" s="14" t="s">
        <v>722</v>
      </c>
      <c r="D11" s="7" t="s">
        <v>723</v>
      </c>
      <c r="E11" s="31">
        <v>44652</v>
      </c>
      <c r="F11" s="16" t="s">
        <v>724</v>
      </c>
      <c r="G11" s="16">
        <v>2022</v>
      </c>
      <c r="H11" s="16">
        <v>1</v>
      </c>
      <c r="I11" s="8">
        <v>2450000</v>
      </c>
      <c r="J11" s="15">
        <f t="shared" si="3"/>
        <v>2450000</v>
      </c>
      <c r="K11" s="15">
        <v>0</v>
      </c>
      <c r="L11" s="149">
        <f t="shared" si="0"/>
        <v>60</v>
      </c>
      <c r="M11" s="15">
        <f t="shared" si="4"/>
        <v>40833.333333333336</v>
      </c>
      <c r="N11" s="15">
        <f t="shared" ref="N11" si="7">IF(B11="","",R11)</f>
        <v>81666.666666666672</v>
      </c>
      <c r="O11" s="15">
        <f t="shared" si="1"/>
        <v>2368333.3333333335</v>
      </c>
      <c r="Q11" s="157">
        <f t="shared" si="2"/>
        <v>2</v>
      </c>
      <c r="R11" s="15">
        <f t="shared" si="5"/>
        <v>81666.666666666672</v>
      </c>
      <c r="S11" s="157">
        <f t="shared" si="6"/>
        <v>58</v>
      </c>
    </row>
    <row r="12" spans="2:19" ht="24" customHeight="1">
      <c r="B12" s="14" t="s">
        <v>735</v>
      </c>
      <c r="C12" s="14" t="s">
        <v>734</v>
      </c>
      <c r="D12" s="7" t="s">
        <v>736</v>
      </c>
      <c r="E12" s="31">
        <v>44682</v>
      </c>
      <c r="F12" s="16" t="s">
        <v>737</v>
      </c>
      <c r="G12" s="16">
        <v>2022</v>
      </c>
      <c r="H12" s="16">
        <v>1</v>
      </c>
      <c r="I12" s="8">
        <v>11200000</v>
      </c>
      <c r="J12" s="15">
        <f t="shared" ref="J12:J28" si="8">H12*I12</f>
        <v>11200000</v>
      </c>
      <c r="K12" s="15">
        <v>0</v>
      </c>
      <c r="L12" s="149">
        <f t="shared" ref="L12:L28" si="9">IF(B12="","",INDEX(jenis_ue,MATCH(C12,ja_tanah,0))*12)</f>
        <v>60</v>
      </c>
      <c r="M12" s="15">
        <f t="shared" ref="M12:M28" si="10">IFERROR(IF(AND(L12=Q12,B12&lt;&gt;""),0,(J12-K12)/L12),"")</f>
        <v>186666.66666666666</v>
      </c>
      <c r="N12" s="15">
        <f t="shared" ref="N12:N28" si="11">IF(B12="","",R12)</f>
        <v>186666.66666666666</v>
      </c>
      <c r="O12" s="15">
        <f t="shared" ref="O12:O28" si="12">IFERROR(IF(INDEX(jenis_type,MATCH(C12,ja_tanah,0))="Tdk Tersusutkan",J12,IF(AND(K12&gt;0,S12=0),K12,J12-N12)),"")</f>
        <v>11013333.333333334</v>
      </c>
      <c r="Q12" s="157">
        <f t="shared" si="2"/>
        <v>1</v>
      </c>
      <c r="R12" s="15">
        <f t="shared" si="5"/>
        <v>186666.66666666666</v>
      </c>
      <c r="S12" s="157">
        <f t="shared" si="6"/>
        <v>59</v>
      </c>
    </row>
    <row r="13" spans="2:19" ht="24" customHeight="1">
      <c r="B13" s="14" t="s">
        <v>783</v>
      </c>
      <c r="C13" s="14" t="s">
        <v>722</v>
      </c>
      <c r="D13" s="7" t="s">
        <v>784</v>
      </c>
      <c r="E13" s="31">
        <v>44805</v>
      </c>
      <c r="F13" s="16" t="s">
        <v>785</v>
      </c>
      <c r="G13" s="16">
        <v>2022</v>
      </c>
      <c r="H13" s="16">
        <v>1</v>
      </c>
      <c r="I13" s="8">
        <v>18998000</v>
      </c>
      <c r="J13" s="15">
        <f t="shared" si="8"/>
        <v>18998000</v>
      </c>
      <c r="K13" s="15"/>
      <c r="L13" s="149">
        <f t="shared" si="9"/>
        <v>60</v>
      </c>
      <c r="M13" s="15">
        <f t="shared" si="10"/>
        <v>316633.33333333331</v>
      </c>
      <c r="N13" s="15">
        <f t="shared" si="11"/>
        <v>0</v>
      </c>
      <c r="O13" s="15">
        <f t="shared" si="12"/>
        <v>18998000</v>
      </c>
      <c r="Q13" s="157">
        <f t="shared" si="2"/>
        <v>-3</v>
      </c>
      <c r="R13" s="15">
        <f t="shared" si="5"/>
        <v>0</v>
      </c>
      <c r="S13" s="157">
        <f t="shared" si="6"/>
        <v>0</v>
      </c>
    </row>
    <row r="14" spans="2:19" ht="24" customHeight="1">
      <c r="B14" s="14" t="s">
        <v>794</v>
      </c>
      <c r="C14" s="14" t="s">
        <v>722</v>
      </c>
      <c r="D14" s="7" t="s">
        <v>795</v>
      </c>
      <c r="E14" s="31">
        <v>44835</v>
      </c>
      <c r="F14" s="16" t="s">
        <v>796</v>
      </c>
      <c r="G14" s="16">
        <v>2022</v>
      </c>
      <c r="H14" s="16">
        <v>1</v>
      </c>
      <c r="I14" s="8">
        <v>55141150</v>
      </c>
      <c r="J14" s="15">
        <f t="shared" si="8"/>
        <v>55141150</v>
      </c>
      <c r="K14" s="15">
        <v>0</v>
      </c>
      <c r="L14" s="149">
        <f t="shared" si="9"/>
        <v>60</v>
      </c>
      <c r="M14" s="15">
        <f t="shared" si="10"/>
        <v>919019.16666666663</v>
      </c>
      <c r="N14" s="15">
        <f t="shared" si="11"/>
        <v>0</v>
      </c>
      <c r="O14" s="15">
        <f t="shared" si="12"/>
        <v>55141150</v>
      </c>
      <c r="Q14" s="157">
        <f t="shared" si="2"/>
        <v>-4</v>
      </c>
      <c r="R14" s="15">
        <f t="shared" si="5"/>
        <v>0</v>
      </c>
      <c r="S14" s="157">
        <f t="shared" si="6"/>
        <v>0</v>
      </c>
    </row>
    <row r="15" spans="2:19" ht="24" customHeight="1">
      <c r="B15" s="14" t="s">
        <v>797</v>
      </c>
      <c r="C15" s="14" t="s">
        <v>722</v>
      </c>
      <c r="D15" s="7" t="s">
        <v>723</v>
      </c>
      <c r="E15" s="31">
        <v>44835</v>
      </c>
      <c r="F15" s="16" t="s">
        <v>796</v>
      </c>
      <c r="G15" s="16">
        <v>2022</v>
      </c>
      <c r="H15" s="16">
        <v>1</v>
      </c>
      <c r="I15" s="8"/>
      <c r="J15" s="15">
        <f t="shared" si="8"/>
        <v>0</v>
      </c>
      <c r="K15" s="15">
        <v>0</v>
      </c>
      <c r="L15" s="149">
        <f t="shared" si="9"/>
        <v>60</v>
      </c>
      <c r="M15" s="15">
        <f t="shared" si="10"/>
        <v>0</v>
      </c>
      <c r="N15" s="15">
        <f t="shared" si="11"/>
        <v>0</v>
      </c>
      <c r="O15" s="15">
        <f t="shared" si="12"/>
        <v>0</v>
      </c>
      <c r="Q15" s="157">
        <f t="shared" si="2"/>
        <v>-4</v>
      </c>
      <c r="R15" s="15">
        <f t="shared" si="5"/>
        <v>0</v>
      </c>
      <c r="S15" s="157">
        <f t="shared" si="6"/>
        <v>0</v>
      </c>
    </row>
    <row r="16" spans="2:19" ht="24" customHeight="1">
      <c r="B16" s="14" t="s">
        <v>797</v>
      </c>
      <c r="C16" s="14" t="s">
        <v>722</v>
      </c>
      <c r="D16" s="7" t="s">
        <v>798</v>
      </c>
      <c r="E16" s="31">
        <v>44835</v>
      </c>
      <c r="F16" s="16" t="s">
        <v>796</v>
      </c>
      <c r="G16" s="16">
        <v>2022</v>
      </c>
      <c r="H16" s="16">
        <v>1</v>
      </c>
      <c r="I16" s="8"/>
      <c r="J16" s="15">
        <f t="shared" si="8"/>
        <v>0</v>
      </c>
      <c r="K16" s="15"/>
      <c r="L16" s="149">
        <f t="shared" si="9"/>
        <v>60</v>
      </c>
      <c r="M16" s="15">
        <f t="shared" si="10"/>
        <v>0</v>
      </c>
      <c r="N16" s="15">
        <f t="shared" si="11"/>
        <v>0</v>
      </c>
      <c r="O16" s="15">
        <f t="shared" si="12"/>
        <v>0</v>
      </c>
      <c r="Q16" s="157">
        <f t="shared" si="2"/>
        <v>-4</v>
      </c>
      <c r="R16" s="15">
        <f t="shared" si="5"/>
        <v>0</v>
      </c>
      <c r="S16" s="157">
        <f t="shared" si="6"/>
        <v>0</v>
      </c>
    </row>
    <row r="17" spans="2:19" ht="24" customHeight="1">
      <c r="B17" s="14" t="s">
        <v>797</v>
      </c>
      <c r="C17" s="14" t="s">
        <v>722</v>
      </c>
      <c r="D17" s="7" t="s">
        <v>847</v>
      </c>
      <c r="E17" s="31">
        <v>44621</v>
      </c>
      <c r="F17" s="16" t="s">
        <v>724</v>
      </c>
      <c r="G17" s="16">
        <v>2022</v>
      </c>
      <c r="H17" s="16">
        <v>1</v>
      </c>
      <c r="I17" s="8">
        <v>950000</v>
      </c>
      <c r="J17" s="15">
        <f t="shared" si="8"/>
        <v>950000</v>
      </c>
      <c r="K17" s="15"/>
      <c r="L17" s="149">
        <f t="shared" si="9"/>
        <v>60</v>
      </c>
      <c r="M17" s="15">
        <f t="shared" si="10"/>
        <v>15833.333333333334</v>
      </c>
      <c r="N17" s="15">
        <f t="shared" si="11"/>
        <v>31666.666666666668</v>
      </c>
      <c r="O17" s="15">
        <f t="shared" si="12"/>
        <v>918333.33333333337</v>
      </c>
      <c r="Q17" s="157">
        <f t="shared" si="2"/>
        <v>2</v>
      </c>
      <c r="R17" s="15">
        <f t="shared" si="5"/>
        <v>31666.666666666668</v>
      </c>
      <c r="S17" s="157">
        <f t="shared" si="6"/>
        <v>58</v>
      </c>
    </row>
    <row r="18" spans="2:19" ht="24" customHeight="1">
      <c r="B18" s="14" t="s">
        <v>797</v>
      </c>
      <c r="C18" s="14" t="s">
        <v>722</v>
      </c>
      <c r="D18" s="7"/>
      <c r="E18" s="31">
        <v>44774</v>
      </c>
      <c r="F18" s="16" t="s">
        <v>785</v>
      </c>
      <c r="G18" s="16">
        <v>2022</v>
      </c>
      <c r="H18" s="16">
        <v>1</v>
      </c>
      <c r="I18" s="8">
        <v>599900</v>
      </c>
      <c r="J18" s="15">
        <f t="shared" si="8"/>
        <v>599900</v>
      </c>
      <c r="K18" s="15"/>
      <c r="L18" s="149">
        <f t="shared" si="9"/>
        <v>60</v>
      </c>
      <c r="M18" s="15">
        <f t="shared" si="10"/>
        <v>9998.3333333333339</v>
      </c>
      <c r="N18" s="15">
        <f t="shared" si="11"/>
        <v>0</v>
      </c>
      <c r="O18" s="15">
        <f t="shared" si="12"/>
        <v>599900</v>
      </c>
      <c r="Q18" s="157">
        <f t="shared" si="2"/>
        <v>-3</v>
      </c>
      <c r="R18" s="15">
        <f t="shared" si="5"/>
        <v>0</v>
      </c>
      <c r="S18" s="157">
        <f t="shared" si="6"/>
        <v>0</v>
      </c>
    </row>
    <row r="19" spans="2:19" ht="24" customHeight="1">
      <c r="B19" s="14"/>
      <c r="C19" s="14"/>
      <c r="D19" s="7"/>
      <c r="E19" s="31"/>
      <c r="F19" s="16"/>
      <c r="G19" s="16"/>
      <c r="H19" s="16"/>
      <c r="I19" s="8"/>
      <c r="J19" s="15">
        <f t="shared" si="8"/>
        <v>0</v>
      </c>
      <c r="K19" s="15"/>
      <c r="L19" s="149" t="str">
        <f t="shared" si="9"/>
        <v/>
      </c>
      <c r="M19" s="15" t="str">
        <f t="shared" si="10"/>
        <v/>
      </c>
      <c r="N19" s="15" t="str">
        <f t="shared" si="11"/>
        <v/>
      </c>
      <c r="O19" s="15" t="str">
        <f t="shared" si="12"/>
        <v/>
      </c>
      <c r="Q19" s="157" t="str">
        <f t="shared" si="2"/>
        <v/>
      </c>
      <c r="R19" s="15">
        <f t="shared" si="5"/>
        <v>0</v>
      </c>
      <c r="S19" s="157" t="str">
        <f t="shared" si="6"/>
        <v/>
      </c>
    </row>
    <row r="20" spans="2:19" ht="24" customHeight="1">
      <c r="B20" s="14"/>
      <c r="C20" s="14"/>
      <c r="D20" s="7"/>
      <c r="E20" s="31"/>
      <c r="F20" s="16"/>
      <c r="G20" s="16"/>
      <c r="H20" s="16"/>
      <c r="I20" s="8"/>
      <c r="J20" s="15">
        <f t="shared" si="8"/>
        <v>0</v>
      </c>
      <c r="K20" s="15"/>
      <c r="L20" s="149" t="str">
        <f t="shared" si="9"/>
        <v/>
      </c>
      <c r="M20" s="15" t="str">
        <f t="shared" si="10"/>
        <v/>
      </c>
      <c r="N20" s="15" t="str">
        <f t="shared" si="11"/>
        <v/>
      </c>
      <c r="O20" s="15" t="str">
        <f t="shared" si="12"/>
        <v/>
      </c>
      <c r="Q20" s="157" t="str">
        <f t="shared" si="2"/>
        <v/>
      </c>
      <c r="R20" s="15">
        <f t="shared" si="5"/>
        <v>0</v>
      </c>
      <c r="S20" s="157" t="str">
        <f t="shared" si="6"/>
        <v/>
      </c>
    </row>
    <row r="21" spans="2:19" ht="24" customHeight="1">
      <c r="B21" s="14"/>
      <c r="C21" s="14"/>
      <c r="D21" s="7"/>
      <c r="E21" s="31"/>
      <c r="F21" s="16"/>
      <c r="G21" s="16"/>
      <c r="H21" s="16"/>
      <c r="I21" s="8"/>
      <c r="J21" s="15">
        <f t="shared" si="8"/>
        <v>0</v>
      </c>
      <c r="K21" s="15"/>
      <c r="L21" s="149" t="str">
        <f t="shared" si="9"/>
        <v/>
      </c>
      <c r="M21" s="15" t="str">
        <f t="shared" si="10"/>
        <v/>
      </c>
      <c r="N21" s="15" t="str">
        <f t="shared" si="11"/>
        <v/>
      </c>
      <c r="O21" s="15" t="str">
        <f t="shared" si="12"/>
        <v/>
      </c>
      <c r="Q21" s="157" t="str">
        <f t="shared" si="2"/>
        <v/>
      </c>
      <c r="R21" s="15">
        <f t="shared" si="5"/>
        <v>0</v>
      </c>
      <c r="S21" s="157" t="str">
        <f t="shared" si="6"/>
        <v/>
      </c>
    </row>
    <row r="22" spans="2:19" ht="24" customHeight="1">
      <c r="B22" s="14"/>
      <c r="C22" s="14"/>
      <c r="D22" s="7"/>
      <c r="E22" s="31"/>
      <c r="F22" s="16"/>
      <c r="G22" s="16"/>
      <c r="H22" s="16"/>
      <c r="I22" s="8"/>
      <c r="J22" s="15">
        <f t="shared" si="8"/>
        <v>0</v>
      </c>
      <c r="K22" s="15"/>
      <c r="L22" s="149" t="str">
        <f t="shared" si="9"/>
        <v/>
      </c>
      <c r="M22" s="15" t="str">
        <f t="shared" si="10"/>
        <v/>
      </c>
      <c r="N22" s="15" t="str">
        <f t="shared" si="11"/>
        <v/>
      </c>
      <c r="O22" s="15" t="str">
        <f t="shared" si="12"/>
        <v/>
      </c>
      <c r="Q22" s="157" t="str">
        <f t="shared" si="2"/>
        <v/>
      </c>
      <c r="R22" s="15">
        <f t="shared" si="5"/>
        <v>0</v>
      </c>
      <c r="S22" s="157" t="str">
        <f t="shared" si="6"/>
        <v/>
      </c>
    </row>
    <row r="23" spans="2:19" ht="24" customHeight="1">
      <c r="B23" s="14"/>
      <c r="C23" s="14"/>
      <c r="D23" s="7"/>
      <c r="E23" s="31"/>
      <c r="F23" s="16"/>
      <c r="G23" s="16"/>
      <c r="H23" s="16"/>
      <c r="I23" s="8"/>
      <c r="J23" s="15">
        <f t="shared" si="8"/>
        <v>0</v>
      </c>
      <c r="K23" s="15"/>
      <c r="L23" s="149" t="str">
        <f t="shared" si="9"/>
        <v/>
      </c>
      <c r="M23" s="15" t="str">
        <f t="shared" si="10"/>
        <v/>
      </c>
      <c r="N23" s="15" t="str">
        <f t="shared" si="11"/>
        <v/>
      </c>
      <c r="O23" s="15" t="str">
        <f t="shared" si="12"/>
        <v/>
      </c>
      <c r="Q23" s="157" t="str">
        <f t="shared" si="2"/>
        <v/>
      </c>
      <c r="R23" s="15">
        <f t="shared" si="5"/>
        <v>0</v>
      </c>
      <c r="S23" s="157" t="str">
        <f t="shared" si="6"/>
        <v/>
      </c>
    </row>
    <row r="24" spans="2:19" ht="24" customHeight="1">
      <c r="B24" s="14"/>
      <c r="C24" s="14"/>
      <c r="D24" s="7"/>
      <c r="E24" s="31"/>
      <c r="F24" s="16"/>
      <c r="G24" s="16"/>
      <c r="H24" s="16"/>
      <c r="I24" s="8"/>
      <c r="J24" s="15">
        <f t="shared" si="8"/>
        <v>0</v>
      </c>
      <c r="K24" s="15"/>
      <c r="L24" s="149" t="str">
        <f t="shared" si="9"/>
        <v/>
      </c>
      <c r="M24" s="15" t="str">
        <f t="shared" si="10"/>
        <v/>
      </c>
      <c r="N24" s="15" t="str">
        <f t="shared" si="11"/>
        <v/>
      </c>
      <c r="O24" s="15" t="str">
        <f t="shared" si="12"/>
        <v/>
      </c>
      <c r="Q24" s="157" t="str">
        <f t="shared" si="2"/>
        <v/>
      </c>
      <c r="R24" s="15">
        <f t="shared" si="5"/>
        <v>0</v>
      </c>
      <c r="S24" s="157" t="str">
        <f t="shared" si="6"/>
        <v/>
      </c>
    </row>
    <row r="25" spans="2:19" ht="24" customHeight="1">
      <c r="B25" s="14"/>
      <c r="C25" s="14"/>
      <c r="D25" s="7"/>
      <c r="E25" s="31"/>
      <c r="F25" s="16"/>
      <c r="G25" s="16"/>
      <c r="H25" s="16"/>
      <c r="I25" s="8"/>
      <c r="J25" s="15">
        <f t="shared" si="8"/>
        <v>0</v>
      </c>
      <c r="K25" s="15"/>
      <c r="L25" s="149" t="str">
        <f t="shared" si="9"/>
        <v/>
      </c>
      <c r="M25" s="15" t="str">
        <f t="shared" si="10"/>
        <v/>
      </c>
      <c r="N25" s="15" t="str">
        <f t="shared" si="11"/>
        <v/>
      </c>
      <c r="O25" s="15" t="str">
        <f t="shared" si="12"/>
        <v/>
      </c>
      <c r="Q25" s="157" t="str">
        <f t="shared" si="2"/>
        <v/>
      </c>
      <c r="R25" s="15">
        <f t="shared" si="5"/>
        <v>0</v>
      </c>
      <c r="S25" s="157" t="str">
        <f t="shared" si="6"/>
        <v/>
      </c>
    </row>
    <row r="26" spans="2:19" ht="24" customHeight="1">
      <c r="B26" s="14"/>
      <c r="C26" s="14"/>
      <c r="D26" s="7"/>
      <c r="E26" s="31"/>
      <c r="F26" s="16"/>
      <c r="G26" s="16"/>
      <c r="H26" s="16"/>
      <c r="I26" s="8"/>
      <c r="J26" s="15">
        <f t="shared" si="8"/>
        <v>0</v>
      </c>
      <c r="K26" s="15"/>
      <c r="L26" s="149" t="str">
        <f t="shared" si="9"/>
        <v/>
      </c>
      <c r="M26" s="15" t="str">
        <f t="shared" si="10"/>
        <v/>
      </c>
      <c r="N26" s="15" t="str">
        <f t="shared" si="11"/>
        <v/>
      </c>
      <c r="O26" s="15" t="str">
        <f t="shared" si="12"/>
        <v/>
      </c>
      <c r="Q26" s="157" t="str">
        <f t="shared" si="2"/>
        <v/>
      </c>
      <c r="R26" s="15">
        <f t="shared" si="5"/>
        <v>0</v>
      </c>
      <c r="S26" s="157" t="str">
        <f t="shared" si="6"/>
        <v/>
      </c>
    </row>
    <row r="27" spans="2:19" ht="24" customHeight="1">
      <c r="B27" s="14"/>
      <c r="C27" s="14"/>
      <c r="D27" s="7"/>
      <c r="E27" s="31"/>
      <c r="F27" s="16"/>
      <c r="G27" s="16"/>
      <c r="H27" s="16"/>
      <c r="I27" s="8"/>
      <c r="J27" s="15">
        <f t="shared" si="8"/>
        <v>0</v>
      </c>
      <c r="K27" s="15"/>
      <c r="L27" s="149" t="str">
        <f t="shared" si="9"/>
        <v/>
      </c>
      <c r="M27" s="15" t="str">
        <f t="shared" si="10"/>
        <v/>
      </c>
      <c r="N27" s="15" t="str">
        <f t="shared" si="11"/>
        <v/>
      </c>
      <c r="O27" s="15" t="str">
        <f t="shared" si="12"/>
        <v/>
      </c>
      <c r="Q27" s="157" t="str">
        <f t="shared" si="2"/>
        <v/>
      </c>
      <c r="R27" s="15">
        <f t="shared" si="5"/>
        <v>0</v>
      </c>
      <c r="S27" s="157" t="str">
        <f t="shared" si="6"/>
        <v/>
      </c>
    </row>
    <row r="28" spans="2:19" ht="24" customHeight="1">
      <c r="B28" s="195"/>
      <c r="C28" s="195"/>
      <c r="D28" s="196"/>
      <c r="E28" s="197"/>
      <c r="F28" s="198"/>
      <c r="G28" s="198"/>
      <c r="H28" s="198"/>
      <c r="I28" s="199"/>
      <c r="J28" s="200">
        <f t="shared" si="8"/>
        <v>0</v>
      </c>
      <c r="K28" s="200"/>
      <c r="L28" s="201" t="str">
        <f t="shared" si="9"/>
        <v/>
      </c>
      <c r="M28" s="200" t="str">
        <f t="shared" si="10"/>
        <v/>
      </c>
      <c r="N28" s="200" t="str">
        <f t="shared" si="11"/>
        <v/>
      </c>
      <c r="O28" s="200" t="str">
        <f t="shared" si="12"/>
        <v/>
      </c>
      <c r="Q28" s="157" t="str">
        <f t="shared" si="2"/>
        <v/>
      </c>
      <c r="R28" s="15">
        <f t="shared" si="5"/>
        <v>0</v>
      </c>
      <c r="S28" s="157" t="str">
        <f t="shared" si="6"/>
        <v/>
      </c>
    </row>
    <row r="29" spans="2:19" ht="24" customHeight="1">
      <c r="B29" s="103" t="s">
        <v>72</v>
      </c>
      <c r="C29" s="7"/>
      <c r="D29" s="7"/>
      <c r="E29" s="7"/>
      <c r="F29" s="16"/>
      <c r="G29" s="16"/>
      <c r="H29" s="16"/>
      <c r="I29" s="163">
        <f>SUM(I9:I28)</f>
        <v>1262889215</v>
      </c>
      <c r="J29" s="163">
        <f t="shared" ref="J29:K29" si="13">SUM(J9:J28)</f>
        <v>1262889215</v>
      </c>
      <c r="K29" s="163">
        <f t="shared" si="13"/>
        <v>0</v>
      </c>
      <c r="L29" s="16"/>
      <c r="M29" s="163">
        <f t="shared" ref="M29" si="14">SUM(M9:M28)</f>
        <v>4295443.1875</v>
      </c>
      <c r="N29" s="163">
        <f t="shared" ref="N29" si="15">SUM(N9:N28)</f>
        <v>48009803.354166664</v>
      </c>
      <c r="O29" s="163">
        <f t="shared" ref="O29" si="16">SUM(O9:O28)</f>
        <v>1214879411.6458333</v>
      </c>
    </row>
  </sheetData>
  <phoneticPr fontId="7" type="noConversion"/>
  <dataValidations count="2">
    <dataValidation type="list" allowBlank="1" showInputMessage="1" showErrorMessage="1" sqref="O5 F9:F28" xr:uid="{FB2691F5-D7DD-8346-BAB7-6E424D31301E}">
      <formula1>bulan3</formula1>
    </dataValidation>
    <dataValidation type="list" allowBlank="1" showInputMessage="1" showErrorMessage="1" sqref="C9:C28" xr:uid="{B1A31999-7127-6941-82D7-F61F0CA00068}">
      <formula1>At_kode</formula1>
    </dataValidation>
  </dataValidations>
  <hyperlinks>
    <hyperlink ref="B2" location="MENU!D8" display="MENU" xr:uid="{6E31AF09-5889-654F-B12E-8BD1D7A9DF48}"/>
  </hyperlinks>
  <pageMargins left="0.7" right="0.7" top="0.75" bottom="0.75" header="0.3" footer="0.3"/>
  <pageSetup paperSize="9" scale="34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149</vt:i4>
      </vt:variant>
    </vt:vector>
  </HeadingPairs>
  <TitlesOfParts>
    <vt:vector size="171" baseType="lpstr">
      <vt:lpstr>PROFIL</vt:lpstr>
      <vt:lpstr>KB</vt:lpstr>
      <vt:lpstr>DIVISI</vt:lpstr>
      <vt:lpstr>JURNAL</vt:lpstr>
      <vt:lpstr>AKUN</vt:lpstr>
      <vt:lpstr>BB</vt:lpstr>
      <vt:lpstr>MENU</vt:lpstr>
      <vt:lpstr>JENIS_ASET</vt:lpstr>
      <vt:lpstr>DAFTAR_ASET</vt:lpstr>
      <vt:lpstr>NRC_LJR</vt:lpstr>
      <vt:lpstr>NERACA</vt:lpstr>
      <vt:lpstr>LR_DIVISI</vt:lpstr>
      <vt:lpstr>LR_DIV</vt:lpstr>
      <vt:lpstr>LR</vt:lpstr>
      <vt:lpstr>ARUSKAS</vt:lpstr>
      <vt:lpstr>EKUITAS</vt:lpstr>
      <vt:lpstr>BUKTI1</vt:lpstr>
      <vt:lpstr>NERACA_12</vt:lpstr>
      <vt:lpstr>LR12_DIV</vt:lpstr>
      <vt:lpstr>LR12_PRJ</vt:lpstr>
      <vt:lpstr>LR12</vt:lpstr>
      <vt:lpstr>BP</vt:lpstr>
      <vt:lpstr>AGUNG</vt:lpstr>
      <vt:lpstr>ak_aktlainnya</vt:lpstr>
      <vt:lpstr>ak_aktlcrlainnya</vt:lpstr>
      <vt:lpstr>ak_akttetap</vt:lpstr>
      <vt:lpstr>ak_beban</vt:lpstr>
      <vt:lpstr>ak_bebanlain</vt:lpstr>
      <vt:lpstr>ak_dapatlainnya</vt:lpstr>
      <vt:lpstr>ak_depresiasi</vt:lpstr>
      <vt:lpstr>ak_ekuitas</vt:lpstr>
      <vt:lpstr>ak_hpp</vt:lpstr>
      <vt:lpstr>ak_hutang</vt:lpstr>
      <vt:lpstr>ak_kwjbnjkp</vt:lpstr>
      <vt:lpstr>ak_kwjbnlcrlainnya</vt:lpstr>
      <vt:lpstr>ak_pendapatan</vt:lpstr>
      <vt:lpstr>ak_persediaan</vt:lpstr>
      <vt:lpstr>ak_piut</vt:lpstr>
      <vt:lpstr>akhir</vt:lpstr>
      <vt:lpstr>aktivasi</vt:lpstr>
      <vt:lpstr>akun_db</vt:lpstr>
      <vt:lpstr>akun_kb</vt:lpstr>
      <vt:lpstr>akun_kb2</vt:lpstr>
      <vt:lpstr>akun_kd</vt:lpstr>
      <vt:lpstr>akun_ket</vt:lpstr>
      <vt:lpstr>akun_kr</vt:lpstr>
      <vt:lpstr>akun_no</vt:lpstr>
      <vt:lpstr>akun_type</vt:lpstr>
      <vt:lpstr>at_akum</vt:lpstr>
      <vt:lpstr>At_kode</vt:lpstr>
      <vt:lpstr>at_penyusutan</vt:lpstr>
      <vt:lpstr>at_perolehan</vt:lpstr>
      <vt:lpstr>at_type</vt:lpstr>
      <vt:lpstr>awal</vt:lpstr>
      <vt:lpstr>bb_akun</vt:lpstr>
      <vt:lpstr>BP!bb_sn</vt:lpstr>
      <vt:lpstr>bb_sn</vt:lpstr>
      <vt:lpstr>bp_kode</vt:lpstr>
      <vt:lpstr>bulan</vt:lpstr>
      <vt:lpstr>bulan3</vt:lpstr>
      <vt:lpstr>data</vt:lpstr>
      <vt:lpstr>div_kd</vt:lpstr>
      <vt:lpstr>div_kd2</vt:lpstr>
      <vt:lpstr>div_ket</vt:lpstr>
      <vt:lpstr>div_list</vt:lpstr>
      <vt:lpstr>exact_awe</vt:lpstr>
      <vt:lpstr>HASNI</vt:lpstr>
      <vt:lpstr>ja_tanah</vt:lpstr>
      <vt:lpstr>jenis_type</vt:lpstr>
      <vt:lpstr>jenis_ue</vt:lpstr>
      <vt:lpstr>ju_ak</vt:lpstr>
      <vt:lpstr>ju_ak2</vt:lpstr>
      <vt:lpstr>ju_bln</vt:lpstr>
      <vt:lpstr>ju_debet</vt:lpstr>
      <vt:lpstr>ju_div</vt:lpstr>
      <vt:lpstr>ju_div2</vt:lpstr>
      <vt:lpstr>ju_kb</vt:lpstr>
      <vt:lpstr>ju_kdb</vt:lpstr>
      <vt:lpstr>ju_ket</vt:lpstr>
      <vt:lpstr>ju_kr</vt:lpstr>
      <vt:lpstr>ju_prj</vt:lpstr>
      <vt:lpstr>ju_prj2</vt:lpstr>
      <vt:lpstr>ju_ref</vt:lpstr>
      <vt:lpstr>ju_sld</vt:lpstr>
      <vt:lpstr>ju_tgl</vt:lpstr>
      <vt:lpstr>ju_typdb</vt:lpstr>
      <vt:lpstr>ju_typkr</vt:lpstr>
      <vt:lpstr>ju_voucher</vt:lpstr>
      <vt:lpstr>kb_awal</vt:lpstr>
      <vt:lpstr>kb_jenis</vt:lpstr>
      <vt:lpstr>kb_kd2</vt:lpstr>
      <vt:lpstr>kb_kode</vt:lpstr>
      <vt:lpstr>kb_nama</vt:lpstr>
      <vt:lpstr>list_db</vt:lpstr>
      <vt:lpstr>lr_dashboard</vt:lpstr>
      <vt:lpstr>lr_dashboard2</vt:lpstr>
      <vt:lpstr>lr12_1</vt:lpstr>
      <vt:lpstr>lr12_10</vt:lpstr>
      <vt:lpstr>lr12_11</vt:lpstr>
      <vt:lpstr>lr12_12</vt:lpstr>
      <vt:lpstr>lr12_2</vt:lpstr>
      <vt:lpstr>lr12_3</vt:lpstr>
      <vt:lpstr>lr12_4</vt:lpstr>
      <vt:lpstr>lr12_5</vt:lpstr>
      <vt:lpstr>lr12_6</vt:lpstr>
      <vt:lpstr>lr12_7</vt:lpstr>
      <vt:lpstr>lr12_8</vt:lpstr>
      <vt:lpstr>lr12_9</vt:lpstr>
      <vt:lpstr>lr12_kd</vt:lpstr>
      <vt:lpstr>nrc12_1</vt:lpstr>
      <vt:lpstr>nrc12_10</vt:lpstr>
      <vt:lpstr>nrc12_11</vt:lpstr>
      <vt:lpstr>nrc12_12</vt:lpstr>
      <vt:lpstr>nrc12_2</vt:lpstr>
      <vt:lpstr>nrc12_3</vt:lpstr>
      <vt:lpstr>nrc12_4</vt:lpstr>
      <vt:lpstr>nrc12_5</vt:lpstr>
      <vt:lpstr>nrc12_6</vt:lpstr>
      <vt:lpstr>nrc12_7</vt:lpstr>
      <vt:lpstr>nrc12_8</vt:lpstr>
      <vt:lpstr>nrc12_9</vt:lpstr>
      <vt:lpstr>nrc12_kode</vt:lpstr>
      <vt:lpstr>nrc12_sa</vt:lpstr>
      <vt:lpstr>nrc12_type</vt:lpstr>
      <vt:lpstr>nrl_akhirdb</vt:lpstr>
      <vt:lpstr>nrl_akhirkr</vt:lpstr>
      <vt:lpstr>nrl_grkdb</vt:lpstr>
      <vt:lpstr>nrl_grkkr</vt:lpstr>
      <vt:lpstr>nrl_kode</vt:lpstr>
      <vt:lpstr>nrl_nama</vt:lpstr>
      <vt:lpstr>nrl_sadb</vt:lpstr>
      <vt:lpstr>nrl_sakr</vt:lpstr>
      <vt:lpstr>AKUN!Print_Area</vt:lpstr>
      <vt:lpstr>ARUSKAS!Print_Area</vt:lpstr>
      <vt:lpstr>BB!Print_Area</vt:lpstr>
      <vt:lpstr>BP!Print_Area</vt:lpstr>
      <vt:lpstr>BUKTI1!Print_Area</vt:lpstr>
      <vt:lpstr>DAFTAR_ASET!Print_Area</vt:lpstr>
      <vt:lpstr>DIVISI!Print_Area</vt:lpstr>
      <vt:lpstr>EKUITAS!Print_Area</vt:lpstr>
      <vt:lpstr>JURNAL!Print_Area</vt:lpstr>
      <vt:lpstr>KB!Print_Area</vt:lpstr>
      <vt:lpstr>LR!Print_Area</vt:lpstr>
      <vt:lpstr>LR_DIV!Print_Area</vt:lpstr>
      <vt:lpstr>LR_DIVISI!Print_Area</vt:lpstr>
      <vt:lpstr>'LR12'!Print_Area</vt:lpstr>
      <vt:lpstr>LR12_DIV!Print_Area</vt:lpstr>
      <vt:lpstr>LR12_PRJ!Print_Area</vt:lpstr>
      <vt:lpstr>NERACA!Print_Area</vt:lpstr>
      <vt:lpstr>NERACA_12!Print_Area</vt:lpstr>
      <vt:lpstr>PROFIL!Print_Area</vt:lpstr>
      <vt:lpstr>AKUN!Print_Titles</vt:lpstr>
      <vt:lpstr>JURNAL!Print_Titles</vt:lpstr>
      <vt:lpstr>prof_alamat</vt:lpstr>
      <vt:lpstr>prof_buat</vt:lpstr>
      <vt:lpstr>prof_email</vt:lpstr>
      <vt:lpstr>prof_hp</vt:lpstr>
      <vt:lpstr>prof_ketahui</vt:lpstr>
      <vt:lpstr>prof_menyetujui</vt:lpstr>
      <vt:lpstr>prof_nama</vt:lpstr>
      <vt:lpstr>prof_thn</vt:lpstr>
      <vt:lpstr>sarjayadi_awe</vt:lpstr>
      <vt:lpstr>serialnumber</vt:lpstr>
      <vt:lpstr>typ_ket</vt:lpstr>
      <vt:lpstr>typ_list</vt:lpstr>
      <vt:lpstr>typ_pos</vt:lpstr>
      <vt:lpstr>typ_sn</vt:lpstr>
      <vt:lpstr>type_bulan5</vt:lpstr>
      <vt:lpstr>val_jurnal</vt:lpstr>
      <vt:lpstr>val_kb</vt:lpstr>
      <vt:lpstr>xcd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kahfi</dc:creator>
  <cp:lastModifiedBy>HP</cp:lastModifiedBy>
  <cp:lastPrinted>2023-01-31T09:24:13Z</cp:lastPrinted>
  <dcterms:created xsi:type="dcterms:W3CDTF">2022-07-16T14:32:26Z</dcterms:created>
  <dcterms:modified xsi:type="dcterms:W3CDTF">2023-02-18T14:18:51Z</dcterms:modified>
</cp:coreProperties>
</file>