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rowan-my.sharepoint.com/personal/gouldj5_students_rowan_edu/Documents/ru916175_2018/_seniorI/VLSI/_project/"/>
    </mc:Choice>
  </mc:AlternateContent>
  <xr:revisionPtr revIDLastSave="0" documentId="10_ncr:100000_{A29BB3AC-EC54-473E-96D1-5320C154DDC9}" xr6:coauthVersionLast="31" xr6:coauthVersionMax="40" xr10:uidLastSave="{00000000-0000-0000-0000-000000000000}"/>
  <bookViews>
    <workbookView xWindow="0" yWindow="0" windowWidth="24000" windowHeight="9615" xr2:uid="{478F6BF9-5E15-4E81-A12F-2939983C4B01}"/>
  </bookViews>
  <sheets>
    <sheet name="Sheet1" sheetId="1" r:id="rId1"/>
  </sheets>
  <definedNames>
    <definedName name="_xlnm._FilterDatabase" localSheetId="0" hidden="1">Sheet1!$A$1:$H$1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9" i="1" l="1"/>
  <c r="X59" i="1"/>
  <c r="Y59" i="1"/>
  <c r="V59" i="1"/>
  <c r="V58" i="1"/>
  <c r="Y58" i="1"/>
  <c r="X58" i="1"/>
  <c r="W58" i="1"/>
  <c r="Y53" i="1"/>
  <c r="Y54" i="1"/>
  <c r="Y55" i="1"/>
  <c r="X53" i="1"/>
  <c r="X54" i="1"/>
  <c r="X55" i="1"/>
  <c r="Y49" i="1"/>
  <c r="Y50" i="1"/>
  <c r="Y51" i="1"/>
  <c r="Y52" i="1"/>
  <c r="X52" i="1"/>
  <c r="X50" i="1"/>
  <c r="X51" i="1"/>
  <c r="X49" i="1"/>
  <c r="V50" i="1"/>
  <c r="X43" i="1"/>
  <c r="X42" i="1"/>
  <c r="V49" i="1"/>
  <c r="V52" i="1"/>
  <c r="V54" i="1" s="1"/>
  <c r="V55" i="1" s="1"/>
  <c r="U49" i="1"/>
  <c r="V43" i="1"/>
  <c r="V42" i="1"/>
  <c r="U51" i="1"/>
  <c r="U50" i="1"/>
  <c r="U54" i="1"/>
  <c r="U55" i="1" s="1"/>
  <c r="V33" i="1"/>
  <c r="V34" i="1"/>
  <c r="V39" i="1"/>
  <c r="V38" i="1"/>
  <c r="V35" i="1"/>
  <c r="U39" i="1"/>
  <c r="U38" i="1"/>
  <c r="U34" i="1"/>
  <c r="V27" i="1"/>
  <c r="V26" i="1"/>
  <c r="U33" i="1"/>
  <c r="P46" i="1" l="1"/>
  <c r="O46" i="1"/>
  <c r="O47" i="1"/>
  <c r="N44" i="1"/>
  <c r="Q44" i="1"/>
  <c r="R33" i="1"/>
  <c r="P35" i="1"/>
  <c r="R35" i="1" s="1"/>
  <c r="Q35" i="1"/>
  <c r="R36" i="1"/>
  <c r="P37" i="1"/>
  <c r="Q37" i="1"/>
  <c r="N38" i="1"/>
  <c r="O29" i="1" l="1"/>
  <c r="P29" i="1"/>
  <c r="Q29" i="1"/>
  <c r="N29" i="1"/>
  <c r="N27" i="1"/>
  <c r="AD4" i="1"/>
  <c r="AD7" i="1" s="1"/>
  <c r="AD9" i="1" s="1"/>
  <c r="AD10" i="1" s="1"/>
  <c r="AD6" i="1"/>
  <c r="AD3" i="1"/>
  <c r="AA5" i="1"/>
  <c r="W6" i="1"/>
  <c r="AB4" i="1"/>
  <c r="W5" i="1"/>
  <c r="Z4" i="1"/>
  <c r="W4" i="1"/>
  <c r="U3" i="1" l="1"/>
  <c r="S4" i="1"/>
  <c r="N4" i="1"/>
  <c r="U4" i="1" s="1"/>
  <c r="O5" i="1" l="1"/>
  <c r="F3" i="1" l="1"/>
  <c r="F4" i="1"/>
  <c r="F2" i="1"/>
  <c r="G2" i="1" s="1"/>
  <c r="H2" i="1" s="1"/>
  <c r="I2" i="1" s="1"/>
  <c r="C4" i="1"/>
  <c r="C3" i="1"/>
  <c r="C2" i="1"/>
  <c r="G4" i="1" l="1"/>
  <c r="H4" i="1" s="1"/>
  <c r="I4" i="1" s="1"/>
  <c r="G3" i="1"/>
  <c r="H3" i="1" s="1"/>
  <c r="I3" i="1" s="1"/>
</calcChain>
</file>

<file path=xl/sharedStrings.xml><?xml version="1.0" encoding="utf-8"?>
<sst xmlns="http://schemas.openxmlformats.org/spreadsheetml/2006/main" count="79" uniqueCount="53">
  <si>
    <t>N</t>
  </si>
  <si>
    <t>G</t>
  </si>
  <si>
    <t>P</t>
  </si>
  <si>
    <t>H</t>
  </si>
  <si>
    <t>D</t>
  </si>
  <si>
    <t>NAND3-NAND3</t>
  </si>
  <si>
    <t>NAND3-NAND3-NAND2-NAND3</t>
  </si>
  <si>
    <t>LAYOUT</t>
  </si>
  <si>
    <t>NAND3-NOR2-NAND3</t>
  </si>
  <si>
    <t>F</t>
  </si>
  <si>
    <t>f^</t>
  </si>
  <si>
    <t>B</t>
  </si>
  <si>
    <t>Latch N=1</t>
  </si>
  <si>
    <t>tpd</t>
  </si>
  <si>
    <t>h</t>
  </si>
  <si>
    <t>Average</t>
  </si>
  <si>
    <t>g = 29.6 ps</t>
  </si>
  <si>
    <t>p = 49.9 ps</t>
  </si>
  <si>
    <t>Normalized Average</t>
  </si>
  <si>
    <t>g = 1</t>
  </si>
  <si>
    <t>p = 1</t>
  </si>
  <si>
    <t>g</t>
  </si>
  <si>
    <t>p</t>
  </si>
  <si>
    <t>b</t>
  </si>
  <si>
    <t xml:space="preserve">fhat = </t>
  </si>
  <si>
    <t xml:space="preserve">D = </t>
  </si>
  <si>
    <t>h =</t>
  </si>
  <si>
    <t>f</t>
  </si>
  <si>
    <t>Qm</t>
  </si>
  <si>
    <t>Q</t>
  </si>
  <si>
    <t>tpdr</t>
  </si>
  <si>
    <t>CLK-Qm</t>
  </si>
  <si>
    <t>CLK-Q</t>
  </si>
  <si>
    <t>Qm-Q</t>
  </si>
  <si>
    <t>CLK-p</t>
  </si>
  <si>
    <t>CLK-n</t>
  </si>
  <si>
    <t>tpdf</t>
  </si>
  <si>
    <t>TPD</t>
  </si>
  <si>
    <t>ns</t>
  </si>
  <si>
    <t>Layout</t>
  </si>
  <si>
    <t>Schematic</t>
  </si>
  <si>
    <t>Calculation</t>
  </si>
  <si>
    <t>Time</t>
  </si>
  <si>
    <t>Units</t>
  </si>
  <si>
    <t xml:space="preserve">tpdr </t>
  </si>
  <si>
    <t>tr</t>
  </si>
  <si>
    <t>tf</t>
  </si>
  <si>
    <t>DATA INPUT</t>
  </si>
  <si>
    <t>high</t>
  </si>
  <si>
    <t>low</t>
  </si>
  <si>
    <t>r</t>
  </si>
  <si>
    <t>CLKF</t>
  </si>
  <si>
    <t>CLK-Q'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</si>
</sst>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000000"/>
      <name val="Arial"/>
      <family val="2"/>
    </font>
    <font>
      <sz val="18"/>
      <name val="Arial"/>
    </font>
    <font>
      <b/>
      <sz val="16"/>
      <color rgb="FF000000"/>
      <name val="Cambria"/>
    </font>
    <font>
      <sz val="16"/>
      <color rgb="FF000000"/>
      <name val="Cambria"/>
    </font>
    <font>
      <sz val="16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E6E6E6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2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left" vertical="center" wrapText="1" indent="1" readingOrder="1"/>
    </xf>
    <xf numFmtId="0" fontId="6" fillId="3" borderId="1" xfId="0" applyFont="1" applyFill="1" applyBorder="1" applyAlignment="1">
      <alignment horizontal="left" vertical="center" wrapText="1" indent="1" readingOrder="1"/>
    </xf>
    <xf numFmtId="0" fontId="4" fillId="0" borderId="1" xfId="0" applyFont="1" applyBorder="1" applyAlignment="1">
      <alignment horizontal="left" vertical="center" wrapText="1" indent="1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</a:t>
            </a:r>
            <a:r>
              <a:rPr lang="en-US" baseline="0"/>
              <a:t> (d = </a:t>
            </a:r>
            <a:r>
              <a:rPr lang="en-US"/>
              <a:t>gh+p)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tpd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685686549455291E-2"/>
                  <c:y val="-6.84517426774644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Sheet1!$K$3:$K$5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Sheet1!$L$3:$L$5</c:f>
              <c:numCache>
                <c:formatCode>General</c:formatCode>
                <c:ptCount val="3"/>
                <c:pt idx="0">
                  <c:v>212.10499999999999</c:v>
                </c:pt>
                <c:pt idx="1">
                  <c:v>261.3</c:v>
                </c:pt>
                <c:pt idx="2">
                  <c:v>297.012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8-417B-BCF7-C7F9DF07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206744"/>
        <c:axId val="554206088"/>
      </c:scatterChart>
      <c:valAx>
        <c:axId val="554206744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06088"/>
        <c:crosses val="autoZero"/>
        <c:crossBetween val="midCat"/>
        <c:majorUnit val="1"/>
      </c:valAx>
      <c:valAx>
        <c:axId val="554206088"/>
        <c:scaling>
          <c:orientation val="minMax"/>
          <c:max val="32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Logical Effort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0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 (d</a:t>
            </a:r>
            <a:r>
              <a:rPr lang="en-US" baseline="0"/>
              <a:t> = gh + 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tpd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Sheet1!$P$3:$P$5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Sheet1!$Q$3:$Q$5</c:f>
              <c:numCache>
                <c:formatCode>General</c:formatCode>
                <c:ptCount val="3"/>
                <c:pt idx="0">
                  <c:v>49.9</c:v>
                </c:pt>
                <c:pt idx="1">
                  <c:v>73.2</c:v>
                </c:pt>
                <c:pt idx="2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7-48BA-8A04-EBE8CEC9F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04864"/>
        <c:axId val="620714048"/>
      </c:scatterChart>
      <c:valAx>
        <c:axId val="620704864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14048"/>
        <c:crosses val="autoZero"/>
        <c:crossBetween val="midCat"/>
        <c:majorUnit val="1"/>
      </c:valAx>
      <c:valAx>
        <c:axId val="62071404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0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76199</xdr:rowOff>
    </xdr:from>
    <xdr:to>
      <xdr:col>13</xdr:col>
      <xdr:colOff>104775</xdr:colOff>
      <xdr:row>22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F572B-0249-466F-877F-9832864F7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461962</xdr:colOff>
      <xdr:row>6</xdr:row>
      <xdr:rowOff>42862</xdr:rowOff>
    </xdr:from>
    <xdr:to>
      <xdr:col>22</xdr:col>
      <xdr:colOff>157162</xdr:colOff>
      <xdr:row>13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FF46C1-412F-4F26-983E-BD9E53E61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3669-4D58-4C4E-9E98-4D56319F496E}">
  <dimension ref="A1:AD59"/>
  <sheetViews>
    <sheetView tabSelected="1" topLeftCell="U1" zoomScaleNormal="100" workbookViewId="0">
      <pane ySplit="1" topLeftCell="A42" activePane="bottomLeft" state="frozenSplit"/>
      <selection pane="bottomLeft" activeCell="T23" sqref="T23:Y59"/>
    </sheetView>
  </sheetViews>
  <sheetFormatPr defaultRowHeight="15" x14ac:dyDescent="0.25"/>
  <cols>
    <col min="1" max="1" width="30.5703125" customWidth="1"/>
    <col min="2" max="3" width="4.7109375" bestFit="1" customWidth="1"/>
    <col min="4" max="4" width="4.42578125" bestFit="1" customWidth="1"/>
    <col min="5" max="6" width="4.42578125" customWidth="1"/>
    <col min="7" max="7" width="7.85546875" customWidth="1"/>
    <col min="8" max="8" width="4.5703125" bestFit="1" customWidth="1"/>
    <col min="16" max="16" width="10.85546875" bestFit="1" customWidth="1"/>
    <col min="26" max="26" width="9.42578125" bestFit="1" customWidth="1"/>
    <col min="30" max="30" width="17" bestFit="1" customWidth="1"/>
  </cols>
  <sheetData>
    <row r="1" spans="1:30" s="1" customFormat="1" x14ac:dyDescent="0.25">
      <c r="A1" s="4" t="s">
        <v>7</v>
      </c>
      <c r="B1" s="4" t="s">
        <v>0</v>
      </c>
      <c r="C1" s="4" t="s">
        <v>1</v>
      </c>
      <c r="D1" s="4" t="s">
        <v>2</v>
      </c>
      <c r="E1" s="4" t="s">
        <v>11</v>
      </c>
      <c r="F1" s="4" t="s">
        <v>3</v>
      </c>
      <c r="G1" s="4" t="s">
        <v>9</v>
      </c>
      <c r="H1" s="4" t="s">
        <v>10</v>
      </c>
      <c r="I1" s="4" t="s">
        <v>4</v>
      </c>
      <c r="J1" s="4"/>
      <c r="L1" s="4" t="s">
        <v>12</v>
      </c>
      <c r="M1" s="4"/>
    </row>
    <row r="2" spans="1:30" ht="15.75" thickBot="1" x14ac:dyDescent="0.3">
      <c r="A2" t="s">
        <v>5</v>
      </c>
      <c r="B2">
        <v>2</v>
      </c>
      <c r="C2">
        <f>(5/3)*(5/3)</f>
        <v>2.7777777777777781</v>
      </c>
      <c r="D2">
        <v>6</v>
      </c>
      <c r="E2">
        <v>2</v>
      </c>
      <c r="F2">
        <f>30</f>
        <v>30</v>
      </c>
      <c r="G2">
        <f>F2*E2*C2</f>
        <v>166.66666666666669</v>
      </c>
      <c r="H2">
        <f>G2^(1/B2)</f>
        <v>12.909944487358057</v>
      </c>
      <c r="I2">
        <f>H2*B2+D2</f>
        <v>31.819888974716115</v>
      </c>
      <c r="K2" s="3" t="s">
        <v>14</v>
      </c>
      <c r="L2" s="2" t="s">
        <v>13</v>
      </c>
      <c r="P2" s="3" t="s">
        <v>14</v>
      </c>
      <c r="Q2" s="2" t="s">
        <v>13</v>
      </c>
    </row>
    <row r="3" spans="1:30" ht="41.25" thickBot="1" x14ac:dyDescent="0.3">
      <c r="A3" t="s">
        <v>6</v>
      </c>
      <c r="B3">
        <v>4</v>
      </c>
      <c r="C3">
        <f>(5/3)*(5/3)*(4/3)*(5/3)</f>
        <v>6.1728395061728403</v>
      </c>
      <c r="D3">
        <v>11</v>
      </c>
      <c r="E3">
        <v>6</v>
      </c>
      <c r="F3">
        <f>30</f>
        <v>30</v>
      </c>
      <c r="G3">
        <f t="shared" ref="G3:G4" si="0">F3*E3*C3</f>
        <v>1111.1111111111113</v>
      </c>
      <c r="H3">
        <f t="shared" ref="H3:H4" si="1">G3^(1/B3)</f>
        <v>5.7735026918962582</v>
      </c>
      <c r="I3">
        <f t="shared" ref="I3:I4" si="2">H3*B3+D3</f>
        <v>34.094010767585033</v>
      </c>
      <c r="K3" s="5">
        <v>0</v>
      </c>
      <c r="L3">
        <v>212.10499999999999</v>
      </c>
      <c r="M3" t="s">
        <v>21</v>
      </c>
      <c r="N3">
        <v>42.454000000000001</v>
      </c>
      <c r="P3" s="5">
        <v>0</v>
      </c>
      <c r="Q3" s="5">
        <v>49.9</v>
      </c>
      <c r="R3" t="s">
        <v>21</v>
      </c>
      <c r="S3">
        <v>29.55</v>
      </c>
      <c r="U3">
        <f>N3/S3</f>
        <v>1.43668358714044</v>
      </c>
      <c r="Y3" s="8" t="s">
        <v>23</v>
      </c>
      <c r="Z3" s="9">
        <v>1</v>
      </c>
      <c r="AA3" s="9">
        <v>2</v>
      </c>
      <c r="AB3" s="9">
        <v>1</v>
      </c>
      <c r="AC3" s="9">
        <v>3</v>
      </c>
      <c r="AD3" s="13">
        <f>PRODUCT(Z3:AC3)</f>
        <v>6</v>
      </c>
    </row>
    <row r="4" spans="1:30" ht="41.25" thickBot="1" x14ac:dyDescent="0.3">
      <c r="A4" t="s">
        <v>8</v>
      </c>
      <c r="B4">
        <v>3</v>
      </c>
      <c r="C4">
        <f>(5/3)*(5.3)*(5/3)</f>
        <v>14.722222222222223</v>
      </c>
      <c r="D4">
        <v>8</v>
      </c>
      <c r="E4">
        <v>2</v>
      </c>
      <c r="F4">
        <f>30</f>
        <v>30</v>
      </c>
      <c r="G4">
        <f t="shared" si="0"/>
        <v>883.33333333333337</v>
      </c>
      <c r="H4">
        <f t="shared" si="1"/>
        <v>9.5949240140837944</v>
      </c>
      <c r="I4">
        <f t="shared" si="2"/>
        <v>36.784772042251383</v>
      </c>
      <c r="K4" s="5">
        <v>1</v>
      </c>
      <c r="L4">
        <v>261.3</v>
      </c>
      <c r="M4" t="s">
        <v>22</v>
      </c>
      <c r="N4">
        <f>L3</f>
        <v>212.10499999999999</v>
      </c>
      <c r="P4" s="5">
        <v>1</v>
      </c>
      <c r="Q4" s="5">
        <v>73.2</v>
      </c>
      <c r="R4" t="s">
        <v>22</v>
      </c>
      <c r="S4">
        <f xml:space="preserve"> 49.9</f>
        <v>49.9</v>
      </c>
      <c r="U4">
        <f>N4/S4</f>
        <v>4.2506012024048099</v>
      </c>
      <c r="W4">
        <f>5/3</f>
        <v>1.6666666666666667</v>
      </c>
      <c r="Y4" s="10" t="s">
        <v>21</v>
      </c>
      <c r="Z4">
        <f>5/3</f>
        <v>1.6666666666666667</v>
      </c>
      <c r="AA4" s="11">
        <v>1.4367000000000001</v>
      </c>
      <c r="AB4">
        <f>4/3</f>
        <v>1.3333333333333333</v>
      </c>
      <c r="AC4" s="11">
        <v>1.4367000000000001</v>
      </c>
      <c r="AD4" s="14">
        <f xml:space="preserve"> PRODUCT(Z4:AC4)</f>
        <v>4.5869042000000002</v>
      </c>
    </row>
    <row r="5" spans="1:30" ht="21" thickBot="1" x14ac:dyDescent="0.3">
      <c r="K5" s="5">
        <v>2</v>
      </c>
      <c r="L5">
        <v>297.012</v>
      </c>
      <c r="O5">
        <f>42.454+214.35</f>
        <v>256.80399999999997</v>
      </c>
      <c r="P5" s="5">
        <v>2</v>
      </c>
      <c r="Q5" s="5">
        <v>109</v>
      </c>
      <c r="W5">
        <f>4/3</f>
        <v>1.3333333333333333</v>
      </c>
      <c r="Y5" s="10" t="s">
        <v>14</v>
      </c>
      <c r="Z5" s="12">
        <v>0.36399999999999999</v>
      </c>
      <c r="AA5">
        <f>9/5</f>
        <v>1.8</v>
      </c>
      <c r="AB5" s="12">
        <v>0.45500000000000002</v>
      </c>
      <c r="AC5" s="12">
        <v>0.45500000000000002</v>
      </c>
      <c r="AD5" s="14">
        <v>30</v>
      </c>
    </row>
    <row r="6" spans="1:30" ht="21" thickBot="1" x14ac:dyDescent="0.3">
      <c r="P6" s="5"/>
      <c r="Q6" s="5"/>
      <c r="W6">
        <f>9/5</f>
        <v>1.8</v>
      </c>
      <c r="Y6" s="10" t="s">
        <v>22</v>
      </c>
      <c r="Z6" s="12">
        <v>3</v>
      </c>
      <c r="AA6" s="11">
        <v>4.2506000000000004</v>
      </c>
      <c r="AB6" s="12">
        <v>2</v>
      </c>
      <c r="AC6" s="11">
        <v>4.2506000000000004</v>
      </c>
      <c r="AD6" s="14">
        <f>SUM(Z6:AC6)</f>
        <v>13.501200000000001</v>
      </c>
    </row>
    <row r="7" spans="1:30" ht="102" thickBot="1" x14ac:dyDescent="0.3">
      <c r="R7" s="6"/>
      <c r="Y7" s="15"/>
      <c r="Z7" s="12">
        <v>5.46</v>
      </c>
      <c r="AA7" s="12">
        <v>5.46</v>
      </c>
      <c r="AB7" s="12">
        <v>5.46</v>
      </c>
      <c r="AC7" s="12">
        <v>5.46</v>
      </c>
      <c r="AD7" s="14">
        <f>AD4*AD3*AD5</f>
        <v>825.64275600000008</v>
      </c>
    </row>
    <row r="8" spans="1:30" ht="30" x14ac:dyDescent="0.25">
      <c r="R8" s="6"/>
    </row>
    <row r="9" spans="1:30" ht="30" x14ac:dyDescent="0.25">
      <c r="R9" s="7"/>
      <c r="AC9" t="s">
        <v>24</v>
      </c>
      <c r="AD9">
        <f>(AD7)^(0.25)</f>
        <v>5.3604104320471579</v>
      </c>
    </row>
    <row r="10" spans="1:30" ht="30" x14ac:dyDescent="0.25">
      <c r="R10" s="7"/>
      <c r="AC10" t="s">
        <v>25</v>
      </c>
      <c r="AD10">
        <f>AD9*4 + AD6</f>
        <v>34.942841728188633</v>
      </c>
    </row>
    <row r="11" spans="1:30" ht="30" x14ac:dyDescent="0.25">
      <c r="R11" s="6"/>
    </row>
    <row r="12" spans="1:30" ht="30" x14ac:dyDescent="0.25">
      <c r="R12" s="7"/>
    </row>
    <row r="13" spans="1:30" ht="30" x14ac:dyDescent="0.25">
      <c r="R13" s="7"/>
    </row>
    <row r="14" spans="1:30" ht="30" x14ac:dyDescent="0.25">
      <c r="R14" s="6" t="s">
        <v>15</v>
      </c>
    </row>
    <row r="15" spans="1:30" ht="30" x14ac:dyDescent="0.25">
      <c r="R15" s="7" t="s">
        <v>16</v>
      </c>
    </row>
    <row r="16" spans="1:30" ht="30" x14ac:dyDescent="0.25">
      <c r="R16" s="7" t="s">
        <v>17</v>
      </c>
    </row>
    <row r="17" spans="13:24" ht="30" x14ac:dyDescent="0.25">
      <c r="R17" s="6" t="s">
        <v>18</v>
      </c>
    </row>
    <row r="18" spans="13:24" ht="30" x14ac:dyDescent="0.25">
      <c r="R18" s="7" t="s">
        <v>19</v>
      </c>
    </row>
    <row r="19" spans="13:24" ht="30" x14ac:dyDescent="0.25">
      <c r="R19" s="7" t="s">
        <v>20</v>
      </c>
    </row>
    <row r="23" spans="13:24" x14ac:dyDescent="0.25">
      <c r="V23" t="s">
        <v>51</v>
      </c>
    </row>
    <row r="24" spans="13:24" x14ac:dyDescent="0.25">
      <c r="V24">
        <v>15</v>
      </c>
    </row>
    <row r="25" spans="13:24" x14ac:dyDescent="0.25">
      <c r="T25" t="s">
        <v>47</v>
      </c>
    </row>
    <row r="26" spans="13:24" x14ac:dyDescent="0.25">
      <c r="M26" t="s">
        <v>27</v>
      </c>
      <c r="N26">
        <v>5.46</v>
      </c>
      <c r="O26">
        <v>5.46</v>
      </c>
      <c r="P26">
        <v>5.46</v>
      </c>
      <c r="Q26">
        <v>5.46</v>
      </c>
      <c r="T26" t="s">
        <v>48</v>
      </c>
      <c r="U26">
        <v>3.3218749999999999</v>
      </c>
      <c r="V26">
        <f>18.2052-V24</f>
        <v>3.2052000000000014</v>
      </c>
      <c r="W26">
        <v>3.1030000000000002</v>
      </c>
      <c r="X26">
        <v>18.4801</v>
      </c>
    </row>
    <row r="27" spans="13:24" x14ac:dyDescent="0.25">
      <c r="M27" t="s">
        <v>21</v>
      </c>
      <c r="N27" s="16">
        <f>5/3</f>
        <v>1.6666666666666667</v>
      </c>
      <c r="O27">
        <v>1.4367000000000001</v>
      </c>
      <c r="P27" s="17">
        <v>1.3333333333333333</v>
      </c>
      <c r="Q27">
        <v>1.4367000000000001</v>
      </c>
      <c r="T27" t="s">
        <v>49</v>
      </c>
      <c r="U27">
        <v>2.3937919999999999</v>
      </c>
      <c r="V27">
        <f>18.5483-V24</f>
        <v>3.5483000000000011</v>
      </c>
      <c r="W27">
        <v>3.5547300000000002</v>
      </c>
      <c r="X27">
        <v>17.539100000000001</v>
      </c>
    </row>
    <row r="28" spans="13:24" x14ac:dyDescent="0.25">
      <c r="T28" t="s">
        <v>50</v>
      </c>
    </row>
    <row r="29" spans="13:24" x14ac:dyDescent="0.25">
      <c r="M29" t="s">
        <v>26</v>
      </c>
      <c r="N29">
        <f>N26/N27</f>
        <v>3.2759999999999998</v>
      </c>
      <c r="O29">
        <f t="shared" ref="O29:Q29" si="3">O26/O27</f>
        <v>3.8003758613489245</v>
      </c>
      <c r="P29">
        <f t="shared" si="3"/>
        <v>4.0950000000000006</v>
      </c>
      <c r="Q29">
        <f t="shared" si="3"/>
        <v>3.8003758613489245</v>
      </c>
      <c r="T29" t="s">
        <v>27</v>
      </c>
    </row>
    <row r="32" spans="13:24" x14ac:dyDescent="0.25">
      <c r="M32" s="18"/>
      <c r="N32" s="18" t="s">
        <v>34</v>
      </c>
      <c r="O32" s="5" t="s">
        <v>35</v>
      </c>
      <c r="P32" s="18" t="s">
        <v>28</v>
      </c>
      <c r="Q32" s="18" t="s">
        <v>29</v>
      </c>
      <c r="R32" s="18" t="s">
        <v>33</v>
      </c>
      <c r="U32" s="18" t="s">
        <v>32</v>
      </c>
      <c r="V32" s="18" t="s">
        <v>52</v>
      </c>
    </row>
    <row r="33" spans="13:24" x14ac:dyDescent="0.25">
      <c r="M33" s="18" t="s">
        <v>30</v>
      </c>
      <c r="N33" s="18">
        <v>52</v>
      </c>
      <c r="O33">
        <v>56</v>
      </c>
      <c r="P33" s="18">
        <v>54.305</v>
      </c>
      <c r="Q33" s="18">
        <v>58.132199999999997</v>
      </c>
      <c r="R33" s="18">
        <f>Q33-P33</f>
        <v>3.8271999999999977</v>
      </c>
      <c r="T33" t="s">
        <v>45</v>
      </c>
      <c r="U33">
        <f>U26-U27</f>
        <v>0.92808299999999999</v>
      </c>
      <c r="V33">
        <f>X26-X27</f>
        <v>0.94099999999999895</v>
      </c>
    </row>
    <row r="34" spans="13:24" x14ac:dyDescent="0.25">
      <c r="M34" s="18"/>
      <c r="P34" s="18" t="s">
        <v>31</v>
      </c>
      <c r="Q34" s="18" t="s">
        <v>32</v>
      </c>
      <c r="R34" s="18"/>
      <c r="T34" t="s">
        <v>46</v>
      </c>
      <c r="U34">
        <f>V27-V26</f>
        <v>0.34309999999999974</v>
      </c>
      <c r="V34">
        <f>W27-W26</f>
        <v>0.45172999999999996</v>
      </c>
    </row>
    <row r="35" spans="13:24" x14ac:dyDescent="0.25">
      <c r="M35" s="18"/>
      <c r="P35" s="19">
        <f>P33-N33</f>
        <v>2.3049999999999997</v>
      </c>
      <c r="Q35" s="19">
        <f>Q33-O33</f>
        <v>2.1321999999999974</v>
      </c>
      <c r="R35" s="18">
        <f>Q35-P35</f>
        <v>-0.17280000000000229</v>
      </c>
      <c r="T35" t="s">
        <v>44</v>
      </c>
      <c r="U35">
        <v>2.66778</v>
      </c>
      <c r="V35">
        <f>18.01387-15</f>
        <v>3.0138700000000007</v>
      </c>
    </row>
    <row r="36" spans="13:24" x14ac:dyDescent="0.25">
      <c r="M36" s="18" t="s">
        <v>36</v>
      </c>
      <c r="N36">
        <v>68</v>
      </c>
      <c r="O36">
        <v>72</v>
      </c>
      <c r="P36">
        <v>70.611999999999995</v>
      </c>
      <c r="Q36">
        <v>74.47</v>
      </c>
      <c r="R36" s="18">
        <f t="shared" ref="R36" si="4">Q36-P36</f>
        <v>3.8580000000000041</v>
      </c>
      <c r="T36" t="s">
        <v>36</v>
      </c>
      <c r="U36">
        <v>2.8476300000000001</v>
      </c>
      <c r="V36">
        <v>3.2837730000000001</v>
      </c>
    </row>
    <row r="37" spans="13:24" x14ac:dyDescent="0.25">
      <c r="M37" s="18"/>
      <c r="P37" s="19">
        <f>P36-N36</f>
        <v>2.6119999999999948</v>
      </c>
      <c r="Q37" s="19">
        <f>Q36-O36</f>
        <v>2.4699999999999989</v>
      </c>
      <c r="R37" s="18"/>
    </row>
    <row r="38" spans="13:24" x14ac:dyDescent="0.25">
      <c r="M38" s="18" t="s">
        <v>13</v>
      </c>
      <c r="N38" s="18">
        <f>(Q37+Q35)/2</f>
        <v>2.3010999999999981</v>
      </c>
      <c r="O38" s="18"/>
      <c r="P38" s="18"/>
      <c r="U38">
        <f>U36+U35</f>
        <v>5.5154100000000001</v>
      </c>
      <c r="V38">
        <f>V36+V35</f>
        <v>6.2976430000000008</v>
      </c>
    </row>
    <row r="39" spans="13:24" x14ac:dyDescent="0.25">
      <c r="M39" s="18"/>
      <c r="N39" s="18"/>
      <c r="O39" s="18"/>
      <c r="P39" s="18"/>
      <c r="Q39" t="s">
        <v>42</v>
      </c>
      <c r="R39" t="s">
        <v>43</v>
      </c>
      <c r="U39">
        <f>U38/2</f>
        <v>2.7577050000000001</v>
      </c>
      <c r="V39">
        <f>V38/2</f>
        <v>3.1488215000000004</v>
      </c>
    </row>
    <row r="40" spans="13:24" x14ac:dyDescent="0.25">
      <c r="M40" s="18" t="s">
        <v>37</v>
      </c>
      <c r="P40" s="18" t="s">
        <v>39</v>
      </c>
      <c r="Q40" s="18">
        <v>2.3010999999999999</v>
      </c>
      <c r="R40" s="18" t="s">
        <v>38</v>
      </c>
      <c r="W40" t="s">
        <v>51</v>
      </c>
    </row>
    <row r="41" spans="13:24" x14ac:dyDescent="0.25">
      <c r="M41" s="18"/>
      <c r="P41" s="18" t="s">
        <v>40</v>
      </c>
      <c r="Q41" s="18">
        <v>2.8237000000000001</v>
      </c>
      <c r="R41" s="18" t="s">
        <v>38</v>
      </c>
      <c r="T41" t="s">
        <v>47</v>
      </c>
      <c r="W41">
        <v>16</v>
      </c>
    </row>
    <row r="42" spans="13:24" x14ac:dyDescent="0.25">
      <c r="M42" s="18"/>
      <c r="P42" s="18" t="s">
        <v>41</v>
      </c>
      <c r="Q42" s="18">
        <v>2.0436999999999999</v>
      </c>
      <c r="R42" s="18" t="s">
        <v>38</v>
      </c>
      <c r="T42" t="s">
        <v>48</v>
      </c>
      <c r="U42">
        <v>2.5426899999999999</v>
      </c>
      <c r="V42">
        <f>19.0012-W41</f>
        <v>3.0012000000000008</v>
      </c>
      <c r="W42">
        <v>3.0502899999999999</v>
      </c>
      <c r="X42">
        <f>18.467-W41</f>
        <v>2.4669999999999987</v>
      </c>
    </row>
    <row r="43" spans="13:24" x14ac:dyDescent="0.25">
      <c r="M43" s="18"/>
      <c r="N43" s="18"/>
      <c r="O43" s="18"/>
      <c r="P43" s="18"/>
      <c r="T43" t="s">
        <v>49</v>
      </c>
      <c r="U43">
        <v>3.4601000000000002</v>
      </c>
      <c r="V43">
        <f>17.7623-W41</f>
        <v>1.7622999999999998</v>
      </c>
      <c r="W43">
        <v>1.73512</v>
      </c>
      <c r="X43">
        <f>19.2975-W41</f>
        <v>3.2974999999999994</v>
      </c>
    </row>
    <row r="44" spans="13:24" x14ac:dyDescent="0.25">
      <c r="M44" s="18"/>
      <c r="N44" s="18">
        <f>Q40/Q41</f>
        <v>0.81492368169423091</v>
      </c>
      <c r="O44" s="18"/>
      <c r="P44" s="18"/>
      <c r="Q44">
        <f>(Q41+Q40)/Q41</f>
        <v>1.8149236816942311</v>
      </c>
      <c r="T44" t="s">
        <v>50</v>
      </c>
    </row>
    <row r="45" spans="13:24" x14ac:dyDescent="0.25">
      <c r="M45" s="18"/>
      <c r="N45" s="18"/>
      <c r="O45" s="18"/>
      <c r="P45" s="18"/>
      <c r="T45" t="s">
        <v>27</v>
      </c>
    </row>
    <row r="46" spans="13:24" x14ac:dyDescent="0.25">
      <c r="O46">
        <f>(Q40-Q42)/2</f>
        <v>0.12870000000000004</v>
      </c>
      <c r="P46">
        <f>(Q41-Q40)/2</f>
        <v>0.26130000000000009</v>
      </c>
    </row>
    <row r="47" spans="13:24" x14ac:dyDescent="0.25">
      <c r="O47">
        <f>(Q42-Q43)/2</f>
        <v>1.0218499999999999</v>
      </c>
    </row>
    <row r="48" spans="13:24" x14ac:dyDescent="0.25">
      <c r="U48" s="18" t="s">
        <v>32</v>
      </c>
      <c r="V48" s="18" t="s">
        <v>52</v>
      </c>
    </row>
    <row r="49" spans="20:25" x14ac:dyDescent="0.25">
      <c r="T49" t="s">
        <v>45</v>
      </c>
      <c r="U49">
        <f>V42-V43</f>
        <v>1.238900000000001</v>
      </c>
      <c r="V49">
        <f>W42-W43</f>
        <v>1.31517</v>
      </c>
      <c r="X49">
        <f>ROUND(((U49-U33)/U33),3)*100</f>
        <v>33.5</v>
      </c>
      <c r="Y49">
        <f>ROUND(((V49-V33)/V33),3)*100</f>
        <v>39.800000000000004</v>
      </c>
    </row>
    <row r="50" spans="20:25" x14ac:dyDescent="0.25">
      <c r="T50" t="s">
        <v>46</v>
      </c>
      <c r="U50">
        <f>U43-U42</f>
        <v>0.91741000000000028</v>
      </c>
      <c r="V50">
        <f>X43-X42</f>
        <v>0.83050000000000068</v>
      </c>
      <c r="X50">
        <f t="shared" ref="X50:Y51" si="5">ROUND(((U50-U34)/U34),3)*100</f>
        <v>167.4</v>
      </c>
      <c r="Y50">
        <f t="shared" si="5"/>
        <v>83.8</v>
      </c>
    </row>
    <row r="51" spans="20:25" x14ac:dyDescent="0.25">
      <c r="T51" t="s">
        <v>44</v>
      </c>
      <c r="U51">
        <f>18.3335-16</f>
        <v>2.3335000000000008</v>
      </c>
      <c r="V51">
        <v>2.3185799999999999</v>
      </c>
      <c r="X51">
        <f t="shared" si="5"/>
        <v>-12.5</v>
      </c>
      <c r="Y51">
        <f t="shared" si="5"/>
        <v>-23.1</v>
      </c>
    </row>
    <row r="52" spans="20:25" x14ac:dyDescent="0.25">
      <c r="T52" t="s">
        <v>36</v>
      </c>
      <c r="U52">
        <v>2.9281999999999999</v>
      </c>
      <c r="V52">
        <f>18.8013-16</f>
        <v>2.8013000000000012</v>
      </c>
      <c r="X52">
        <f>ROUND(((U52-U36)/U36),3)*100</f>
        <v>2.8000000000000003</v>
      </c>
      <c r="Y52">
        <f>ROUND(((V52-V36)/V36),3)*100</f>
        <v>-14.7</v>
      </c>
    </row>
    <row r="53" spans="20:25" x14ac:dyDescent="0.25">
      <c r="X53" t="e">
        <f t="shared" ref="X53:X55" si="6">ROUND(((U53-U37)/U37),3)*100</f>
        <v>#DIV/0!</v>
      </c>
      <c r="Y53" t="e">
        <f t="shared" ref="Y53:Y55" si="7">ROUND(((V53-V37)/V37),3)*100</f>
        <v>#DIV/0!</v>
      </c>
    </row>
    <row r="54" spans="20:25" x14ac:dyDescent="0.25">
      <c r="U54">
        <f>U52+U51</f>
        <v>5.2617000000000012</v>
      </c>
      <c r="V54">
        <f>V52+V51</f>
        <v>5.1198800000000011</v>
      </c>
      <c r="X54">
        <f t="shared" si="6"/>
        <v>-4.5999999999999996</v>
      </c>
      <c r="Y54">
        <f t="shared" si="7"/>
        <v>-18.7</v>
      </c>
    </row>
    <row r="55" spans="20:25" x14ac:dyDescent="0.25">
      <c r="U55">
        <f>U54/2</f>
        <v>2.6308500000000006</v>
      </c>
      <c r="V55">
        <f>V54/2</f>
        <v>2.5599400000000005</v>
      </c>
      <c r="X55">
        <f t="shared" si="6"/>
        <v>-4.5999999999999996</v>
      </c>
      <c r="Y55">
        <f t="shared" si="7"/>
        <v>-18.7</v>
      </c>
    </row>
    <row r="57" spans="20:25" x14ac:dyDescent="0.25">
      <c r="V57">
        <v>2.7250000000000001</v>
      </c>
      <c r="W57">
        <v>2.7250000000000001</v>
      </c>
      <c r="X57">
        <v>2.7250000000000001</v>
      </c>
      <c r="Y57">
        <v>2.7250000000000001</v>
      </c>
    </row>
    <row r="58" spans="20:25" x14ac:dyDescent="0.25">
      <c r="V58">
        <f>((V57-U55)/V57)</f>
        <v>3.4550458715596151E-2</v>
      </c>
      <c r="W58">
        <f>(W57-V55)/W57</f>
        <v>6.0572477064220011E-2</v>
      </c>
      <c r="X58">
        <f>(U39-X57)/X57</f>
        <v>1.2001834862385315E-2</v>
      </c>
      <c r="Y58">
        <f>(V39-Y57)/Y57</f>
        <v>0.1555308256880735</v>
      </c>
    </row>
    <row r="59" spans="20:25" x14ac:dyDescent="0.25">
      <c r="V59">
        <f>V58*100</f>
        <v>3.4550458715596153</v>
      </c>
      <c r="W59">
        <f t="shared" ref="W59:Y59" si="8">W58*100</f>
        <v>6.0572477064220012</v>
      </c>
      <c r="X59">
        <f t="shared" si="8"/>
        <v>1.2001834862385314</v>
      </c>
      <c r="Y59">
        <f t="shared" si="8"/>
        <v>15.55308256880735</v>
      </c>
    </row>
  </sheetData>
  <autoFilter ref="A1:H1" xr:uid="{924C196C-425F-43E7-8D3A-C7F71A253D10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Gould</dc:creator>
  <cp:lastModifiedBy>Josh Gould</cp:lastModifiedBy>
  <dcterms:created xsi:type="dcterms:W3CDTF">2018-12-07T22:31:31Z</dcterms:created>
  <dcterms:modified xsi:type="dcterms:W3CDTF">2018-12-19T22:21:24Z</dcterms:modified>
</cp:coreProperties>
</file>